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O:\A_PFL\BWSB\BWSB-Persönlich\Simon\Begrünung\Begrünungsrechner\2024\"/>
    </mc:Choice>
  </mc:AlternateContent>
  <bookViews>
    <workbookView xWindow="10725" yWindow="0" windowWidth="27855" windowHeight="13905" tabRatio="708"/>
  </bookViews>
  <sheets>
    <sheet name="Anleitung" sheetId="20" r:id="rId1"/>
    <sheet name="Begr.-Rechner int. Prod." sheetId="2" r:id="rId2"/>
    <sheet name="Zusammenfassung int. Prod." sheetId="15" r:id="rId3"/>
    <sheet name="Konventionell (2)" sheetId="10" state="hidden" r:id="rId4"/>
    <sheet name="Begr.-Rechner BIO" sheetId="3" r:id="rId5"/>
    <sheet name="BIO (2)" sheetId="18" state="hidden" r:id="rId6"/>
    <sheet name="Zusammenfassung BIO" sheetId="17" r:id="rId7"/>
    <sheet name="Begrünungsliste 2024" sheetId="24" r:id="rId8"/>
    <sheet name="Anbauzeitpunkte" sheetId="6" r:id="rId9"/>
  </sheets>
  <definedNames>
    <definedName name="_xlnm.Print_Area" localSheetId="8">Anbauzeitpunkte!$A$1:$G$40</definedName>
    <definedName name="_xlnm.Print_Area" localSheetId="1">'Begr.-Rechner int. Prod.'!$A$1:$H$62</definedName>
    <definedName name="_xlnm.Print_Area" localSheetId="7">'Begrünungsliste 2024'!$A$1:$E$231</definedName>
    <definedName name="_xlnm.Print_Area" localSheetId="3">'Konventionell (2)'!$A$1:$H$61</definedName>
    <definedName name="_xlnm.Print_Area" localSheetId="6">'Zusammenfassung BIO'!$A$1:$I$39</definedName>
    <definedName name="_xlnm.Print_Area" localSheetId="2">'Zusammenfassung int. Prod.'!$A$1:$I$39</definedName>
    <definedName name="Einzelkulturen" localSheetId="3">'Konventionell (2)'!$A$3:$H$61</definedName>
    <definedName name="Einzelkulturen">'Begr.-Rechner int. Prod.'!$A$4:$H$62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5" i="24" l="1"/>
  <c r="C64" i="24"/>
  <c r="I32" i="18"/>
  <c r="I33" i="18"/>
  <c r="I34" i="18"/>
  <c r="I35" i="18"/>
  <c r="I36" i="18"/>
  <c r="I31" i="18"/>
  <c r="V26" i="18"/>
  <c r="V27" i="18"/>
  <c r="V29" i="18"/>
  <c r="V30" i="18"/>
  <c r="V38" i="18"/>
  <c r="H22" i="3" l="1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J6" i="2" l="1"/>
  <c r="J6" i="3"/>
  <c r="H5" i="2" l="1"/>
  <c r="H6" i="2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56" i="2"/>
  <c r="H57" i="2"/>
  <c r="H58" i="2"/>
  <c r="H59" i="2"/>
  <c r="H60" i="2"/>
  <c r="H61" i="2"/>
  <c r="H62" i="2"/>
  <c r="H4" i="2"/>
  <c r="H5" i="3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4" i="3"/>
  <c r="T11" i="10"/>
  <c r="R10" i="10"/>
  <c r="R11" i="10"/>
  <c r="R9" i="10"/>
  <c r="S10" i="10"/>
  <c r="S11" i="10"/>
  <c r="S9" i="10"/>
  <c r="U11" i="10"/>
  <c r="T11" i="18" l="1"/>
  <c r="S11" i="18"/>
  <c r="S10" i="18"/>
  <c r="S9" i="18"/>
  <c r="R11" i="18"/>
  <c r="R10" i="18"/>
  <c r="R9" i="18"/>
  <c r="U11" i="18" l="1"/>
  <c r="E4" i="18"/>
  <c r="E5" i="18"/>
  <c r="E6" i="18"/>
  <c r="E7" i="18"/>
  <c r="E8" i="18"/>
  <c r="E9" i="18"/>
  <c r="E10" i="18"/>
  <c r="E11" i="18"/>
  <c r="E12" i="18"/>
  <c r="E13" i="18"/>
  <c r="E14" i="18"/>
  <c r="E15" i="18"/>
  <c r="E16" i="18"/>
  <c r="E17" i="18"/>
  <c r="E18" i="18"/>
  <c r="G18" i="18" s="1"/>
  <c r="E19" i="18"/>
  <c r="E20" i="18"/>
  <c r="E21" i="18"/>
  <c r="E22" i="18"/>
  <c r="E23" i="18"/>
  <c r="E24" i="18"/>
  <c r="E25" i="18"/>
  <c r="E26" i="18"/>
  <c r="E27" i="18"/>
  <c r="E28" i="18"/>
  <c r="O28" i="18" s="1"/>
  <c r="E29" i="18"/>
  <c r="E30" i="18"/>
  <c r="E31" i="18"/>
  <c r="E32" i="18"/>
  <c r="E33" i="18"/>
  <c r="E34" i="18"/>
  <c r="E35" i="18"/>
  <c r="E36" i="18"/>
  <c r="E37" i="18"/>
  <c r="E3" i="18"/>
  <c r="O27" i="18"/>
  <c r="P27" i="18" s="1"/>
  <c r="I4" i="18"/>
  <c r="I5" i="18"/>
  <c r="I6" i="18"/>
  <c r="I7" i="18"/>
  <c r="I8" i="18"/>
  <c r="I9" i="18"/>
  <c r="I10" i="18"/>
  <c r="I11" i="18"/>
  <c r="I12" i="18"/>
  <c r="I13" i="18"/>
  <c r="I14" i="18"/>
  <c r="I15" i="18"/>
  <c r="I16" i="18"/>
  <c r="I17" i="18"/>
  <c r="I18" i="18"/>
  <c r="I19" i="18"/>
  <c r="I20" i="18"/>
  <c r="I21" i="18"/>
  <c r="I22" i="18"/>
  <c r="I23" i="18"/>
  <c r="I24" i="18"/>
  <c r="I25" i="18"/>
  <c r="I26" i="18"/>
  <c r="I27" i="18"/>
  <c r="I28" i="18"/>
  <c r="I29" i="18"/>
  <c r="I30" i="18"/>
  <c r="C4" i="18"/>
  <c r="C5" i="18"/>
  <c r="C6" i="18"/>
  <c r="C7" i="18"/>
  <c r="C8" i="18"/>
  <c r="C9" i="18"/>
  <c r="C10" i="18"/>
  <c r="C11" i="18"/>
  <c r="C12" i="18"/>
  <c r="C13" i="18"/>
  <c r="C14" i="18"/>
  <c r="C15" i="18"/>
  <c r="C16" i="18"/>
  <c r="C17" i="18"/>
  <c r="C18" i="18"/>
  <c r="C19" i="18"/>
  <c r="C20" i="18"/>
  <c r="C21" i="18"/>
  <c r="C22" i="18"/>
  <c r="C23" i="18"/>
  <c r="C24" i="18"/>
  <c r="C25" i="18"/>
  <c r="C26" i="18"/>
  <c r="C27" i="18"/>
  <c r="C28" i="18"/>
  <c r="C29" i="18"/>
  <c r="C30" i="18"/>
  <c r="B28" i="18"/>
  <c r="B29" i="18"/>
  <c r="B30" i="18"/>
  <c r="B4" i="18"/>
  <c r="B5" i="18"/>
  <c r="B6" i="18"/>
  <c r="B7" i="18"/>
  <c r="B8" i="18"/>
  <c r="B9" i="18"/>
  <c r="B10" i="18"/>
  <c r="B11" i="18"/>
  <c r="B12" i="18"/>
  <c r="B13" i="18"/>
  <c r="B14" i="18"/>
  <c r="B15" i="18"/>
  <c r="B16" i="18"/>
  <c r="B17" i="18"/>
  <c r="B18" i="18"/>
  <c r="B19" i="18"/>
  <c r="B20" i="18"/>
  <c r="B21" i="18"/>
  <c r="B22" i="18"/>
  <c r="B23" i="18"/>
  <c r="B24" i="18"/>
  <c r="B25" i="18"/>
  <c r="B26" i="18"/>
  <c r="B27" i="18"/>
  <c r="F12" i="3"/>
  <c r="G12" i="3"/>
  <c r="D12" i="3"/>
  <c r="F10" i="3"/>
  <c r="G10" i="3"/>
  <c r="F11" i="3"/>
  <c r="G11" i="3"/>
  <c r="D10" i="3"/>
  <c r="G8" i="3"/>
  <c r="G9" i="3"/>
  <c r="G13" i="3"/>
  <c r="F8" i="3"/>
  <c r="F9" i="3"/>
  <c r="D8" i="3"/>
  <c r="P28" i="18" l="1"/>
  <c r="V28" i="18"/>
  <c r="E9" i="17" a="1"/>
  <c r="E9" i="17" s="1"/>
  <c r="B11" i="17" a="1"/>
  <c r="B11" i="17" s="1"/>
  <c r="E12" i="17" a="1"/>
  <c r="E12" i="17" s="1"/>
  <c r="C14" i="17" a="1"/>
  <c r="C14" i="17" s="1"/>
  <c r="E15" i="17" a="1"/>
  <c r="E15" i="17" s="1"/>
  <c r="B17" i="17" a="1"/>
  <c r="B17" i="17" s="1"/>
  <c r="D18" i="17" a="1"/>
  <c r="D18" i="17" s="1"/>
  <c r="B20" i="17" a="1"/>
  <c r="B20" i="17" s="1"/>
  <c r="B23" i="17" a="1"/>
  <c r="B23" i="17" s="1"/>
  <c r="D24" i="17" a="1"/>
  <c r="D24" i="17" s="1"/>
  <c r="B26" i="17" a="1"/>
  <c r="B26" i="17" s="1"/>
  <c r="D27" i="17" a="1"/>
  <c r="D27" i="17" s="1"/>
  <c r="B29" i="17" a="1"/>
  <c r="B29" i="17" s="1"/>
  <c r="E30" i="17" a="1"/>
  <c r="E30" i="17" s="1"/>
  <c r="B32" i="17" a="1"/>
  <c r="B32" i="17" s="1"/>
  <c r="D33" i="17" a="1"/>
  <c r="D33" i="17" s="1"/>
  <c r="E34" i="17" a="1"/>
  <c r="E34" i="17" s="1"/>
  <c r="A36" i="17" a="1"/>
  <c r="A36" i="17" s="1"/>
  <c r="F36" i="17" s="1"/>
  <c r="C37" i="17" a="1"/>
  <c r="C37" i="17" s="1"/>
  <c r="E38" i="17" a="1"/>
  <c r="E38" i="17" s="1"/>
  <c r="D11" i="17" a="1"/>
  <c r="D11" i="17" s="1"/>
  <c r="E14" i="17" a="1"/>
  <c r="E14" i="17" s="1"/>
  <c r="D17" i="17" a="1"/>
  <c r="D17" i="17" s="1"/>
  <c r="D20" i="17" a="1"/>
  <c r="D20" i="17" s="1"/>
  <c r="D23" i="17" a="1"/>
  <c r="D23" i="17" s="1"/>
  <c r="D26" i="17" a="1"/>
  <c r="D26" i="17" s="1"/>
  <c r="D29" i="17" a="1"/>
  <c r="D29" i="17" s="1"/>
  <c r="D32" i="17" a="1"/>
  <c r="D32" i="17" s="1"/>
  <c r="E37" i="17" a="1"/>
  <c r="E37" i="17" s="1"/>
  <c r="A9" i="17" a="1"/>
  <c r="A9" i="17" s="1"/>
  <c r="E11" i="17" a="1"/>
  <c r="E11" i="17" s="1"/>
  <c r="A15" i="17" a="1"/>
  <c r="A15" i="17" s="1"/>
  <c r="B19" i="17" a="1"/>
  <c r="B19" i="17" s="1"/>
  <c r="B22" i="17" a="1"/>
  <c r="B22" i="17" s="1"/>
  <c r="E23" i="17" a="1"/>
  <c r="E23" i="17" s="1"/>
  <c r="E26" i="17" a="1"/>
  <c r="E26" i="17" s="1"/>
  <c r="E29" i="17" a="1"/>
  <c r="E29" i="17" s="1"/>
  <c r="B35" i="17" a="1"/>
  <c r="B35" i="17" s="1"/>
  <c r="A38" i="17" a="1"/>
  <c r="A38" i="17" s="1"/>
  <c r="F38" i="17" s="1"/>
  <c r="C9" i="17" a="1"/>
  <c r="C9" i="17" s="1"/>
  <c r="C12" i="17" a="1"/>
  <c r="C12" i="17" s="1"/>
  <c r="E16" i="17" a="1"/>
  <c r="E16" i="17" s="1"/>
  <c r="E22" i="17" a="1"/>
  <c r="E22" i="17" s="1"/>
  <c r="B27" i="17" a="1"/>
  <c r="B27" i="17" s="1"/>
  <c r="E31" i="17" a="1"/>
  <c r="E31" i="17" s="1"/>
  <c r="E35" i="17" a="1"/>
  <c r="E35" i="17" s="1"/>
  <c r="B8" i="17" a="1"/>
  <c r="B8" i="17" s="1"/>
  <c r="D12" i="17" a="1"/>
  <c r="D12" i="17" s="1"/>
  <c r="A17" i="17" a="1"/>
  <c r="A17" i="17" s="1"/>
  <c r="D21" i="17" a="1"/>
  <c r="D21" i="17" s="1"/>
  <c r="C27" i="17" a="1"/>
  <c r="C27" i="17" s="1"/>
  <c r="A32" i="17" a="1"/>
  <c r="A32" i="17" s="1"/>
  <c r="A10" i="17" a="1"/>
  <c r="A10" i="17" s="1"/>
  <c r="C11" i="17" a="1"/>
  <c r="C11" i="17" s="1"/>
  <c r="A13" i="17" a="1"/>
  <c r="A13" i="17" s="1"/>
  <c r="D14" i="17" a="1"/>
  <c r="D14" i="17" s="1"/>
  <c r="A16" i="17" a="1"/>
  <c r="A16" i="17" s="1"/>
  <c r="C17" i="17" a="1"/>
  <c r="C17" i="17" s="1"/>
  <c r="E18" i="17" a="1"/>
  <c r="E18" i="17" s="1"/>
  <c r="C20" i="17" a="1"/>
  <c r="C20" i="17" s="1"/>
  <c r="E21" i="17" a="1"/>
  <c r="E21" i="17" s="1"/>
  <c r="C23" i="17" a="1"/>
  <c r="C23" i="17" s="1"/>
  <c r="E24" i="17" a="1"/>
  <c r="E24" i="17" s="1"/>
  <c r="C26" i="17" a="1"/>
  <c r="C26" i="17" s="1"/>
  <c r="E27" i="17" a="1"/>
  <c r="E27" i="17" s="1"/>
  <c r="C29" i="17" a="1"/>
  <c r="C29" i="17" s="1"/>
  <c r="A31" i="17" a="1"/>
  <c r="A31" i="17" s="1"/>
  <c r="C32" i="17" a="1"/>
  <c r="C32" i="17" s="1"/>
  <c r="E33" i="17" a="1"/>
  <c r="E33" i="17" s="1"/>
  <c r="A35" i="17" a="1"/>
  <c r="A35" i="17" s="1"/>
  <c r="F35" i="17" s="1"/>
  <c r="B36" i="17" a="1"/>
  <c r="B36" i="17" s="1"/>
  <c r="D37" i="17" a="1"/>
  <c r="D37" i="17" s="1"/>
  <c r="A39" i="17" a="1"/>
  <c r="A39" i="17" s="1"/>
  <c r="F39" i="17" s="1"/>
  <c r="B10" i="17" a="1"/>
  <c r="B10" i="17" s="1"/>
  <c r="B13" i="17" a="1"/>
  <c r="B13" i="17" s="1"/>
  <c r="B16" i="17" a="1"/>
  <c r="B16" i="17" s="1"/>
  <c r="A19" i="17" a="1"/>
  <c r="A19" i="17" s="1"/>
  <c r="A22" i="17" a="1"/>
  <c r="A22" i="17" s="1"/>
  <c r="A25" i="17" a="1"/>
  <c r="A25" i="17" s="1"/>
  <c r="A28" i="17" a="1"/>
  <c r="A28" i="17" s="1"/>
  <c r="B31" i="17" a="1"/>
  <c r="B31" i="17" s="1"/>
  <c r="C36" i="17" a="1"/>
  <c r="C36" i="17" s="1"/>
  <c r="B39" i="17" a="1"/>
  <c r="B39" i="17" s="1"/>
  <c r="C10" i="17" a="1"/>
  <c r="C10" i="17" s="1"/>
  <c r="C13" i="17" a="1"/>
  <c r="C13" i="17" s="1"/>
  <c r="C16" i="17" a="1"/>
  <c r="C16" i="17" s="1"/>
  <c r="E20" i="17" a="1"/>
  <c r="E20" i="17" s="1"/>
  <c r="B25" i="17" a="1"/>
  <c r="B25" i="17" s="1"/>
  <c r="B28" i="17" a="1"/>
  <c r="B28" i="17" s="1"/>
  <c r="A34" i="17" a="1"/>
  <c r="A34" i="17" s="1"/>
  <c r="D36" i="17" a="1"/>
  <c r="D36" i="17" s="1"/>
  <c r="D39" i="17" a="1"/>
  <c r="D39" i="17" s="1"/>
  <c r="E10" i="17" a="1"/>
  <c r="E10" i="17" s="1"/>
  <c r="D15" i="17" a="1"/>
  <c r="D15" i="17" s="1"/>
  <c r="E19" i="17" a="1"/>
  <c r="E19" i="17" s="1"/>
  <c r="C24" i="17" a="1"/>
  <c r="C24" i="17" s="1"/>
  <c r="E28" i="17" a="1"/>
  <c r="E28" i="17" s="1"/>
  <c r="B33" i="17" a="1"/>
  <c r="B33" i="17" s="1"/>
  <c r="B37" i="17" a="1"/>
  <c r="B37" i="17" s="1"/>
  <c r="D9" i="17" a="1"/>
  <c r="D9" i="17" s="1"/>
  <c r="B14" i="17" a="1"/>
  <c r="B14" i="17" s="1"/>
  <c r="A20" i="17" a="1"/>
  <c r="A20" i="17" s="1"/>
  <c r="A26" i="17" a="1"/>
  <c r="A26" i="17" s="1"/>
  <c r="D30" i="17" a="1"/>
  <c r="D30" i="17" s="1"/>
  <c r="D38" i="17" a="1"/>
  <c r="D38" i="17" s="1"/>
  <c r="A12" i="17" a="1"/>
  <c r="A12" i="17" s="1"/>
  <c r="D13" i="17" a="1"/>
  <c r="D13" i="17" s="1"/>
  <c r="B15" i="17" a="1"/>
  <c r="B15" i="17" s="1"/>
  <c r="E17" i="17" a="1"/>
  <c r="E17" i="17" s="1"/>
  <c r="C19" i="17" a="1"/>
  <c r="C19" i="17" s="1"/>
  <c r="A21" i="17" a="1"/>
  <c r="A21" i="17" s="1"/>
  <c r="C22" i="17" a="1"/>
  <c r="C22" i="17" s="1"/>
  <c r="A24" i="17" a="1"/>
  <c r="A24" i="17" s="1"/>
  <c r="C25" i="17" a="1"/>
  <c r="C25" i="17" s="1"/>
  <c r="A27" i="17" a="1"/>
  <c r="A27" i="17" s="1"/>
  <c r="C28" i="17" a="1"/>
  <c r="C28" i="17" s="1"/>
  <c r="A30" i="17" a="1"/>
  <c r="A30" i="17" s="1"/>
  <c r="C31" i="17" a="1"/>
  <c r="C31" i="17" s="1"/>
  <c r="E32" i="17" a="1"/>
  <c r="E32" i="17" s="1"/>
  <c r="B34" i="17" a="1"/>
  <c r="B34" i="17" s="1"/>
  <c r="C35" i="17" a="1"/>
  <c r="C35" i="17" s="1"/>
  <c r="E36" i="17" a="1"/>
  <c r="E36" i="17" s="1"/>
  <c r="B38" i="17" a="1"/>
  <c r="B38" i="17" s="1"/>
  <c r="C39" i="17" a="1"/>
  <c r="C39" i="17" s="1"/>
  <c r="B9" i="17" a="1"/>
  <c r="B9" i="17" s="1"/>
  <c r="D10" i="17" a="1"/>
  <c r="D10" i="17" s="1"/>
  <c r="B12" i="17" a="1"/>
  <c r="B12" i="17" s="1"/>
  <c r="E13" i="17" a="1"/>
  <c r="E13" i="17" s="1"/>
  <c r="C15" i="17" a="1"/>
  <c r="C15" i="17" s="1"/>
  <c r="D16" i="17" a="1"/>
  <c r="D16" i="17" s="1"/>
  <c r="A18" i="17" a="1"/>
  <c r="A18" i="17" s="1"/>
  <c r="D19" i="17" a="1"/>
  <c r="D19" i="17" s="1"/>
  <c r="B21" i="17" a="1"/>
  <c r="B21" i="17" s="1"/>
  <c r="D22" i="17" a="1"/>
  <c r="D22" i="17" s="1"/>
  <c r="B24" i="17" a="1"/>
  <c r="B24" i="17" s="1"/>
  <c r="D25" i="17" a="1"/>
  <c r="D25" i="17" s="1"/>
  <c r="D28" i="17" a="1"/>
  <c r="D28" i="17" s="1"/>
  <c r="B30" i="17" a="1"/>
  <c r="B30" i="17" s="1"/>
  <c r="D31" i="17" a="1"/>
  <c r="D31" i="17" s="1"/>
  <c r="A33" i="17" a="1"/>
  <c r="A33" i="17" s="1"/>
  <c r="C34" i="17" a="1"/>
  <c r="C34" i="17" s="1"/>
  <c r="D35" i="17" a="1"/>
  <c r="D35" i="17" s="1"/>
  <c r="A37" i="17" a="1"/>
  <c r="A37" i="17" s="1"/>
  <c r="F37" i="17" s="1"/>
  <c r="C38" i="17" a="1"/>
  <c r="C38" i="17" s="1"/>
  <c r="A8" i="17" a="1"/>
  <c r="A8" i="17" s="1"/>
  <c r="A14" i="17" a="1"/>
  <c r="A14" i="17" s="1"/>
  <c r="B18" i="17" a="1"/>
  <c r="B18" i="17" s="1"/>
  <c r="C21" i="17" a="1"/>
  <c r="C21" i="17" s="1"/>
  <c r="E25" i="17" a="1"/>
  <c r="E25" i="17" s="1"/>
  <c r="C30" i="17" a="1"/>
  <c r="C30" i="17" s="1"/>
  <c r="D34" i="17" a="1"/>
  <c r="D34" i="17" s="1"/>
  <c r="E39" i="17" a="1"/>
  <c r="E39" i="17" s="1"/>
  <c r="A11" i="17" a="1"/>
  <c r="A11" i="17" s="1"/>
  <c r="C18" i="17" a="1"/>
  <c r="C18" i="17" s="1"/>
  <c r="A23" i="17" a="1"/>
  <c r="A23" i="17" s="1"/>
  <c r="A29" i="17" a="1"/>
  <c r="A29" i="17" s="1"/>
  <c r="C33" i="17" a="1"/>
  <c r="C33" i="17" s="1"/>
  <c r="F10" i="18"/>
  <c r="F9" i="18"/>
  <c r="D26" i="18"/>
  <c r="D11" i="18"/>
  <c r="D18" i="18"/>
  <c r="D10" i="18"/>
  <c r="G11" i="18"/>
  <c r="D19" i="18"/>
  <c r="F19" i="18"/>
  <c r="G5" i="18"/>
  <c r="F5" i="18"/>
  <c r="B7" i="17" a="1"/>
  <c r="B7" i="17" s="1"/>
  <c r="A7" i="17" a="1"/>
  <c r="A7" i="17" s="1"/>
  <c r="F16" i="18"/>
  <c r="F28" i="18"/>
  <c r="G27" i="18"/>
  <c r="F27" i="18"/>
  <c r="F20" i="18"/>
  <c r="F12" i="18"/>
  <c r="G10" i="18"/>
  <c r="F30" i="18"/>
  <c r="F29" i="18"/>
  <c r="G14" i="18"/>
  <c r="D17" i="18"/>
  <c r="D9" i="18"/>
  <c r="D30" i="18"/>
  <c r="D29" i="18"/>
  <c r="G22" i="18"/>
  <c r="G6" i="18"/>
  <c r="F13" i="18"/>
  <c r="D25" i="18"/>
  <c r="G23" i="18"/>
  <c r="D28" i="18"/>
  <c r="F25" i="18"/>
  <c r="D23" i="18"/>
  <c r="D15" i="18"/>
  <c r="D7" i="18"/>
  <c r="F17" i="18"/>
  <c r="D22" i="18"/>
  <c r="D14" i="18"/>
  <c r="D6" i="18"/>
  <c r="G29" i="18"/>
  <c r="F22" i="18"/>
  <c r="F8" i="18"/>
  <c r="F18" i="18"/>
  <c r="G30" i="18"/>
  <c r="G15" i="18"/>
  <c r="F7" i="18"/>
  <c r="O30" i="18"/>
  <c r="P30" i="18" s="1"/>
  <c r="G28" i="18"/>
  <c r="G16" i="18"/>
  <c r="F21" i="18"/>
  <c r="G19" i="18"/>
  <c r="F11" i="18"/>
  <c r="F23" i="18"/>
  <c r="O29" i="18"/>
  <c r="P29" i="18" s="1"/>
  <c r="F14" i="18"/>
  <c r="F6" i="18"/>
  <c r="G24" i="18"/>
  <c r="F15" i="18"/>
  <c r="F24" i="18"/>
  <c r="G7" i="18"/>
  <c r="G8" i="18"/>
  <c r="G21" i="18"/>
  <c r="G13" i="18"/>
  <c r="G20" i="18"/>
  <c r="G12" i="18"/>
  <c r="G25" i="18"/>
  <c r="G17" i="18"/>
  <c r="G9" i="18"/>
  <c r="D21" i="18"/>
  <c r="D13" i="18"/>
  <c r="D5" i="18"/>
  <c r="D24" i="18"/>
  <c r="D16" i="18"/>
  <c r="D8" i="18"/>
  <c r="D27" i="18"/>
  <c r="D20" i="18"/>
  <c r="D12" i="18"/>
  <c r="D4" i="18"/>
  <c r="F30" i="17" l="1"/>
  <c r="G30" i="17"/>
  <c r="G33" i="17"/>
  <c r="F33" i="17"/>
  <c r="G23" i="17"/>
  <c r="F23" i="17"/>
  <c r="G18" i="17"/>
  <c r="F18" i="17"/>
  <c r="G34" i="17"/>
  <c r="F34" i="17"/>
  <c r="F24" i="17"/>
  <c r="G24" i="17"/>
  <c r="F28" i="17"/>
  <c r="G28" i="17"/>
  <c r="G17" i="17"/>
  <c r="F17" i="17"/>
  <c r="F9" i="17"/>
  <c r="G9" i="17"/>
  <c r="F29" i="17"/>
  <c r="G29" i="17"/>
  <c r="F27" i="17"/>
  <c r="G27" i="17"/>
  <c r="F31" i="17"/>
  <c r="G31" i="17"/>
  <c r="F11" i="17"/>
  <c r="G11" i="17"/>
  <c r="G21" i="17"/>
  <c r="F21" i="17"/>
  <c r="F26" i="17"/>
  <c r="G26" i="17"/>
  <c r="F25" i="17"/>
  <c r="G25" i="17"/>
  <c r="F13" i="17"/>
  <c r="G13" i="17"/>
  <c r="G15" i="17"/>
  <c r="F15" i="17"/>
  <c r="F19" i="17"/>
  <c r="G19" i="17"/>
  <c r="F10" i="17"/>
  <c r="G10" i="17"/>
  <c r="F32" i="17"/>
  <c r="G32" i="17"/>
  <c r="G14" i="17"/>
  <c r="F14" i="17"/>
  <c r="F12" i="17"/>
  <c r="G12" i="17"/>
  <c r="G16" i="17"/>
  <c r="F16" i="17"/>
  <c r="F20" i="17"/>
  <c r="G20" i="17"/>
  <c r="F22" i="17"/>
  <c r="G22" i="17"/>
  <c r="E4" i="10" l="1"/>
  <c r="E5" i="10"/>
  <c r="E6" i="10"/>
  <c r="E7" i="10"/>
  <c r="E8" i="10"/>
  <c r="E9" i="10"/>
  <c r="E10" i="10"/>
  <c r="E11" i="10"/>
  <c r="G11" i="10" s="1"/>
  <c r="E12" i="10"/>
  <c r="E13" i="10"/>
  <c r="E14" i="10"/>
  <c r="E15" i="10"/>
  <c r="E16" i="10"/>
  <c r="E17" i="10"/>
  <c r="E18" i="10"/>
  <c r="G18" i="10" s="1"/>
  <c r="E19" i="10"/>
  <c r="E20" i="10"/>
  <c r="E21" i="10"/>
  <c r="E22" i="10"/>
  <c r="E23" i="10"/>
  <c r="E24" i="10"/>
  <c r="E25" i="10"/>
  <c r="G25" i="10" s="1"/>
  <c r="E26" i="10"/>
  <c r="E27" i="10"/>
  <c r="G27" i="10" s="1"/>
  <c r="E28" i="10"/>
  <c r="E29" i="10"/>
  <c r="E30" i="10"/>
  <c r="E31" i="10"/>
  <c r="E32" i="10"/>
  <c r="E33" i="10"/>
  <c r="E34" i="10"/>
  <c r="E35" i="10"/>
  <c r="E36" i="10"/>
  <c r="E37" i="10"/>
  <c r="E38" i="10"/>
  <c r="E39" i="10"/>
  <c r="E40" i="10"/>
  <c r="E41" i="10"/>
  <c r="E42" i="10"/>
  <c r="G42" i="10" s="1"/>
  <c r="E43" i="10"/>
  <c r="G43" i="10" s="1"/>
  <c r="E44" i="10"/>
  <c r="E45" i="10"/>
  <c r="E46" i="10"/>
  <c r="E47" i="10"/>
  <c r="E48" i="10"/>
  <c r="G48" i="10" s="1"/>
  <c r="E49" i="10"/>
  <c r="E50" i="10"/>
  <c r="G50" i="10" s="1"/>
  <c r="E51" i="10"/>
  <c r="E52" i="10"/>
  <c r="E53" i="10"/>
  <c r="E54" i="10"/>
  <c r="D13" i="10"/>
  <c r="B4" i="10"/>
  <c r="D4" i="10" s="1"/>
  <c r="B5" i="10"/>
  <c r="B6" i="10"/>
  <c r="B7" i="10"/>
  <c r="B8" i="10"/>
  <c r="B9" i="10"/>
  <c r="B10" i="10"/>
  <c r="D10" i="10" s="1"/>
  <c r="B11" i="10"/>
  <c r="D11" i="10" s="1"/>
  <c r="B12" i="10"/>
  <c r="D12" i="10" s="1"/>
  <c r="B13" i="10"/>
  <c r="B14" i="10"/>
  <c r="B15" i="10"/>
  <c r="B16" i="10"/>
  <c r="B17" i="10"/>
  <c r="D17" i="10" s="1"/>
  <c r="B18" i="10"/>
  <c r="F18" i="10" s="1"/>
  <c r="B19" i="10"/>
  <c r="D19" i="10" s="1"/>
  <c r="B20" i="10"/>
  <c r="B21" i="10"/>
  <c r="B22" i="10"/>
  <c r="B23" i="10"/>
  <c r="B24" i="10"/>
  <c r="B25" i="10"/>
  <c r="B26" i="10"/>
  <c r="B27" i="10"/>
  <c r="B28" i="10"/>
  <c r="D28" i="10" s="1"/>
  <c r="B29" i="10"/>
  <c r="B30" i="10"/>
  <c r="B31" i="10"/>
  <c r="B32" i="10"/>
  <c r="B33" i="10"/>
  <c r="D33" i="10" s="1"/>
  <c r="B34" i="10"/>
  <c r="B35" i="10"/>
  <c r="D35" i="10" s="1"/>
  <c r="B36" i="10"/>
  <c r="B37" i="10"/>
  <c r="B38" i="10"/>
  <c r="B39" i="10"/>
  <c r="B40" i="10"/>
  <c r="B41" i="10"/>
  <c r="D41" i="10" s="1"/>
  <c r="B42" i="10"/>
  <c r="F42" i="10" s="1"/>
  <c r="B43" i="10"/>
  <c r="F43" i="10" s="1"/>
  <c r="B44" i="10"/>
  <c r="B45" i="10"/>
  <c r="B46" i="10"/>
  <c r="B47" i="10"/>
  <c r="B48" i="10"/>
  <c r="B49" i="10"/>
  <c r="D49" i="10" s="1"/>
  <c r="B50" i="10"/>
  <c r="B51" i="10"/>
  <c r="D51" i="10" s="1"/>
  <c r="B52" i="10"/>
  <c r="B53" i="10"/>
  <c r="B54" i="10"/>
  <c r="C4" i="10"/>
  <c r="C5" i="10"/>
  <c r="D5" i="10" s="1"/>
  <c r="C6" i="10"/>
  <c r="C7" i="10"/>
  <c r="C8" i="10"/>
  <c r="C9" i="10"/>
  <c r="C10" i="10"/>
  <c r="C11" i="10"/>
  <c r="C12" i="10"/>
  <c r="C13" i="10"/>
  <c r="C14" i="10"/>
  <c r="C15" i="10"/>
  <c r="C16" i="10"/>
  <c r="C17" i="10"/>
  <c r="C18" i="10"/>
  <c r="C19" i="10"/>
  <c r="C20" i="10"/>
  <c r="C21" i="10"/>
  <c r="D21" i="10" s="1"/>
  <c r="C22" i="10"/>
  <c r="C23" i="10"/>
  <c r="C24" i="10"/>
  <c r="C25" i="10"/>
  <c r="C26" i="10"/>
  <c r="D26" i="10" s="1"/>
  <c r="C27" i="10"/>
  <c r="C28" i="10"/>
  <c r="C29" i="10"/>
  <c r="D29" i="10" s="1"/>
  <c r="C30" i="10"/>
  <c r="C31" i="10"/>
  <c r="C32" i="10"/>
  <c r="C33" i="10"/>
  <c r="C34" i="10"/>
  <c r="D34" i="10" s="1"/>
  <c r="C35" i="10"/>
  <c r="C36" i="10"/>
  <c r="C37" i="10"/>
  <c r="C38" i="10"/>
  <c r="C39" i="10"/>
  <c r="C40" i="10"/>
  <c r="C41" i="10"/>
  <c r="C42" i="10"/>
  <c r="C43" i="10"/>
  <c r="C44" i="10"/>
  <c r="D44" i="10" s="1"/>
  <c r="C45" i="10"/>
  <c r="C46" i="10"/>
  <c r="C47" i="10"/>
  <c r="C48" i="10"/>
  <c r="C49" i="10"/>
  <c r="C50" i="10"/>
  <c r="C51" i="10"/>
  <c r="C52" i="10"/>
  <c r="D52" i="10" s="1"/>
  <c r="C53" i="10"/>
  <c r="C54" i="10"/>
  <c r="C33" i="2"/>
  <c r="F50" i="10" l="1"/>
  <c r="F35" i="10"/>
  <c r="G35" i="10"/>
  <c r="D8" i="10"/>
  <c r="F41" i="10"/>
  <c r="G41" i="10"/>
  <c r="G33" i="10"/>
  <c r="F33" i="10"/>
  <c r="F17" i="10"/>
  <c r="G17" i="10"/>
  <c r="G9" i="10"/>
  <c r="F19" i="10"/>
  <c r="G19" i="10"/>
  <c r="G49" i="10"/>
  <c r="F49" i="10"/>
  <c r="D32" i="10"/>
  <c r="D39" i="10"/>
  <c r="D15" i="10"/>
  <c r="D7" i="10"/>
  <c r="G47" i="10"/>
  <c r="F47" i="10"/>
  <c r="F40" i="10"/>
  <c r="G40" i="10"/>
  <c r="G32" i="10"/>
  <c r="F32" i="10"/>
  <c r="F24" i="10"/>
  <c r="G24" i="10"/>
  <c r="F16" i="10"/>
  <c r="G16" i="10"/>
  <c r="G34" i="10"/>
  <c r="F34" i="10"/>
  <c r="F26" i="10"/>
  <c r="G26" i="10"/>
  <c r="D40" i="10"/>
  <c r="D16" i="10"/>
  <c r="D46" i="10"/>
  <c r="D53" i="10"/>
  <c r="D45" i="10"/>
  <c r="D38" i="10"/>
  <c r="D30" i="10"/>
  <c r="D22" i="10"/>
  <c r="D14" i="10"/>
  <c r="D6" i="10"/>
  <c r="F54" i="10"/>
  <c r="G54" i="10"/>
  <c r="G46" i="10"/>
  <c r="F46" i="10"/>
  <c r="G39" i="10"/>
  <c r="F39" i="10"/>
  <c r="F31" i="10"/>
  <c r="G31" i="10"/>
  <c r="G23" i="10"/>
  <c r="D47" i="10"/>
  <c r="D24" i="10"/>
  <c r="D54" i="10"/>
  <c r="D31" i="10"/>
  <c r="F37" i="10"/>
  <c r="F53" i="10"/>
  <c r="G53" i="10"/>
  <c r="F45" i="10"/>
  <c r="G45" i="10"/>
  <c r="F38" i="10"/>
  <c r="G38" i="10"/>
  <c r="G30" i="10"/>
  <c r="F30" i="10"/>
  <c r="G22" i="10"/>
  <c r="F22" i="10"/>
  <c r="F44" i="10"/>
  <c r="G44" i="10"/>
  <c r="G37" i="10"/>
  <c r="F29" i="10"/>
  <c r="G29" i="10"/>
  <c r="F21" i="10"/>
  <c r="G21" i="10"/>
  <c r="F27" i="10"/>
  <c r="F51" i="10"/>
  <c r="G51" i="10"/>
  <c r="G36" i="10"/>
  <c r="F28" i="10"/>
  <c r="G28" i="10"/>
  <c r="G20" i="10"/>
  <c r="F12" i="10"/>
  <c r="G12" i="10"/>
  <c r="D36" i="10"/>
  <c r="F36" i="10"/>
  <c r="F11" i="10"/>
  <c r="F7" i="10"/>
  <c r="G7" i="10"/>
  <c r="G6" i="10"/>
  <c r="F6" i="10"/>
  <c r="D9" i="10"/>
  <c r="F9" i="10"/>
  <c r="D18" i="10"/>
  <c r="D20" i="10"/>
  <c r="F20" i="10"/>
  <c r="D23" i="10"/>
  <c r="F23" i="10"/>
  <c r="D25" i="10"/>
  <c r="F25" i="10"/>
  <c r="D27" i="10"/>
  <c r="D37" i="10"/>
  <c r="D42" i="10"/>
  <c r="D43" i="10"/>
  <c r="D48" i="10"/>
  <c r="F48" i="10"/>
  <c r="D50" i="10"/>
  <c r="G52" i="10"/>
  <c r="F52" i="10"/>
  <c r="F15" i="10"/>
  <c r="G15" i="10"/>
  <c r="F13" i="10"/>
  <c r="G13" i="10"/>
  <c r="G8" i="10"/>
  <c r="F8" i="10"/>
  <c r="G14" i="10"/>
  <c r="F14" i="10"/>
  <c r="F10" i="10"/>
  <c r="G10" i="10"/>
  <c r="F5" i="10"/>
  <c r="G5" i="10"/>
  <c r="F4" i="10"/>
  <c r="G4" i="10"/>
  <c r="G16" i="2"/>
  <c r="D16" i="2"/>
  <c r="C220" i="24" l="1"/>
  <c r="C218" i="24"/>
  <c r="D218" i="24" s="1"/>
  <c r="C217" i="24"/>
  <c r="D217" i="24" s="1"/>
  <c r="C216" i="24"/>
  <c r="D216" i="24" s="1"/>
  <c r="C215" i="24"/>
  <c r="C214" i="24"/>
  <c r="D214" i="24" s="1"/>
  <c r="C213" i="24"/>
  <c r="C212" i="24"/>
  <c r="D212" i="24" s="1"/>
  <c r="C211" i="24"/>
  <c r="D211" i="24" s="1"/>
  <c r="C206" i="24"/>
  <c r="C205" i="24"/>
  <c r="D205" i="24" s="1"/>
  <c r="C204" i="24"/>
  <c r="D204" i="24" s="1"/>
  <c r="C203" i="24"/>
  <c r="D203" i="24" s="1"/>
  <c r="C202" i="24"/>
  <c r="D202" i="24" s="1"/>
  <c r="C201" i="24"/>
  <c r="D201" i="24" s="1"/>
  <c r="C200" i="24"/>
  <c r="D200" i="24" s="1"/>
  <c r="C199" i="24"/>
  <c r="C198" i="24"/>
  <c r="D198" i="24" s="1"/>
  <c r="C197" i="24"/>
  <c r="D197" i="24" s="1"/>
  <c r="C196" i="24"/>
  <c r="D196" i="24" s="1"/>
  <c r="C195" i="24"/>
  <c r="C194" i="24"/>
  <c r="C193" i="24"/>
  <c r="C192" i="24"/>
  <c r="D192" i="24" s="1"/>
  <c r="C191" i="24"/>
  <c r="D191" i="24" s="1"/>
  <c r="C190" i="24"/>
  <c r="D190" i="24" s="1"/>
  <c r="C189" i="24"/>
  <c r="C188" i="24"/>
  <c r="D184" i="24"/>
  <c r="C96" i="24"/>
  <c r="D96" i="24" s="1"/>
  <c r="C95" i="24"/>
  <c r="D95" i="24" s="1"/>
  <c r="C91" i="24"/>
  <c r="C85" i="24"/>
  <c r="C84" i="24"/>
  <c r="C58" i="24"/>
  <c r="C57" i="24"/>
  <c r="F5" i="2" l="1"/>
  <c r="G5" i="2"/>
  <c r="F6" i="2"/>
  <c r="G6" i="2"/>
  <c r="F7" i="2"/>
  <c r="G7" i="2"/>
  <c r="F8" i="2"/>
  <c r="G8" i="2"/>
  <c r="F9" i="2"/>
  <c r="G9" i="2"/>
  <c r="F10" i="2"/>
  <c r="G10" i="2"/>
  <c r="F11" i="2"/>
  <c r="G11" i="2"/>
  <c r="F12" i="2"/>
  <c r="G12" i="2"/>
  <c r="F13" i="2"/>
  <c r="G13" i="2"/>
  <c r="F14" i="2"/>
  <c r="G14" i="2"/>
  <c r="F15" i="2"/>
  <c r="G15" i="2"/>
  <c r="F17" i="2"/>
  <c r="G17" i="2"/>
  <c r="F18" i="2"/>
  <c r="G18" i="2"/>
  <c r="F19" i="2"/>
  <c r="G19" i="2"/>
  <c r="F20" i="2"/>
  <c r="G20" i="2"/>
  <c r="F21" i="2"/>
  <c r="G21" i="2"/>
  <c r="F22" i="2"/>
  <c r="G22" i="2"/>
  <c r="F23" i="2"/>
  <c r="G23" i="2"/>
  <c r="F24" i="2"/>
  <c r="G24" i="2"/>
  <c r="F25" i="2"/>
  <c r="G25" i="2"/>
  <c r="F26" i="2"/>
  <c r="G26" i="2"/>
  <c r="F27" i="2"/>
  <c r="G27" i="2"/>
  <c r="F28" i="2"/>
  <c r="G28" i="2"/>
  <c r="F29" i="2"/>
  <c r="G29" i="2"/>
  <c r="F30" i="2"/>
  <c r="G30" i="2"/>
  <c r="F31" i="2"/>
  <c r="G31" i="2"/>
  <c r="F32" i="2"/>
  <c r="G32" i="2"/>
  <c r="F33" i="2"/>
  <c r="G33" i="2"/>
  <c r="F34" i="2"/>
  <c r="G34" i="2"/>
  <c r="F35" i="2"/>
  <c r="G35" i="2"/>
  <c r="F36" i="2"/>
  <c r="G36" i="2"/>
  <c r="F37" i="2"/>
  <c r="G37" i="2"/>
  <c r="F38" i="2"/>
  <c r="G38" i="2"/>
  <c r="F39" i="2"/>
  <c r="G39" i="2"/>
  <c r="F40" i="2"/>
  <c r="G40" i="2"/>
  <c r="F41" i="2"/>
  <c r="G41" i="2"/>
  <c r="F42" i="2"/>
  <c r="G42" i="2"/>
  <c r="F43" i="2"/>
  <c r="G43" i="2"/>
  <c r="F44" i="2"/>
  <c r="G44" i="2"/>
  <c r="F45" i="2"/>
  <c r="G45" i="2"/>
  <c r="F46" i="2"/>
  <c r="G46" i="2"/>
  <c r="F47" i="2"/>
  <c r="G47" i="2"/>
  <c r="F48" i="2"/>
  <c r="G48" i="2"/>
  <c r="F49" i="2"/>
  <c r="G49" i="2"/>
  <c r="F50" i="2"/>
  <c r="G50" i="2"/>
  <c r="F51" i="2"/>
  <c r="G51" i="2"/>
  <c r="F52" i="2"/>
  <c r="G52" i="2"/>
  <c r="F53" i="2"/>
  <c r="G53" i="2"/>
  <c r="F54" i="2"/>
  <c r="G54" i="2"/>
  <c r="F55" i="2"/>
  <c r="G55" i="2"/>
  <c r="A4" i="17" l="1"/>
  <c r="E3" i="17" l="1"/>
  <c r="M32" i="18" l="1"/>
  <c r="M33" i="18"/>
  <c r="M34" i="18"/>
  <c r="M35" i="18"/>
  <c r="M36" i="18"/>
  <c r="M37" i="18"/>
  <c r="M31" i="18"/>
  <c r="G35" i="17" l="1"/>
  <c r="G36" i="17"/>
  <c r="G37" i="17"/>
  <c r="G38" i="17"/>
  <c r="G39" i="17"/>
  <c r="G8" i="17"/>
  <c r="C31" i="18"/>
  <c r="C32" i="18"/>
  <c r="C33" i="18"/>
  <c r="C34" i="18"/>
  <c r="C35" i="18"/>
  <c r="C36" i="18"/>
  <c r="C37" i="18"/>
  <c r="B31" i="18"/>
  <c r="B32" i="18"/>
  <c r="B33" i="18"/>
  <c r="B34" i="18"/>
  <c r="B35" i="18"/>
  <c r="B36" i="18"/>
  <c r="B37" i="18"/>
  <c r="A31" i="18"/>
  <c r="A32" i="18"/>
  <c r="A33" i="18"/>
  <c r="A34" i="18"/>
  <c r="A35" i="18"/>
  <c r="A36" i="18"/>
  <c r="A37" i="18"/>
  <c r="B3" i="18"/>
  <c r="I3" i="18"/>
  <c r="M56" i="10"/>
  <c r="M57" i="10"/>
  <c r="M58" i="10"/>
  <c r="M59" i="10"/>
  <c r="M60" i="10"/>
  <c r="M61" i="10"/>
  <c r="M55" i="10"/>
  <c r="O38" i="17" l="1"/>
  <c r="O37" i="17"/>
  <c r="O39" i="17"/>
  <c r="O30" i="17"/>
  <c r="O32" i="17"/>
  <c r="O29" i="17"/>
  <c r="O33" i="17"/>
  <c r="O35" i="17"/>
  <c r="O34" i="17"/>
  <c r="O31" i="17"/>
  <c r="O36" i="17"/>
  <c r="O28" i="17"/>
  <c r="G26" i="18"/>
  <c r="F26" i="18"/>
  <c r="G4" i="18"/>
  <c r="F4" i="18"/>
  <c r="D32" i="18"/>
  <c r="D36" i="18"/>
  <c r="D35" i="18"/>
  <c r="D34" i="18"/>
  <c r="D33" i="18"/>
  <c r="D37" i="18"/>
  <c r="D31" i="18"/>
  <c r="D51" i="2"/>
  <c r="D52" i="2"/>
  <c r="D53" i="2"/>
  <c r="I1" i="3" l="1"/>
  <c r="I1" i="2"/>
  <c r="O31" i="18"/>
  <c r="O32" i="18"/>
  <c r="O33" i="18"/>
  <c r="O34" i="18"/>
  <c r="O35" i="18"/>
  <c r="O36" i="18"/>
  <c r="O37" i="18"/>
  <c r="I37" i="18" s="1"/>
  <c r="C3" i="18"/>
  <c r="C61" i="10"/>
  <c r="C55" i="10"/>
  <c r="C56" i="10"/>
  <c r="C57" i="10"/>
  <c r="C58" i="10"/>
  <c r="C59" i="10"/>
  <c r="C60" i="10"/>
  <c r="C3" i="10"/>
  <c r="B55" i="10"/>
  <c r="B56" i="10"/>
  <c r="B57" i="10"/>
  <c r="B58" i="10"/>
  <c r="B59" i="10"/>
  <c r="B60" i="10"/>
  <c r="B61" i="10"/>
  <c r="B3" i="10"/>
  <c r="D3" i="10" l="1"/>
  <c r="J2" i="18"/>
  <c r="O51" i="10"/>
  <c r="V51" i="10" s="1"/>
  <c r="O52" i="10"/>
  <c r="V52" i="10" s="1"/>
  <c r="O53" i="10"/>
  <c r="V53" i="10" s="1"/>
  <c r="O54" i="10"/>
  <c r="E55" i="10"/>
  <c r="E56" i="10"/>
  <c r="E57" i="10"/>
  <c r="E58" i="10"/>
  <c r="E59" i="10"/>
  <c r="E60" i="10"/>
  <c r="E61" i="10"/>
  <c r="J2" i="3"/>
  <c r="J2" i="2"/>
  <c r="V54" i="10" l="1"/>
  <c r="P54" i="10"/>
  <c r="O11" i="17"/>
  <c r="O25" i="17"/>
  <c r="O19" i="17"/>
  <c r="O24" i="17"/>
  <c r="O20" i="17"/>
  <c r="O21" i="17"/>
  <c r="O18" i="17"/>
  <c r="O13" i="17"/>
  <c r="O27" i="17"/>
  <c r="O23" i="17"/>
  <c r="O12" i="17"/>
  <c r="O26" i="17"/>
  <c r="O22" i="17"/>
  <c r="G7" i="17"/>
  <c r="O9" i="18" l="1"/>
  <c r="P9" i="18" s="1"/>
  <c r="V9" i="18" l="1"/>
  <c r="N36" i="18" l="1"/>
  <c r="V36" i="18" s="1"/>
  <c r="O16" i="17"/>
  <c r="N37" i="18"/>
  <c r="V37" i="18" s="1"/>
  <c r="O17" i="17"/>
  <c r="F36" i="18"/>
  <c r="F37" i="18"/>
  <c r="G37" i="18"/>
  <c r="G36" i="18"/>
  <c r="P36" i="18" l="1"/>
  <c r="P37" i="18"/>
  <c r="D61" i="10"/>
  <c r="F55" i="10"/>
  <c r="G55" i="10"/>
  <c r="F56" i="10"/>
  <c r="G56" i="10"/>
  <c r="F57" i="10"/>
  <c r="G57" i="10"/>
  <c r="F58" i="10"/>
  <c r="G58" i="10"/>
  <c r="F59" i="10"/>
  <c r="G59" i="10"/>
  <c r="F60" i="10"/>
  <c r="G60" i="10"/>
  <c r="F61" i="10"/>
  <c r="G61" i="10"/>
  <c r="D55" i="10" l="1"/>
  <c r="D56" i="10"/>
  <c r="D57" i="10"/>
  <c r="D58" i="10"/>
  <c r="D59" i="10"/>
  <c r="D60" i="10"/>
  <c r="P53" i="10"/>
  <c r="O55" i="10"/>
  <c r="N55" i="10" l="1"/>
  <c r="V55" i="10" s="1"/>
  <c r="I55" i="10"/>
  <c r="P55" i="10" s="1"/>
  <c r="D54" i="2" l="1"/>
  <c r="D55" i="2"/>
  <c r="D49" i="2" l="1"/>
  <c r="D48" i="2"/>
  <c r="D50" i="2"/>
  <c r="A4" i="15"/>
  <c r="I2" i="18"/>
  <c r="E3" i="15"/>
  <c r="O8" i="10"/>
  <c r="O11" i="10"/>
  <c r="O12" i="10"/>
  <c r="O13" i="10"/>
  <c r="O14" i="10"/>
  <c r="O15" i="10"/>
  <c r="O17" i="10"/>
  <c r="O19" i="10"/>
  <c r="O20" i="10"/>
  <c r="O22" i="10"/>
  <c r="V22" i="10" s="1"/>
  <c r="O26" i="10"/>
  <c r="O27" i="10"/>
  <c r="O29" i="10"/>
  <c r="O31" i="10"/>
  <c r="O34" i="10"/>
  <c r="O40" i="10"/>
  <c r="O41" i="10"/>
  <c r="O42" i="10"/>
  <c r="O43" i="10"/>
  <c r="O44" i="10"/>
  <c r="O45" i="10"/>
  <c r="O46" i="10"/>
  <c r="O47" i="10"/>
  <c r="O48" i="10"/>
  <c r="O49" i="10"/>
  <c r="O50" i="10"/>
  <c r="P52" i="10"/>
  <c r="O58" i="10"/>
  <c r="O59" i="10"/>
  <c r="O60" i="10"/>
  <c r="E3" i="10"/>
  <c r="I2" i="10"/>
  <c r="J2" i="10" l="1"/>
  <c r="E14" i="15" a="1"/>
  <c r="E14" i="15" s="1"/>
  <c r="C14" i="15" a="1"/>
  <c r="C14" i="15" s="1"/>
  <c r="A13" i="15" a="1"/>
  <c r="A13" i="15" s="1"/>
  <c r="E24" i="15" a="1"/>
  <c r="E24" i="15" s="1"/>
  <c r="E39" i="15" a="1"/>
  <c r="E39" i="15" s="1"/>
  <c r="D37" i="15" a="1"/>
  <c r="D37" i="15" s="1"/>
  <c r="B12" i="15" a="1"/>
  <c r="B12" i="15" s="1"/>
  <c r="A36" i="15" a="1"/>
  <c r="A36" i="15" s="1"/>
  <c r="D33" i="15" a="1"/>
  <c r="D33" i="15" s="1"/>
  <c r="B39" i="15" a="1"/>
  <c r="B39" i="15" s="1"/>
  <c r="A39" i="15" a="1"/>
  <c r="A39" i="15" s="1"/>
  <c r="E32" i="15" a="1"/>
  <c r="E32" i="15" s="1"/>
  <c r="D29" i="15" a="1"/>
  <c r="D29" i="15" s="1"/>
  <c r="D12" i="15" a="1"/>
  <c r="D12" i="15" s="1"/>
  <c r="A21" i="15" a="1"/>
  <c r="A21" i="15" s="1"/>
  <c r="B36" i="15" a="1"/>
  <c r="B36" i="15" s="1"/>
  <c r="E31" i="15" a="1"/>
  <c r="E31" i="15" s="1"/>
  <c r="A28" i="15" a="1"/>
  <c r="A28" i="15" s="1"/>
  <c r="D8" i="15" a="1"/>
  <c r="D8" i="15" s="1"/>
  <c r="C18" i="15" a="1"/>
  <c r="C18" i="15" s="1"/>
  <c r="C23" i="15" a="1"/>
  <c r="C23" i="15" s="1"/>
  <c r="B11" i="15" a="1"/>
  <c r="B11" i="15" s="1"/>
  <c r="B10" i="15" a="1"/>
  <c r="B10" i="15" s="1"/>
  <c r="E28" i="15" a="1"/>
  <c r="E28" i="15" s="1"/>
  <c r="C22" i="15" a="1"/>
  <c r="C22" i="15" s="1"/>
  <c r="E35" i="15" a="1"/>
  <c r="E35" i="15" s="1"/>
  <c r="D9" i="15" a="1"/>
  <c r="D9" i="15" s="1"/>
  <c r="C38" i="15" a="1"/>
  <c r="C38" i="15" s="1"/>
  <c r="A37" i="15" a="1"/>
  <c r="A37" i="15" s="1"/>
  <c r="C17" i="15" a="1"/>
  <c r="C17" i="15" s="1"/>
  <c r="B18" i="15" a="1"/>
  <c r="B18" i="15" s="1"/>
  <c r="A18" i="15" a="1"/>
  <c r="A18" i="15" s="1"/>
  <c r="E21" i="15" a="1"/>
  <c r="E21" i="15" s="1"/>
  <c r="E29" i="15" a="1"/>
  <c r="E29" i="15" s="1"/>
  <c r="C31" i="15" a="1"/>
  <c r="C31" i="15" s="1"/>
  <c r="A30" i="15" a="1"/>
  <c r="A30" i="15" s="1"/>
  <c r="C9" i="15" a="1"/>
  <c r="C9" i="15" s="1"/>
  <c r="C34" i="15" a="1"/>
  <c r="C34" i="15" s="1"/>
  <c r="B27" i="15" a="1"/>
  <c r="B27" i="15" s="1"/>
  <c r="A19" i="15" a="1"/>
  <c r="A19" i="15" s="1"/>
  <c r="E23" i="15" a="1"/>
  <c r="E23" i="15" s="1"/>
  <c r="C16" i="15" a="1"/>
  <c r="C16" i="15" s="1"/>
  <c r="B17" i="15" a="1"/>
  <c r="B17" i="15" s="1"/>
  <c r="B34" i="15" a="1"/>
  <c r="B34" i="15" s="1"/>
  <c r="E20" i="15" a="1"/>
  <c r="E20" i="15" s="1"/>
  <c r="C29" i="15" a="1"/>
  <c r="C29" i="15" s="1"/>
  <c r="B22" i="15" a="1"/>
  <c r="B22" i="15" s="1"/>
  <c r="B33" i="15" a="1"/>
  <c r="B33" i="15" s="1"/>
  <c r="A33" i="15" a="1"/>
  <c r="A33" i="15" s="1"/>
  <c r="C21" i="15" a="1"/>
  <c r="C21" i="15" s="1"/>
  <c r="B15" i="15" a="1"/>
  <c r="B15" i="15" s="1"/>
  <c r="B25" i="15" a="1"/>
  <c r="B25" i="15" s="1"/>
  <c r="A34" i="15" a="1"/>
  <c r="A34" i="15" s="1"/>
  <c r="E37" i="15" a="1"/>
  <c r="E37" i="15" s="1"/>
  <c r="A32" i="15" a="1"/>
  <c r="A32" i="15" s="1"/>
  <c r="C28" i="15" a="1"/>
  <c r="C28" i="15" s="1"/>
  <c r="B30" i="15" a="1"/>
  <c r="B30" i="15" s="1"/>
  <c r="A24" i="15" a="1"/>
  <c r="A24" i="15" s="1"/>
  <c r="D30" i="15" a="1"/>
  <c r="D30" i="15" s="1"/>
  <c r="D18" i="15" a="1"/>
  <c r="D18" i="15" s="1"/>
  <c r="B23" i="15" a="1"/>
  <c r="B23" i="15" s="1"/>
  <c r="A16" i="15" a="1"/>
  <c r="A16" i="15" s="1"/>
  <c r="E27" i="15" a="1"/>
  <c r="E27" i="15" s="1"/>
  <c r="D11" i="15" a="1"/>
  <c r="D11" i="15" s="1"/>
  <c r="E25" i="15" a="1"/>
  <c r="E25" i="15" s="1"/>
  <c r="B20" i="15" a="1"/>
  <c r="B20" i="15" s="1"/>
  <c r="D25" i="15" a="1"/>
  <c r="D25" i="15" s="1"/>
  <c r="C37" i="15" a="1"/>
  <c r="C37" i="15" s="1"/>
  <c r="D13" i="15" a="1"/>
  <c r="D13" i="15" s="1"/>
  <c r="A11" i="15" a="1"/>
  <c r="A11" i="15" s="1"/>
  <c r="B29" i="15" a="1"/>
  <c r="B29" i="15" s="1"/>
  <c r="C35" i="15" a="1"/>
  <c r="C35" i="15" s="1"/>
  <c r="D28" i="15" a="1"/>
  <c r="D28" i="15" s="1"/>
  <c r="E15" i="15" a="1"/>
  <c r="E15" i="15" s="1"/>
  <c r="D21" i="15" a="1"/>
  <c r="D21" i="15" s="1"/>
  <c r="D34" i="15" a="1"/>
  <c r="D34" i="15" s="1"/>
  <c r="B35" i="15" a="1"/>
  <c r="B35" i="15" s="1"/>
  <c r="D27" i="15" a="1"/>
  <c r="D27" i="15" s="1"/>
  <c r="E22" i="15" a="1"/>
  <c r="E22" i="15" s="1"/>
  <c r="C10" i="15" a="1"/>
  <c r="C10" i="15" s="1"/>
  <c r="C8" i="15" a="1"/>
  <c r="C8" i="15" s="1"/>
  <c r="D31" i="15" a="1"/>
  <c r="D31" i="15" s="1"/>
  <c r="D17" i="15" a="1"/>
  <c r="D17" i="15" s="1"/>
  <c r="B14" i="15" a="1"/>
  <c r="B14" i="15" s="1"/>
  <c r="B8" i="15" a="1"/>
  <c r="B8" i="15" s="1"/>
  <c r="B9" i="15" a="1"/>
  <c r="B9" i="15" s="1"/>
  <c r="A9" i="15" a="1"/>
  <c r="A9" i="15" s="1"/>
  <c r="E12" i="15" a="1"/>
  <c r="E12" i="15" s="1"/>
  <c r="D23" i="15" a="1"/>
  <c r="D23" i="15" s="1"/>
  <c r="E36" i="15" a="1"/>
  <c r="E36" i="15" s="1"/>
  <c r="C39" i="15" a="1"/>
  <c r="C39" i="15" s="1"/>
  <c r="A38" i="15" a="1"/>
  <c r="A38" i="15" s="1"/>
  <c r="C33" i="15" a="1"/>
  <c r="C33" i="15" s="1"/>
  <c r="B26" i="15" a="1"/>
  <c r="B26" i="15" s="1"/>
  <c r="A10" i="15" a="1"/>
  <c r="A10" i="15" s="1"/>
  <c r="E13" i="15" a="1"/>
  <c r="E13" i="15" s="1"/>
  <c r="E30" i="15" a="1"/>
  <c r="E30" i="15" s="1"/>
  <c r="C24" i="15" a="1"/>
  <c r="C24" i="15" s="1"/>
  <c r="A8" i="15" a="1"/>
  <c r="A8" i="15" s="1"/>
  <c r="A25" i="15" a="1"/>
  <c r="A25" i="15" s="1"/>
  <c r="D38" i="15" a="1"/>
  <c r="D38" i="15" s="1"/>
  <c r="B21" i="15" a="1"/>
  <c r="B21" i="15" s="1"/>
  <c r="B24" i="15" a="1"/>
  <c r="B24" i="15" s="1"/>
  <c r="E34" i="15" a="1"/>
  <c r="E34" i="15" s="1"/>
  <c r="D10" i="15" a="1"/>
  <c r="D10" i="15" s="1"/>
  <c r="B16" i="15" a="1"/>
  <c r="B16" i="15" s="1"/>
  <c r="A17" i="15" a="1"/>
  <c r="A17" i="15" s="1"/>
  <c r="D16" i="15" a="1"/>
  <c r="D16" i="15" s="1"/>
  <c r="C32" i="15" a="1"/>
  <c r="C32" i="15" s="1"/>
  <c r="E19" i="15" a="1"/>
  <c r="E19" i="15" s="1"/>
  <c r="A12" i="15" a="1"/>
  <c r="A12" i="15" s="1"/>
  <c r="B7" i="15" a="1"/>
  <c r="B7" i="15" s="1"/>
  <c r="E26" i="15" a="1"/>
  <c r="E26" i="15" s="1"/>
  <c r="B13" i="15" a="1"/>
  <c r="B13" i="15" s="1"/>
  <c r="B32" i="15" a="1"/>
  <c r="B32" i="15" s="1"/>
  <c r="E11" i="15" a="1"/>
  <c r="E11" i="15" s="1"/>
  <c r="D39" i="15" a="1"/>
  <c r="D39" i="15" s="1"/>
  <c r="A23" i="15" a="1"/>
  <c r="A23" i="15" s="1"/>
  <c r="D22" i="15" a="1"/>
  <c r="D22" i="15" s="1"/>
  <c r="C13" i="15" a="1"/>
  <c r="C13" i="15" s="1"/>
  <c r="B31" i="15" a="1"/>
  <c r="B31" i="15" s="1"/>
  <c r="E33" i="15" a="1"/>
  <c r="E33" i="15" s="1"/>
  <c r="D19" i="15" a="1"/>
  <c r="D19" i="15" s="1"/>
  <c r="C11" i="15" a="1"/>
  <c r="C11" i="15" s="1"/>
  <c r="C12" i="15" a="1"/>
  <c r="C12" i="15" s="1"/>
  <c r="D36" i="15" a="1"/>
  <c r="D36" i="15" s="1"/>
  <c r="E38" i="15" a="1"/>
  <c r="E38" i="15" s="1"/>
  <c r="C15" i="15" a="1"/>
  <c r="C15" i="15" s="1"/>
  <c r="C19" i="15" a="1"/>
  <c r="C19" i="15" s="1"/>
  <c r="C26" i="15" a="1"/>
  <c r="C26" i="15" s="1"/>
  <c r="A29" i="15" a="1"/>
  <c r="A29" i="15" s="1"/>
  <c r="A27" i="15" a="1"/>
  <c r="A27" i="15" s="1"/>
  <c r="D20" i="15" a="1"/>
  <c r="D20" i="15" s="1"/>
  <c r="E16" i="15" a="1"/>
  <c r="E16" i="15" s="1"/>
  <c r="A26" i="15" a="1"/>
  <c r="A26" i="15" s="1"/>
  <c r="D24" i="15" a="1"/>
  <c r="D24" i="15" s="1"/>
  <c r="D32" i="15" a="1"/>
  <c r="D32" i="15" s="1"/>
  <c r="A7" i="15" a="1"/>
  <c r="A7" i="15" s="1"/>
  <c r="B38" i="15" a="1"/>
  <c r="B38" i="15" s="1"/>
  <c r="A31" i="15" a="1"/>
  <c r="A31" i="15" s="1"/>
  <c r="E18" i="15" a="1"/>
  <c r="E18" i="15" s="1"/>
  <c r="D14" i="15" a="1"/>
  <c r="D14" i="15" s="1"/>
  <c r="C20" i="15" a="1"/>
  <c r="C20" i="15" s="1"/>
  <c r="B37" i="15" a="1"/>
  <c r="B37" i="15" s="1"/>
  <c r="A15" i="15" a="1"/>
  <c r="A15" i="15" s="1"/>
  <c r="D15" i="15" a="1"/>
  <c r="D15" i="15" s="1"/>
  <c r="E17" i="15" a="1"/>
  <c r="E17" i="15" s="1"/>
  <c r="A20" i="15" a="1"/>
  <c r="A20" i="15" s="1"/>
  <c r="D26" i="15" a="1"/>
  <c r="D26" i="15" s="1"/>
  <c r="A35" i="15" a="1"/>
  <c r="A35" i="15" s="1"/>
  <c r="C27" i="15" a="1"/>
  <c r="C27" i="15" s="1"/>
  <c r="A14" i="15" a="1"/>
  <c r="A14" i="15" s="1"/>
  <c r="C36" i="15" a="1"/>
  <c r="C36" i="15" s="1"/>
  <c r="D35" i="15" a="1"/>
  <c r="D35" i="15" s="1"/>
  <c r="C30" i="15" a="1"/>
  <c r="C30" i="15" s="1"/>
  <c r="B19" i="15" a="1"/>
  <c r="B19" i="15" s="1"/>
  <c r="A22" i="15" a="1"/>
  <c r="A22" i="15" s="1"/>
  <c r="B28" i="15" a="1"/>
  <c r="B28" i="15" s="1"/>
  <c r="C25" i="15" a="1"/>
  <c r="C25" i="15" s="1"/>
  <c r="H21" i="18"/>
  <c r="H6" i="18"/>
  <c r="H13" i="18"/>
  <c r="H22" i="18"/>
  <c r="H15" i="18"/>
  <c r="H24" i="18"/>
  <c r="H5" i="18"/>
  <c r="H28" i="18"/>
  <c r="H8" i="18"/>
  <c r="H29" i="18"/>
  <c r="H23" i="18"/>
  <c r="H27" i="18"/>
  <c r="H11" i="18"/>
  <c r="H25" i="18"/>
  <c r="H30" i="18"/>
  <c r="H14" i="18"/>
  <c r="H20" i="18"/>
  <c r="H19" i="18"/>
  <c r="H17" i="18"/>
  <c r="H12" i="18"/>
  <c r="H9" i="18"/>
  <c r="H10" i="18"/>
  <c r="H7" i="18"/>
  <c r="H16" i="18"/>
  <c r="H18" i="18"/>
  <c r="H26" i="18"/>
  <c r="H4" i="18"/>
  <c r="H11" i="10"/>
  <c r="H19" i="10"/>
  <c r="H27" i="10"/>
  <c r="H35" i="10"/>
  <c r="H43" i="10"/>
  <c r="H50" i="10"/>
  <c r="H51" i="10"/>
  <c r="H18" i="10"/>
  <c r="H26" i="10"/>
  <c r="H42" i="10"/>
  <c r="H49" i="10"/>
  <c r="H5" i="10"/>
  <c r="H44" i="10"/>
  <c r="H8" i="10"/>
  <c r="H6" i="10"/>
  <c r="H14" i="10"/>
  <c r="H22" i="10"/>
  <c r="H30" i="10"/>
  <c r="H38" i="10"/>
  <c r="H45" i="10"/>
  <c r="H53" i="10"/>
  <c r="H12" i="10"/>
  <c r="E10" i="15" a="1"/>
  <c r="E10" i="15" s="1"/>
  <c r="H15" i="10"/>
  <c r="H31" i="10"/>
  <c r="H54" i="10"/>
  <c r="H10" i="10"/>
  <c r="H21" i="10"/>
  <c r="H16" i="10"/>
  <c r="H32" i="10"/>
  <c r="H9" i="10"/>
  <c r="H17" i="10"/>
  <c r="H25" i="10"/>
  <c r="H33" i="10"/>
  <c r="H41" i="10"/>
  <c r="H48" i="10"/>
  <c r="H4" i="10"/>
  <c r="H20" i="10"/>
  <c r="H28" i="10"/>
  <c r="H36" i="10"/>
  <c r="H7" i="10"/>
  <c r="H23" i="10"/>
  <c r="H39" i="10"/>
  <c r="H46" i="10"/>
  <c r="H34" i="10"/>
  <c r="H13" i="10"/>
  <c r="H29" i="10"/>
  <c r="H37" i="10"/>
  <c r="H52" i="10"/>
  <c r="H24" i="10"/>
  <c r="H40" i="10"/>
  <c r="H47" i="10"/>
  <c r="P46" i="10"/>
  <c r="V46" i="10"/>
  <c r="P45" i="10"/>
  <c r="V45" i="10"/>
  <c r="P47" i="10"/>
  <c r="V47" i="10"/>
  <c r="P14" i="10"/>
  <c r="V14" i="10"/>
  <c r="P43" i="10"/>
  <c r="V43" i="10"/>
  <c r="P42" i="10"/>
  <c r="V42" i="10"/>
  <c r="P8" i="10"/>
  <c r="V8" i="10"/>
  <c r="P29" i="10"/>
  <c r="V29" i="10"/>
  <c r="P26" i="10"/>
  <c r="V26" i="10"/>
  <c r="P19" i="10"/>
  <c r="V19" i="10"/>
  <c r="P17" i="10"/>
  <c r="V17" i="10"/>
  <c r="P13" i="10"/>
  <c r="V13" i="10"/>
  <c r="P41" i="10"/>
  <c r="V41" i="10"/>
  <c r="P40" i="10"/>
  <c r="V40" i="10"/>
  <c r="P34" i="10"/>
  <c r="V34" i="10"/>
  <c r="P44" i="10"/>
  <c r="V44" i="10"/>
  <c r="P31" i="10"/>
  <c r="V31" i="10"/>
  <c r="P27" i="10"/>
  <c r="V27" i="10"/>
  <c r="P50" i="10"/>
  <c r="V50" i="10"/>
  <c r="P49" i="10"/>
  <c r="V49" i="10"/>
  <c r="P48" i="10"/>
  <c r="V48" i="10"/>
  <c r="P20" i="10"/>
  <c r="V20" i="10"/>
  <c r="P11" i="10"/>
  <c r="V11" i="10"/>
  <c r="P12" i="10"/>
  <c r="V12" i="10"/>
  <c r="P15" i="10"/>
  <c r="V15" i="10"/>
  <c r="N60" i="10"/>
  <c r="V60" i="10" s="1"/>
  <c r="N58" i="10"/>
  <c r="V58" i="10" s="1"/>
  <c r="I58" i="10"/>
  <c r="P58" i="10" s="1"/>
  <c r="N59" i="10"/>
  <c r="V59" i="10" s="1"/>
  <c r="I60" i="10"/>
  <c r="P60" i="10" s="1"/>
  <c r="I59" i="10"/>
  <c r="P59" i="10" s="1"/>
  <c r="F34" i="18"/>
  <c r="G34" i="18"/>
  <c r="F31" i="18"/>
  <c r="G31" i="18"/>
  <c r="O19" i="18"/>
  <c r="O4" i="18"/>
  <c r="O21" i="18"/>
  <c r="F33" i="18"/>
  <c r="G33" i="18"/>
  <c r="H32" i="18"/>
  <c r="H34" i="18"/>
  <c r="H35" i="18"/>
  <c r="H36" i="18"/>
  <c r="H31" i="18"/>
  <c r="H37" i="18"/>
  <c r="H33" i="18"/>
  <c r="G32" i="18"/>
  <c r="F32" i="18"/>
  <c r="O26" i="18"/>
  <c r="O25" i="18"/>
  <c r="O24" i="18"/>
  <c r="O22" i="18"/>
  <c r="O18" i="18"/>
  <c r="O17" i="18"/>
  <c r="O9" i="17"/>
  <c r="O16" i="18"/>
  <c r="O14" i="18"/>
  <c r="O11" i="18"/>
  <c r="O8" i="18"/>
  <c r="O7" i="18"/>
  <c r="F35" i="18"/>
  <c r="G35" i="18"/>
  <c r="O20" i="18"/>
  <c r="O15" i="18"/>
  <c r="O13" i="18"/>
  <c r="O8" i="17"/>
  <c r="O10" i="18"/>
  <c r="G3" i="18"/>
  <c r="D7" i="17" s="1" a="1"/>
  <c r="D7" i="17" s="1"/>
  <c r="O3" i="18"/>
  <c r="P3" i="18" s="1"/>
  <c r="P22" i="10"/>
  <c r="O23" i="18"/>
  <c r="O12" i="18"/>
  <c r="O6" i="18"/>
  <c r="O5" i="18"/>
  <c r="O35" i="10"/>
  <c r="H55" i="10"/>
  <c r="H58" i="10"/>
  <c r="H61" i="10"/>
  <c r="H56" i="10"/>
  <c r="H57" i="10"/>
  <c r="H59" i="10"/>
  <c r="H60" i="10"/>
  <c r="D3" i="18"/>
  <c r="H3" i="18"/>
  <c r="F3" i="18"/>
  <c r="C7" i="17" s="1" a="1"/>
  <c r="C7" i="17" s="1"/>
  <c r="O10" i="10"/>
  <c r="H3" i="10"/>
  <c r="O7" i="10"/>
  <c r="O4" i="10"/>
  <c r="I1" i="10"/>
  <c r="O30" i="10"/>
  <c r="O9" i="10"/>
  <c r="O6" i="10"/>
  <c r="O3" i="10"/>
  <c r="G3" i="10"/>
  <c r="D7" i="15" s="1" a="1"/>
  <c r="D7" i="15" s="1"/>
  <c r="F3" i="10"/>
  <c r="C7" i="15" s="1" a="1"/>
  <c r="C7" i="15" s="1"/>
  <c r="I1" i="18"/>
  <c r="O25" i="10"/>
  <c r="O24" i="10"/>
  <c r="O21" i="10"/>
  <c r="O16" i="10"/>
  <c r="O57" i="10"/>
  <c r="O23" i="10"/>
  <c r="O56" i="10"/>
  <c r="O28" i="10"/>
  <c r="O61" i="10"/>
  <c r="P51" i="10"/>
  <c r="O39" i="10"/>
  <c r="O38" i="10"/>
  <c r="O5" i="10"/>
  <c r="O37" i="10"/>
  <c r="V37" i="10" s="1"/>
  <c r="O36" i="10"/>
  <c r="O33" i="10"/>
  <c r="O32" i="10"/>
  <c r="O18" i="10"/>
  <c r="G5" i="3"/>
  <c r="G6" i="3"/>
  <c r="G7" i="3"/>
  <c r="G14" i="3"/>
  <c r="G15" i="3"/>
  <c r="G16" i="3"/>
  <c r="G17" i="3"/>
  <c r="G18" i="3"/>
  <c r="G19" i="3"/>
  <c r="G20" i="3"/>
  <c r="G21" i="3"/>
  <c r="F5" i="3"/>
  <c r="F6" i="3"/>
  <c r="F7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B4" i="17"/>
  <c r="D32" i="3"/>
  <c r="D33" i="3"/>
  <c r="D34" i="3"/>
  <c r="D35" i="3"/>
  <c r="D36" i="3"/>
  <c r="D37" i="3"/>
  <c r="D38" i="3"/>
  <c r="G4" i="3"/>
  <c r="F4" i="3"/>
  <c r="B4" i="15"/>
  <c r="G56" i="2"/>
  <c r="G57" i="2"/>
  <c r="G58" i="2"/>
  <c r="G59" i="2"/>
  <c r="G60" i="2"/>
  <c r="G61" i="2"/>
  <c r="G62" i="2"/>
  <c r="F56" i="2"/>
  <c r="F57" i="2"/>
  <c r="F58" i="2"/>
  <c r="F59" i="2"/>
  <c r="F60" i="2"/>
  <c r="F61" i="2"/>
  <c r="F62" i="2"/>
  <c r="G4" i="2"/>
  <c r="F4" i="2"/>
  <c r="E8" i="17" l="1" a="1"/>
  <c r="E8" i="17" s="1"/>
  <c r="C8" i="17" a="1"/>
  <c r="C8" i="17" s="1"/>
  <c r="F8" i="17" s="1"/>
  <c r="O10" i="17"/>
  <c r="D8" i="17" a="1"/>
  <c r="D8" i="17" s="1"/>
  <c r="G10" i="15"/>
  <c r="O10" i="15" s="1"/>
  <c r="F10" i="15"/>
  <c r="F18" i="15"/>
  <c r="G18" i="15"/>
  <c r="O18" i="15" s="1"/>
  <c r="F35" i="15"/>
  <c r="G35" i="15"/>
  <c r="O35" i="15" s="1"/>
  <c r="F23" i="15"/>
  <c r="G23" i="15"/>
  <c r="O23" i="15" s="1"/>
  <c r="F16" i="15"/>
  <c r="G16" i="15"/>
  <c r="O16" i="15" s="1"/>
  <c r="F20" i="15"/>
  <c r="G20" i="15"/>
  <c r="O20" i="15" s="1"/>
  <c r="F31" i="15"/>
  <c r="G31" i="15"/>
  <c r="O31" i="15" s="1"/>
  <c r="G27" i="15"/>
  <c r="O27" i="15" s="1"/>
  <c r="F27" i="15"/>
  <c r="F25" i="15"/>
  <c r="G25" i="15"/>
  <c r="O25" i="15" s="1"/>
  <c r="F38" i="15"/>
  <c r="G38" i="15"/>
  <c r="O38" i="15" s="1"/>
  <c r="F34" i="15"/>
  <c r="G34" i="15"/>
  <c r="O34" i="15" s="1"/>
  <c r="G37" i="15"/>
  <c r="O37" i="15" s="1"/>
  <c r="F37" i="15"/>
  <c r="F12" i="15"/>
  <c r="G12" i="15"/>
  <c r="O12" i="15" s="1"/>
  <c r="G11" i="15"/>
  <c r="O11" i="15" s="1"/>
  <c r="F11" i="15"/>
  <c r="G22" i="15"/>
  <c r="O22" i="15" s="1"/>
  <c r="F22" i="15"/>
  <c r="F8" i="15"/>
  <c r="G8" i="15"/>
  <c r="O8" i="15" s="1"/>
  <c r="F39" i="15"/>
  <c r="G39" i="15"/>
  <c r="O39" i="15" s="1"/>
  <c r="F13" i="15"/>
  <c r="G13" i="15"/>
  <c r="O13" i="15" s="1"/>
  <c r="F26" i="15"/>
  <c r="G26" i="15"/>
  <c r="O26" i="15" s="1"/>
  <c r="G19" i="15"/>
  <c r="O19" i="15" s="1"/>
  <c r="F19" i="15"/>
  <c r="F32" i="15"/>
  <c r="G32" i="15"/>
  <c r="O32" i="15" s="1"/>
  <c r="F30" i="15"/>
  <c r="G30" i="15"/>
  <c r="O30" i="15" s="1"/>
  <c r="G15" i="15"/>
  <c r="O15" i="15" s="1"/>
  <c r="F15" i="15"/>
  <c r="F24" i="15"/>
  <c r="G24" i="15"/>
  <c r="O24" i="15" s="1"/>
  <c r="F28" i="15"/>
  <c r="G28" i="15"/>
  <c r="O28" i="15" s="1"/>
  <c r="F9" i="15"/>
  <c r="F21" i="15"/>
  <c r="G21" i="15"/>
  <c r="O21" i="15" s="1"/>
  <c r="F29" i="15"/>
  <c r="G29" i="15"/>
  <c r="O29" i="15" s="1"/>
  <c r="F17" i="15"/>
  <c r="G17" i="15"/>
  <c r="O17" i="15" s="1"/>
  <c r="F14" i="15"/>
  <c r="G14" i="15"/>
  <c r="O14" i="15" s="1"/>
  <c r="F33" i="15"/>
  <c r="G33" i="15"/>
  <c r="O33" i="15" s="1"/>
  <c r="G36" i="15"/>
  <c r="O36" i="15" s="1"/>
  <c r="F36" i="15"/>
  <c r="E8" i="15" a="1"/>
  <c r="E8" i="15" s="1"/>
  <c r="E7" i="15" a="1"/>
  <c r="E7" i="15" s="1"/>
  <c r="E9" i="15" a="1"/>
  <c r="E9" i="15" s="1"/>
  <c r="E7" i="17" a="1"/>
  <c r="E7" i="17" s="1"/>
  <c r="O7" i="17"/>
  <c r="P5" i="18"/>
  <c r="R4" i="18"/>
  <c r="F7" i="17"/>
  <c r="P8" i="18"/>
  <c r="R5" i="18"/>
  <c r="Q3" i="18"/>
  <c r="P16" i="10"/>
  <c r="V16" i="10"/>
  <c r="P28" i="10"/>
  <c r="V28" i="10"/>
  <c r="P5" i="10"/>
  <c r="V5" i="10"/>
  <c r="P38" i="10"/>
  <c r="V38" i="10"/>
  <c r="P32" i="10"/>
  <c r="V32" i="10"/>
  <c r="P7" i="10"/>
  <c r="V7" i="10"/>
  <c r="P4" i="10"/>
  <c r="V4" i="10"/>
  <c r="P18" i="10"/>
  <c r="V18" i="10"/>
  <c r="P39" i="10"/>
  <c r="V39" i="10"/>
  <c r="P6" i="10"/>
  <c r="V6" i="10"/>
  <c r="P30" i="10"/>
  <c r="V30" i="10"/>
  <c r="P10" i="10"/>
  <c r="V10" i="10"/>
  <c r="P33" i="10"/>
  <c r="V33" i="10"/>
  <c r="P36" i="10"/>
  <c r="V36" i="10"/>
  <c r="P21" i="10"/>
  <c r="V21" i="10"/>
  <c r="P24" i="10"/>
  <c r="V24" i="10"/>
  <c r="P9" i="10"/>
  <c r="V9" i="10"/>
  <c r="P23" i="10"/>
  <c r="V23" i="10"/>
  <c r="P25" i="10"/>
  <c r="V25" i="10"/>
  <c r="F7" i="15"/>
  <c r="P35" i="10"/>
  <c r="V35" i="10"/>
  <c r="R5" i="10"/>
  <c r="Q3" i="10"/>
  <c r="P3" i="10"/>
  <c r="R4" i="10"/>
  <c r="V23" i="18"/>
  <c r="P23" i="18"/>
  <c r="V20" i="18"/>
  <c r="P20" i="18"/>
  <c r="V21" i="18"/>
  <c r="P21" i="18"/>
  <c r="V16" i="18"/>
  <c r="P16" i="18"/>
  <c r="V19" i="18"/>
  <c r="P19" i="18"/>
  <c r="V18" i="18"/>
  <c r="P18" i="18"/>
  <c r="V22" i="18"/>
  <c r="P22" i="18"/>
  <c r="V17" i="18"/>
  <c r="P17" i="18"/>
  <c r="N56" i="10"/>
  <c r="V56" i="10" s="1"/>
  <c r="N57" i="10"/>
  <c r="V57" i="10" s="1"/>
  <c r="I57" i="10"/>
  <c r="P57" i="10" s="1"/>
  <c r="N61" i="10"/>
  <c r="V61" i="10" s="1"/>
  <c r="V15" i="18"/>
  <c r="P15" i="18"/>
  <c r="V6" i="18"/>
  <c r="P6" i="18"/>
  <c r="V7" i="18"/>
  <c r="P7" i="18"/>
  <c r="V14" i="18"/>
  <c r="P14" i="18"/>
  <c r="V13" i="18"/>
  <c r="P13" i="18"/>
  <c r="V12" i="18"/>
  <c r="P12" i="18"/>
  <c r="V11" i="18"/>
  <c r="P11" i="18"/>
  <c r="V10" i="18"/>
  <c r="P10" i="18"/>
  <c r="V4" i="18"/>
  <c r="P4" i="18"/>
  <c r="P26" i="18"/>
  <c r="V25" i="18"/>
  <c r="P25" i="18"/>
  <c r="V24" i="18"/>
  <c r="P24" i="18"/>
  <c r="N31" i="18"/>
  <c r="V31" i="18" s="1"/>
  <c r="N34" i="18"/>
  <c r="V34" i="18" s="1"/>
  <c r="P34" i="18"/>
  <c r="N33" i="18"/>
  <c r="V33" i="18" s="1"/>
  <c r="P33" i="18"/>
  <c r="N32" i="18"/>
  <c r="V32" i="18" s="1"/>
  <c r="P32" i="18"/>
  <c r="N35" i="18"/>
  <c r="V35" i="18" s="1"/>
  <c r="O15" i="17"/>
  <c r="I56" i="10"/>
  <c r="P56" i="10" s="1"/>
  <c r="I61" i="10"/>
  <c r="G9" i="15" s="1"/>
  <c r="O9" i="15" s="1"/>
  <c r="P31" i="18"/>
  <c r="K2" i="2"/>
  <c r="L2" i="2"/>
  <c r="L2" i="18"/>
  <c r="K2" i="18"/>
  <c r="K2" i="3"/>
  <c r="L2" i="3"/>
  <c r="T3" i="18"/>
  <c r="V3" i="18"/>
  <c r="V8" i="18"/>
  <c r="P37" i="10"/>
  <c r="V5" i="18"/>
  <c r="V3" i="10"/>
  <c r="T3" i="10"/>
  <c r="L2" i="10"/>
  <c r="K2" i="10"/>
  <c r="U3" i="10" l="1"/>
  <c r="U3" i="18"/>
  <c r="P61" i="10"/>
  <c r="S3" i="10" s="1" a="1"/>
  <c r="S3" i="10" s="1"/>
  <c r="Z6" i="10" s="1"/>
  <c r="G7" i="15"/>
  <c r="O7" i="15" s="1"/>
  <c r="O40" i="15" s="1"/>
  <c r="R3" i="18"/>
  <c r="J4" i="17" s="1"/>
  <c r="R3" i="10"/>
  <c r="P35" i="18"/>
  <c r="O14" i="17"/>
  <c r="E4" i="17"/>
  <c r="E4" i="15"/>
  <c r="D59" i="2"/>
  <c r="D60" i="2"/>
  <c r="D61" i="2"/>
  <c r="D62" i="2"/>
  <c r="D56" i="2"/>
  <c r="D57" i="2"/>
  <c r="D58" i="2"/>
  <c r="S3" i="18" l="1" a="1"/>
  <c r="S3" i="18" s="1"/>
  <c r="Z8" i="18"/>
  <c r="Z9" i="10"/>
  <c r="Z3" i="10"/>
  <c r="J4" i="15"/>
  <c r="Z8" i="10"/>
  <c r="Z4" i="10"/>
  <c r="Z5" i="10"/>
  <c r="Z7" i="10"/>
  <c r="D31" i="3"/>
  <c r="D37" i="2"/>
  <c r="D30" i="3"/>
  <c r="D27" i="3"/>
  <c r="D16" i="3"/>
  <c r="D15" i="3"/>
  <c r="D17" i="3"/>
  <c r="D7" i="3"/>
  <c r="D6" i="3"/>
  <c r="D4" i="3"/>
  <c r="Z9" i="18" l="1"/>
  <c r="Z3" i="18"/>
  <c r="Z7" i="18"/>
  <c r="Z6" i="18"/>
  <c r="Z5" i="18"/>
  <c r="Z4" i="18"/>
  <c r="Z10" i="10"/>
  <c r="F4" i="15" s="1"/>
  <c r="D47" i="2"/>
  <c r="D44" i="2"/>
  <c r="D31" i="2"/>
  <c r="D30" i="2"/>
  <c r="D13" i="2"/>
  <c r="D7" i="2"/>
  <c r="D6" i="2"/>
  <c r="D5" i="2"/>
  <c r="Z10" i="18" l="1"/>
  <c r="F4" i="17" s="1"/>
  <c r="D4" i="2"/>
  <c r="D4" i="17" l="1"/>
  <c r="C4" i="17"/>
  <c r="D29" i="3"/>
  <c r="D28" i="3"/>
  <c r="D26" i="3"/>
  <c r="D25" i="3"/>
  <c r="D24" i="3"/>
  <c r="D23" i="3"/>
  <c r="D22" i="3"/>
  <c r="D21" i="3"/>
  <c r="D20" i="3"/>
  <c r="D19" i="3"/>
  <c r="D18" i="3"/>
  <c r="D14" i="3"/>
  <c r="D13" i="3"/>
  <c r="D11" i="3"/>
  <c r="D9" i="3"/>
  <c r="D5" i="3"/>
  <c r="D4" i="15"/>
  <c r="P40" i="15" s="1"/>
  <c r="H4" i="15" s="1"/>
  <c r="L3" i="2" s="1"/>
  <c r="M3" i="2" s="1"/>
  <c r="C4" i="15"/>
  <c r="D46" i="2"/>
  <c r="D45" i="2"/>
  <c r="D43" i="2"/>
  <c r="D42" i="2"/>
  <c r="D41" i="2"/>
  <c r="D40" i="2"/>
  <c r="D39" i="2"/>
  <c r="D38" i="2"/>
  <c r="D36" i="2"/>
  <c r="D35" i="2"/>
  <c r="D34" i="2"/>
  <c r="D33" i="2"/>
  <c r="D32" i="2"/>
  <c r="D29" i="2"/>
  <c r="D28" i="2"/>
  <c r="D27" i="2"/>
  <c r="D25" i="2"/>
  <c r="D26" i="2"/>
  <c r="D24" i="2"/>
  <c r="D23" i="2"/>
  <c r="D22" i="2"/>
  <c r="D21" i="2"/>
  <c r="D20" i="2"/>
  <c r="D19" i="2"/>
  <c r="D18" i="2"/>
  <c r="D17" i="2"/>
  <c r="D15" i="2"/>
  <c r="D14" i="2"/>
  <c r="D12" i="2"/>
  <c r="D11" i="2"/>
  <c r="D10" i="2"/>
  <c r="D9" i="2"/>
  <c r="D8" i="2"/>
  <c r="J8" i="15" l="1"/>
  <c r="K4" i="10" l="1"/>
  <c r="Q10" i="10" s="1"/>
  <c r="T10" i="10" s="1"/>
  <c r="T12" i="10" s="1"/>
  <c r="Q9" i="10" l="1"/>
  <c r="T9" i="10" s="1"/>
  <c r="T13" i="10" s="1"/>
  <c r="U10" i="10"/>
  <c r="U12" i="10" s="1"/>
  <c r="U9" i="10" l="1"/>
  <c r="U13" i="10" s="1"/>
  <c r="L8" i="2" s="1"/>
  <c r="I7" i="15" s="1"/>
  <c r="L10" i="2"/>
  <c r="I9" i="15" s="1"/>
  <c r="O40" i="17"/>
  <c r="P40" i="17" s="1"/>
  <c r="H4" i="17" s="1"/>
  <c r="J7" i="17" l="1"/>
  <c r="L3" i="3"/>
  <c r="M3" i="3" s="1"/>
  <c r="K4" i="18" l="1"/>
  <c r="Q10" i="18" s="1"/>
  <c r="Q9" i="18" l="1"/>
  <c r="T9" i="18"/>
  <c r="T13" i="18" s="1"/>
  <c r="U9" i="18"/>
  <c r="U13" i="18" s="1"/>
  <c r="T10" i="18"/>
  <c r="T12" i="18" s="1"/>
  <c r="U10" i="18"/>
  <c r="U12" i="18" s="1"/>
  <c r="L10" i="3" l="1"/>
  <c r="I9" i="17" s="1"/>
  <c r="L8" i="3"/>
  <c r="I7" i="17" s="1"/>
</calcChain>
</file>

<file path=xl/comments1.xml><?xml version="1.0" encoding="utf-8"?>
<comments xmlns="http://schemas.openxmlformats.org/spreadsheetml/2006/main">
  <authors>
    <author>Kriegner-Schramml Simon</author>
  </authors>
  <commentList>
    <comment ref="L3" authorId="0" shapeId="0">
      <text>
        <r>
          <rPr>
            <b/>
            <sz val="9"/>
            <color indexed="81"/>
            <rFont val="Segoe UI"/>
            <family val="2"/>
          </rPr>
          <t>bei Zwischenfrüchten mit einem Leguminosenanteil &gt;60% ist ein Vorfruchtwert zu berücksichtigen (ungenutzt: 20 kg N; genutzt 10 kg N); HINWEIS: es zählt Bestand am Feld, dieser Hinweis ist ausschließlich als Orientierungshilfe zu sehen.</t>
        </r>
      </text>
    </comment>
    <comment ref="E4" authorId="0" shapeId="0">
      <text>
        <r>
          <rPr>
            <sz val="9"/>
            <color indexed="81"/>
            <rFont val="Segoe UI"/>
            <family val="2"/>
          </rPr>
          <t xml:space="preserve">
Hier bitte die geplante Menge je ha angeführen</t>
        </r>
      </text>
    </comment>
    <comment ref="A56" authorId="0" shapeId="0">
      <text>
        <r>
          <rPr>
            <b/>
            <sz val="9"/>
            <color indexed="81"/>
            <rFont val="Segoe UI"/>
            <family val="2"/>
          </rPr>
          <t>Eingabemöglichkeit für nicht gelistete Kulturen</t>
        </r>
      </text>
    </comment>
    <comment ref="I56" authorId="0" shapeId="0">
      <text>
        <r>
          <rPr>
            <b/>
            <sz val="9"/>
            <color indexed="81"/>
            <rFont val="Segoe UI"/>
            <family val="2"/>
          </rPr>
          <t>Pflanzenfamilie auswählen oder selber eingeben</t>
        </r>
      </text>
    </comment>
    <comment ref="M56" authorId="0" shapeId="0">
      <text>
        <r>
          <rPr>
            <b/>
            <sz val="9"/>
            <color indexed="81"/>
            <rFont val="Segoe UI"/>
            <family val="2"/>
          </rPr>
          <t>Nur auswählen, wenn zutreffend. Es sind Grünschnittroggen, Pannonische Wicke, Zottelwicke, Winterackerbohne, Wintererbse, Winterrübsen (inkl. Perko) gem. Varainte 6 zulässig</t>
        </r>
      </text>
    </comment>
  </commentList>
</comments>
</file>

<file path=xl/comments2.xml><?xml version="1.0" encoding="utf-8"?>
<comments xmlns="http://schemas.openxmlformats.org/spreadsheetml/2006/main">
  <authors>
    <author>Kriegner-Schramml Simon</author>
  </authors>
  <commentList>
    <comment ref="H4" authorId="0" shapeId="0">
      <text>
        <r>
          <rPr>
            <sz val="9"/>
            <color indexed="81"/>
            <rFont val="Segoe UI"/>
            <family val="2"/>
          </rPr>
          <t xml:space="preserve">bei Zwischenfrüchten mit einem Leguminosenanteil &gt;60% ist ein Vorfruchtwert zu berücksichtigen (ungenutzt: 20 kg N; genutzt 10 kg N); HINWEIS: es zählt Bestand am Feld, dieser Hinweis ist ausschließlich als Orientierungshilfe zu sehen.
</t>
        </r>
      </text>
    </comment>
  </commentList>
</comments>
</file>

<file path=xl/comments3.xml><?xml version="1.0" encoding="utf-8"?>
<comments xmlns="http://schemas.openxmlformats.org/spreadsheetml/2006/main">
  <authors>
    <author>Kriegner-Schramml Simon</author>
  </authors>
  <commentList>
    <comment ref="E3" authorId="0" shapeId="0">
      <text>
        <r>
          <rPr>
            <sz val="9"/>
            <color indexed="81"/>
            <rFont val="Segoe UI"/>
            <family val="2"/>
          </rPr>
          <t xml:space="preserve">
Hier bitte die geplante Menge je ha angeführen</t>
        </r>
      </text>
    </comment>
    <comment ref="R4" authorId="0" shapeId="0">
      <text>
        <r>
          <rPr>
            <b/>
            <sz val="9"/>
            <color indexed="81"/>
            <rFont val="Segoe UI"/>
            <family val="2"/>
          </rPr>
          <t>Wenn auch nicht Var. 6 konforme Kulturen gewählt wurden</t>
        </r>
      </text>
    </comment>
    <comment ref="R5" authorId="0" shapeId="0">
      <text>
        <r>
          <rPr>
            <b/>
            <sz val="9"/>
            <color indexed="81"/>
            <rFont val="Segoe UI"/>
            <family val="2"/>
          </rPr>
          <t>Anzahl Var. 6 konformer Kulturen</t>
        </r>
      </text>
    </comment>
    <comment ref="A55" authorId="0" shapeId="0">
      <text>
        <r>
          <rPr>
            <b/>
            <sz val="9"/>
            <color indexed="81"/>
            <rFont val="Segoe UI"/>
            <family val="2"/>
          </rPr>
          <t>Eingabemöglichkeit für nicht gelistete Kulturen</t>
        </r>
      </text>
    </comment>
  </commentList>
</comments>
</file>

<file path=xl/comments4.xml><?xml version="1.0" encoding="utf-8"?>
<comments xmlns="http://schemas.openxmlformats.org/spreadsheetml/2006/main">
  <authors>
    <author>Kriegner-Schramml Simon</author>
  </authors>
  <commentList>
    <comment ref="L3" authorId="0" shapeId="0">
      <text>
        <r>
          <rPr>
            <sz val="9"/>
            <color indexed="81"/>
            <rFont val="Segoe UI"/>
            <family val="2"/>
          </rPr>
          <t>bei Zwischenfrüchten mit einem Leguminosenanteil &gt;60% ist ein Vorfruchtwert zu berücksichtigen (ungenutzt: 20 kg N; genutzt 10 kg N); HINWEIS: es zählt Bestand am Feld, dieser Hinweis ist ausschließlich als Orientierungshilfe zu sehen.</t>
        </r>
      </text>
    </comment>
    <comment ref="E4" authorId="0" shapeId="0">
      <text>
        <r>
          <rPr>
            <b/>
            <sz val="9"/>
            <color indexed="81"/>
            <rFont val="Segoe UI"/>
            <family val="2"/>
          </rPr>
          <t>Hier bitte die geplante Menge je ha anführen</t>
        </r>
      </text>
    </comment>
    <comment ref="A32" authorId="0" shapeId="0">
      <text>
        <r>
          <rPr>
            <b/>
            <sz val="9"/>
            <color indexed="81"/>
            <rFont val="Segoe UI"/>
            <family val="2"/>
          </rPr>
          <t>Eingabemöglichkeit für nicht gelistete Kulturen</t>
        </r>
      </text>
    </comment>
    <comment ref="I32" authorId="0" shapeId="0">
      <text>
        <r>
          <rPr>
            <b/>
            <sz val="9"/>
            <color indexed="81"/>
            <rFont val="Segoe UI"/>
            <family val="2"/>
          </rPr>
          <t>Pflanzenfamilie auswählen oder selber eingeben</t>
        </r>
      </text>
    </comment>
    <comment ref="M32" authorId="0" shapeId="0">
      <text>
        <r>
          <rPr>
            <b/>
            <sz val="9"/>
            <color indexed="81"/>
            <rFont val="Segoe UI"/>
            <family val="2"/>
          </rPr>
          <t>Nur auswählen wenn zutreffend. Es sind Grünschnittroggen, Pannonische Nur auswählen, wenn zutreffend. Es sind Grünschnittroggen, Pannonische Wicke, Zottelwicke, Winterackerbohne, Wintererbse, Winterrübsen (inkl. Perko) gem. Varainte 6 zulässig</t>
        </r>
      </text>
    </comment>
  </commentList>
</comments>
</file>

<file path=xl/comments5.xml><?xml version="1.0" encoding="utf-8"?>
<comments xmlns="http://schemas.openxmlformats.org/spreadsheetml/2006/main">
  <authors>
    <author>Kriegner-Schramml Simon</author>
  </authors>
  <commentList>
    <comment ref="A31" authorId="0" shapeId="0">
      <text>
        <r>
          <rPr>
            <b/>
            <sz val="9"/>
            <color indexed="81"/>
            <rFont val="Segoe UI"/>
            <family val="2"/>
          </rPr>
          <t>Eingabemöglichkeit für nicht gelistete Kulturen</t>
        </r>
      </text>
    </comment>
  </commentList>
</comments>
</file>

<file path=xl/comments6.xml><?xml version="1.0" encoding="utf-8"?>
<comments xmlns="http://schemas.openxmlformats.org/spreadsheetml/2006/main">
  <authors>
    <author>Kriegner-Schramml Simon</author>
  </authors>
  <commentList>
    <comment ref="H4" authorId="0" shapeId="0">
      <text>
        <r>
          <rPr>
            <sz val="9"/>
            <color indexed="81"/>
            <rFont val="Segoe UI"/>
            <family val="2"/>
          </rPr>
          <t>bei Zwischenfrüchten mit einem Leguminosenanteil &gt;60% ist ein Vorfruchtwert zu berücksichtigen (ungenutzt: 20 kg N; genutzt 10 kg N); HINWEIS: es zählt Bestand am Feld, dieser Hinweis ist ausschließlich als Orientierungshilfe zu sehen.</t>
        </r>
      </text>
    </comment>
  </commentList>
</comments>
</file>

<file path=xl/sharedStrings.xml><?xml version="1.0" encoding="utf-8"?>
<sst xmlns="http://schemas.openxmlformats.org/spreadsheetml/2006/main" count="1783" uniqueCount="890">
  <si>
    <t>MISCHUNGSBERECHNUNG</t>
  </si>
  <si>
    <t>Kosten/ha in €</t>
  </si>
  <si>
    <t>Richtpreis/kg</t>
  </si>
  <si>
    <t>Reinsaat-menge</t>
  </si>
  <si>
    <t>Kosten/ha bei Reinsaat</t>
  </si>
  <si>
    <t>Menge/ha</t>
  </si>
  <si>
    <t xml:space="preserve">Menge in kg </t>
  </si>
  <si>
    <t>Einzelkulturen</t>
  </si>
  <si>
    <t>Alexandrinerklee</t>
  </si>
  <si>
    <r>
      <t xml:space="preserve">Alexandrinerklee </t>
    </r>
    <r>
      <rPr>
        <b/>
        <sz val="12"/>
        <rFont val="Arial"/>
        <family val="2"/>
      </rPr>
      <t>BIO</t>
    </r>
  </si>
  <si>
    <t>Buchweizen</t>
  </si>
  <si>
    <t>Einjähriges Raygras (Westerwoldisches Raygras)</t>
  </si>
  <si>
    <r>
      <t xml:space="preserve">Englisches Raygras </t>
    </r>
    <r>
      <rPr>
        <b/>
        <sz val="12"/>
        <rFont val="Arial"/>
        <family val="2"/>
      </rPr>
      <t>BIO</t>
    </r>
  </si>
  <si>
    <t>Futtererbse</t>
  </si>
  <si>
    <t>Gelbklee (Hopfenklee)</t>
  </si>
  <si>
    <t>Grünschnittroggen</t>
  </si>
  <si>
    <t>Inkarnatklee</t>
  </si>
  <si>
    <r>
      <t xml:space="preserve">Inkarnatklee </t>
    </r>
    <r>
      <rPr>
        <b/>
        <sz val="12"/>
        <rFont val="Arial"/>
        <family val="2"/>
      </rPr>
      <t>BIO</t>
    </r>
  </si>
  <si>
    <r>
      <t xml:space="preserve">Kresse </t>
    </r>
    <r>
      <rPr>
        <b/>
        <sz val="12"/>
        <rFont val="Arial"/>
        <family val="2"/>
      </rPr>
      <t>BIO</t>
    </r>
  </si>
  <si>
    <t>Leindotter</t>
  </si>
  <si>
    <r>
      <t xml:space="preserve">Leindotter </t>
    </r>
    <r>
      <rPr>
        <b/>
        <sz val="12"/>
        <rFont val="Arial"/>
        <family val="2"/>
      </rPr>
      <t>BIO</t>
    </r>
  </si>
  <si>
    <t>Luzerne</t>
  </si>
  <si>
    <r>
      <t xml:space="preserve">Luzerne </t>
    </r>
    <r>
      <rPr>
        <b/>
        <sz val="12"/>
        <rFont val="Arial"/>
        <family val="2"/>
      </rPr>
      <t>BIO</t>
    </r>
  </si>
  <si>
    <t>Meliorationsrettich</t>
  </si>
  <si>
    <t>Ölrettich</t>
  </si>
  <si>
    <t>Persischer Klee</t>
  </si>
  <si>
    <t>Phazelie</t>
  </si>
  <si>
    <r>
      <t xml:space="preserve">Phazelie </t>
    </r>
    <r>
      <rPr>
        <b/>
        <sz val="12"/>
        <rFont val="Arial"/>
        <family val="2"/>
      </rPr>
      <t>BIO</t>
    </r>
  </si>
  <si>
    <t>Pigmentplatterbse</t>
  </si>
  <si>
    <r>
      <t xml:space="preserve">Pigmentplatterbse </t>
    </r>
    <r>
      <rPr>
        <b/>
        <sz val="12"/>
        <rFont val="Arial"/>
        <family val="2"/>
      </rPr>
      <t>BIO</t>
    </r>
  </si>
  <si>
    <t xml:space="preserve">Ringelblume </t>
  </si>
  <si>
    <t>Rotklee</t>
  </si>
  <si>
    <r>
      <t xml:space="preserve">Rotklee </t>
    </r>
    <r>
      <rPr>
        <b/>
        <sz val="12"/>
        <rFont val="Arial"/>
        <family val="2"/>
      </rPr>
      <t>BIO</t>
    </r>
  </si>
  <si>
    <t>Sarepta-Senf</t>
  </si>
  <si>
    <t>Schwedenklee</t>
  </si>
  <si>
    <t>Senf</t>
  </si>
  <si>
    <r>
      <t xml:space="preserve">Senf </t>
    </r>
    <r>
      <rPr>
        <b/>
        <sz val="12"/>
        <rFont val="Arial"/>
        <family val="2"/>
      </rPr>
      <t>BIO</t>
    </r>
  </si>
  <si>
    <t>Sommerfutterraps</t>
  </si>
  <si>
    <t>Steinklee gelb, Steinklee weiß (Bokharaklee)</t>
  </si>
  <si>
    <t>Sudangras</t>
  </si>
  <si>
    <t>Weißklee</t>
  </si>
  <si>
    <r>
      <t xml:space="preserve">Weißklee </t>
    </r>
    <r>
      <rPr>
        <b/>
        <sz val="12"/>
        <rFont val="Arial"/>
        <family val="2"/>
      </rPr>
      <t>BIO</t>
    </r>
  </si>
  <si>
    <t>Winterfutterraps</t>
  </si>
  <si>
    <t>Winterwicke Pannonisch</t>
  </si>
  <si>
    <r>
      <t xml:space="preserve">Winterwicke Pannonisch </t>
    </r>
    <r>
      <rPr>
        <b/>
        <sz val="12"/>
        <rFont val="Arial"/>
        <family val="2"/>
      </rPr>
      <t>BIO</t>
    </r>
  </si>
  <si>
    <t>Saatgutmischungen</t>
  </si>
  <si>
    <t xml:space="preserve">AckerGrün Begrünungsmischung  HumusPluss </t>
  </si>
  <si>
    <t xml:space="preserve">AckerGrün Begrünungsmischung FruchtfolgePluss </t>
  </si>
  <si>
    <t>AckerGrün Begrünungsmischung SpeedPluss</t>
  </si>
  <si>
    <t>AckerGrün Leguminosengemenge spät</t>
  </si>
  <si>
    <t>BIENENTRACHTBRACHE</t>
  </si>
  <si>
    <t>25</t>
  </si>
  <si>
    <t>Bodenfit</t>
  </si>
  <si>
    <t>50</t>
  </si>
  <si>
    <t>DICKICHT</t>
  </si>
  <si>
    <t xml:space="preserve">Einsömmerige Kleegrasmischung  EZ - DIE SAAT - ÖAG - Qualitätssaatgutmischung </t>
  </si>
  <si>
    <t>30</t>
  </si>
  <si>
    <t>FUTTERPROFI   EI überjähriges Kleegras</t>
  </si>
  <si>
    <t xml:space="preserve">Landsberger Gemenge </t>
  </si>
  <si>
    <t>LECKERBISSEN</t>
  </si>
  <si>
    <t>LEGUMIX</t>
  </si>
  <si>
    <t>ÖPULFIT</t>
  </si>
  <si>
    <t>WiesenGrün Landsberger Gemenge ST 1</t>
  </si>
  <si>
    <t>Wassergüte fein</t>
  </si>
  <si>
    <t>Wassergüte früh</t>
  </si>
  <si>
    <t>Wassergüte rau</t>
  </si>
  <si>
    <t>kg/ha</t>
  </si>
  <si>
    <t>€/ha</t>
  </si>
  <si>
    <t>Anmerkungen</t>
  </si>
  <si>
    <t xml:space="preserve">Abessinischer Senf </t>
  </si>
  <si>
    <t>25 - 30</t>
  </si>
  <si>
    <t>Bastardraygras</t>
  </si>
  <si>
    <t xml:space="preserve">Bitterlupine </t>
  </si>
  <si>
    <t>60 - 80</t>
  </si>
  <si>
    <t>Esparsette</t>
  </si>
  <si>
    <t>Futterkohl</t>
  </si>
  <si>
    <t>3 - 5</t>
  </si>
  <si>
    <t>90 - 150</t>
  </si>
  <si>
    <t>Herbstrübe</t>
  </si>
  <si>
    <t>Hirse</t>
  </si>
  <si>
    <t>Hornklee</t>
  </si>
  <si>
    <t>10 - 15</t>
  </si>
  <si>
    <t>Kulturmalve</t>
  </si>
  <si>
    <t>20 - 25</t>
  </si>
  <si>
    <t>Saatplatterbse</t>
  </si>
  <si>
    <r>
      <t xml:space="preserve">Saatplatterbse </t>
    </r>
    <r>
      <rPr>
        <b/>
        <sz val="12"/>
        <rFont val="Arial"/>
        <family val="2"/>
      </rPr>
      <t xml:space="preserve">BIO </t>
    </r>
  </si>
  <si>
    <t>100 - 130</t>
  </si>
  <si>
    <t>10 - 20</t>
  </si>
  <si>
    <t xml:space="preserve">Serradella </t>
  </si>
  <si>
    <t>20 - 30</t>
  </si>
  <si>
    <t>DSV - Mischungen</t>
  </si>
  <si>
    <t>30 - 40</t>
  </si>
  <si>
    <t>AckerGrün Weingarten II - Dauerbegrünung ohne Klee</t>
  </si>
  <si>
    <t xml:space="preserve">AckerGrün WeingartenPluss  </t>
  </si>
  <si>
    <t xml:space="preserve">AckerGrün Biodiversitätmischung BIOLebensraumPluss </t>
  </si>
  <si>
    <t xml:space="preserve">AckerGrün Biodiversitätmischung BlütenPluss </t>
  </si>
  <si>
    <t xml:space="preserve">AckerGrün Biodiversitätsmischung BienentrachtPluss </t>
  </si>
  <si>
    <t xml:space="preserve">AckerGrün BioUntersaatPluss </t>
  </si>
  <si>
    <t xml:space="preserve">AckerGrün UntersaatPluss </t>
  </si>
  <si>
    <t xml:space="preserve">WOLFF - Mischung </t>
  </si>
  <si>
    <t xml:space="preserve">WOLFF - Mischung ohne Luzerne </t>
  </si>
  <si>
    <t>Saatbau - Mischungen</t>
  </si>
  <si>
    <t>70 - 80</t>
  </si>
  <si>
    <t>Phacelia, Buchweizen, Ölrettich, Senf, auch auf rauhere Saatbeete</t>
  </si>
  <si>
    <t>BIOGRÜN Klassik</t>
  </si>
  <si>
    <t>Genauere Angaben bezüglich Sorten und ihre Eigenschaften finden Sie bei Ihrem Landesproduktenhändler oder</t>
  </si>
  <si>
    <r>
      <t xml:space="preserve">Einjähriges Raygras </t>
    </r>
    <r>
      <rPr>
        <b/>
        <sz val="12"/>
        <rFont val="Arial"/>
        <family val="2"/>
      </rPr>
      <t>BIO</t>
    </r>
  </si>
  <si>
    <t>rasche Entwicklung, wenig oberirdische Masse, verholzt nicht, lange und dicke Pfahlwurzel mit guter Tiefenlockerung, frostet ab und hinterlässt im Frühjahr nur kleine runde Löcher</t>
  </si>
  <si>
    <t>Ölrettich nematodenhemmend</t>
  </si>
  <si>
    <t>Dunkelkeimer, braucht feines Saatbett, nematoden- und fruchtfolgeneutral, trockenheitstolerant, Eignung für Mulchsaat, Bienenweide, bei später Aussaat höhere Saatstärke verwenden</t>
  </si>
  <si>
    <t>Saflor</t>
  </si>
  <si>
    <r>
      <t xml:space="preserve">Sudangras </t>
    </r>
    <r>
      <rPr>
        <b/>
        <sz val="12"/>
        <rFont val="Arial"/>
        <family val="2"/>
      </rPr>
      <t>BIO</t>
    </r>
  </si>
  <si>
    <t>Zottelwicke</t>
  </si>
  <si>
    <t>HESA - Mischungen</t>
  </si>
  <si>
    <t>12</t>
  </si>
  <si>
    <t>Bestes Futtergemenge, durch Spätsaatverträglichkeit und sehr guter Vorfruchtwirkung auch eine ideale Gründüngung, abfrostend.</t>
  </si>
  <si>
    <t>Inkarnatklee, Rotklee, Luzerne, Esparsette, Phazelie, Leindotter - Aussaat Mitte August - Absackung 10 kg</t>
  </si>
  <si>
    <t>enthält 17 verschiedene ein- und mehrjährige Blühkomponenten, damit der Bestand auch einige Jahre einen wertvollen Lebensraum für Bienen aber auch sämtliche Insekten und Niederwild bietet - Aussaat bis Mitte August - Absackung 10 kg</t>
  </si>
  <si>
    <t>Nitrofit</t>
  </si>
  <si>
    <t>20-25</t>
  </si>
  <si>
    <t>Bitterlupine</t>
  </si>
  <si>
    <t>14</t>
  </si>
  <si>
    <r>
      <rPr>
        <sz val="11"/>
        <rFont val="Arial"/>
        <family val="2"/>
      </rPr>
      <t>angeführte Werte sind Durchschnitts - bzw. Beispielwerte</t>
    </r>
    <r>
      <rPr>
        <b/>
        <sz val="11"/>
        <rFont val="Arial"/>
        <family val="2"/>
      </rPr>
      <t xml:space="preserve">
Hier können auch eigene Werte eingetragen werden</t>
    </r>
  </si>
  <si>
    <t>Menge
Reinsaat</t>
  </si>
  <si>
    <t>eigene Kultur 1</t>
  </si>
  <si>
    <t>eigene Kultur 2</t>
  </si>
  <si>
    <t>eigene Kultur 3</t>
  </si>
  <si>
    <t>eigene Kultur 4</t>
  </si>
  <si>
    <t>eigene Kultur 5</t>
  </si>
  <si>
    <t>eigene Kultur 6</t>
  </si>
  <si>
    <t>eigene Kultur 7</t>
  </si>
  <si>
    <r>
      <t xml:space="preserve">Sie können hier den entsprechenden Preis eingeben - 
</t>
    </r>
    <r>
      <rPr>
        <sz val="11"/>
        <rFont val="Arial"/>
        <family val="2"/>
      </rPr>
      <t>die vorausgefüllten Werte entsprechen Durchschnittswerten laut Preisspanne gem. Begrünungstabelle 2021</t>
    </r>
  </si>
  <si>
    <r>
      <rPr>
        <sz val="11"/>
        <rFont val="Arial"/>
        <family val="2"/>
      </rPr>
      <t>angeführte Werte sind Durchschnitts - bzw. Beispielwerte</t>
    </r>
    <r>
      <rPr>
        <b/>
        <sz val="11"/>
        <rFont val="Arial"/>
        <family val="2"/>
      </rPr>
      <t xml:space="preserve">
HIER können auch eigene Werte eingegeben werden</t>
    </r>
  </si>
  <si>
    <t xml:space="preserve">Eigenschaften überwinternde Kulturen </t>
  </si>
  <si>
    <t>Pflanzenarten</t>
  </si>
  <si>
    <r>
      <t xml:space="preserve">Anbauzeit
</t>
    </r>
    <r>
      <rPr>
        <sz val="11"/>
        <rFont val="Arial"/>
        <family val="2"/>
      </rPr>
      <t>Juli  Aug.Sept.</t>
    </r>
    <r>
      <rPr>
        <b/>
        <sz val="11"/>
        <rFont val="Arial"/>
        <family val="2"/>
      </rPr>
      <t xml:space="preserve">
</t>
    </r>
    <r>
      <rPr>
        <sz val="12"/>
        <rFont val="Arial"/>
        <family val="2"/>
      </rPr>
      <t>### ### ###</t>
    </r>
  </si>
  <si>
    <t>Jugend-
ent-
wicklung</t>
  </si>
  <si>
    <t>Bodenbe-deckung</t>
  </si>
  <si>
    <t>Reinsaat-
menge 
kg/ha</t>
  </si>
  <si>
    <t>Reinsaat bzw. Gemengeanbau</t>
  </si>
  <si>
    <t>Kreuzblütler</t>
  </si>
  <si>
    <t xml:space="preserve">Winterrübse </t>
  </si>
  <si>
    <t>### ### ##</t>
  </si>
  <si>
    <t>sehr rasch</t>
  </si>
  <si>
    <t>sehr gut</t>
  </si>
  <si>
    <t>10-15</t>
  </si>
  <si>
    <t>beides</t>
  </si>
  <si>
    <t>Fruchtfolge beachten, raschwüchsig, mehrschnittig</t>
  </si>
  <si>
    <t>### ### ###</t>
  </si>
  <si>
    <t>rasch</t>
  </si>
  <si>
    <t>Reinsaat sinnvoll</t>
  </si>
  <si>
    <t>für Futternutzung Juli/August 10 kg /ha Aussaat, geht im Ansaatjahr nicht in Blüte</t>
  </si>
  <si>
    <t>Leguminosen</t>
  </si>
  <si>
    <t>binden Luftstickstoff, Fruchtfolgeregeln beachten</t>
  </si>
  <si>
    <t>Winterwicke</t>
  </si>
  <si>
    <t>gut</t>
  </si>
  <si>
    <t>80-100</t>
  </si>
  <si>
    <t>nur in Gemengen sinnvoll</t>
  </si>
  <si>
    <t xml:space="preserve">im Landsberger Gemenge, meist überwinternd, gute Durchwurzelung des Bodens </t>
  </si>
  <si>
    <t>### ###</t>
  </si>
  <si>
    <t>langsam</t>
  </si>
  <si>
    <t>mittel</t>
  </si>
  <si>
    <t>15</t>
  </si>
  <si>
    <t>geringe Ansprüche, lichtbedürftig  ausläufertreibend - Lückenfüller</t>
  </si>
  <si>
    <t>### ##</t>
  </si>
  <si>
    <t>wertvolle Futterleguminose für Feuchtgebiete  und Übergangslagen</t>
  </si>
  <si>
    <t>wertvolle Futterleguminose für Trockengebiete, pH -Wert mind. um 6,5 !</t>
  </si>
  <si>
    <t>25-30</t>
  </si>
  <si>
    <t>Gemenge sinnvoller</t>
  </si>
  <si>
    <t>überjährig, Bestandteil auch im Landsberger Gemenge, spätsaatverträglich</t>
  </si>
  <si>
    <t>gering</t>
  </si>
  <si>
    <t>15-18</t>
  </si>
  <si>
    <t>nur im Gemenge sinnvoll</t>
  </si>
  <si>
    <t xml:space="preserve"> für Trockenlagen und schlechte Böden geeignet, niedriger Wuchs, sehr ausdauernd </t>
  </si>
  <si>
    <t>Gelbklee</t>
  </si>
  <si>
    <t>für magere Böden ,anspruchslos, trockenresistent, eher niederliegend</t>
  </si>
  <si>
    <t>13-15</t>
  </si>
  <si>
    <t xml:space="preserve">für feuchtere Böden und rauere Lagen als Ersatz für Rotklee </t>
  </si>
  <si>
    <t>Steinklee, gelb/weiß</t>
  </si>
  <si>
    <t>### #</t>
  </si>
  <si>
    <t xml:space="preserve">2-jährig, hochwachsend, kann verdichtete Böden durchwurzeln, cumarinhältig  </t>
  </si>
  <si>
    <t>mäßig</t>
  </si>
  <si>
    <t>Gräser</t>
  </si>
  <si>
    <t xml:space="preserve">Rotschwingel </t>
  </si>
  <si>
    <t xml:space="preserve">### ### </t>
  </si>
  <si>
    <t>bildet Ausläufer - wichtiger Narbenbildner und Lückenfüller</t>
  </si>
  <si>
    <t>Engl. (deut.) Raygras</t>
  </si>
  <si>
    <t>konkurrenzstark in der Anfangsentwicklung, nicht geeignet für raue Lagen</t>
  </si>
  <si>
    <t>Wiesenschwingel</t>
  </si>
  <si>
    <t>30-40</t>
  </si>
  <si>
    <t>für feuchte nährstoffreiche Böden, hochwachsend</t>
  </si>
  <si>
    <t>Schafschwingel</t>
  </si>
  <si>
    <t>für karge Böden, als Futtergras wenig Bedeutung</t>
  </si>
  <si>
    <t>Kammgras</t>
  </si>
  <si>
    <t>22</t>
  </si>
  <si>
    <t xml:space="preserve">ausdauerndes Gras für karge Böden </t>
  </si>
  <si>
    <t>Rotes Straußgras</t>
  </si>
  <si>
    <t>für karge, aber auch saure Böden, speziell in höheren nicht zu trockenen Lagen</t>
  </si>
  <si>
    <t>Wiesenripse</t>
  </si>
  <si>
    <t>narbenbildend füllt Lücken, gute Trockenheitsresistenz</t>
  </si>
  <si>
    <t>Timothe</t>
  </si>
  <si>
    <t>15-20</t>
  </si>
  <si>
    <t>ausdauendes Gras mit guter Winterhärte unempfindlich gegen Nässe</t>
  </si>
  <si>
    <t>Glatthafer</t>
  </si>
  <si>
    <t>40</t>
  </si>
  <si>
    <t>horstbildendes hochwüchsiges Gras, verträg Trockenheit gut</t>
  </si>
  <si>
    <t>Knaulgras</t>
  </si>
  <si>
    <t>gut geeignet für trockene Böden, bildet Horste, später konkurrenzstark</t>
  </si>
  <si>
    <t>Italienisches Raygras</t>
  </si>
  <si>
    <t>30-50</t>
  </si>
  <si>
    <t>überwintert in milderen Lagen , guter  N-Verwerter</t>
  </si>
  <si>
    <t>20-30</t>
  </si>
  <si>
    <t>zwei- bis mehrjährig in milden und mittleren Lagen, verlangt gute Nährstoffversorgung</t>
  </si>
  <si>
    <t>spätsaatverträgliche Saatgutmischung
mit guter Vorfruchtwirkung, mit 30-40 kg/ha als Rotationsbrache möglich</t>
  </si>
  <si>
    <t>Landsberger Gemenge</t>
  </si>
  <si>
    <t>### ### #</t>
  </si>
  <si>
    <t>50-80</t>
  </si>
  <si>
    <t xml:space="preserve">Gründecke CLASSIC HR </t>
  </si>
  <si>
    <t>5 % Phacelia, 15 % Senf, 61 % Buchweizen,10% Alexandrinerklee,  5 % Kresse, 4% Schwarzs.</t>
  </si>
  <si>
    <t>AckerGrün Hydrosan</t>
  </si>
  <si>
    <t xml:space="preserve">            ### ##</t>
  </si>
  <si>
    <t>Boden- und Wasserschutzmischung, speziell f. Begrünung nach Mais</t>
  </si>
  <si>
    <t>AckerGrün Biodiversitäts+</t>
  </si>
  <si>
    <t xml:space="preserve">Gräserfreie Brachemischung </t>
  </si>
  <si>
    <t>Mungo, Phacelia, Alexandrinerklee und Krumenklee</t>
  </si>
  <si>
    <t xml:space="preserve">   # ###</t>
  </si>
  <si>
    <t>Sonstige</t>
  </si>
  <si>
    <t xml:space="preserve">Bestockt stärker als Roggen. Auch für ärmere Böden zur Wildäsung bzw. Aussaat im Juni - Herbst Futterschnitt und im nächsten Jahr Drusch möglich </t>
  </si>
  <si>
    <t>Waldstaudenroggen</t>
  </si>
  <si>
    <t xml:space="preserve">           ### ##</t>
  </si>
  <si>
    <t>120</t>
  </si>
  <si>
    <t>130</t>
  </si>
  <si>
    <t>Gute Bestockung. besonders gute Frühjahrsschnitte (vor dem Maisanbau) möglich</t>
  </si>
  <si>
    <t xml:space="preserve">Jugendentwicklung  und Bodenbedeckung sind stark abhängig von den verwendeten Sorten. Die Bodenbedeckung ist weiters abhängig vom Vegetationsstadium der Pflanze. </t>
  </si>
  <si>
    <t>Ein Abfrosten der Bestände ist jedoch auch bei überwinternden Kulturarten je nach Witterung, Schneelage… nicht auszuschließen</t>
  </si>
  <si>
    <t xml:space="preserve">Eigenschaften abfrostende Kulturen </t>
  </si>
  <si>
    <t>Versch. Pflanzenfamilien</t>
  </si>
  <si>
    <t>Sonnenblume</t>
  </si>
  <si>
    <t>Sklerotinia-Vermehrer!!  Braucht viel Bodenwasser - ausgefallene Samen in Folgefrucht</t>
  </si>
  <si>
    <t>Schwarzsamen/ Mungo</t>
  </si>
  <si>
    <t xml:space="preserve"> sehr gut</t>
  </si>
  <si>
    <t>sehr frostempfindlich, trockenheitsverträglich, ideal für Mulchsaat, rasche Jugendentwicklung, Sclerotinia</t>
  </si>
  <si>
    <t>Ringelblume</t>
  </si>
  <si>
    <t>meist abfrostend, fruchtfolgeneutral, sehr gute Durchwurzelung und guter Stickstoffspeicher, Samenbildung</t>
  </si>
  <si>
    <t>Phazelia</t>
  </si>
  <si>
    <t>10-16</t>
  </si>
  <si>
    <t>für alle Fruchtfolgen, nematodenneutral, verträgt Trockenheit gut, beste Eignung für Mulchsaat</t>
  </si>
  <si>
    <t>nein</t>
  </si>
  <si>
    <t xml:space="preserve"> gut</t>
  </si>
  <si>
    <t xml:space="preserve"> 60-80</t>
  </si>
  <si>
    <t>Gemenge</t>
  </si>
  <si>
    <t>bei frühem Anbau Samenreife (Achtung bei Zuckerrübe), trockenverträglich, frostempfindlich</t>
  </si>
  <si>
    <t>Anbau ab August von Vorteil damit Pflanzen mehr Blattmasse bilden</t>
  </si>
  <si>
    <t>Senf nematodenres.</t>
  </si>
  <si>
    <t xml:space="preserve">rechtzeitiger Anbau für biologische Nematodenbekämpfung notwendig - Eignung für Zuckerrübenfruchtfolge </t>
  </si>
  <si>
    <t xml:space="preserve">Sareptasenf </t>
  </si>
  <si>
    <t xml:space="preserve">  ## ##</t>
  </si>
  <si>
    <t>bessere Durchwurzelung als Senf, Bodenstrukturverbesserung - Futterwert ähnlich Sommerfutteraps, Energieerz.</t>
  </si>
  <si>
    <t xml:space="preserve"> 6 - 8</t>
  </si>
  <si>
    <t>rasch Entwicklung, wenig oberirdische Masse, kräftige Pfahlwurzel mit guter Tiefenlockerung, frostet ab</t>
  </si>
  <si>
    <t>Ölrettich multiresistente Sorte</t>
  </si>
  <si>
    <t>frühe Saat und dichte Bestände verringern die Rettichbildung - gilt auch für nematodenresistente, Pflanzeninhaltsstoffe (Glucosinolate) von Defender werden zu biologisch aktiv wirksamen Stoffen umgesetzt</t>
  </si>
  <si>
    <t>Ölrettich nematodenh.</t>
  </si>
  <si>
    <t>für Schnittnutzung Aussaat ab Mitte August: 10 kg/ha, keine nematodenresistenten Sorten verfügbar</t>
  </si>
  <si>
    <t xml:space="preserve">Sommerrübse </t>
  </si>
  <si>
    <t xml:space="preserve">beides </t>
  </si>
  <si>
    <t>friert meist ab und hinterläßt eine lockere Mulchschicht für eine störungsfreie Direktsaat von Mais</t>
  </si>
  <si>
    <t>Markstamm,-/Futterkohl</t>
  </si>
  <si>
    <t xml:space="preserve">### # </t>
  </si>
  <si>
    <t>3-5</t>
  </si>
  <si>
    <t xml:space="preserve">gutes Futter, hohe  Winterfestigkeit, verträgt Fröste von -10-12°C, Fütterung bis Ende Dez. frisch vom Feld </t>
  </si>
  <si>
    <t>8-12</t>
  </si>
  <si>
    <t>eher Gemenge</t>
  </si>
  <si>
    <t>langsame Jugendentwicklung, feines Wurzelwerk, rel. wenig Masse,  nicht selbstverträglich</t>
  </si>
  <si>
    <t>###</t>
  </si>
  <si>
    <t>15-40</t>
  </si>
  <si>
    <t xml:space="preserve">hohes Nachwuchsvermögen - Nutzung als Grünfutter/Silage ab ca. 60 cm Wuchshöhe für Biogas, Wildäcker </t>
  </si>
  <si>
    <t>Sandhafer</t>
  </si>
  <si>
    <t>80-120</t>
  </si>
  <si>
    <t>zur Bekämpfung von Pratylenchus penetrans (Wurzelläsionsälchen) -  keine Vermehrung von Trichodoriden (Überträger der Eisenfleckigkeit), für alle Böden und jegliche Nutzung geeignet</t>
  </si>
  <si>
    <t>Westerw. Raygras</t>
  </si>
  <si>
    <t xml:space="preserve">sehr wüchsig, nematodenneutral, bestens geeignet für Silierung, Nutzung vor Beginn des Ährenschiebens </t>
  </si>
  <si>
    <t>Alexandrinerklee und 
Krumenklee</t>
  </si>
  <si>
    <t>langsame Jugendentwicklung, hohes Nachwuchsvermögen, hoher Eiweißgehalt  im Gemenge mit Gräsern bauen</t>
  </si>
  <si>
    <t>Saatwicke</t>
  </si>
  <si>
    <t xml:space="preserve"> 100-130</t>
  </si>
  <si>
    <t>Gemenge mit Stützfrucht</t>
  </si>
  <si>
    <t>gute Garebildung, eiweißreiches Grünfutter, mit Stützfrucht  anbauen</t>
  </si>
  <si>
    <t>130-150</t>
  </si>
  <si>
    <t>Erntereife zur Grünverfütterung nach Erreichen der Vollblüte, sobald die untersten Hülsen ausgebildet sind</t>
  </si>
  <si>
    <t>Klee der sandigen Böden - mit Stütz,-Deckfrucht anbauen, keimt sehr langsam,  stark verzweigtes Wurzelwerk</t>
  </si>
  <si>
    <t>Ackerbohne</t>
  </si>
  <si>
    <t xml:space="preserve"> 150-200</t>
  </si>
  <si>
    <t xml:space="preserve">bevorzugt feuchte Klimagebiete, mit sich selbst und Rotklee nicht verträglich </t>
  </si>
  <si>
    <t xml:space="preserve"> 110-180</t>
  </si>
  <si>
    <t>schnelle Jugendentwicklung,  bessere Durchwurzelung als Futtererbse, für trockene Standorte geeignet</t>
  </si>
  <si>
    <t>Süßlupine</t>
  </si>
  <si>
    <t xml:space="preserve">### </t>
  </si>
  <si>
    <t xml:space="preserve"> 150-220</t>
  </si>
  <si>
    <t>weiße, gelbe oder blaue bitterstoffarme Lupinen Eignung je nach Bodentyp - eiweissreiches Futter</t>
  </si>
  <si>
    <t>120-180</t>
  </si>
  <si>
    <t xml:space="preserve">zur Gründüngung auf leichteren Böden auch in kühleren Lagen </t>
  </si>
  <si>
    <t>Kulturarten sind nur bei ausreichender vegetativen Entwicklung im Herbst und kalten Wintern (tiefgehende Fröste) abfrostend.</t>
  </si>
  <si>
    <t>Nematodenresistente Sorten von Senf und Ölrettich haben nur Wirkung gegen Zuckerrübenzystennematoden - außer Ölrettich Defender als multiresistente Sorte.</t>
  </si>
  <si>
    <t>Menge in kg/ha
geplant</t>
  </si>
  <si>
    <t>Mischungs-anteil in % (=relative Saatstärke)</t>
  </si>
  <si>
    <t>Fläche in ha</t>
  </si>
  <si>
    <t>Mischungs-anteil in %
(=relative Saatstärke)</t>
  </si>
  <si>
    <t>Saatstärke in % der Reinsaat</t>
  </si>
  <si>
    <t>Kulturbezeichnung</t>
  </si>
  <si>
    <t>Menge in kg/ha 
geplant</t>
  </si>
  <si>
    <t>Kosten je Kultur</t>
  </si>
  <si>
    <t>Kosten/ha</t>
  </si>
  <si>
    <t xml:space="preserve">Saatgutmenge je Kultur bzw. Mischung in kg </t>
  </si>
  <si>
    <t>Der Bereich Anbauzeitpunkte enthält Informationen zu den empfohlenen Anbauzeitpunkten und pflanzenbaulichen Eigenschaften</t>
  </si>
  <si>
    <r>
      <t xml:space="preserve">Dieser Bereich ist zusätzlich in Eigenschaften </t>
    </r>
    <r>
      <rPr>
        <b/>
        <u/>
        <sz val="11"/>
        <color theme="1"/>
        <rFont val="Arial"/>
        <family val="2"/>
      </rPr>
      <t>winterharter</t>
    </r>
    <r>
      <rPr>
        <sz val="11"/>
        <color theme="1"/>
        <rFont val="Arial"/>
        <family val="2"/>
      </rPr>
      <t xml:space="preserve"> und </t>
    </r>
    <r>
      <rPr>
        <b/>
        <u/>
        <sz val="11"/>
        <color theme="1"/>
        <rFont val="Arial"/>
        <family val="2"/>
      </rPr>
      <t>abfrostender Kulturen</t>
    </r>
    <r>
      <rPr>
        <sz val="11"/>
        <color theme="1"/>
        <rFont val="Arial"/>
        <family val="2"/>
      </rPr>
      <t xml:space="preserve"> untergliedert</t>
    </r>
  </si>
  <si>
    <r>
      <t xml:space="preserve">Die Preise je kg und die Reinsaatstärke können angepasst werden. </t>
    </r>
    <r>
      <rPr>
        <b/>
        <sz val="11"/>
        <color theme="1"/>
        <rFont val="Arial"/>
        <family val="2"/>
      </rPr>
      <t>Oben RECHTS</t>
    </r>
    <r>
      <rPr>
        <sz val="11"/>
        <color theme="1"/>
        <rFont val="Arial"/>
        <family val="2"/>
      </rPr>
      <t xml:space="preserve"> werden </t>
    </r>
    <r>
      <rPr>
        <b/>
        <sz val="11"/>
        <color theme="1"/>
        <rFont val="Arial"/>
        <family val="2"/>
      </rPr>
      <t>relative Saatstärke</t>
    </r>
    <r>
      <rPr>
        <sz val="11"/>
        <color theme="1"/>
        <rFont val="Arial"/>
        <family val="2"/>
      </rPr>
      <t xml:space="preserve"> aus allen gewählten Kulturen und Mischungen, der </t>
    </r>
    <r>
      <rPr>
        <b/>
        <sz val="11"/>
        <color theme="1"/>
        <rFont val="Arial"/>
        <family val="2"/>
      </rPr>
      <t>Preis je ha</t>
    </r>
    <r>
      <rPr>
        <sz val="11"/>
        <color theme="1"/>
        <rFont val="Arial"/>
        <family val="2"/>
      </rPr>
      <t xml:space="preserve"> und die </t>
    </r>
    <r>
      <rPr>
        <b/>
        <sz val="11"/>
        <color theme="1"/>
        <rFont val="Arial"/>
        <family val="2"/>
      </rPr>
      <t>Saatgutmenge je ha</t>
    </r>
    <r>
      <rPr>
        <sz val="11"/>
        <color theme="1"/>
        <rFont val="Arial"/>
        <family val="2"/>
      </rPr>
      <t xml:space="preserve"> angezeigt.</t>
    </r>
  </si>
  <si>
    <r>
      <t xml:space="preserve">ZUR
ZUSAMMENFASSUNG
</t>
    </r>
    <r>
      <rPr>
        <u/>
        <sz val="22"/>
        <rFont val="Arial"/>
        <family val="2"/>
      </rPr>
      <t>►</t>
    </r>
  </si>
  <si>
    <r>
      <t xml:space="preserve">Um die Berechnung vollständig ausführen zu können müssen die </t>
    </r>
    <r>
      <rPr>
        <b/>
        <u/>
        <sz val="11"/>
        <color theme="1"/>
        <rFont val="Arial"/>
        <family val="2"/>
      </rPr>
      <t>betreffende Fläche</t>
    </r>
    <r>
      <rPr>
        <sz val="11"/>
        <color theme="1"/>
        <rFont val="Arial"/>
        <family val="2"/>
      </rPr>
      <t xml:space="preserve"> und die </t>
    </r>
    <r>
      <rPr>
        <b/>
        <u/>
        <sz val="11"/>
        <color theme="1"/>
        <rFont val="Arial"/>
        <family val="2"/>
      </rPr>
      <t>geplante Saatgutmenge je ha</t>
    </r>
    <r>
      <rPr>
        <sz val="11"/>
        <color theme="1"/>
        <rFont val="Arial"/>
        <family val="2"/>
      </rPr>
      <t xml:space="preserve"> angeführt werden.</t>
    </r>
  </si>
  <si>
    <r>
      <rPr>
        <u/>
        <sz val="20"/>
        <rFont val="Arial"/>
        <family val="2"/>
      </rPr>
      <t>►</t>
    </r>
    <r>
      <rPr>
        <u/>
        <sz val="12"/>
        <rFont val="Arial"/>
        <family val="2"/>
      </rPr>
      <t xml:space="preserve"> HIER gelangen Sie zur Zusammenfassung</t>
    </r>
  </si>
  <si>
    <r>
      <t xml:space="preserve">Um die Berechnung vollständig ausführen zu können müssen die </t>
    </r>
    <r>
      <rPr>
        <b/>
        <u/>
        <sz val="11"/>
        <color theme="1"/>
        <rFont val="Arial"/>
        <family val="2"/>
      </rPr>
      <t>betreffende Fläche</t>
    </r>
    <r>
      <rPr>
        <sz val="11"/>
        <color theme="1"/>
        <rFont val="Arial"/>
        <family val="2"/>
      </rPr>
      <t xml:space="preserve"> und die 
</t>
    </r>
    <r>
      <rPr>
        <b/>
        <u/>
        <sz val="11"/>
        <color theme="1"/>
        <rFont val="Arial"/>
        <family val="2"/>
      </rPr>
      <t>geplante Saatgutmenge je ha</t>
    </r>
    <r>
      <rPr>
        <sz val="11"/>
        <color theme="1"/>
        <rFont val="Arial"/>
        <family val="2"/>
      </rPr>
      <t xml:space="preserve"> angeführt werden.</t>
    </r>
  </si>
  <si>
    <t>Der Bereich Zusammenfassung BIO enthält eine Listung der im Begrünungsrechner ausgewählten Kulturen, den diesbezüglichen Saatgutmengen und Anteilen an der gesamten Mischung. Diese kann anschließend ausgedruckt werden.</t>
  </si>
  <si>
    <r>
      <rPr>
        <u/>
        <sz val="20"/>
        <rFont val="Arial"/>
        <family val="2"/>
      </rPr>
      <t>►</t>
    </r>
    <r>
      <rPr>
        <u/>
        <sz val="12"/>
        <rFont val="Arial"/>
        <family val="2"/>
      </rPr>
      <t xml:space="preserve"> HIER gelangen Sie gelangen Sie zum Begrünungsrechner</t>
    </r>
  </si>
  <si>
    <r>
      <t xml:space="preserve">Durch einen </t>
    </r>
    <r>
      <rPr>
        <b/>
        <u/>
        <sz val="12"/>
        <color theme="1"/>
        <rFont val="Arial"/>
        <family val="2"/>
      </rPr>
      <t>KLICK</t>
    </r>
    <r>
      <rPr>
        <sz val="12"/>
        <color theme="1"/>
        <rFont val="Arial"/>
        <family val="2"/>
      </rPr>
      <t xml:space="preserve"> auf die folgenden Schaltflächen bzw. durch Auswahl der entsprechenden Tabellenblätter gelangen Sie zu den einzelnen Bereichen.</t>
    </r>
  </si>
  <si>
    <r>
      <t xml:space="preserve">Durch einen KLICK auf diesen Link </t>
    </r>
    <r>
      <rPr>
        <u/>
        <sz val="20"/>
        <rFont val="Arial"/>
        <family val="2"/>
      </rPr>
      <t>►</t>
    </r>
    <r>
      <rPr>
        <u/>
        <sz val="12"/>
        <rFont val="Arial"/>
        <family val="2"/>
      </rPr>
      <t xml:space="preserve"> gelangen Sie zu den </t>
    </r>
    <r>
      <rPr>
        <b/>
        <u/>
        <sz val="12"/>
        <rFont val="Arial"/>
        <family val="2"/>
      </rPr>
      <t>Anbauzeitpunkten</t>
    </r>
  </si>
  <si>
    <r>
      <rPr>
        <u/>
        <sz val="20"/>
        <rFont val="Arial"/>
        <family val="2"/>
      </rPr>
      <t>►</t>
    </r>
    <r>
      <rPr>
        <u/>
        <sz val="12"/>
        <rFont val="Arial"/>
        <family val="2"/>
      </rPr>
      <t xml:space="preserve"> Hier gelangen Sie zum Begrünungsrechner BIO</t>
    </r>
  </si>
  <si>
    <r>
      <rPr>
        <u/>
        <sz val="20"/>
        <rFont val="Arial"/>
        <family val="2"/>
      </rPr>
      <t>►</t>
    </r>
    <r>
      <rPr>
        <u/>
        <sz val="12"/>
        <rFont val="Arial"/>
        <family val="2"/>
      </rPr>
      <t xml:space="preserve"> HIER gelangen Sie zur Zusammenfassung BIO</t>
    </r>
  </si>
  <si>
    <r>
      <rPr>
        <u/>
        <sz val="22"/>
        <rFont val="Arial"/>
        <family val="2"/>
      </rPr>
      <t xml:space="preserve">◄
</t>
    </r>
    <r>
      <rPr>
        <u/>
        <sz val="12"/>
        <rFont val="Arial"/>
        <family val="2"/>
      </rPr>
      <t xml:space="preserve">
ZURÜCK ZUR
STARTSEITE /
BEDIENUNGSANLEITUNG</t>
    </r>
  </si>
  <si>
    <t>INFORMATIONSBEREICH</t>
  </si>
  <si>
    <t>KONTAKT:</t>
  </si>
  <si>
    <t>https://www.bwsb.at/</t>
  </si>
  <si>
    <t>simon.kriegner-schramml@lk-ooe.at</t>
  </si>
  <si>
    <t>Fragen und Anregungen an:</t>
  </si>
  <si>
    <r>
      <rPr>
        <sz val="22"/>
        <rFont val="Arial"/>
        <family val="2"/>
      </rPr>
      <t>◄</t>
    </r>
    <r>
      <rPr>
        <sz val="12"/>
        <rFont val="Arial"/>
        <family val="2"/>
      </rPr>
      <t xml:space="preserve"> ZURÜCK ZUR STARTSEITE / BEDIENUNGSANLEITUNG</t>
    </r>
  </si>
  <si>
    <t>Pflanzenfamilie</t>
  </si>
  <si>
    <t>MUNGO (Schwarzsamen/ Ramtilkraut / Gingellikraut)</t>
  </si>
  <si>
    <r>
      <t xml:space="preserve">Futtererbse </t>
    </r>
    <r>
      <rPr>
        <b/>
        <sz val="12"/>
        <rFont val="Arial"/>
        <family val="2"/>
      </rPr>
      <t>BIO</t>
    </r>
  </si>
  <si>
    <r>
      <t xml:space="preserve">Meliorationsrettich </t>
    </r>
    <r>
      <rPr>
        <b/>
        <sz val="12"/>
        <rFont val="Arial"/>
        <family val="2"/>
      </rPr>
      <t>BIO</t>
    </r>
  </si>
  <si>
    <r>
      <t xml:space="preserve">Ölrettich </t>
    </r>
    <r>
      <rPr>
        <b/>
        <sz val="12"/>
        <rFont val="Arial"/>
        <family val="2"/>
      </rPr>
      <t>BIO</t>
    </r>
  </si>
  <si>
    <t>Version:</t>
  </si>
  <si>
    <t>Leguminose</t>
  </si>
  <si>
    <t>Knöterichgewächse</t>
  </si>
  <si>
    <t>Korbblütler</t>
  </si>
  <si>
    <t>Wasserblattgewächse</t>
  </si>
  <si>
    <t>Malvengewächse</t>
  </si>
  <si>
    <t>Anzahl Mischungspartner</t>
  </si>
  <si>
    <t>Anzahl Familien</t>
  </si>
  <si>
    <t xml:space="preserve">ÖPUL 2015 Varianten </t>
  </si>
  <si>
    <t>Variante 2</t>
  </si>
  <si>
    <t>Variante</t>
  </si>
  <si>
    <t>Mischungspartner</t>
  </si>
  <si>
    <t>Variante 3</t>
  </si>
  <si>
    <t>Variante 4</t>
  </si>
  <si>
    <t>Varainte 5</t>
  </si>
  <si>
    <t>Variante 6</t>
  </si>
  <si>
    <t>Insektenblütig</t>
  </si>
  <si>
    <t>Variante 1</t>
  </si>
  <si>
    <t>Var 6 konform</t>
  </si>
  <si>
    <t>Mischung zu Variante Konform?</t>
  </si>
  <si>
    <t>In Begrünungsliste ausgewählt ?</t>
  </si>
  <si>
    <t>Var. 6 konform</t>
  </si>
  <si>
    <t>ja</t>
  </si>
  <si>
    <t>Summe Insektenblütige Mischungspartner</t>
  </si>
  <si>
    <t>Zählenn wenn insektenblütig</t>
  </si>
  <si>
    <t>Var 6 GSR, WE</t>
  </si>
  <si>
    <t>2 jährig - in milden und mittleren Lagen auch mehrjährig, hoher Grünmasseertrag bei guter Nährstoffversorgung</t>
  </si>
  <si>
    <t>Knöterich Gewächs, Bienenweide; Kein Sklerotiniaüberträger, geringe Standortansprüche, im Gemenge anbauen, nematodenneutral, rasche Jugendentwicklung, keimt auch unter trockenen Bedingungen - frostempfindlich - kommt rasch zur Samenbildung</t>
  </si>
  <si>
    <t>Leguminose mehrjährig, tiefwurzelnd;  eiweißreiche Trockenfutterpflanze, Bodenverbesserer, hervorragende Bienenweide</t>
  </si>
  <si>
    <t>Leguminose, magere Böden, anspruchslos, trockenresistent eher niederliegend - nur im Gemenge sinnvoll</t>
  </si>
  <si>
    <t>kein Sklerotiniaüberträger, eignet sich für Frischverfütterung, Heu- und Silagebereitung - guter N-Verwerter</t>
  </si>
  <si>
    <t>6 - 8</t>
  </si>
  <si>
    <t xml:space="preserve"> frühe Saat und dichte Bestände verringern die Rettichbildung, gute Tiefendurchwurzelung</t>
  </si>
  <si>
    <t>Leguminose, hohes Nachwuchsvermögen im Gemenge mit Gräsern bauen, gute Bienenweide - vermehrt eine Unterart des Rübenzystennematoden, eiweißreiches Grünfutter</t>
  </si>
  <si>
    <t>Insektenblütige Kulturart, meist abfrostend, fruchtfolgeneutral, sehr gute Durchwurzelung und guter Stickstoffspeicher</t>
  </si>
  <si>
    <t>Sandhafer/Rauhafer</t>
  </si>
  <si>
    <t xml:space="preserve">für feuchtere Böden und in rauen schattigen Lagen als Ersatz für Rotklee </t>
  </si>
  <si>
    <t>Leguminose, meist überwinternd - Anbau im Gemenge, Stickstoffsammler, gute Durchwurzelung des Bodens</t>
  </si>
  <si>
    <t>€/kg</t>
  </si>
  <si>
    <t>TL Rigol TR</t>
  </si>
  <si>
    <t>TL WarmSeason</t>
  </si>
  <si>
    <t>Phacelia, Öllein, Sonnenblume, Rauhafer, Ramtillkraut, Sorghum</t>
  </si>
  <si>
    <t>TL Beta Maxx TR</t>
  </si>
  <si>
    <t>Phacelia, Öllein, Rauhafer, Ramtillkraut, Felderbse, Sommerwicke, Serradella, Alexandrinerklee, Tiefenrettich, Abessinischer Kohl</t>
  </si>
  <si>
    <t>Abessinischer Kohl, Alexandrinerklee, Felderbse, Inkarnatklee, Öllein, Perserklee, Phacelia, Rotklee, Tiefenrettich, Schwedenklee, Ramtillkraut, Serradella, Sommerwicke, Sonnenblume, Sorghum, Weißklee, Winterwicke</t>
  </si>
  <si>
    <t>Phacelia, Öllein, Rauhafer, Ramtillkraut, Felderbse, Sommerwicke, Serradella, Alexandrinerklee, Blaue Lupine</t>
  </si>
  <si>
    <t>Öllein, Rauhafer, Perserklee, Ramtillkraut, Felderbse, Sommerwicke, Serradella, Alexandrinerklee, Blaue Lupine</t>
  </si>
  <si>
    <t>HR 135 Soja - Fit</t>
  </si>
  <si>
    <t>HR 136 Drahtwurm - Fit</t>
  </si>
  <si>
    <t>HR 155 Landsberger Gemenge</t>
  </si>
  <si>
    <t>HR 065 Wildacker mehrjährig</t>
  </si>
  <si>
    <t>Engl. Raygras, Timothe, Serradella, Malve, Weißklee, Perserklee, Luzerne, Inkarnatklee, Raps, Buchweizen, Herbstrüben, Markstammkohl, Ölrettich, Winterrübsen, Waldstaudenroggen, Pannonische Wicke, Kräutermischung</t>
  </si>
  <si>
    <t>Rau-Sandhafer, Meliorationsrettich, Ölrettich, Sareptasenf - Aussaat bis Mitte August - Absackung 20 kg</t>
  </si>
  <si>
    <t>AckerGrün Biodiversitätsmischung BlühmixPluss</t>
  </si>
  <si>
    <r>
      <t xml:space="preserve">Einjähriges (Westerw.)  Raygras, Bastardraygras, Alexandrinerklee, Persischer Klee - ÖAG-kontrollierte DIE SAAT Qualitätssaatgutmischung dh. </t>
    </r>
    <r>
      <rPr>
        <b/>
        <sz val="11"/>
        <rFont val="Arial"/>
        <family val="2"/>
      </rPr>
      <t xml:space="preserve">kontrolliert ampferfrei in 100 g </t>
    </r>
    <r>
      <rPr>
        <sz val="11"/>
        <rFont val="Arial"/>
        <family val="2"/>
      </rPr>
      <t xml:space="preserve">-  Absackung 10 kg </t>
    </r>
  </si>
  <si>
    <t>WILDBLUMENPLUSS 1KG</t>
  </si>
  <si>
    <t>WILDBLUMENPLUSS 5KG</t>
  </si>
  <si>
    <t>DIVERSITÄTSMISCHUNG ÖPUL 2023</t>
  </si>
  <si>
    <t>Fabafit</t>
  </si>
  <si>
    <t>Rapsfit</t>
  </si>
  <si>
    <t>BODENFIT</t>
  </si>
  <si>
    <t>FUTTERPROFI EI</t>
  </si>
  <si>
    <t>MULCHFIT</t>
  </si>
  <si>
    <t>NITROFIT</t>
  </si>
  <si>
    <t>WINTERFIT</t>
  </si>
  <si>
    <t>Pflanzenfamilie ausgewählt</t>
  </si>
  <si>
    <t>Doldenblütler</t>
  </si>
  <si>
    <t>Gänsefußgewächse</t>
  </si>
  <si>
    <t>Hanfgewächse</t>
  </si>
  <si>
    <t>Leingewächse</t>
  </si>
  <si>
    <t>Familien Drop Down</t>
  </si>
  <si>
    <t>▼</t>
  </si>
  <si>
    <r>
      <rPr>
        <u/>
        <sz val="12"/>
        <rFont val="Arial"/>
        <family val="2"/>
      </rPr>
      <t>ZURÜCK ZUM
BEGRÜNUNGSRECHNER</t>
    </r>
    <r>
      <rPr>
        <u/>
        <sz val="11"/>
        <rFont val="Arial"/>
        <family val="2"/>
      </rPr>
      <t xml:space="preserve">
</t>
    </r>
    <r>
      <rPr>
        <u/>
        <sz val="12"/>
        <rFont val="Arial"/>
        <family val="2"/>
      </rPr>
      <t>BIO</t>
    </r>
    <r>
      <rPr>
        <u/>
        <sz val="11"/>
        <rFont val="Arial"/>
        <family val="2"/>
      </rPr>
      <t xml:space="preserve">
</t>
    </r>
    <r>
      <rPr>
        <u/>
        <sz val="22"/>
        <rFont val="Arial"/>
        <family val="2"/>
      </rPr>
      <t>◄</t>
    </r>
  </si>
  <si>
    <r>
      <rPr>
        <u/>
        <sz val="22"/>
        <rFont val="Arial"/>
        <family val="2"/>
      </rPr>
      <t>◄</t>
    </r>
    <r>
      <rPr>
        <u/>
        <sz val="11"/>
        <rFont val="Arial"/>
        <family val="2"/>
      </rPr>
      <t xml:space="preserve">
</t>
    </r>
    <r>
      <rPr>
        <u/>
        <sz val="12"/>
        <rFont val="Arial"/>
        <family val="2"/>
      </rPr>
      <t>ZURÜCK ZUR
STARTSEITE /
BEDIENUNGSANLEITUNG</t>
    </r>
  </si>
  <si>
    <t>Drop Down JA Nein insektenblütig</t>
  </si>
  <si>
    <t>Ja</t>
  </si>
  <si>
    <t>Nein</t>
  </si>
  <si>
    <t>insektenblütig JA / NEIN:</t>
  </si>
  <si>
    <t>Familie ausgewählt</t>
  </si>
  <si>
    <t xml:space="preserve"> Kärntner Saatbau - Mischungen</t>
  </si>
  <si>
    <t>Bereich integrierte Produktion</t>
  </si>
  <si>
    <t>Bereich biologische Produktion</t>
  </si>
  <si>
    <r>
      <t xml:space="preserve">ZURÜCK ZUM
BEGRÜNUNGSRECHNER
integrierte Produktion
</t>
    </r>
    <r>
      <rPr>
        <u/>
        <sz val="22"/>
        <rFont val="Arial"/>
        <family val="2"/>
      </rPr>
      <t>◄</t>
    </r>
  </si>
  <si>
    <r>
      <t>Der Begrünungsrechner ist grob in die Bereiche</t>
    </r>
    <r>
      <rPr>
        <b/>
        <u/>
        <sz val="12"/>
        <color theme="1"/>
        <rFont val="Arial"/>
        <family val="2"/>
      </rPr>
      <t xml:space="preserve"> integrierte Produktion</t>
    </r>
    <r>
      <rPr>
        <sz val="12"/>
        <color theme="1"/>
        <rFont val="Arial"/>
        <family val="2"/>
      </rPr>
      <t>,</t>
    </r>
    <r>
      <rPr>
        <b/>
        <sz val="12"/>
        <color theme="1"/>
        <rFont val="Arial"/>
        <family val="2"/>
      </rPr>
      <t xml:space="preserve"> </t>
    </r>
    <r>
      <rPr>
        <b/>
        <u/>
        <sz val="12"/>
        <color theme="1"/>
        <rFont val="Arial"/>
        <family val="2"/>
      </rPr>
      <t>BIO</t>
    </r>
    <r>
      <rPr>
        <sz val="12"/>
        <color theme="1"/>
        <rFont val="Arial"/>
        <family val="2"/>
      </rPr>
      <t xml:space="preserve"> und den </t>
    </r>
    <r>
      <rPr>
        <b/>
        <u/>
        <sz val="12"/>
        <color theme="1"/>
        <rFont val="Arial"/>
        <family val="2"/>
      </rPr>
      <t>Informationsbereich</t>
    </r>
    <r>
      <rPr>
        <sz val="12"/>
        <color theme="1"/>
        <rFont val="Arial"/>
        <family val="2"/>
      </rPr>
      <t xml:space="preserve"> untergliedert.</t>
    </r>
  </si>
  <si>
    <r>
      <t xml:space="preserve">Dieser Bereich ist in die Tabellenblätter </t>
    </r>
    <r>
      <rPr>
        <b/>
        <u/>
        <sz val="11"/>
        <color theme="1"/>
        <rFont val="Arial"/>
        <family val="2"/>
      </rPr>
      <t>"Begr.-Rechner BIO"</t>
    </r>
    <r>
      <rPr>
        <sz val="11"/>
        <color theme="1"/>
        <rFont val="Arial"/>
        <family val="2"/>
      </rPr>
      <t xml:space="preserve"> und </t>
    </r>
    <r>
      <rPr>
        <b/>
        <u/>
        <sz val="11"/>
        <color theme="1"/>
        <rFont val="Arial"/>
        <family val="2"/>
      </rPr>
      <t>"Zusammenfasseung BIO"</t>
    </r>
    <r>
      <rPr>
        <sz val="11"/>
        <color theme="1"/>
        <rFont val="Arial"/>
        <family val="2"/>
      </rPr>
      <t xml:space="preserve"> unterteilt.</t>
    </r>
  </si>
  <si>
    <r>
      <t xml:space="preserve">Dieser Bereich ist in die Tabellenblätter </t>
    </r>
    <r>
      <rPr>
        <b/>
        <u/>
        <sz val="11"/>
        <color theme="1"/>
        <rFont val="Arial"/>
        <family val="2"/>
      </rPr>
      <t>"Begr.- Rechner int. Prod."</t>
    </r>
    <r>
      <rPr>
        <sz val="11"/>
        <color theme="1"/>
        <rFont val="Arial"/>
        <family val="2"/>
      </rPr>
      <t xml:space="preserve"> und "</t>
    </r>
    <r>
      <rPr>
        <b/>
        <u/>
        <sz val="11"/>
        <color theme="1"/>
        <rFont val="Arial"/>
        <family val="2"/>
      </rPr>
      <t>Zusammenfassung int. Prod."</t>
    </r>
    <r>
      <rPr>
        <sz val="11"/>
        <color theme="1"/>
        <rFont val="Arial"/>
        <family val="2"/>
      </rPr>
      <t xml:space="preserve"> unterteilt.</t>
    </r>
  </si>
  <si>
    <r>
      <t xml:space="preserve">Der Bereich </t>
    </r>
    <r>
      <rPr>
        <b/>
        <u/>
        <sz val="11"/>
        <color theme="1"/>
        <rFont val="Arial"/>
        <family val="2"/>
      </rPr>
      <t>BIO</t>
    </r>
    <r>
      <rPr>
        <sz val="11"/>
        <color theme="1"/>
        <rFont val="Arial"/>
        <family val="2"/>
      </rPr>
      <t xml:space="preserve"> enthält ausgewählte </t>
    </r>
    <r>
      <rPr>
        <b/>
        <sz val="11"/>
        <color theme="1"/>
        <rFont val="Arial"/>
        <family val="2"/>
      </rPr>
      <t>Einzelkulturen</t>
    </r>
    <r>
      <rPr>
        <b/>
        <sz val="11"/>
        <color theme="1"/>
        <rFont val="Arial"/>
        <family val="2"/>
      </rPr>
      <t>, welche für biologisch wirtschaftende Betriebe geeignet sind.</t>
    </r>
  </si>
  <si>
    <r>
      <t xml:space="preserve">Der Bereich integrierte Produktion enthält ausgewählte </t>
    </r>
    <r>
      <rPr>
        <b/>
        <sz val="11"/>
        <color theme="1"/>
        <rFont val="Arial"/>
        <family val="2"/>
      </rPr>
      <t>Einzelkulturen,</t>
    </r>
    <r>
      <rPr>
        <sz val="11"/>
        <color theme="1"/>
        <rFont val="Arial"/>
        <family val="2"/>
      </rPr>
      <t xml:space="preserve"> welche für den integriert wirtschaftenden landwirtschaftlichen Betrieb geeignet sind.</t>
    </r>
  </si>
  <si>
    <t>Der Bereich Zusammenfassung integrierte Produktion enthält eine Listung der im Begrünungsrechner ausgewählten Kulturen, den diesbezüglichen Saatgutmengen und Anteilen an der gesamten Mischung. Diese kann anschließend ausgedruckt werden.</t>
  </si>
  <si>
    <t>Zusammenfassung der gewählten Kulturen / Mischungen</t>
  </si>
  <si>
    <t>Begrünungen - Einzelkulturen</t>
  </si>
  <si>
    <t>Zur Biofumigation geeignet, blattreich; gute Deckung und Äsung für Wild, anspruchslos</t>
  </si>
  <si>
    <t>Leguminose, einjährig für Gründüngung; Reinsaatmenge: 160-180 kg/ha</t>
  </si>
  <si>
    <r>
      <t xml:space="preserve">Buchweizen </t>
    </r>
    <r>
      <rPr>
        <b/>
        <sz val="12"/>
        <rFont val="Arial"/>
        <family val="2"/>
      </rPr>
      <t>BIO</t>
    </r>
  </si>
  <si>
    <t xml:space="preserve">schnellwüchsig - Ca. 6-8 Wochen nach der Aussaat schnittreif,sehr hoher Futterertrag; hoher Energiegehalt und gut silierbar, nematodenneutral; bei Nutzung vor Beginn des Ährenschiebens (einjährig); ideal im Gemenge mit Alexandrinerklee und/oder Persischem Klee. </t>
  </si>
  <si>
    <t>Englisches Raygras (Deutsches Weidelgras)</t>
  </si>
  <si>
    <t>Ausdauerndste Form der Raygräser, mehrjährig, kein Sklerotiniaüberträger, 
intensive Durchwurzelung der oberen Bodenschicht;
Preis sortenabhängig - Unterscheidung früher und später Sorten, Ampferfreiheit des Saatgutes etc.</t>
  </si>
  <si>
    <t>120 - 160</t>
  </si>
  <si>
    <r>
      <t xml:space="preserve">Hirse </t>
    </r>
    <r>
      <rPr>
        <b/>
        <sz val="12"/>
        <rFont val="Arial"/>
        <family val="2"/>
      </rPr>
      <t>BIO</t>
    </r>
    <r>
      <rPr>
        <sz val="12"/>
        <rFont val="Arial"/>
        <family val="2"/>
      </rPr>
      <t xml:space="preserve"> </t>
    </r>
  </si>
  <si>
    <t>Leguminose, spätsaatverträglich, raschwüchsig, gute Unkrautunterdrückung, gute Vorfruchtwirkung, guter Mischungspartner in überwinternden Begrünungen, 
mit sich selbst nicht gut verträglich, Anbaupausen 5 - 6 Jahre, meist überwinternd</t>
  </si>
  <si>
    <t>Italienisches Raygras (Welsches Weidelgras)</t>
  </si>
  <si>
    <r>
      <t xml:space="preserve">Italienisches Raygras </t>
    </r>
    <r>
      <rPr>
        <b/>
        <sz val="12"/>
        <rFont val="Arial"/>
        <family val="2"/>
      </rPr>
      <t>BIO</t>
    </r>
  </si>
  <si>
    <t>Kresse</t>
  </si>
  <si>
    <t>Kreuzblütler - Fruchtfolge beachten, im Gemenge anbauen, Wirtspflanze von Rübenzystennematoden</t>
  </si>
  <si>
    <t>6 - 10</t>
  </si>
  <si>
    <t>9 - 10</t>
  </si>
  <si>
    <t>264 - 352</t>
  </si>
  <si>
    <t>396 - 528</t>
  </si>
  <si>
    <t>Senf nematodenresistent / nematodenhemmend</t>
  </si>
  <si>
    <t>328 - 426,4</t>
  </si>
  <si>
    <t>Spitzwegerich</t>
  </si>
  <si>
    <r>
      <t xml:space="preserve">Waldstaudenroggen </t>
    </r>
    <r>
      <rPr>
        <b/>
        <sz val="12"/>
        <rFont val="Arial"/>
        <family val="2"/>
      </rPr>
      <t>"SLK"</t>
    </r>
  </si>
  <si>
    <r>
      <t xml:space="preserve">Waldstaudenroggen </t>
    </r>
    <r>
      <rPr>
        <b/>
        <sz val="12"/>
        <rFont val="Arial"/>
        <family val="2"/>
      </rPr>
      <t>BIO "SLK"</t>
    </r>
  </si>
  <si>
    <t>Winterfuttererbse</t>
  </si>
  <si>
    <t>120 - 150</t>
  </si>
  <si>
    <r>
      <t xml:space="preserve">Winterfuttererbse </t>
    </r>
    <r>
      <rPr>
        <b/>
        <sz val="12"/>
        <rFont val="Arial"/>
        <family val="2"/>
      </rPr>
      <t>BIO</t>
    </r>
  </si>
  <si>
    <t>Winterrübse</t>
  </si>
  <si>
    <t>Zichorie</t>
  </si>
  <si>
    <t>Zwerghirse</t>
  </si>
  <si>
    <t>intensives Wurzelwachstum; klimafit - wetterfest; sicher abfrostend; einzigartige Mulchauflage im Frühjahr</t>
  </si>
  <si>
    <t>€/kg*</t>
  </si>
  <si>
    <t>€/ha*</t>
  </si>
  <si>
    <t>Zusammensetzung der Begrünungsmischungen / Anmerkungen</t>
  </si>
  <si>
    <t>HR 134 Ackeruntersaat</t>
  </si>
  <si>
    <t>Westerw. Raygras, Weißklee, Ital. Raygras</t>
  </si>
  <si>
    <t>Gartenkresse, Ramtillkraut, Sareptasenf, Winterrübsen, Phazelie, Ölrettich, Sandhafer, Buchweizen</t>
  </si>
  <si>
    <t>Perserklee, Ringelblume, Sandhafer, Alexandrinerklee, Ölrettich nem., Gelbsenf nem., Studentenblume</t>
  </si>
  <si>
    <t>Gartenkresse, Meliorationsrettich, Buchweizen, Ölrettich, Gelbsenf, Phazelie, Inkarnatklee</t>
  </si>
  <si>
    <t>Gartenkresse, Ramtillkraut, Gelbsenf, Alexandrinerklee, Buchweizen, Phazelie</t>
  </si>
  <si>
    <t>Ölrettich nem., Gelbsenf nem. Ramtillkraut, Phazelie, Alexandrinerklee</t>
  </si>
  <si>
    <t>Gartenkresse, Leindotter, Buchweizen, Ölrettich, Phazelie</t>
  </si>
  <si>
    <t>Ramtillkraut, Alexandrinerklee, Ölrettich, Inkarnatklee, Phazelie</t>
  </si>
  <si>
    <t>HR 144 Gründecke Neutral IBM/Bienen</t>
  </si>
  <si>
    <t>HR 145 Gründecke Vital IBM/Bienen</t>
  </si>
  <si>
    <t>HR 146 Gründecke Plus IBM/Bienen</t>
  </si>
  <si>
    <t>HR 147 Rapsuntersaat</t>
  </si>
  <si>
    <t>Esparsette, Luzerne, Buchweizen, Ölrettich, Rotschwingel, Sonnenblume, Phazelie, Hornklee, Wegwarte, Weißklee, Kl. Wiesenknopf, Kornblume, Schafgarbe, Spitzwegerich, Fenchel, Leindotter, Malve, Ringelblume, Saflor</t>
  </si>
  <si>
    <t xml:space="preserve">€/kg oder Pkg. </t>
  </si>
  <si>
    <t>AckerGrün Begrünungsmischung AquaPluss früh</t>
  </si>
  <si>
    <r>
      <t xml:space="preserve">AckerGrün Begrünungsmischung BioPluss </t>
    </r>
    <r>
      <rPr>
        <b/>
        <sz val="12"/>
        <rFont val="Arial"/>
        <family val="2"/>
      </rPr>
      <t>BIO</t>
    </r>
  </si>
  <si>
    <t xml:space="preserve">Buchweizen, Phazelie, Alexandrinerklee - Aussaat bis Mitte August - Absackung 25 kg </t>
  </si>
  <si>
    <t xml:space="preserve">AckerGrün Begrünungsmischung BodenPluss  </t>
  </si>
  <si>
    <t xml:space="preserve">AckerGrün Begrünungsmischung ÖpulPluss </t>
  </si>
  <si>
    <t xml:space="preserve">Alexandrinerklee, Ölrettich, Pazelie, Senf, Sommerwicke, Kresse, Leindotter - Aussaat bis Ende August - Absackung 20 kg </t>
  </si>
  <si>
    <r>
      <t xml:space="preserve">AckerGrün Begrünungsmischung ÖpulPluss </t>
    </r>
    <r>
      <rPr>
        <b/>
        <sz val="12"/>
        <rFont val="Arial"/>
        <family val="2"/>
      </rPr>
      <t>BIO</t>
    </r>
  </si>
  <si>
    <r>
      <t xml:space="preserve">AckerGrün WeingartenPluss  </t>
    </r>
    <r>
      <rPr>
        <b/>
        <sz val="12"/>
        <rFont val="Arial"/>
        <family val="2"/>
      </rPr>
      <t>BIO</t>
    </r>
  </si>
  <si>
    <t>AckerGrün Obst &amp; Wein Pluss</t>
  </si>
  <si>
    <r>
      <t xml:space="preserve">AckerGrün Leguminosengemenge </t>
    </r>
    <r>
      <rPr>
        <b/>
        <sz val="12"/>
        <rFont val="Arial"/>
        <family val="2"/>
      </rPr>
      <t>BIO</t>
    </r>
  </si>
  <si>
    <t>17 insektenblütige Kulturarten - große  Artenvielfalt und lockt somit zahlreiche Insekten an - geeignet als Bienentrachtbrache - Aussaat bis Mitte August - Absackung  10 kg</t>
  </si>
  <si>
    <t>AckerGrün RapsuntersaatPluss</t>
  </si>
  <si>
    <t>AckerGrün Wickroggen Gemenge</t>
  </si>
  <si>
    <r>
      <t xml:space="preserve">AckerGrün Wickroggen Gemenge </t>
    </r>
    <r>
      <rPr>
        <b/>
        <sz val="12"/>
        <rFont val="Arial"/>
        <family val="2"/>
      </rPr>
      <t>BIO</t>
    </r>
  </si>
  <si>
    <t>AckerGrün Wicktriticale Gemenge</t>
  </si>
  <si>
    <r>
      <t xml:space="preserve">AckerGrün Wicktriticale Gemenge </t>
    </r>
    <r>
      <rPr>
        <b/>
        <sz val="12"/>
        <rFont val="Arial"/>
        <family val="2"/>
      </rPr>
      <t>BIO</t>
    </r>
  </si>
  <si>
    <r>
      <t xml:space="preserve">WiesenGrün Landsberger Gemenge </t>
    </r>
    <r>
      <rPr>
        <b/>
        <sz val="12"/>
        <rFont val="Arial"/>
        <family val="2"/>
      </rPr>
      <t xml:space="preserve">BIO </t>
    </r>
    <r>
      <rPr>
        <sz val="12"/>
        <rFont val="Arial"/>
        <family val="2"/>
      </rPr>
      <t>ST 1</t>
    </r>
  </si>
  <si>
    <t>WiesenGrün Eins. Kleegras ST16</t>
  </si>
  <si>
    <t>30 - 35</t>
  </si>
  <si>
    <t>Habitat - Bündnis pro NW</t>
  </si>
  <si>
    <t>35 - 40</t>
  </si>
  <si>
    <t>20 - 40</t>
  </si>
  <si>
    <t>RAPSO-BLÜHMISCHUNG</t>
  </si>
  <si>
    <t>REGIO-DIV ACKER</t>
  </si>
  <si>
    <t>REGIO-DIV GRÜNLAND</t>
  </si>
  <si>
    <t xml:space="preserve">BIODIVERSITÄTSMISCHUNG ÖPUL 2023 </t>
  </si>
  <si>
    <t>FABAFIT</t>
  </si>
  <si>
    <t>Aufwandmenge</t>
  </si>
  <si>
    <t>€/Pkg</t>
  </si>
  <si>
    <t>Anmerkung</t>
  </si>
  <si>
    <t>Luzerne-Impfstoff</t>
  </si>
  <si>
    <t xml:space="preserve">1 Pkg. für 25 kg Saatgut </t>
  </si>
  <si>
    <r>
      <rPr>
        <b/>
        <sz val="12"/>
        <rFont val="Arial"/>
        <family val="2"/>
      </rPr>
      <t>ReNatura BD 3</t>
    </r>
    <r>
      <rPr>
        <sz val="12"/>
        <rFont val="Arial"/>
        <family val="2"/>
      </rPr>
      <t xml:space="preserve"> Biodiversitätsmischung  Universal (herkunfszertifiziert nach G-Zert)</t>
    </r>
  </si>
  <si>
    <r>
      <rPr>
        <b/>
        <u/>
        <sz val="12"/>
        <rFont val="Arial"/>
        <family val="2"/>
      </rPr>
      <t>Regionale Blühmischung:</t>
    </r>
    <r>
      <rPr>
        <sz val="12"/>
        <rFont val="Arial"/>
        <family val="2"/>
      </rPr>
      <t xml:space="preserve">
</t>
    </r>
    <r>
      <rPr>
        <b/>
        <sz val="12"/>
        <rFont val="Arial"/>
        <family val="2"/>
      </rPr>
      <t>ReNatura BD 1</t>
    </r>
    <r>
      <rPr>
        <sz val="12"/>
        <rFont val="Arial"/>
        <family val="2"/>
      </rPr>
      <t xml:space="preserve"> Biodiversitätsmischung für Grünland  (herkunfszertifiziert nach G-Zert)</t>
    </r>
  </si>
  <si>
    <r>
      <rPr>
        <b/>
        <u/>
        <sz val="12"/>
        <rFont val="Arial"/>
        <family val="2"/>
      </rPr>
      <t>Regionale Blühmischung:</t>
    </r>
    <r>
      <rPr>
        <sz val="12"/>
        <rFont val="Arial"/>
        <family val="2"/>
      </rPr>
      <t xml:space="preserve">
</t>
    </r>
    <r>
      <rPr>
        <b/>
        <sz val="12"/>
        <rFont val="Arial"/>
        <family val="2"/>
      </rPr>
      <t>ReNatura BD 2</t>
    </r>
    <r>
      <rPr>
        <sz val="12"/>
        <rFont val="Arial"/>
        <family val="2"/>
      </rPr>
      <t xml:space="preserve"> Biodiversitätsmischung für Acker  (herkunfszertifiziert nach G-Zert)</t>
    </r>
  </si>
  <si>
    <t>Kulturarten, Sorten, Saatgutmischungen und Preise stellen Orientierungshilfen dar - ohne Gewähr auf dauernde Verfügbarkeit.</t>
  </si>
  <si>
    <r>
      <t xml:space="preserve">Sofern nicht anders angeführt stellen die Angaben € / kg oder Packung unverbindlich empfohlene </t>
    </r>
    <r>
      <rPr>
        <b/>
        <sz val="11"/>
        <rFont val="Arial"/>
        <family val="2"/>
      </rPr>
      <t>Verkaufspreise inkl. MwSt., exkl. Fracht dar</t>
    </r>
    <r>
      <rPr>
        <sz val="11"/>
        <rFont val="Arial"/>
        <family val="2"/>
      </rPr>
      <t xml:space="preserve">  - Änderungen und  Irrtum vorbehalten.</t>
    </r>
  </si>
  <si>
    <t>Wegerichgewächse</t>
  </si>
  <si>
    <t>Waldstaudenroggen "SLK"</t>
  </si>
  <si>
    <r>
      <t xml:space="preserve">Durch einen KLICK auf diesen Link </t>
    </r>
    <r>
      <rPr>
        <u/>
        <sz val="20"/>
        <rFont val="Arial"/>
        <family val="2"/>
      </rPr>
      <t>►</t>
    </r>
    <r>
      <rPr>
        <u/>
        <sz val="12"/>
        <rFont val="Arial"/>
        <family val="2"/>
      </rPr>
      <t xml:space="preserve"> gelangen Sie zur Begrünungsliste</t>
    </r>
  </si>
  <si>
    <t>Var 6 konform:</t>
  </si>
  <si>
    <t>Kosten
je ha
 in €</t>
  </si>
  <si>
    <t>Drop  Down JA Nein Var. 6</t>
  </si>
  <si>
    <t>Pannonische Wicke</t>
  </si>
  <si>
    <t>Winterackerbohne</t>
  </si>
  <si>
    <t>Wintererbse</t>
  </si>
  <si>
    <t>Var 6</t>
  </si>
  <si>
    <t>Anzahl Pflanzenfamilien</t>
  </si>
  <si>
    <t>geeignet für ÖPUL Begrünungsvarianten gem. ÖPUL 2023</t>
  </si>
  <si>
    <t>relativer Leguminosenanteil:</t>
  </si>
  <si>
    <t>Variante 7</t>
  </si>
  <si>
    <t>Jahr 2024</t>
  </si>
  <si>
    <t>Liste der Begrünungen</t>
  </si>
  <si>
    <r>
      <rPr>
        <b/>
        <sz val="14"/>
        <rFont val="Arial"/>
        <family val="2"/>
      </rPr>
      <t xml:space="preserve">€/kg 
</t>
    </r>
    <r>
      <rPr>
        <sz val="14"/>
        <rFont val="Arial"/>
        <family val="2"/>
      </rPr>
      <t xml:space="preserve">(oder Pkg.) </t>
    </r>
  </si>
  <si>
    <t>4,34* - 5,46</t>
  </si>
  <si>
    <t>108,5 - 163,8</t>
  </si>
  <si>
    <t>Leguminose, hohes Nachwuchsvermögen im Gemenge mit Gräsern bauen - gute Bienenweide, gleichmäßige Bodendurchwurzelung und eine tiefreichende Hauptwurzel schließen den Boden sehr gut auf, meist abfrostend; bei Futternutzung: zu Beginn der Blüte erzielt man größte Energiedichte und Verdaulichkeit - eiweißreiches Grünfutter</t>
  </si>
  <si>
    <t>5,65 - 5,67</t>
  </si>
  <si>
    <t>141,3 - 170,1</t>
  </si>
  <si>
    <t>2,55* - 3,22</t>
  </si>
  <si>
    <t>63,8 - 96,6</t>
  </si>
  <si>
    <r>
      <t xml:space="preserve">Bastarsraygras </t>
    </r>
    <r>
      <rPr>
        <b/>
        <sz val="12"/>
        <rFont val="Arial"/>
        <family val="2"/>
      </rPr>
      <t>BIO</t>
    </r>
  </si>
  <si>
    <t>91,8 - 110,1</t>
  </si>
  <si>
    <t>160 - 180</t>
  </si>
  <si>
    <t>260,8 - 293,4</t>
  </si>
  <si>
    <t>Buchweizen - Handelsware</t>
  </si>
  <si>
    <t>1,63 - 1,87</t>
  </si>
  <si>
    <t>97,8 - 149,6</t>
  </si>
  <si>
    <r>
      <t>Buchweizen "</t>
    </r>
    <r>
      <rPr>
        <b/>
        <sz val="12"/>
        <color theme="1"/>
        <rFont val="Arial"/>
        <family val="2"/>
      </rPr>
      <t>SLK"</t>
    </r>
  </si>
  <si>
    <t>1,87 - 2,15</t>
  </si>
  <si>
    <t>112,2 - 172</t>
  </si>
  <si>
    <r>
      <t xml:space="preserve">Buchweizen Handelsware </t>
    </r>
    <r>
      <rPr>
        <b/>
        <sz val="12"/>
        <color theme="1"/>
        <rFont val="Arial"/>
        <family val="2"/>
      </rPr>
      <t>BIO</t>
    </r>
  </si>
  <si>
    <t>2,55 - 2,7</t>
  </si>
  <si>
    <t>153 - 216</t>
  </si>
  <si>
    <r>
      <t xml:space="preserve">Buchweizen </t>
    </r>
    <r>
      <rPr>
        <b/>
        <sz val="12"/>
        <color theme="1"/>
        <rFont val="Arial"/>
        <family val="2"/>
      </rPr>
      <t>BIO</t>
    </r>
    <r>
      <rPr>
        <sz val="12"/>
        <color theme="1"/>
        <rFont val="Arial"/>
        <family val="2"/>
      </rPr>
      <t xml:space="preserve"> "</t>
    </r>
    <r>
      <rPr>
        <b/>
        <sz val="12"/>
        <color theme="1"/>
        <rFont val="Arial"/>
        <family val="2"/>
      </rPr>
      <t>SLK"</t>
    </r>
  </si>
  <si>
    <t>2,87 - 2,97</t>
  </si>
  <si>
    <t>172,2 - 237,6</t>
  </si>
  <si>
    <t>2,2* - 3,12</t>
  </si>
  <si>
    <t>88 - 124,8</t>
  </si>
  <si>
    <t>2,98* - 3,37</t>
  </si>
  <si>
    <t>74,5 - 101,1</t>
  </si>
  <si>
    <r>
      <t xml:space="preserve">Esparsette </t>
    </r>
    <r>
      <rPr>
        <b/>
        <sz val="12"/>
        <rFont val="Arial"/>
        <family val="2"/>
      </rPr>
      <t>BIO</t>
    </r>
  </si>
  <si>
    <t>1,21 - 1,60</t>
  </si>
  <si>
    <t>145,2 - 256</t>
  </si>
  <si>
    <t>Leguminose, braucht weniger Keimwasser als Körnererbse - Anbau mit Stützfrucht, eiweißreiches Futter
Empfohlene Reinsaatdichten schwanken je Anbieter zwischen 120 und 160 (180) kg /ha (angeführte ha Preise ergeben sich daher aus Einzelempfehlungen der Saatgutunternehmen)</t>
  </si>
  <si>
    <r>
      <t>Futtererbse</t>
    </r>
    <r>
      <rPr>
        <b/>
        <sz val="12"/>
        <rFont val="Arial"/>
        <family val="2"/>
      </rPr>
      <t xml:space="preserve"> BIO</t>
    </r>
  </si>
  <si>
    <t>1,49 - 1,75</t>
  </si>
  <si>
    <t>178,8 - 280</t>
  </si>
  <si>
    <t>39,9 - 66,5</t>
  </si>
  <si>
    <t>Gutes Futter, speziell für Wild sehr gut geeignet; hohe Winterfestigkeit, aber nicht mehrjährig; Absackung in 1  kg und 25 kg Gebinde</t>
  </si>
  <si>
    <t>6,61* - 9,85</t>
  </si>
  <si>
    <t>198,3 - 295,5</t>
  </si>
  <si>
    <t>1,7*</t>
  </si>
  <si>
    <t>153 - 255</t>
  </si>
  <si>
    <t xml:space="preserve">spätsaatverträglich, sehr gutes  Durchwurzelungsvermögen </t>
  </si>
  <si>
    <t>Hanf</t>
  </si>
  <si>
    <t>305,4 - 407,2</t>
  </si>
  <si>
    <t>30 - 40 kg/ha, THC frei, Eignung auch für Speisezwecke</t>
  </si>
  <si>
    <r>
      <t xml:space="preserve">Hanf </t>
    </r>
    <r>
      <rPr>
        <b/>
        <sz val="12"/>
        <rFont val="Arial"/>
        <family val="2"/>
      </rPr>
      <t xml:space="preserve">BIO </t>
    </r>
  </si>
  <si>
    <t>365,4 - 487,2</t>
  </si>
  <si>
    <t>1 - 2kg/ha; länglich flach, im Boden sitzendweiß mit violettem Kopf</t>
  </si>
  <si>
    <t xml:space="preserve">Gelbes, großfallendes Korn, mittelfrühe Reife , TKM 8 - 15 g </t>
  </si>
  <si>
    <r>
      <t>Hirse</t>
    </r>
    <r>
      <rPr>
        <b/>
        <sz val="12"/>
        <color rgb="FFFF0000"/>
        <rFont val="Arial"/>
        <family val="2"/>
      </rPr>
      <t xml:space="preserve"> </t>
    </r>
    <r>
      <rPr>
        <b/>
        <sz val="12"/>
        <rFont val="Arial"/>
        <family val="2"/>
      </rPr>
      <t xml:space="preserve">BIO </t>
    </r>
  </si>
  <si>
    <t>16,13* - 18,80</t>
  </si>
  <si>
    <t>322,6 - 376</t>
  </si>
  <si>
    <t>Leguminose, auch für trockene Lagen und schlechte Böden geeignet, niedriger Wuchs und sehr ausdauernd - nur im Gemenge sinnvoll</t>
  </si>
  <si>
    <r>
      <t xml:space="preserve">Hornklee </t>
    </r>
    <r>
      <rPr>
        <b/>
        <sz val="12"/>
        <rFont val="Arial"/>
        <family val="2"/>
      </rPr>
      <t>BIO</t>
    </r>
  </si>
  <si>
    <t>2,97* - 3,45</t>
  </si>
  <si>
    <t>89,1 - 103,5</t>
  </si>
  <si>
    <t>3,96 - 4,99</t>
  </si>
  <si>
    <t>118,8 - 149,7</t>
  </si>
  <si>
    <t xml:space="preserve">Italienisches Raygras  (Welsches Weidelgras) </t>
  </si>
  <si>
    <t>2,63 - 2,80</t>
  </si>
  <si>
    <t>105,2 - 112</t>
  </si>
  <si>
    <t>Kresse Einfache</t>
  </si>
  <si>
    <r>
      <t xml:space="preserve">Kresse Einfache </t>
    </r>
    <r>
      <rPr>
        <b/>
        <sz val="12"/>
        <rFont val="Arial"/>
        <family val="2"/>
      </rPr>
      <t>BIO</t>
    </r>
  </si>
  <si>
    <t>200,5 - 300,8</t>
  </si>
  <si>
    <t>10 - 15 kg/ha; anspruchslos, tiefwurzelnd</t>
  </si>
  <si>
    <t>2,76* - 6,93</t>
  </si>
  <si>
    <t>16,6 - 69,3</t>
  </si>
  <si>
    <t>langsame Jugendentwicklung, feines Wurzelwerk, Fruchtfolge beachten: nicht selbstverträglich und nicht vor oder nach Kreuzblütlern anbauen; Preise je ha auf Basis der Saatgutmenge je ha laut Angabe der Saatgutunternehmen - Daher breite Streuung</t>
  </si>
  <si>
    <t>8,47 - 9,26</t>
  </si>
  <si>
    <t>50,8 - 92,6</t>
  </si>
  <si>
    <t>Linse</t>
  </si>
  <si>
    <t>80 - 100</t>
  </si>
  <si>
    <t>5,01 - 6,01</t>
  </si>
  <si>
    <t>400,8 - 601</t>
  </si>
  <si>
    <t>80 - 100 kg/ha; Sorte Klaus:großkörnige Tellerlinse mit grünlich, brauner Kornfarbe; hochwüchsiger Pflanzentyp; 
Sorte Red Flash:großsamig, braun, für Speisezwecke geeignet, zum Zwischenfruchtanbau im Gemenge</t>
  </si>
  <si>
    <r>
      <t xml:space="preserve">Linse </t>
    </r>
    <r>
      <rPr>
        <b/>
        <sz val="12"/>
        <rFont val="Arial"/>
        <family val="2"/>
      </rPr>
      <t>BIO</t>
    </r>
  </si>
  <si>
    <t>424,8 - 531</t>
  </si>
  <si>
    <t>6,7* - 9,11</t>
  </si>
  <si>
    <t>167,5 - 227,8</t>
  </si>
  <si>
    <t>"Königin der Futterpflanzen", Wertvolle Futterleguminose mit hohem Eiweißgehalt für wärmere, niederschlagsärmere Gebiete, kalkhaltige, tiefgründige Böden werden bevorzugt, pH -Wert um 6,5 ist erforderlich, verträgt keine stauende Nässe, Preise je ha von Sorte und Qualität abhängig; Abhängig vom Saatgutanbieter ist das Saatgut vor der Saat zu inokulieren.</t>
  </si>
  <si>
    <t>8,93 - 10,53</t>
  </si>
  <si>
    <t>223,3 - 263,3</t>
  </si>
  <si>
    <t>6,9 - 8,7</t>
  </si>
  <si>
    <t>41,4 - 69,6</t>
  </si>
  <si>
    <t>54,9 - 73,2</t>
  </si>
  <si>
    <t>2,97* - 4,18</t>
  </si>
  <si>
    <t>26,7 - 41,8</t>
  </si>
  <si>
    <t>gut abfrostend bzw. frostempfindlich, trockenheitsverträglich, geeignet für Mulchsaat, rasche Jugendentwicklung; Fruchtfolge beachten: als Korbblütler mit der Sonnenblume verwandt, Vermehrungspotential für Sclerotinia</t>
  </si>
  <si>
    <t>2,76* - 3,28</t>
  </si>
  <si>
    <t>55,2 - 65,6</t>
  </si>
  <si>
    <t>3,44 - 4,43</t>
  </si>
  <si>
    <t>68,8 - 88,6</t>
  </si>
  <si>
    <t>3,29* - 3,73</t>
  </si>
  <si>
    <t>65,8 - 93,3</t>
  </si>
  <si>
    <t>Anbau bis Mitte August, um optimale Nematodenbekämpfung zu gewährleisten.
Preise je ha auf Basis der empfohlenen Saatgutmenge je ha laut Angabe der Saatgutunternehmen</t>
  </si>
  <si>
    <t>Persicher Klee</t>
  </si>
  <si>
    <t>5,1* - 7,36</t>
  </si>
  <si>
    <t>102 - 147,2</t>
  </si>
  <si>
    <r>
      <t xml:space="preserve">Persicher Klee </t>
    </r>
    <r>
      <rPr>
        <b/>
        <sz val="12"/>
        <rFont val="Arial"/>
        <family val="2"/>
      </rPr>
      <t>BIO</t>
    </r>
  </si>
  <si>
    <t>10 - 12</t>
  </si>
  <si>
    <t>4,36 - 4,9</t>
  </si>
  <si>
    <t>43,6 - 58,8</t>
  </si>
  <si>
    <t>6,22 - 7,22</t>
  </si>
  <si>
    <t>62,2 - 86,6</t>
  </si>
  <si>
    <t>hohe N-Bindung, daher nur in Mischungen verwenden!, trockenheitsverträglich, sobald wie möglich anbauen (Juli), Sorte MONI ist buntblühend; durch Neurotoxin insektizide Wirkung</t>
  </si>
  <si>
    <t>12,8* - 27,02</t>
  </si>
  <si>
    <t>128 - 405,3</t>
  </si>
  <si>
    <t>7,80 - 8,16</t>
  </si>
  <si>
    <t>156 - 204</t>
  </si>
  <si>
    <t>wertvolle, eiweißreiche Futterleguminose, für kühlere und feuchte Lagen, überwinternd - qualitativ und quantitativ sehr gute Erträge. Durch Symbiose mit Knöllchenbakterien ist er als Bodenverbesserer und als Vorfrucht für andere Kulturpflanzen sehr gut geeignet</t>
  </si>
  <si>
    <t>8,59 - 10,52</t>
  </si>
  <si>
    <t>171,8 - 263</t>
  </si>
  <si>
    <t>110 - 180</t>
  </si>
  <si>
    <t>234,3 - 383,4</t>
  </si>
  <si>
    <t xml:space="preserve">110 - 180 kg/ha in Reinsaat; Leguminose, rasche Jugendentwicklung, bessere Durchwurzelung als Futtererbse - kurzwüchsig, für trockene Standorte bestens geeignet  </t>
  </si>
  <si>
    <t>242 - 396</t>
  </si>
  <si>
    <t>277 - 360,1</t>
  </si>
  <si>
    <t>5,39 - 5,64</t>
  </si>
  <si>
    <t>161,7 - 169,2</t>
  </si>
  <si>
    <t>Korbblütler, Tiefwurzler, frostet sicher ab, optimal zur Aufwertung vieler Zwischenfruchtmischungen, 
Saattiefe 2 - 3 cm</t>
  </si>
  <si>
    <t>Sand-Rauhafer</t>
  </si>
  <si>
    <t>80 - 120</t>
  </si>
  <si>
    <t>201,6 - 302,4</t>
  </si>
  <si>
    <t xml:space="preserve">Saattiefe 2 - 4 cm, bei starkem Unkrautdruck und sehr leichten Böden die höhere Aussaatstärke wählen.  Saatzeit April - September - zur Bekämpfung von Pratylenchus penetrans (Wurzelläsionsälchen)  keine Vermehrung von Trichodoriden (Überträger der Eisenfleckigkeit);
für alle Bodenarten geeignet, auch für sandige und saure Böden; Nutzung zur Silage, Viehfütterung und Biogas möglich. </t>
  </si>
  <si>
    <t>6,61* - 9,73</t>
  </si>
  <si>
    <t>132,2 - 194,6</t>
  </si>
  <si>
    <t>Sareptasenf, geringe Blühneigung und hohes Blattbildungsvermögen. Bodenstrukturverbesserung durch kräftiges, tiefreichendes Wurzelwerk</t>
  </si>
  <si>
    <t>2,07 - 2,81</t>
  </si>
  <si>
    <t>20,7 - 56,2</t>
  </si>
  <si>
    <t>Kreuzblütler, schnelle Bodenbedeckung daher gute Unkrautunterdrückung, zur Mulchsaat geeignet, später Anbau von Vorteil um nicht in Blüte zu gehen, Aussaatstärke 10 - 20 kg</t>
  </si>
  <si>
    <t>2,86 - 3,12</t>
  </si>
  <si>
    <t>28,6 - 62,4</t>
  </si>
  <si>
    <t>2,98* - 3,63</t>
  </si>
  <si>
    <t>59,6 - 72,6</t>
  </si>
  <si>
    <t>Kreuzblütler, nematodenresistent bei rechtzeitigem Anbau - ideal bei Zuckerrübenfruchtfolge, schnelle Jugendentwicklung, Aussaatstärke: 20 - 25 kg</t>
  </si>
  <si>
    <t>2,71 - 2,86</t>
  </si>
  <si>
    <t>27,1 - 57,2</t>
  </si>
  <si>
    <t>Kreuzblütler, Schnitt vor Blütenbildung, rasche Keimung, hohe Blattmasse für Schnittnutzung, nährstoffreiches Futter; Aussaatstärke bei Futternutzung 10 kg/ha - Aussaat bei Schnittnutzung nicht vor Mitte August; Aussaatstärke bei Gründüngung 15 - 20 kg/ha</t>
  </si>
  <si>
    <t>mehrjährige, robuste und eine der calciumreichsten Kräuterpflanzen, trockenresistent</t>
  </si>
  <si>
    <t>Steinklee gelb</t>
  </si>
  <si>
    <t>4,64 - 5,66</t>
  </si>
  <si>
    <t>92,8 - 141,5</t>
  </si>
  <si>
    <t>Leguminose, 2-jährig, d.h. Blütenbildung erst im 2. Jahr - gute Durchwurzelung des Bodens, durchwurzelt auch verdichtete Böden, anspruchslose, kalkliebende Pflanze, gute Meliorationspflanze, gelber Steinklee ist anpassungsfähiger und trockenheitstoleranter - im Gemenge anbauen</t>
  </si>
  <si>
    <t>Steinklee weiß (Bokharaklee)</t>
  </si>
  <si>
    <t>2,85 - 2,99</t>
  </si>
  <si>
    <t>57 - 89,7</t>
  </si>
  <si>
    <t>hohes Nachwuchsvermögen - Nutzung als Grünfutter/Silage ab ca. 60 cm Wuchshöhe und vor Beginn des Rispenschiebens; Nutzung für Biogasproduktion möglich, Wildäcker, Preise in €/ha von der jeweiligen Empfehlung der Reinsaatmenge seitens Saatguthersteller abhängig</t>
  </si>
  <si>
    <t>75,4 - 113,1</t>
  </si>
  <si>
    <t>100 - 120</t>
  </si>
  <si>
    <t>197 - 236,4</t>
  </si>
  <si>
    <t>Bestockt stärker als Roggen, auch für ärmste Böden geeignet, gute Wildäsung, SLK</t>
  </si>
  <si>
    <t>266 - 319,2</t>
  </si>
  <si>
    <t>9,8* - 12,69</t>
  </si>
  <si>
    <t>117,6 - 151,2</t>
  </si>
  <si>
    <t>Geringe Boden- und Klimaansprüche aber lichtbedürftig , ausläufertreibend - Lückenfüller- Unterscheidung der Sorten in klein-mittel-großblättrig</t>
  </si>
  <si>
    <r>
      <t>Weißklee</t>
    </r>
    <r>
      <rPr>
        <b/>
        <sz val="12"/>
        <color theme="1"/>
        <rFont val="Arial"/>
        <family val="2"/>
      </rPr>
      <t xml:space="preserve"> BIO</t>
    </r>
  </si>
  <si>
    <t>284,8 - 356</t>
  </si>
  <si>
    <t>frühreif; hoher Proteinertrag; geringes Tausendkorngewicht: 100 – 130 g; gute Winterhärte</t>
  </si>
  <si>
    <t>297 - 371,3</t>
  </si>
  <si>
    <t>2,86 - 3,25</t>
  </si>
  <si>
    <t>28,6 - 48,8</t>
  </si>
  <si>
    <t>Kreuzblütler, geht im Aussaatjahr nicht in Blüte, bringt nährstoffreiches Futter; 
Saatstärke für Futternutzung: 10 kg/ha; Saatstärke für Gründüngung: 15 - 20kg/ha</t>
  </si>
  <si>
    <t>2,95* - 3,69</t>
  </si>
  <si>
    <t>29,5 - 55,4</t>
  </si>
  <si>
    <t>Kreuzblütler, raschwüchsig, mehrschnittig, gute Gülleverwertung, meist winterhart; spätsaatverträglich</t>
  </si>
  <si>
    <t>70 - 120</t>
  </si>
  <si>
    <t>2,46 - 3,03</t>
  </si>
  <si>
    <t>172,2 - 363,6</t>
  </si>
  <si>
    <t>2,62 - 3,42</t>
  </si>
  <si>
    <t>183,4 - 410,4</t>
  </si>
  <si>
    <t>mehrjährige, ausdauernde Kräuterart, die gesundheitsfördernde Stoffe enthält, gute Trockenheitsresistenz</t>
  </si>
  <si>
    <t>* gekennzeichnete Preise sind exkl. gesetzlicher Mwst.angeführt</t>
  </si>
  <si>
    <t>Agrana Mischungen</t>
  </si>
  <si>
    <t>BETA-FLORIN SH (Feuchtgebiet)</t>
  </si>
  <si>
    <r>
      <t xml:space="preserve">abgestimmt auf die Bedürfnisse der Zuckerrübe im Feuchtgebiet; 
</t>
    </r>
    <r>
      <rPr>
        <u/>
        <sz val="11"/>
        <color theme="1"/>
        <rFont val="Arial"/>
        <family val="2"/>
      </rPr>
      <t>Zusammensetzung:</t>
    </r>
    <r>
      <rPr>
        <sz val="11"/>
        <color theme="1"/>
        <rFont val="Arial"/>
        <family val="2"/>
      </rPr>
      <t xml:space="preserve"> Ölrettich, Saatwicke, Kresse, Sandhafer, Buchweizen, Phacelia, Ramtillkraut (Mungo); 
</t>
    </r>
    <r>
      <rPr>
        <u/>
        <sz val="11"/>
        <color theme="1"/>
        <rFont val="Arial"/>
        <family val="2"/>
      </rPr>
      <t>Anbauzeitpunkt:</t>
    </r>
    <r>
      <rPr>
        <sz val="11"/>
        <color theme="1"/>
        <rFont val="Arial"/>
        <family val="2"/>
      </rPr>
      <t xml:space="preserve"> Anfang August in ein gut vorbereitetes Saatbett; Packungseinheit: 25 kg = 1 ha</t>
    </r>
  </si>
  <si>
    <t>BETA-FLORIN TG PLUS (Trockengebiet)</t>
  </si>
  <si>
    <r>
      <t xml:space="preserve">Abgestimmt auf die Bedürfnisse der Zuckerrübe im Trockengebiet;
</t>
    </r>
    <r>
      <rPr>
        <u/>
        <sz val="11"/>
        <color theme="1"/>
        <rFont val="Arial"/>
        <family val="2"/>
      </rPr>
      <t>Zusammensetzung:</t>
    </r>
    <r>
      <rPr>
        <sz val="11"/>
        <color theme="1"/>
        <rFont val="Arial"/>
        <family val="2"/>
      </rPr>
      <t xml:space="preserve"> Ölrettich, Linse, Saatwicke, Kresse, Buchweizen, Phacelia, Ramtillkraut (Mungo);
</t>
    </r>
    <r>
      <rPr>
        <u/>
        <sz val="11"/>
        <color theme="1"/>
        <rFont val="Arial"/>
        <family val="2"/>
      </rPr>
      <t>Anbauzeitpunkt:</t>
    </r>
    <r>
      <rPr>
        <sz val="11"/>
        <color theme="1"/>
        <rFont val="Arial"/>
        <family val="2"/>
      </rPr>
      <t xml:space="preserve"> Anfang August in ein gut vorbereitetes Saatbett; Packungseinheit: 20 kg = 1 ha</t>
    </r>
  </si>
  <si>
    <t>* Preise exkl. gesetzlicher Mwst.</t>
  </si>
  <si>
    <t>Öllein, Ramtillkraut, Sorghum, Sommerwicke, Alexandrinerklee, Abessinischer Kohl, Felderbse</t>
  </si>
  <si>
    <t>TL CoolSeason</t>
  </si>
  <si>
    <t>Öllein, Rauhafer, Tiefenrettich, Abessinischer Kohl, Inkarnatklee, Leindotter, Winterfutterraps, Winterwicke, Winterroggen, Perserklee, Stoppelrüben</t>
  </si>
  <si>
    <t>Phacelia, Öllein, Sonnenblume, Rauhafer, Ramtillkraut, Sommerwicke, Tiefenrettich, Abessinischer Kohl, Leindotter, Felderbse, Alexandrinerklee, Sorghum</t>
  </si>
  <si>
    <t>TL MaisPro TR (Greening 50)</t>
  </si>
  <si>
    <t>TL Beta Maxx 50 (mit Lupine)</t>
  </si>
  <si>
    <t>TL N-Fixx</t>
  </si>
  <si>
    <t>Phacelia, Öllein, Sonnenblume, Ramtillkraut, Sorghum, Felderbse, Sommerwicke, Alexandrinerklee, Perserklee, Serradella</t>
  </si>
  <si>
    <t>TL AquaPro</t>
  </si>
  <si>
    <t>TL SolaRigol (mit Lupine)</t>
  </si>
  <si>
    <t>TL VitaMaxx TR (ohne Senf)</t>
  </si>
  <si>
    <t>Phacelia, Öllein, Rauhafer, Ramtillkraut, Tiefenrettich, Abessinischer Kohl, Leindotter, falscher Buchweizen, Weißer Senf</t>
  </si>
  <si>
    <t>TL FutterGreen einjährig</t>
  </si>
  <si>
    <t>Welsches Weidelgras, Inkarnatklee, Winterwicke, Rotklee, Bastard Weidelgras, Schwedenklee</t>
  </si>
  <si>
    <t>TL BioMax Bio</t>
  </si>
  <si>
    <t>Rauhafer, falscher Buchweizen, Sonnenblume, Phacelia, Leindotter, Weißer Senf, Ölrettich, Öllein, Sorghum</t>
  </si>
  <si>
    <t>TL AquaPro Bio</t>
  </si>
  <si>
    <t>Rauhafer, Phacelia, Öllein, Sonnenblume, Sorghum</t>
  </si>
  <si>
    <t>TL BetaMaxx Bio</t>
  </si>
  <si>
    <t>Felderbse, Sommerwicke, Blaue Lupine, Alexandrinerklee, Rauhafer, Phacelia</t>
  </si>
  <si>
    <t>TL Solanum Bio</t>
  </si>
  <si>
    <t>Felderbse, Sommerwicke, Serradella, Alexandrinerklee, Sparriger Klee, Rauhafer, Ölrettich, Sonnenblume, Öllein, Blaue Lupine</t>
  </si>
  <si>
    <t>Frachtkosten 65€ je Lieferung bis 1000kg, ab 1000kg keine Frachtkosten</t>
  </si>
  <si>
    <t>HR 137 Gründecke mit Meliorationsrettich H2O+    (Wasserschutz)</t>
  </si>
  <si>
    <t>16</t>
  </si>
  <si>
    <t>HR 140 Gründecke Classic IBM/Bienen</t>
  </si>
  <si>
    <t>HR 141 Gründecke Nematoden IBM/Bienen</t>
  </si>
  <si>
    <t>HR 142 Gründecke Universal IBM/Bienen</t>
  </si>
  <si>
    <t>HR 143 Gründecke Spezial IBM/Bienen</t>
  </si>
  <si>
    <t>13</t>
  </si>
  <si>
    <t>Ramtillkraut, Phazelie, Alexandrinerklee</t>
  </si>
  <si>
    <t>Ramtillkraut, Gartenkresse, Buchweizen, Ölrettich, Phazelie, Meliorationsrettich</t>
  </si>
  <si>
    <t>10</t>
  </si>
  <si>
    <t>Ramtillkraut, Alexandrinerklee, Inkarnatklee, Perserklee, Phazelie</t>
  </si>
  <si>
    <t>Ramtillkraut, Inkarnatklee, Alexandrinerklee, Öllein</t>
  </si>
  <si>
    <t>HR 158 Biodiversitätsmischung IBM/Bienen</t>
  </si>
  <si>
    <t>20</t>
  </si>
  <si>
    <t xml:space="preserve">RWA Mischungen  </t>
  </si>
  <si>
    <t>Alexandrinerklee, Phazelie, Gingellikraut  - ohne Kreuzblütler - Aussaat  bis Mitte August -
Absackung 15 kg und 500 kg Big Bag</t>
  </si>
  <si>
    <t xml:space="preserve">AckerGrün Begrünungsmischung BodenlockerungsPluss  </t>
  </si>
  <si>
    <t xml:space="preserve">Buchweizen, Phazelie, Alexandrinerklee, Gingellikraut, Kresse - Aussaat bis Mitte August - 
Absackung 25 kg </t>
  </si>
  <si>
    <t>Rau-Sandhafer, Phazelie, Gingellikraut, Saatwicke, Persischer Klee, Alexandrinerklee, Ölrettich (konventionelle Sorte), Kresse, Leindotter, Sonnenblume, Öllein - Aussaat bis Mitte August -
Absackung 25 kg und 500 kg Big Bag</t>
  </si>
  <si>
    <t xml:space="preserve">Buchweizen , Ölrettich (konventionelle Sorte),  Alexandrinerklee -  Aussaat bis Mitte/Ende August - 
Absackung 25 kg </t>
  </si>
  <si>
    <t>Senf (nematodenresistente Sorte), Buchweizen, Alexandrinerklee,  Aussaat bis Mitte August -
Absackung  20 kg und 500 kg Big Bag</t>
  </si>
  <si>
    <t xml:space="preserve">30 - 50 kg/ha; Engl. Raygras, Wiesenrispe, Ausläufer-Rotschwingel, Horst-Rotschwingel, Schafschwingel - auch für Lagen, in denen Spinnmilben auftreten - für Obstgartendauerbegrünung bestens geeignet - 
Aussaat  bis Ende September -  Absackung 10 kg </t>
  </si>
  <si>
    <t>Überjährige Saatgutmischung ohne Gräseranteil - Serradella, Weißklee, Gelbklee, Inkarnatklee, Phazelie, Ölrettich (konventionelle Sorte) , Buchweizen - Bei Begrünung jeder 2. Reihe Aussaatmenge:  12 - 30 kg/ha - Absackung 10 kg</t>
  </si>
  <si>
    <r>
      <t>Serradella, Weißklee, Inkarnatklee, Phazelie; Ölrettich (konventionelle Sorte), Buchweizen, Winterwicke pannonisch</t>
    </r>
    <r>
      <rPr>
        <b/>
        <sz val="11"/>
        <rFont val="Arial"/>
        <family val="2"/>
      </rPr>
      <t xml:space="preserve">. </t>
    </r>
    <r>
      <rPr>
        <sz val="11"/>
        <rFont val="Arial"/>
        <family val="2"/>
      </rPr>
      <t xml:space="preserve">Bei Begrünung jeder 2. Reihe Aussaatmenge:  12 - 30 kg/ha - 
Aussaat Frühjahr oder bis Ende August - Absackung 10 kg </t>
    </r>
  </si>
  <si>
    <t xml:space="preserve">30 kg/ha, dient zusätzlich als Erosionsschutz für die Dauerbegrünung in Obst- und Weingärten sowie für Hopfenanlagen </t>
  </si>
  <si>
    <t>100 - 120 kg/ha; Körnererbse, Sommerwicke, Ackerbohne, Rau-/Sandhafer, Futtererbse, Sojabohne - 
Aussaat bis Ende August - Absackung 20 kg</t>
  </si>
  <si>
    <t>100 - 120 kg/ha; Saatplatterbse, Futtererbse, Körnererbse, Saatwicke, Ackerbohne, Rau-/Sandhafer - 
Aussaat Mitte/Ende August - Aussaat Mitte/Ende August - Absackung  20 kg</t>
  </si>
  <si>
    <t>Luzerne, Rotklee, Weißklee, Hornklee, Inkarnatklee, Esparsette - 6 insektenblütige überjährige Legumiosenarten +  Malve, Leindotter und Senf ebenfalls insektenblütig - Aussaat bis Mitte August - Absackung 10 kg</t>
  </si>
  <si>
    <t>Weißklee, Inkarnatklee, Alexandrinerklee, Persischer Klee - Absackung  10 kg; Untersaat 10 kg/ha, 
Reinsaat 20 kg/ha</t>
  </si>
  <si>
    <t>10 kg/ha Untersaat, 20 kg/ha Reinsaat, Untersaat im Getreide u. Mais</t>
  </si>
  <si>
    <t>10 kg/ha, Begleitsaat im Winterraps, für ÖPUL 2023</t>
  </si>
  <si>
    <t xml:space="preserve">110 kg/ha - Absackung 20 kg </t>
  </si>
  <si>
    <t>110 kg/ha - Absackung 20 kg und 500 kg Big Bag</t>
  </si>
  <si>
    <t xml:space="preserve">130 kg/ha - Absackung 20 kg </t>
  </si>
  <si>
    <t>130 kg/ha - Absackung 20 kg und 500 kg Big Bag</t>
  </si>
  <si>
    <t>60 - 80 kg/ha; Italienisches Raygras, Bastardraygras, Winterwicke Pannonisch, Inkarnatklee; hohe Futterleistung, überjährig - meist überwinternd. Aussaat bis Ende August - Absackung  20 kg konv. auch in 500 kg BIG BAG</t>
  </si>
  <si>
    <t xml:space="preserve">Italienisches  Raygras tetraploide und diploide Sorte,  Persischer Klee - für Grünverfütterung, Heu und Silagenutzung - Absackung 10 kg </t>
  </si>
  <si>
    <t>Bienenweide einjährig "TÜBINGER Art"</t>
  </si>
  <si>
    <t>7</t>
  </si>
  <si>
    <t xml:space="preserve">7 - 10 kg/ha; Bestehend aus nacheinander blühenden Pflanzen - diese Saatgutmischung bietet bis zum ersten Frost ein Blütenangebot für Honigbienen, Wildbienen und Hummeln -
Aussaat nicht vor Mitte Mai - Absackung 1 kg/10 kg </t>
  </si>
  <si>
    <t>Bienenweide mehrjährig "VEITSHÖCHHEIMER Art"</t>
  </si>
  <si>
    <t xml:space="preserve">7 - 10 kg/ha; Bestehend aus 50 ein- und mehrjährigen Wild- bzw. Kulturarten; bietet ein ausdauerndes Blütenangebot für Bienen, Hummeln, Schmetterlinge und Nützlinge -
Aussaat nicht vor Mitte Mai - Absackung 1 kg/10 kg </t>
  </si>
  <si>
    <t>Kräuterzusatz</t>
  </si>
  <si>
    <t>1</t>
  </si>
  <si>
    <t xml:space="preserve">1 - 2 kg/ha Übersaat bzw. Aussaat zusätzlich zur Neusaat; Absackung 1 kg </t>
  </si>
  <si>
    <t xml:space="preserve">Artenreiche Weingarten Dauerbegrünung - Aussaat April -September gründlich durchmischen - Erosionsschutz Wein -  Absackung 10 kg </t>
  </si>
  <si>
    <t xml:space="preserve">Artenreiche Weingarten Dauerbegrünung   -  Eignung in trockenen Lagen  - Aussaat April - September 
gründlich durchmischen - Absackung 10 kg </t>
  </si>
  <si>
    <t>20 - 25kg/ha, für Nützlingsflächen und Blumenanlagen (UBB- ÖPUL 23), exkl. Versandkosten</t>
  </si>
  <si>
    <t>zusätzliche Produkte</t>
  </si>
  <si>
    <t xml:space="preserve">Rhizobien Luzerne Klee </t>
  </si>
  <si>
    <t xml:space="preserve">1 Pkg. für 25 - 35 kg Saatgut </t>
  </si>
  <si>
    <t>Zur Inokulierung von 25 - 35 kg Saatgut</t>
  </si>
  <si>
    <t xml:space="preserve">EUR/kg oder Packung sind unverbindlich empfohlene Verkaufspreise  inkl. der gesetzlichen UST., sofern nicht anders gekennzeichnet inkl. Fracht der Firma RWA Korneuburg AG  - Änderungen und Irrtum vorbehalten.  </t>
  </si>
  <si>
    <t>179,67 - 209,62</t>
  </si>
  <si>
    <t>Gräserfreie Mischung für Biodiversitätsflächen</t>
  </si>
  <si>
    <t>168,14 - 210,18</t>
  </si>
  <si>
    <t>einjährige, reichblühende Pflanzengesellschaft zur Lebensraumgestaltung für Bienen und Insekten</t>
  </si>
  <si>
    <t>abfrostende Begrünungsmischung mit mehrschichtigem Wurzelhorizont und stark humusaufbauender Wirkung - Sommerwicke, Öllein, Sudangras, Alexandrinerklee, MUNGO, Meliorationsrettich, Saflor</t>
  </si>
  <si>
    <t>70</t>
  </si>
  <si>
    <t>Wildackermischung zur Sommeransaat</t>
  </si>
  <si>
    <t>Leguminosenfreie Mischung speziell für stark leguminosenbetonte Fruchtfolgen - Phazelia, MUNGO, Meliorationsrettich, Öllein, Sudangras, Saflor, Duringras</t>
  </si>
  <si>
    <t>127,46-169,95</t>
  </si>
  <si>
    <t>überj. Kleegrasmischung  kontrolliert ampferfrei in 100 g</t>
  </si>
  <si>
    <t>222,67-254,48</t>
  </si>
  <si>
    <t>schließt die nahrungslücke, abwechslungsreiche Äsung für alle Wildarten; UBB-tauglich; sorgt für Deckung</t>
  </si>
  <si>
    <t>252,33 - 288,38</t>
  </si>
  <si>
    <t>bestes Futtergemenge, durch Spätsaatverträglichkeit und sehr guter Vorfruchtwirkung auch eine ideale Gründüngung</t>
  </si>
  <si>
    <t>60</t>
  </si>
  <si>
    <t>artenreiche Wildäsungsmischung für Herbst und Winteräsung</t>
  </si>
  <si>
    <t>100</t>
  </si>
  <si>
    <t>Gründüngung und Futternutzung, Sommerwicke, Futtererbse, Sojabohne, Lupine, Grünmais, Sudangras, Sonnenblume</t>
  </si>
  <si>
    <t>abfrostende Begrünungsmischung mit höchster N-Fixierung und bester Bodenlockerung - Pigmentplatterbse, Sommerwicke, Alexandrinerklee, Futtererbse, Saflor, MUNGO, Sudangras, Meliorationsrettich</t>
  </si>
  <si>
    <t>55,99 - 111,98</t>
  </si>
  <si>
    <t>Buchweizen, nematodenfeindlicher Senf, Ölrettich</t>
  </si>
  <si>
    <t>Rapsbegleitsaatenmischung</t>
  </si>
  <si>
    <t>45</t>
  </si>
  <si>
    <t>Vielfältige Blühmischung; breites Pollenangebot für Insekten; optische Aufwertung der Kulturlandschaft</t>
  </si>
  <si>
    <t>Für DIV-Flächen Acker (ÖPUL Zuschlag); hohe Biodiversität durch mind. 30 verschiedene Kulturen</t>
  </si>
  <si>
    <t>Für DIV-Flächen Grünland (ÖPUL Zuschlag); hohe Biodiversität mit Kräuter; mind. 30 verschiedene Kulturen</t>
  </si>
  <si>
    <t xml:space="preserve">Alexandriner- und Krumenklee, Phacelia, Ölrettich </t>
  </si>
  <si>
    <t xml:space="preserve"> Mungo,  Phacelia, Alexandrinerklee und Krumenklee</t>
  </si>
  <si>
    <t>74,79 - 112,18</t>
  </si>
  <si>
    <t>Phacelia, Buchweizen, Ölrettich, Senf, auch für rauere Saatbeete</t>
  </si>
  <si>
    <t xml:space="preserve">Saatbau Mischungen mit 70% BIO - Komponenten </t>
  </si>
  <si>
    <t>Phazelia, Leindotter, Kresse, Ölrettich</t>
  </si>
  <si>
    <t>229,84-268,15</t>
  </si>
  <si>
    <t>Gräserfreie Mischung für Biodiversitätsflächen:</t>
  </si>
  <si>
    <t>156,28-208,37</t>
  </si>
  <si>
    <t>spätsaatverträgliche Mischung, um für das Frühjahr eine gute Mulchauflage zu generieren - Buchweizen, Phazelia, Leindotter, Kresse, Ölrettich, Sareptasenf</t>
  </si>
  <si>
    <t>winterharte Begrünungsmischung für Reinsaat oder zum Mischen mit anderen Zwischenfrüchten - Grünschnittroggen, Winterfuttererbse, Winterrübse, Pannonische Wicke</t>
  </si>
  <si>
    <t>hochwirksames und hochkonzentriertes Rhizobienpräparat; mobilisiert Leistungsreserven; steigert Effizienz der Knöllchenbakterien</t>
  </si>
  <si>
    <t>Zusammensetzung der Saatgutmischungen - Anmerkungen</t>
  </si>
  <si>
    <r>
      <rPr>
        <b/>
        <u/>
        <sz val="11"/>
        <rFont val="Arial"/>
        <family val="2"/>
      </rPr>
      <t>20 Arten aus 9 Pflanzenfamilien</t>
    </r>
    <r>
      <rPr>
        <sz val="11"/>
        <rFont val="Arial"/>
        <family val="2"/>
      </rPr>
      <t xml:space="preserve">:  Färberkamille, Wundklee, Kornblume, Gewöhnliche Wiesen-Flockenblume, Gewöhnlich-Wegwarte, Wilde Möhre, Gewöhnlich-Natternkopf, Magerwiesen-Margerite, Wiesen-Hornklee, Moschus-Malve, Gelbklee, Gemeine Nachtkerze, Große-Bibernelle, Esparsette, Klatschmohn, Eigentlicher Wiesensalbei, Rote Lichtnelke, Gewöhnliches Blasen-Leimkraut, Hasenklee, Wiesen-Rotklee
</t>
    </r>
    <r>
      <rPr>
        <b/>
        <u/>
        <sz val="11"/>
        <rFont val="Arial"/>
        <family val="2"/>
      </rPr>
      <t>Anbauzeitpunkt:</t>
    </r>
    <r>
      <rPr>
        <b/>
        <sz val="11"/>
        <rFont val="Arial"/>
        <family val="2"/>
      </rPr>
      <t xml:space="preserve"> Ab April bis Mitte Juni und Mitte August bis Mitte September
</t>
    </r>
    <r>
      <rPr>
        <sz val="11"/>
        <rFont val="Arial"/>
        <family val="2"/>
      </rPr>
      <t>Abgabe in der 5 kg Packung</t>
    </r>
  </si>
  <si>
    <r>
      <rPr>
        <b/>
        <u/>
        <sz val="11"/>
        <rFont val="Arial"/>
        <family val="2"/>
      </rPr>
      <t>37 Arten aus 12 Pflanzenfamilien:</t>
    </r>
    <r>
      <rPr>
        <sz val="11"/>
        <rFont val="Arial"/>
        <family val="2"/>
      </rPr>
      <t xml:space="preserve">  Gewöhnliches Ruchgras, Zitttergras, Wiesen-Kammgras, Horstrotschwingel, Wiesenrispe, Echte Schafgarbe, Echt-Wundklee, Echt-Betonie, Gewöhnliche Wiesenglockenblume, Echter-Kümmel, Gewöhnliche Skabiosenflockenblume, Gewöhnliche Wiesenflockenblume, Wiesen-Pippau, Gewöhnlich-Wegwarte, Wilde Möhre, Karthäusernelke, Gewöhnlich-Natternkopf, Echte Nelkenwurz, Wiesenlabkraut, Echtes Labkraut, Gewöhnliche Wiesenwitwenblume, Rauer Löwenzahn, Gewöhnlicher Wiesen-Leuenzahn, Kleine Wiesen-Margerite, Fettwiesen-Margerite, Wiesen-Hornklee, Gewöhnlich-Kuckuckslichtnelke, Gelbklee, Pastinak, Groß-Bibernelle, Spitz-Wegerich, Mittel-Wegerich, Gewöhnliche Braunelle, Kleiner Wiesenknopf, Rote Lichtnelke, Gewöhnliches Nick-Leimkraut, Gewöhnliches Blasen-Leimkraut, Östlicher Wiesenbocksbart
</t>
    </r>
    <r>
      <rPr>
        <b/>
        <u/>
        <sz val="11"/>
        <rFont val="Arial"/>
        <family val="2"/>
      </rPr>
      <t>Anbauzeitpunkt:</t>
    </r>
    <r>
      <rPr>
        <b/>
        <sz val="11"/>
        <rFont val="Arial"/>
        <family val="2"/>
      </rPr>
      <t xml:space="preserve"> Ab April bis Mitte Juni und Mitte August bis Mitte September
</t>
    </r>
    <r>
      <rPr>
        <sz val="11"/>
        <rFont val="Arial"/>
        <family val="2"/>
      </rPr>
      <t>Abgabe in der 5 kg Packung</t>
    </r>
  </si>
  <si>
    <r>
      <rPr>
        <b/>
        <u/>
        <sz val="11"/>
        <rFont val="Arial"/>
        <family val="2"/>
      </rPr>
      <t>33 Arten aus 12 Pflanzenfamilien:</t>
    </r>
    <r>
      <rPr>
        <sz val="11"/>
        <rFont val="Arial"/>
        <family val="2"/>
      </rPr>
      <t xml:space="preserve"> Echte Schafgarbe, Echt-Wundklee, Echt-Betonie, Gewöhnliche Wiesenglockenblume, Gewöhnliche Skabiosenflockenblume, Kornblume, Gewöhnliche Wiesenflockenblume, Wiesen-Pippau, Gewöhnlich-Wegwarte, Wilde Möhre, Karthäusernelke, Wild-Karde, Gewöhnlich-Natternkopf,  Echtes Labkraut, Echt-Johanniskraut, Gewöhnliche Wiesenwitwenblume, Rauer Löwenzahn, Herbst-Schuppen Leuenzahn, Kleine Wiesen-Margerite, Fettwiesen-Margerite,  Gewöhnlich-Kuckuckslichtnelke, Echt-Kamille, Weiß-Steinklee, Gelb-Steinklee, Klatsch-Mohn, Echt-Pastinak, Eigentlicher Wiesensalbei, Rote Lichtnelke, Gewöhnliches Nick-Leimkraut, Gewöhnliches Blasen-Leimkraut, Feld-Klee, Faden-Klee, Kleinblütige Königskerze
</t>
    </r>
    <r>
      <rPr>
        <b/>
        <u/>
        <sz val="11"/>
        <rFont val="Arial"/>
        <family val="2"/>
      </rPr>
      <t>Anbauzeitpunkt:</t>
    </r>
    <r>
      <rPr>
        <b/>
        <sz val="11"/>
        <rFont val="Arial"/>
        <family val="2"/>
      </rPr>
      <t xml:space="preserve"> Ab April bis Mitte Juni und Mitte August bis Mitte September
</t>
    </r>
    <r>
      <rPr>
        <sz val="11"/>
        <rFont val="Arial"/>
        <family val="2"/>
      </rPr>
      <t>Abgabe in der 5 kg Packung</t>
    </r>
  </si>
  <si>
    <t>Beachten Sie hinsichtlich der Preisangaben die mit * gekennzeichneten Spalten bzw. Preisangaben  (siehe jeweilige Anmerkungen zu *).</t>
  </si>
  <si>
    <r>
      <t xml:space="preserve">online unter: </t>
    </r>
    <r>
      <rPr>
        <b/>
        <sz val="11"/>
        <rFont val="Arial"/>
        <family val="2"/>
      </rPr>
      <t>https://www.agrana.com</t>
    </r>
    <r>
      <rPr>
        <sz val="11"/>
        <rFont val="Arial"/>
        <family val="2"/>
      </rPr>
      <t>;</t>
    </r>
    <r>
      <rPr>
        <b/>
        <sz val="11"/>
        <rFont val="Arial"/>
        <family val="2"/>
      </rPr>
      <t xml:space="preserve"> https:/www.diesaat.at</t>
    </r>
    <r>
      <rPr>
        <sz val="11"/>
        <rFont val="Arial"/>
        <family val="2"/>
      </rPr>
      <t xml:space="preserve">; </t>
    </r>
    <r>
      <rPr>
        <b/>
        <sz val="11"/>
        <rFont val="Arial"/>
        <family val="2"/>
      </rPr>
      <t>https://www.hesa.co.at/</t>
    </r>
    <r>
      <rPr>
        <sz val="11"/>
        <rFont val="Arial"/>
        <family val="2"/>
      </rPr>
      <t xml:space="preserve">; </t>
    </r>
    <r>
      <rPr>
        <b/>
        <sz val="11"/>
        <rFont val="Arial"/>
        <family val="2"/>
      </rPr>
      <t>https://www.saatbau.com (Saatbau Linz); https://www.saatbau.at (Kärntner Saatbau) und</t>
    </r>
    <r>
      <rPr>
        <sz val="11"/>
        <rFont val="Arial"/>
        <family val="2"/>
      </rPr>
      <t xml:space="preserve"> </t>
    </r>
    <r>
      <rPr>
        <b/>
        <sz val="11"/>
        <rFont val="Arial"/>
        <family val="2"/>
      </rPr>
      <t>https://www.dsv-saaten.de</t>
    </r>
    <r>
      <rPr>
        <sz val="11"/>
        <rFont val="Arial"/>
        <family val="2"/>
      </rPr>
      <t/>
    </r>
  </si>
  <si>
    <r>
      <t xml:space="preserve">Sie können hier den entsprechenden Preis eingeben - 
</t>
    </r>
    <r>
      <rPr>
        <sz val="11"/>
        <rFont val="Arial"/>
        <family val="2"/>
      </rPr>
      <t>die vorausgefüllten Werte entsprechen Durchschnittswerten laut Preisspanne gem. Begrünungstabelle 2024</t>
    </r>
    <r>
      <rPr>
        <b/>
        <sz val="11"/>
        <rFont val="Arial"/>
        <family val="2"/>
      </rPr>
      <t xml:space="preserve">
</t>
    </r>
  </si>
  <si>
    <t>Esparsette BIO</t>
  </si>
  <si>
    <t>Hanf BIO</t>
  </si>
  <si>
    <r>
      <t xml:space="preserve">Hanf </t>
    </r>
    <r>
      <rPr>
        <b/>
        <sz val="12"/>
        <rFont val="Arial"/>
        <family val="2"/>
      </rPr>
      <t>BIO</t>
    </r>
  </si>
  <si>
    <t>Hornklee BIO</t>
  </si>
  <si>
    <t>Linse BIO</t>
  </si>
  <si>
    <t>Alexandrinerklee BIO</t>
  </si>
  <si>
    <t>Buchweizen BIO</t>
  </si>
  <si>
    <t>Einjähriges Raygras BIO</t>
  </si>
  <si>
    <t>Englisches Raygras BIO</t>
  </si>
  <si>
    <t>Futtererbse BIO</t>
  </si>
  <si>
    <t xml:space="preserve">Hirse BIO </t>
  </si>
  <si>
    <t>Inkarnatklee BIO</t>
  </si>
  <si>
    <t>Italienisches Raygras BIO</t>
  </si>
  <si>
    <t>Kresse BIO</t>
  </si>
  <si>
    <t>Leindotter BIO</t>
  </si>
  <si>
    <t>Luzerne BIO</t>
  </si>
  <si>
    <t>Meliorationsrettich BIO</t>
  </si>
  <si>
    <t>Ölrettich BIO</t>
  </si>
  <si>
    <t>Phazelie BIO</t>
  </si>
  <si>
    <t>Pigmentplatterbse BIO</t>
  </si>
  <si>
    <t>Rotklee BIO</t>
  </si>
  <si>
    <t xml:space="preserve">Saatplatterbse BIO </t>
  </si>
  <si>
    <t>Saatwicke BIO</t>
  </si>
  <si>
    <t>Senf BIO</t>
  </si>
  <si>
    <t>Sudangras BIO</t>
  </si>
  <si>
    <t>Waldstaudenroggen BIO "SLK"</t>
  </si>
  <si>
    <t>Weißklee BIO</t>
  </si>
  <si>
    <t>Winterfuttererbse BIO</t>
  </si>
  <si>
    <t>Winterwicke Pannonisch BIO</t>
  </si>
  <si>
    <t>Meldung zu Düngemöglichkeit</t>
  </si>
  <si>
    <t>Bedienungsanleitung Begrünungsrechner 2024</t>
  </si>
  <si>
    <r>
      <t xml:space="preserve">Der Bereich Begrünungstabellen 2024 enthält eine </t>
    </r>
    <r>
      <rPr>
        <b/>
        <u/>
        <sz val="11"/>
        <color theme="1"/>
        <rFont val="Arial"/>
        <family val="2"/>
      </rPr>
      <t>Liste von Einzelkulturen und Begrünungsmischungen</t>
    </r>
    <r>
      <rPr>
        <sz val="11"/>
        <color theme="1"/>
        <rFont val="Arial"/>
        <family val="2"/>
      </rPr>
      <t xml:space="preserve"> mit einer Kurzbeschreibung</t>
    </r>
  </si>
  <si>
    <r>
      <t xml:space="preserve">Dieser Bereich ist in die Tabellenblätter </t>
    </r>
    <r>
      <rPr>
        <b/>
        <u/>
        <sz val="11"/>
        <color theme="1"/>
        <rFont val="Arial"/>
        <family val="2"/>
      </rPr>
      <t>Begrünungstabellen 2024</t>
    </r>
    <r>
      <rPr>
        <sz val="11"/>
        <color theme="1"/>
        <rFont val="Arial"/>
        <family val="2"/>
      </rPr>
      <t xml:space="preserve"> und </t>
    </r>
    <r>
      <rPr>
        <b/>
        <u/>
        <sz val="11"/>
        <color theme="1"/>
        <rFont val="Arial"/>
        <family val="2"/>
      </rPr>
      <t>Anbauzeitpunkte</t>
    </r>
    <r>
      <rPr>
        <sz val="11"/>
        <color theme="1"/>
        <rFont val="Arial"/>
        <family val="2"/>
      </rPr>
      <t xml:space="preserve"> gegliedert.</t>
    </r>
  </si>
  <si>
    <t>relativer Leguminosenanteil</t>
  </si>
  <si>
    <t>Wirtschaftsdüngerart</t>
  </si>
  <si>
    <t>Rindergülle</t>
  </si>
  <si>
    <t>Schweinegülle</t>
  </si>
  <si>
    <t>Hühnergülle</t>
  </si>
  <si>
    <t>Jauche</t>
  </si>
  <si>
    <t>JW Faktor</t>
  </si>
  <si>
    <t>Ausbringverluste</t>
  </si>
  <si>
    <t>Stallmist</t>
  </si>
  <si>
    <t>Kompost</t>
  </si>
  <si>
    <t>Rottemist</t>
  </si>
  <si>
    <t>Resultat ab Lager</t>
  </si>
  <si>
    <t>Resultat jw</t>
  </si>
  <si>
    <t>Anlage5 Gebiete</t>
  </si>
  <si>
    <t>außerhalb Anlage 5 Gebiete</t>
  </si>
  <si>
    <r>
      <rPr>
        <b/>
        <sz val="11"/>
        <color theme="1"/>
        <rFont val="Arial"/>
        <family val="2"/>
      </rPr>
      <t>Herbstdüngegrenze</t>
    </r>
    <r>
      <rPr>
        <sz val="11"/>
        <color theme="1"/>
        <rFont val="Arial"/>
        <family val="2"/>
      </rPr>
      <t xml:space="preserve"> von </t>
    </r>
    <r>
      <rPr>
        <b/>
        <sz val="11"/>
        <color theme="1"/>
        <rFont val="Arial"/>
        <family val="2"/>
      </rPr>
      <t>60 kg N ab Lager</t>
    </r>
    <r>
      <rPr>
        <sz val="11"/>
        <color theme="1"/>
        <rFont val="Arial"/>
        <family val="2"/>
      </rPr>
      <t xml:space="preserve"> </t>
    </r>
    <r>
      <rPr>
        <b/>
        <sz val="11"/>
        <color theme="1"/>
        <rFont val="Arial"/>
        <family val="2"/>
      </rPr>
      <t xml:space="preserve">ab der Ernte der letzten Hauptkultur </t>
    </r>
    <r>
      <rPr>
        <sz val="11"/>
        <color theme="1"/>
        <rFont val="Arial"/>
        <family val="2"/>
      </rPr>
      <t>beachten</t>
    </r>
  </si>
  <si>
    <t>Düngeobergenze gem. NAPV:</t>
  </si>
  <si>
    <t>Düngeobergrenzen im Herbst
gem. NAPV:</t>
  </si>
  <si>
    <r>
      <rPr>
        <b/>
        <sz val="10"/>
        <color theme="1"/>
        <rFont val="Arial"/>
        <family val="2"/>
      </rPr>
      <t>Düngeobergenze</t>
    </r>
    <r>
      <rPr>
        <sz val="10"/>
        <color theme="1"/>
        <rFont val="Arial"/>
        <family val="2"/>
      </rPr>
      <t xml:space="preserve"> gem. NAPV:</t>
    </r>
  </si>
  <si>
    <r>
      <t xml:space="preserve">Düngeobergenze in </t>
    </r>
    <r>
      <rPr>
        <b/>
        <sz val="10"/>
        <color theme="1"/>
        <rFont val="Arial"/>
        <family val="2"/>
      </rPr>
      <t xml:space="preserve">Nitratrisikogebieten </t>
    </r>
    <r>
      <rPr>
        <sz val="10"/>
        <color theme="1"/>
        <rFont val="Arial"/>
        <family val="2"/>
      </rPr>
      <t>gem. NAPV Anlage 5:</t>
    </r>
  </si>
  <si>
    <r>
      <t xml:space="preserve">Zulässige Düngung im </t>
    </r>
    <r>
      <rPr>
        <b/>
        <u/>
        <sz val="11"/>
        <color indexed="9"/>
        <rFont val="Arial"/>
        <family val="2"/>
      </rPr>
      <t>Herbst</t>
    </r>
    <r>
      <rPr>
        <b/>
        <sz val="11"/>
        <color indexed="9"/>
        <rFont val="Arial"/>
        <family val="2"/>
      </rPr>
      <t>:</t>
    </r>
  </si>
  <si>
    <r>
      <t xml:space="preserve">Düngeobergenze in </t>
    </r>
    <r>
      <rPr>
        <b/>
        <sz val="11"/>
        <color theme="1"/>
        <rFont val="Arial"/>
        <family val="2"/>
      </rPr>
      <t>Nitratrisikogebieten</t>
    </r>
    <r>
      <rPr>
        <sz val="11"/>
        <color theme="1"/>
        <rFont val="Arial"/>
        <family val="2"/>
      </rPr>
      <t xml:space="preserve"> gem. NAPV Anlage 5:</t>
    </r>
  </si>
  <si>
    <r>
      <rPr>
        <b/>
        <sz val="11"/>
        <color theme="1"/>
        <rFont val="Arial"/>
        <family val="2"/>
      </rPr>
      <t>Herbstdüngegrenze</t>
    </r>
    <r>
      <rPr>
        <sz val="11"/>
        <color theme="1"/>
        <rFont val="Arial"/>
        <family val="2"/>
      </rPr>
      <t xml:space="preserve"> von
</t>
    </r>
    <r>
      <rPr>
        <b/>
        <u/>
        <sz val="11"/>
        <color theme="1"/>
        <rFont val="Arial"/>
        <family val="2"/>
      </rPr>
      <t>60 kg N ab Lager</t>
    </r>
    <r>
      <rPr>
        <sz val="11"/>
        <color theme="1"/>
        <rFont val="Arial"/>
        <family val="2"/>
      </rPr>
      <t xml:space="preserve"> </t>
    </r>
    <r>
      <rPr>
        <b/>
        <sz val="11"/>
        <color theme="1"/>
        <rFont val="Arial"/>
        <family val="2"/>
      </rPr>
      <t xml:space="preserve">ab der Ernte der letzten Hauptkultur </t>
    </r>
    <r>
      <rPr>
        <sz val="11"/>
        <color theme="1"/>
        <rFont val="Arial"/>
        <family val="2"/>
      </rPr>
      <t>beachten</t>
    </r>
  </si>
  <si>
    <r>
      <rPr>
        <b/>
        <sz val="11"/>
        <color theme="1"/>
        <rFont val="Arial"/>
        <family val="2"/>
      </rPr>
      <t>Herbstdüngegrenze</t>
    </r>
    <r>
      <rPr>
        <sz val="11"/>
        <color theme="1"/>
        <rFont val="Arial"/>
        <family val="2"/>
      </rPr>
      <t xml:space="preserve"> von 
</t>
    </r>
    <r>
      <rPr>
        <b/>
        <u/>
        <sz val="11"/>
        <color theme="1"/>
        <rFont val="Arial"/>
        <family val="2"/>
      </rPr>
      <t>60 kg N ab Lager</t>
    </r>
    <r>
      <rPr>
        <sz val="11"/>
        <color theme="1"/>
        <rFont val="Arial"/>
        <family val="2"/>
      </rPr>
      <t xml:space="preserve"> </t>
    </r>
    <r>
      <rPr>
        <b/>
        <sz val="11"/>
        <color theme="1"/>
        <rFont val="Arial"/>
        <family val="2"/>
      </rPr>
      <t xml:space="preserve">ab der Ernte der letzten Hauptkultur </t>
    </r>
    <r>
      <rPr>
        <sz val="11"/>
        <color theme="1"/>
        <rFont val="Arial"/>
        <family val="2"/>
      </rPr>
      <t>beachten</t>
    </r>
  </si>
  <si>
    <t>Mischungsanteil Leguminosen
(relativer Reinsaatanteil)</t>
  </si>
  <si>
    <t>Saatwicke / Sommerwicke</t>
  </si>
  <si>
    <r>
      <t xml:space="preserve">Saatwicke </t>
    </r>
    <r>
      <rPr>
        <b/>
        <sz val="12"/>
        <rFont val="Arial"/>
        <family val="2"/>
      </rPr>
      <t xml:space="preserve">BIO / </t>
    </r>
    <r>
      <rPr>
        <sz val="12"/>
        <rFont val="Arial"/>
        <family val="2"/>
      </rPr>
      <t>Sommerwicke</t>
    </r>
    <r>
      <rPr>
        <b/>
        <sz val="12"/>
        <rFont val="Arial"/>
        <family val="2"/>
      </rPr>
      <t xml:space="preserve"> BIO</t>
    </r>
  </si>
  <si>
    <t>100 - 130 kg/ha; Leguminose, gute Futterleistung, rasche Jugendentwicklung  - Anbau im Gemenge, rasche Entwicklung - intensives und schnellwachsendes Wurzelwerk fördert die Garebildung, gute Unkrautunterdrückung, eiweißreiches Grünfutter, guter N-Sammler, geringe Mehltauanfälligkeit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</si>
</sst>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0.0"/>
    <numFmt numFmtId="165" formatCode="0.0%"/>
    <numFmt numFmtId="166" formatCode="#,##0.00_ ;\-#,##0.00\ "/>
    <numFmt numFmtId="167" formatCode="0&quot; kg/ha&quot;"/>
    <numFmt numFmtId="168" formatCode="_-* #,##0.00\ &quot;€&quot;_-;\-* #,##0.00\ &quot;€&quot;_-;_-* &quot;-&quot;??\ &quot;€&quot;_-;_-@_-"/>
    <numFmt numFmtId="169" formatCode="&quot;€&quot;\ #,##0.0"/>
  </numFmts>
  <fonts count="52" x14ac:knownFonts="1">
    <font>
      <sz val="11"/>
      <color theme="1"/>
      <name val="Arial"/>
      <family val="2"/>
    </font>
    <font>
      <sz val="12"/>
      <name val="Times New Roman"/>
      <family val="1"/>
    </font>
    <font>
      <b/>
      <sz val="16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4"/>
      <color indexed="9"/>
      <name val="Arial"/>
      <family val="2"/>
    </font>
    <font>
      <b/>
      <sz val="10"/>
      <color indexed="9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sz val="11"/>
      <color theme="1"/>
      <name val="Times New Roman"/>
      <family val="1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b/>
      <u/>
      <sz val="11"/>
      <name val="Arial"/>
      <family val="2"/>
    </font>
    <font>
      <b/>
      <sz val="20"/>
      <name val="Arial"/>
      <family val="2"/>
    </font>
    <font>
      <b/>
      <sz val="22"/>
      <name val="Arial"/>
      <family val="2"/>
    </font>
    <font>
      <sz val="22"/>
      <name val="Arial"/>
      <family val="2"/>
    </font>
    <font>
      <b/>
      <sz val="13"/>
      <name val="Arial"/>
      <family val="2"/>
    </font>
    <font>
      <sz val="14"/>
      <name val="Arial"/>
      <family val="2"/>
    </font>
    <font>
      <sz val="12"/>
      <color theme="1"/>
      <name val="Arial"/>
      <family val="2"/>
    </font>
    <font>
      <sz val="11"/>
      <color rgb="FF000000"/>
      <name val="Arial"/>
      <family val="2"/>
    </font>
    <font>
      <b/>
      <u/>
      <sz val="16"/>
      <name val="Arial"/>
      <family val="2"/>
    </font>
    <font>
      <b/>
      <sz val="11"/>
      <color theme="1"/>
      <name val="Arial"/>
      <family val="2"/>
    </font>
    <font>
      <b/>
      <u/>
      <sz val="11"/>
      <color theme="1"/>
      <name val="Arial"/>
      <family val="2"/>
    </font>
    <font>
      <b/>
      <u/>
      <sz val="12"/>
      <color theme="1"/>
      <name val="Arial"/>
      <family val="2"/>
    </font>
    <font>
      <u/>
      <sz val="11"/>
      <color theme="10"/>
      <name val="Arial"/>
      <family val="2"/>
    </font>
    <font>
      <b/>
      <sz val="16"/>
      <color theme="1"/>
      <name val="Arial"/>
      <family val="2"/>
    </font>
    <font>
      <u/>
      <sz val="12"/>
      <color theme="10"/>
      <name val="Arial"/>
      <family val="2"/>
    </font>
    <font>
      <u/>
      <sz val="12"/>
      <name val="Arial"/>
      <family val="2"/>
    </font>
    <font>
      <u/>
      <sz val="18"/>
      <name val="Arial"/>
      <family val="2"/>
    </font>
    <font>
      <u/>
      <sz val="20"/>
      <name val="Arial"/>
      <family val="2"/>
    </font>
    <font>
      <u/>
      <sz val="22"/>
      <name val="Arial"/>
      <family val="2"/>
    </font>
    <font>
      <b/>
      <u/>
      <sz val="12"/>
      <name val="Arial"/>
      <family val="2"/>
    </font>
    <font>
      <b/>
      <u/>
      <sz val="20"/>
      <color theme="1"/>
      <name val="Arial"/>
      <family val="2"/>
    </font>
    <font>
      <b/>
      <sz val="14"/>
      <color theme="1"/>
      <name val="Arial"/>
      <family val="2"/>
    </font>
    <font>
      <b/>
      <sz val="36"/>
      <color indexed="9"/>
      <name val="Arial"/>
      <family val="2"/>
    </font>
    <font>
      <u/>
      <sz val="11"/>
      <name val="Arial"/>
      <family val="2"/>
    </font>
    <font>
      <b/>
      <sz val="12"/>
      <color theme="1"/>
      <name val="Arial"/>
      <family val="2"/>
    </font>
    <font>
      <sz val="12"/>
      <name val="Times New Roman"/>
      <family val="1"/>
    </font>
    <font>
      <i/>
      <sz val="11"/>
      <name val="Arial"/>
      <family val="2"/>
    </font>
    <font>
      <b/>
      <u/>
      <sz val="18"/>
      <color theme="1"/>
      <name val="Arial"/>
      <family val="2"/>
    </font>
    <font>
      <u/>
      <sz val="14"/>
      <color theme="1"/>
      <name val="Arial"/>
      <family val="2"/>
    </font>
    <font>
      <sz val="14"/>
      <color theme="1"/>
      <name val="Arial"/>
      <family val="2"/>
    </font>
    <font>
      <b/>
      <sz val="12"/>
      <color rgb="FFFF0000"/>
      <name val="Arial"/>
      <family val="2"/>
    </font>
    <font>
      <u/>
      <sz val="11"/>
      <color theme="1"/>
      <name val="Arial"/>
      <family val="2"/>
    </font>
    <font>
      <sz val="9"/>
      <name val="Arial"/>
      <family val="2"/>
    </font>
    <font>
      <b/>
      <u/>
      <sz val="14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indexed="9"/>
      <name val="Arial"/>
      <family val="2"/>
    </font>
    <font>
      <b/>
      <u/>
      <sz val="11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6337778862885"/>
        <bgColor indexed="64"/>
      </patternFill>
    </fill>
  </fills>
  <borders count="10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/>
      <top style="thick">
        <color indexed="64"/>
      </top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/>
      <diagonal/>
    </border>
  </borders>
  <cellStyleXfs count="10">
    <xf numFmtId="0" fontId="0" fillId="0" borderId="0"/>
    <xf numFmtId="0" fontId="1" fillId="0" borderId="0"/>
    <xf numFmtId="0" fontId="4" fillId="0" borderId="0"/>
    <xf numFmtId="0" fontId="1" fillId="0" borderId="0"/>
    <xf numFmtId="44" fontId="1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9" fillId="0" borderId="0"/>
    <xf numFmtId="44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71">
    <xf numFmtId="0" fontId="0" fillId="0" borderId="0" xfId="0"/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0" borderId="0" xfId="0" applyFont="1" applyFill="1" applyAlignment="1" applyProtection="1">
      <alignment horizontal="center" vertical="center" wrapText="1"/>
    </xf>
    <xf numFmtId="0" fontId="6" fillId="4" borderId="5" xfId="2" applyFont="1" applyFill="1" applyBorder="1" applyAlignment="1" applyProtection="1">
      <alignment horizontal="center" vertical="center" wrapText="1"/>
    </xf>
    <xf numFmtId="0" fontId="6" fillId="4" borderId="6" xfId="2" applyFont="1" applyFill="1" applyBorder="1" applyAlignment="1" applyProtection="1">
      <alignment horizontal="center" vertical="center" wrapText="1"/>
    </xf>
    <xf numFmtId="0" fontId="6" fillId="0" borderId="7" xfId="2" applyFont="1" applyFill="1" applyBorder="1" applyAlignment="1" applyProtection="1">
      <alignment horizontal="center" vertical="center" wrapText="1"/>
    </xf>
    <xf numFmtId="0" fontId="7" fillId="4" borderId="8" xfId="2" applyFont="1" applyFill="1" applyBorder="1" applyAlignment="1" applyProtection="1">
      <alignment horizontal="center" vertical="center" wrapText="1"/>
    </xf>
    <xf numFmtId="0" fontId="7" fillId="4" borderId="9" xfId="2" applyFont="1" applyFill="1" applyBorder="1" applyAlignment="1" applyProtection="1">
      <alignment horizontal="center" vertical="center" wrapText="1"/>
    </xf>
    <xf numFmtId="0" fontId="7" fillId="4" borderId="10" xfId="2" applyFont="1" applyFill="1" applyBorder="1" applyAlignment="1" applyProtection="1">
      <alignment horizontal="center" vertical="center" wrapText="1"/>
    </xf>
    <xf numFmtId="0" fontId="7" fillId="4" borderId="11" xfId="2" applyFont="1" applyFill="1" applyBorder="1" applyAlignment="1" applyProtection="1">
      <alignment horizontal="center" vertical="center" wrapText="1"/>
    </xf>
    <xf numFmtId="2" fontId="0" fillId="0" borderId="2" xfId="0" applyNumberFormat="1" applyFill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 vertical="center"/>
    </xf>
    <xf numFmtId="165" fontId="0" fillId="0" borderId="3" xfId="0" applyNumberFormat="1" applyFill="1" applyBorder="1" applyAlignment="1">
      <alignment horizontal="center" vertical="center"/>
    </xf>
    <xf numFmtId="0" fontId="0" fillId="0" borderId="0" xfId="0" applyFill="1" applyBorder="1"/>
    <xf numFmtId="0" fontId="8" fillId="0" borderId="13" xfId="3" applyFont="1" applyFill="1" applyBorder="1" applyAlignment="1">
      <alignment horizontal="left" vertical="center" wrapText="1"/>
    </xf>
    <xf numFmtId="2" fontId="8" fillId="0" borderId="15" xfId="3" applyNumberFormat="1" applyFont="1" applyFill="1" applyBorder="1" applyAlignment="1">
      <alignment horizontal="center" vertical="center"/>
    </xf>
    <xf numFmtId="0" fontId="0" fillId="0" borderId="0" xfId="0" applyProtection="1"/>
    <xf numFmtId="2" fontId="8" fillId="0" borderId="20" xfId="3" applyNumberFormat="1" applyFont="1" applyFill="1" applyBorder="1" applyAlignment="1">
      <alignment horizontal="center" vertical="center"/>
    </xf>
    <xf numFmtId="0" fontId="8" fillId="0" borderId="25" xfId="3" applyFont="1" applyFill="1" applyBorder="1" applyAlignment="1">
      <alignment vertical="center" wrapText="1"/>
    </xf>
    <xf numFmtId="0" fontId="8" fillId="0" borderId="26" xfId="3" applyFont="1" applyFill="1" applyBorder="1" applyAlignment="1">
      <alignment vertical="center" wrapText="1"/>
    </xf>
    <xf numFmtId="0" fontId="8" fillId="0" borderId="27" xfId="3" applyFont="1" applyFill="1" applyBorder="1" applyAlignment="1">
      <alignment vertical="center" wrapText="1"/>
    </xf>
    <xf numFmtId="2" fontId="8" fillId="0" borderId="29" xfId="3" applyNumberFormat="1" applyFont="1" applyFill="1" applyBorder="1" applyAlignment="1">
      <alignment horizontal="center" vertical="center"/>
    </xf>
    <xf numFmtId="0" fontId="8" fillId="0" borderId="3" xfId="3" applyFont="1" applyFill="1" applyBorder="1" applyAlignment="1">
      <alignment vertical="center" wrapText="1"/>
    </xf>
    <xf numFmtId="2" fontId="8" fillId="0" borderId="33" xfId="3" applyNumberFormat="1" applyFont="1" applyFill="1" applyBorder="1" applyAlignment="1">
      <alignment horizontal="center" vertical="center"/>
    </xf>
    <xf numFmtId="0" fontId="8" fillId="0" borderId="13" xfId="3" applyFont="1" applyFill="1" applyBorder="1" applyAlignment="1">
      <alignment vertical="center" wrapText="1"/>
    </xf>
    <xf numFmtId="0" fontId="8" fillId="0" borderId="37" xfId="3" applyFont="1" applyFill="1" applyBorder="1" applyAlignment="1">
      <alignment vertical="center" wrapText="1"/>
    </xf>
    <xf numFmtId="2" fontId="8" fillId="0" borderId="38" xfId="3" applyNumberFormat="1" applyFont="1" applyFill="1" applyBorder="1" applyAlignment="1">
      <alignment horizontal="center" vertical="center"/>
    </xf>
    <xf numFmtId="0" fontId="8" fillId="0" borderId="42" xfId="3" applyFont="1" applyFill="1" applyBorder="1" applyAlignment="1">
      <alignment vertical="center" wrapText="1"/>
    </xf>
    <xf numFmtId="2" fontId="8" fillId="0" borderId="43" xfId="3" applyNumberFormat="1" applyFont="1" applyFill="1" applyBorder="1" applyAlignment="1">
      <alignment horizontal="center" vertical="center"/>
    </xf>
    <xf numFmtId="0" fontId="8" fillId="0" borderId="7" xfId="3" applyFont="1" applyFill="1" applyBorder="1" applyAlignment="1">
      <alignment vertical="center" wrapText="1"/>
    </xf>
    <xf numFmtId="2" fontId="8" fillId="0" borderId="0" xfId="3" applyNumberFormat="1" applyFont="1" applyFill="1" applyBorder="1" applyAlignment="1" applyProtection="1">
      <alignment horizontal="center" vertical="center"/>
      <protection locked="0"/>
    </xf>
    <xf numFmtId="0" fontId="9" fillId="0" borderId="0" xfId="3" quotePrefix="1" applyFont="1" applyFill="1" applyBorder="1" applyAlignment="1">
      <alignment horizontal="center" vertical="center"/>
    </xf>
    <xf numFmtId="2" fontId="8" fillId="0" borderId="0" xfId="3" applyNumberFormat="1" applyFont="1" applyFill="1" applyBorder="1" applyAlignment="1">
      <alignment horizontal="center" vertical="center"/>
    </xf>
    <xf numFmtId="2" fontId="4" fillId="0" borderId="0" xfId="2" applyNumberFormat="1" applyFont="1" applyFill="1" applyBorder="1" applyAlignment="1" applyProtection="1">
      <alignment horizontal="center" vertical="center" wrapText="1"/>
      <protection locked="0"/>
    </xf>
    <xf numFmtId="164" fontId="4" fillId="0" borderId="0" xfId="2" applyNumberFormat="1" applyFont="1" applyFill="1" applyBorder="1" applyAlignment="1" applyProtection="1">
      <alignment horizontal="center" vertical="center" wrapText="1"/>
    </xf>
    <xf numFmtId="0" fontId="4" fillId="0" borderId="0" xfId="2" applyFont="1" applyFill="1" applyBorder="1" applyAlignment="1" applyProtection="1">
      <alignment horizontal="center" vertical="center" wrapText="1"/>
    </xf>
    <xf numFmtId="0" fontId="0" fillId="0" borderId="0" xfId="0" applyProtection="1">
      <protection locked="0"/>
    </xf>
    <xf numFmtId="0" fontId="10" fillId="0" borderId="0" xfId="1" applyFont="1" applyAlignment="1"/>
    <xf numFmtId="0" fontId="10" fillId="0" borderId="0" xfId="1" applyFont="1" applyAlignment="1">
      <alignment horizontal="left"/>
    </xf>
    <xf numFmtId="0" fontId="11" fillId="0" borderId="0" xfId="0" applyFont="1"/>
    <xf numFmtId="0" fontId="9" fillId="6" borderId="28" xfId="3" applyFont="1" applyFill="1" applyBorder="1" applyAlignment="1">
      <alignment horizontal="center" vertical="center" wrapText="1"/>
    </xf>
    <xf numFmtId="0" fontId="8" fillId="5" borderId="28" xfId="3" applyFont="1" applyFill="1" applyBorder="1" applyAlignment="1">
      <alignment horizontal="left" vertical="center" wrapText="1"/>
    </xf>
    <xf numFmtId="2" fontId="8" fillId="0" borderId="28" xfId="3" applyNumberFormat="1" applyFont="1" applyFill="1" applyBorder="1" applyAlignment="1">
      <alignment horizontal="center" vertical="center"/>
    </xf>
    <xf numFmtId="0" fontId="8" fillId="6" borderId="28" xfId="3" applyFont="1" applyFill="1" applyBorder="1" applyAlignment="1">
      <alignment vertical="center" wrapText="1"/>
    </xf>
    <xf numFmtId="0" fontId="5" fillId="6" borderId="28" xfId="3" applyFont="1" applyFill="1" applyBorder="1" applyAlignment="1">
      <alignment horizontal="center" vertical="center"/>
    </xf>
    <xf numFmtId="0" fontId="5" fillId="6" borderId="9" xfId="3" applyFont="1" applyFill="1" applyBorder="1" applyAlignment="1">
      <alignment horizontal="center" vertical="center"/>
    </xf>
    <xf numFmtId="166" fontId="8" fillId="0" borderId="28" xfId="4" applyNumberFormat="1" applyFont="1" applyFill="1" applyBorder="1" applyAlignment="1">
      <alignment horizontal="center" vertical="center"/>
    </xf>
    <xf numFmtId="0" fontId="8" fillId="0" borderId="0" xfId="1" applyFont="1" applyAlignment="1"/>
    <xf numFmtId="0" fontId="10" fillId="0" borderId="0" xfId="1" applyFont="1" applyAlignment="1">
      <alignment horizontal="center"/>
    </xf>
    <xf numFmtId="49" fontId="8" fillId="8" borderId="28" xfId="3" applyNumberFormat="1" applyFont="1" applyFill="1" applyBorder="1" applyAlignment="1">
      <alignment horizontal="center" vertical="center" shrinkToFit="1"/>
    </xf>
    <xf numFmtId="0" fontId="5" fillId="6" borderId="9" xfId="0" applyFont="1" applyFill="1" applyBorder="1" applyAlignment="1">
      <alignment horizontal="center" vertical="center"/>
    </xf>
    <xf numFmtId="0" fontId="8" fillId="0" borderId="28" xfId="3" applyFont="1" applyBorder="1" applyAlignment="1">
      <alignment vertical="center" wrapText="1"/>
    </xf>
    <xf numFmtId="0" fontId="10" fillId="0" borderId="28" xfId="3" applyFont="1" applyFill="1" applyBorder="1" applyAlignment="1">
      <alignment vertical="center" wrapText="1"/>
    </xf>
    <xf numFmtId="164" fontId="10" fillId="0" borderId="0" xfId="1" applyNumberFormat="1" applyFont="1" applyAlignment="1"/>
    <xf numFmtId="164" fontId="10" fillId="0" borderId="0" xfId="1" applyNumberFormat="1" applyFont="1" applyAlignment="1">
      <alignment horizontal="center"/>
    </xf>
    <xf numFmtId="0" fontId="10" fillId="0" borderId="0" xfId="1" applyFont="1" applyAlignment="1">
      <alignment wrapText="1"/>
    </xf>
    <xf numFmtId="0" fontId="8" fillId="0" borderId="25" xfId="3" applyFont="1" applyFill="1" applyBorder="1" applyAlignment="1">
      <alignment horizontal="left" vertical="center" wrapText="1"/>
    </xf>
    <xf numFmtId="0" fontId="8" fillId="0" borderId="48" xfId="3" applyFont="1" applyFill="1" applyBorder="1" applyAlignment="1">
      <alignment vertical="center" wrapText="1"/>
    </xf>
    <xf numFmtId="0" fontId="8" fillId="0" borderId="49" xfId="3" applyFont="1" applyFill="1" applyBorder="1" applyAlignment="1">
      <alignment vertical="center" wrapText="1"/>
    </xf>
    <xf numFmtId="0" fontId="8" fillId="0" borderId="50" xfId="3" applyFont="1" applyFill="1" applyBorder="1" applyAlignment="1">
      <alignment vertical="center" wrapText="1"/>
    </xf>
    <xf numFmtId="2" fontId="8" fillId="0" borderId="11" xfId="3" applyNumberFormat="1" applyFont="1" applyFill="1" applyBorder="1" applyAlignment="1">
      <alignment horizontal="center" vertical="center"/>
    </xf>
    <xf numFmtId="2" fontId="8" fillId="0" borderId="4" xfId="3" applyNumberFormat="1" applyFont="1" applyFill="1" applyBorder="1" applyAlignment="1">
      <alignment horizontal="center" vertical="center"/>
    </xf>
    <xf numFmtId="0" fontId="8" fillId="0" borderId="41" xfId="3" applyFont="1" applyFill="1" applyBorder="1" applyAlignment="1">
      <alignment vertical="center" wrapText="1"/>
    </xf>
    <xf numFmtId="2" fontId="8" fillId="0" borderId="51" xfId="3" applyNumberFormat="1" applyFont="1" applyFill="1" applyBorder="1" applyAlignment="1">
      <alignment horizontal="center" vertical="center"/>
    </xf>
    <xf numFmtId="2" fontId="8" fillId="9" borderId="32" xfId="3" applyNumberFormat="1" applyFont="1" applyFill="1" applyBorder="1" applyAlignment="1" applyProtection="1">
      <alignment horizontal="center" vertical="center"/>
      <protection locked="0"/>
    </xf>
    <xf numFmtId="0" fontId="8" fillId="9" borderId="32" xfId="3" quotePrefix="1" applyFont="1" applyFill="1" applyBorder="1" applyAlignment="1" applyProtection="1">
      <alignment horizontal="center" vertical="center"/>
      <protection locked="0"/>
    </xf>
    <xf numFmtId="0" fontId="15" fillId="4" borderId="36" xfId="2" applyFont="1" applyFill="1" applyBorder="1" applyAlignment="1" applyProtection="1">
      <alignment horizontal="center" vertical="center" wrapText="1"/>
    </xf>
    <xf numFmtId="0" fontId="2" fillId="3" borderId="1" xfId="1" applyFont="1" applyFill="1" applyBorder="1" applyAlignment="1">
      <alignment horizontal="center" vertical="center"/>
    </xf>
    <xf numFmtId="2" fontId="8" fillId="9" borderId="14" xfId="3" applyNumberFormat="1" applyFont="1" applyFill="1" applyBorder="1" applyAlignment="1" applyProtection="1">
      <alignment horizontal="center" vertical="center"/>
      <protection locked="0"/>
    </xf>
    <xf numFmtId="0" fontId="8" fillId="9" borderId="14" xfId="3" quotePrefix="1" applyFont="1" applyFill="1" applyBorder="1" applyAlignment="1" applyProtection="1">
      <alignment horizontal="center" vertical="center"/>
      <protection locked="0"/>
    </xf>
    <xf numFmtId="2" fontId="8" fillId="9" borderId="19" xfId="3" applyNumberFormat="1" applyFont="1" applyFill="1" applyBorder="1" applyAlignment="1" applyProtection="1">
      <alignment horizontal="center" vertical="center"/>
      <protection locked="0"/>
    </xf>
    <xf numFmtId="0" fontId="8" fillId="0" borderId="28" xfId="3" applyFont="1" applyFill="1" applyBorder="1" applyAlignment="1">
      <alignment vertical="center" wrapText="1"/>
    </xf>
    <xf numFmtId="0" fontId="8" fillId="0" borderId="47" xfId="3" applyFont="1" applyFill="1" applyBorder="1" applyAlignment="1">
      <alignment vertical="center" wrapText="1"/>
    </xf>
    <xf numFmtId="0" fontId="5" fillId="4" borderId="5" xfId="2" applyFont="1" applyFill="1" applyBorder="1" applyAlignment="1" applyProtection="1">
      <alignment horizontal="center" vertical="center" wrapText="1"/>
    </xf>
    <xf numFmtId="164" fontId="8" fillId="0" borderId="17" xfId="2" applyNumberFormat="1" applyFont="1" applyBorder="1" applyAlignment="1" applyProtection="1">
      <alignment horizontal="center" vertical="center" wrapText="1"/>
    </xf>
    <xf numFmtId="165" fontId="8" fillId="0" borderId="14" xfId="2" applyNumberFormat="1" applyFont="1" applyBorder="1" applyAlignment="1" applyProtection="1">
      <alignment horizontal="center" vertical="center" wrapText="1"/>
    </xf>
    <xf numFmtId="0" fontId="8" fillId="0" borderId="18" xfId="2" applyFont="1" applyBorder="1" applyAlignment="1" applyProtection="1">
      <alignment horizontal="center" vertical="center" wrapText="1"/>
    </xf>
    <xf numFmtId="0" fontId="8" fillId="0" borderId="24" xfId="2" applyFont="1" applyBorder="1" applyAlignment="1" applyProtection="1">
      <alignment horizontal="center" vertical="center" wrapText="1"/>
    </xf>
    <xf numFmtId="2" fontId="8" fillId="9" borderId="34" xfId="2" applyNumberFormat="1" applyFont="1" applyFill="1" applyBorder="1" applyAlignment="1" applyProtection="1">
      <alignment horizontal="center" vertical="center" wrapText="1"/>
      <protection locked="0"/>
    </xf>
    <xf numFmtId="2" fontId="9" fillId="9" borderId="34" xfId="2" applyNumberFormat="1" applyFont="1" applyFill="1" applyBorder="1" applyAlignment="1" applyProtection="1">
      <alignment horizontal="center" vertical="center" wrapText="1"/>
      <protection locked="0"/>
    </xf>
    <xf numFmtId="165" fontId="8" fillId="0" borderId="32" xfId="2" applyNumberFormat="1" applyFont="1" applyBorder="1" applyAlignment="1" applyProtection="1">
      <alignment horizontal="center" vertical="center" wrapText="1"/>
    </xf>
    <xf numFmtId="0" fontId="8" fillId="0" borderId="36" xfId="2" applyFont="1" applyBorder="1" applyAlignment="1" applyProtection="1">
      <alignment horizontal="center" vertical="center" wrapText="1"/>
    </xf>
    <xf numFmtId="0" fontId="8" fillId="9" borderId="19" xfId="3" quotePrefix="1" applyFont="1" applyFill="1" applyBorder="1" applyAlignment="1" applyProtection="1">
      <alignment horizontal="center" vertical="center"/>
      <protection locked="0"/>
    </xf>
    <xf numFmtId="164" fontId="8" fillId="0" borderId="22" xfId="2" applyNumberFormat="1" applyFont="1" applyBorder="1" applyAlignment="1" applyProtection="1">
      <alignment horizontal="center" vertical="center" wrapText="1"/>
    </xf>
    <xf numFmtId="165" fontId="8" fillId="0" borderId="23" xfId="2" applyNumberFormat="1" applyFont="1" applyBorder="1" applyAlignment="1" applyProtection="1">
      <alignment horizontal="center" vertical="center" wrapText="1"/>
    </xf>
    <xf numFmtId="2" fontId="8" fillId="9" borderId="55" xfId="2" applyNumberFormat="1" applyFont="1" applyFill="1" applyBorder="1" applyAlignment="1" applyProtection="1">
      <alignment horizontal="center" vertical="center" wrapText="1"/>
      <protection locked="0"/>
    </xf>
    <xf numFmtId="0" fontId="17" fillId="0" borderId="0" xfId="3" applyFont="1" applyFill="1" applyBorder="1"/>
    <xf numFmtId="0" fontId="18" fillId="6" borderId="38" xfId="3" applyFont="1" applyFill="1" applyBorder="1" applyAlignment="1">
      <alignment horizontal="center" vertical="center" wrapText="1"/>
    </xf>
    <xf numFmtId="0" fontId="3" fillId="6" borderId="28" xfId="3" applyNumberFormat="1" applyFont="1" applyFill="1" applyBorder="1" applyAlignment="1">
      <alignment horizontal="left" vertical="center" wrapText="1"/>
    </xf>
    <xf numFmtId="0" fontId="18" fillId="6" borderId="28" xfId="3" applyFont="1" applyFill="1" applyBorder="1" applyAlignment="1">
      <alignment horizontal="center" vertical="center" wrapText="1"/>
    </xf>
    <xf numFmtId="0" fontId="9" fillId="0" borderId="0" xfId="3" applyFont="1" applyBorder="1" applyAlignment="1">
      <alignment horizontal="center" vertical="center"/>
    </xf>
    <xf numFmtId="0" fontId="9" fillId="0" borderId="6" xfId="3" applyFont="1" applyFill="1" applyBorder="1" applyAlignment="1">
      <alignment horizontal="left" vertical="center"/>
    </xf>
    <xf numFmtId="0" fontId="8" fillId="0" borderId="9" xfId="3" applyFont="1" applyFill="1" applyBorder="1" applyAlignment="1">
      <alignment vertical="center"/>
    </xf>
    <xf numFmtId="0" fontId="8" fillId="0" borderId="9" xfId="3" applyFont="1" applyFill="1" applyBorder="1" applyAlignment="1">
      <alignment horizontal="center" vertical="center"/>
    </xf>
    <xf numFmtId="49" fontId="8" fillId="0" borderId="9" xfId="3" applyNumberFormat="1" applyFont="1" applyFill="1" applyBorder="1" applyAlignment="1">
      <alignment horizontal="center" vertical="center"/>
    </xf>
    <xf numFmtId="0" fontId="8" fillId="0" borderId="9" xfId="3" applyFont="1" applyFill="1" applyBorder="1" applyAlignment="1">
      <alignment vertical="center" wrapText="1"/>
    </xf>
    <xf numFmtId="0" fontId="10" fillId="0" borderId="9" xfId="3" applyFont="1" applyFill="1" applyBorder="1" applyAlignment="1">
      <alignment vertical="center" wrapText="1"/>
    </xf>
    <xf numFmtId="0" fontId="4" fillId="0" borderId="0" xfId="3" applyFont="1" applyFill="1" applyBorder="1"/>
    <xf numFmtId="0" fontId="8" fillId="0" borderId="28" xfId="3" applyFont="1" applyBorder="1" applyAlignment="1">
      <alignment vertical="center"/>
    </xf>
    <xf numFmtId="0" fontId="8" fillId="0" borderId="28" xfId="3" applyFont="1" applyBorder="1" applyAlignment="1">
      <alignment horizontal="center" vertical="center"/>
    </xf>
    <xf numFmtId="49" fontId="8" fillId="0" borderId="28" xfId="3" applyNumberFormat="1" applyFont="1" applyBorder="1" applyAlignment="1">
      <alignment horizontal="center" vertical="center"/>
    </xf>
    <xf numFmtId="0" fontId="10" fillId="0" borderId="28" xfId="3" applyFont="1" applyBorder="1" applyAlignment="1">
      <alignment vertical="center" wrapText="1"/>
    </xf>
    <xf numFmtId="0" fontId="4" fillId="0" borderId="0" xfId="3" applyFont="1" applyBorder="1"/>
    <xf numFmtId="49" fontId="8" fillId="0" borderId="28" xfId="3" quotePrefix="1" applyNumberFormat="1" applyFont="1" applyBorder="1" applyAlignment="1">
      <alignment horizontal="center" vertical="center"/>
    </xf>
    <xf numFmtId="0" fontId="9" fillId="0" borderId="38" xfId="3" applyFont="1" applyFill="1" applyBorder="1" applyAlignment="1"/>
    <xf numFmtId="0" fontId="8" fillId="0" borderId="47" xfId="3" applyFont="1" applyFill="1" applyBorder="1" applyAlignment="1">
      <alignment horizontal="left"/>
    </xf>
    <xf numFmtId="0" fontId="8" fillId="0" borderId="47" xfId="3" applyFont="1" applyFill="1" applyBorder="1" applyAlignment="1">
      <alignment horizontal="center"/>
    </xf>
    <xf numFmtId="49" fontId="8" fillId="0" borderId="47" xfId="3" applyNumberFormat="1" applyFont="1" applyFill="1" applyBorder="1" applyAlignment="1">
      <alignment horizontal="center"/>
    </xf>
    <xf numFmtId="0" fontId="8" fillId="0" borderId="39" xfId="3" applyFont="1" applyFill="1" applyBorder="1" applyAlignment="1">
      <alignment wrapText="1"/>
    </xf>
    <xf numFmtId="0" fontId="10" fillId="0" borderId="8" xfId="3" applyFont="1" applyFill="1" applyBorder="1" applyAlignment="1">
      <alignment vertical="center" wrapText="1"/>
    </xf>
    <xf numFmtId="0" fontId="8" fillId="0" borderId="9" xfId="3" applyFont="1" applyBorder="1" applyAlignment="1">
      <alignment vertical="center"/>
    </xf>
    <xf numFmtId="0" fontId="8" fillId="0" borderId="9" xfId="3" applyFont="1" applyBorder="1" applyAlignment="1">
      <alignment horizontal="center" vertical="center"/>
    </xf>
    <xf numFmtId="49" fontId="8" fillId="0" borderId="9" xfId="3" applyNumberFormat="1" applyFont="1" applyBorder="1" applyAlignment="1">
      <alignment horizontal="center" vertical="center"/>
    </xf>
    <xf numFmtId="0" fontId="10" fillId="0" borderId="9" xfId="3" quotePrefix="1" applyFont="1" applyBorder="1" applyAlignment="1">
      <alignment vertical="center" wrapText="1"/>
    </xf>
    <xf numFmtId="0" fontId="8" fillId="0" borderId="47" xfId="3" applyFont="1" applyFill="1" applyBorder="1" applyAlignment="1">
      <alignment vertical="center"/>
    </xf>
    <xf numFmtId="0" fontId="8" fillId="0" borderId="47" xfId="3" applyFont="1" applyFill="1" applyBorder="1" applyAlignment="1">
      <alignment horizontal="center" vertical="center"/>
    </xf>
    <xf numFmtId="49" fontId="8" fillId="0" borderId="47" xfId="3" applyNumberFormat="1" applyFont="1" applyFill="1" applyBorder="1" applyAlignment="1">
      <alignment horizontal="center" vertical="center"/>
    </xf>
    <xf numFmtId="0" fontId="10" fillId="0" borderId="47" xfId="3" applyFont="1" applyFill="1" applyBorder="1" applyAlignment="1">
      <alignment vertical="center" wrapText="1"/>
    </xf>
    <xf numFmtId="0" fontId="8" fillId="0" borderId="31" xfId="3" applyFont="1" applyBorder="1" applyAlignment="1">
      <alignment vertical="center"/>
    </xf>
    <xf numFmtId="0" fontId="8" fillId="0" borderId="31" xfId="3" applyFont="1" applyBorder="1" applyAlignment="1">
      <alignment horizontal="center" vertical="center"/>
    </xf>
    <xf numFmtId="49" fontId="8" fillId="0" borderId="31" xfId="3" applyNumberFormat="1" applyFont="1" applyBorder="1" applyAlignment="1">
      <alignment horizontal="center" vertical="center"/>
    </xf>
    <xf numFmtId="0" fontId="10" fillId="0" borderId="31" xfId="3" applyFont="1" applyBorder="1" applyAlignment="1">
      <alignment vertical="center" wrapText="1"/>
    </xf>
    <xf numFmtId="0" fontId="8" fillId="0" borderId="9" xfId="3" applyFont="1" applyBorder="1" applyAlignment="1">
      <alignment vertical="center" wrapText="1"/>
    </xf>
    <xf numFmtId="0" fontId="8" fillId="0" borderId="31" xfId="3" applyFont="1" applyBorder="1" applyAlignment="1">
      <alignment horizontal="left" vertical="center"/>
    </xf>
    <xf numFmtId="49" fontId="8" fillId="0" borderId="31" xfId="3" quotePrefix="1" applyNumberFormat="1" applyFont="1" applyBorder="1" applyAlignment="1">
      <alignment horizontal="center" vertical="center"/>
    </xf>
    <xf numFmtId="0" fontId="8" fillId="0" borderId="31" xfId="3" applyFont="1" applyBorder="1" applyAlignment="1">
      <alignment vertical="center" wrapText="1"/>
    </xf>
    <xf numFmtId="0" fontId="8" fillId="0" borderId="28" xfId="3" applyFont="1" applyBorder="1" applyAlignment="1">
      <alignment horizontal="left" vertical="center"/>
    </xf>
    <xf numFmtId="0" fontId="4" fillId="0" borderId="28" xfId="3" applyFont="1" applyFill="1" applyBorder="1" applyAlignment="1">
      <alignment vertical="center" wrapText="1"/>
    </xf>
    <xf numFmtId="0" fontId="10" fillId="0" borderId="28" xfId="3" applyFont="1" applyFill="1" applyBorder="1" applyAlignment="1"/>
    <xf numFmtId="0" fontId="8" fillId="0" borderId="29" xfId="3" applyFont="1" applyBorder="1" applyAlignment="1">
      <alignment horizontal="left" vertical="center"/>
    </xf>
    <xf numFmtId="0" fontId="8" fillId="0" borderId="29" xfId="3" applyFont="1" applyBorder="1" applyAlignment="1">
      <alignment vertical="center"/>
    </xf>
    <xf numFmtId="0" fontId="8" fillId="0" borderId="29" xfId="3" applyFont="1" applyBorder="1" applyAlignment="1">
      <alignment horizontal="center" vertical="center"/>
    </xf>
    <xf numFmtId="49" fontId="8" fillId="0" borderId="29" xfId="3" applyNumberFormat="1" applyFont="1" applyBorder="1" applyAlignment="1">
      <alignment horizontal="center" vertical="center"/>
    </xf>
    <xf numFmtId="0" fontId="8" fillId="0" borderId="29" xfId="3" applyFont="1" applyBorder="1" applyAlignment="1">
      <alignment vertical="center" wrapText="1"/>
    </xf>
    <xf numFmtId="0" fontId="10" fillId="0" borderId="29" xfId="3" applyFont="1" applyBorder="1" applyAlignment="1">
      <alignment vertical="center" wrapText="1"/>
    </xf>
    <xf numFmtId="0" fontId="10" fillId="0" borderId="0" xfId="3" applyFont="1" applyBorder="1"/>
    <xf numFmtId="0" fontId="10" fillId="0" borderId="0" xfId="3" applyFont="1" applyBorder="1" applyAlignment="1"/>
    <xf numFmtId="0" fontId="10" fillId="0" borderId="0" xfId="3" applyFont="1" applyBorder="1" applyAlignment="1">
      <alignment wrapText="1"/>
    </xf>
    <xf numFmtId="0" fontId="4" fillId="0" borderId="0" xfId="3" applyFont="1" applyFill="1" applyBorder="1" applyAlignment="1"/>
    <xf numFmtId="0" fontId="4" fillId="0" borderId="0" xfId="3" applyFont="1" applyBorder="1" applyAlignment="1">
      <alignment wrapText="1"/>
    </xf>
    <xf numFmtId="0" fontId="19" fillId="0" borderId="0" xfId="3" applyFont="1" applyFill="1" applyBorder="1"/>
    <xf numFmtId="0" fontId="19" fillId="0" borderId="0" xfId="3" applyFont="1" applyFill="1" applyBorder="1" applyAlignment="1"/>
    <xf numFmtId="0" fontId="4" fillId="10" borderId="0" xfId="3" applyFont="1" applyFill="1" applyBorder="1" applyAlignment="1">
      <alignment wrapText="1"/>
    </xf>
    <xf numFmtId="0" fontId="4" fillId="0" borderId="0" xfId="3" applyFont="1" applyBorder="1" applyAlignment="1"/>
    <xf numFmtId="0" fontId="9" fillId="0" borderId="38" xfId="3" applyFont="1" applyFill="1" applyBorder="1" applyAlignment="1">
      <alignment horizontal="left" vertical="center"/>
    </xf>
    <xf numFmtId="0" fontId="8" fillId="0" borderId="47" xfId="3" applyNumberFormat="1" applyFont="1" applyFill="1" applyBorder="1" applyAlignment="1">
      <alignment horizontal="left" vertical="center"/>
    </xf>
    <xf numFmtId="0" fontId="8" fillId="0" borderId="28" xfId="3" applyNumberFormat="1" applyFont="1" applyBorder="1" applyAlignment="1">
      <alignment horizontal="left" vertical="center"/>
    </xf>
    <xf numFmtId="0" fontId="8" fillId="0" borderId="28" xfId="3" applyFont="1" applyFill="1" applyBorder="1" applyAlignment="1">
      <alignment horizontal="center" vertical="center"/>
    </xf>
    <xf numFmtId="0" fontId="8" fillId="0" borderId="28" xfId="3" quotePrefix="1" applyFont="1" applyBorder="1" applyAlignment="1">
      <alignment horizontal="center" vertical="center"/>
    </xf>
    <xf numFmtId="0" fontId="8" fillId="0" borderId="28" xfId="3" applyFont="1" applyFill="1" applyBorder="1" applyAlignment="1">
      <alignment vertical="center"/>
    </xf>
    <xf numFmtId="0" fontId="8" fillId="0" borderId="28" xfId="3" applyNumberFormat="1" applyFont="1" applyFill="1" applyBorder="1" applyAlignment="1">
      <alignment horizontal="left" vertical="center"/>
    </xf>
    <xf numFmtId="16" fontId="8" fillId="0" borderId="28" xfId="3" quotePrefix="1" applyNumberFormat="1" applyFont="1" applyFill="1" applyBorder="1" applyAlignment="1">
      <alignment horizontal="center" vertical="center"/>
    </xf>
    <xf numFmtId="0" fontId="8" fillId="0" borderId="9" xfId="3" applyNumberFormat="1" applyFont="1" applyBorder="1" applyAlignment="1">
      <alignment horizontal="left" vertical="center"/>
    </xf>
    <xf numFmtId="0" fontId="10" fillId="0" borderId="9" xfId="3" applyFont="1" applyBorder="1" applyAlignment="1">
      <alignment vertical="center" wrapText="1"/>
    </xf>
    <xf numFmtId="0" fontId="8" fillId="0" borderId="31" xfId="3" applyNumberFormat="1" applyFont="1" applyBorder="1" applyAlignment="1">
      <alignment horizontal="left" vertical="center"/>
    </xf>
    <xf numFmtId="0" fontId="10" fillId="0" borderId="0" xfId="3" applyNumberFormat="1" applyFont="1" applyBorder="1"/>
    <xf numFmtId="0" fontId="10" fillId="0" borderId="0" xfId="3" applyFont="1" applyBorder="1" applyAlignment="1">
      <alignment horizontal="center"/>
    </xf>
    <xf numFmtId="0" fontId="4" fillId="0" borderId="0" xfId="3" applyNumberFormat="1" applyFont="1" applyBorder="1"/>
    <xf numFmtId="0" fontId="4" fillId="0" borderId="0" xfId="3" applyFont="1" applyBorder="1" applyAlignment="1">
      <alignment horizontal="center"/>
    </xf>
    <xf numFmtId="0" fontId="5" fillId="4" borderId="44" xfId="2" applyFont="1" applyFill="1" applyBorder="1" applyAlignment="1" applyProtection="1">
      <alignment horizontal="center" vertical="center" wrapText="1"/>
    </xf>
    <xf numFmtId="0" fontId="8" fillId="9" borderId="57" xfId="3" applyFont="1" applyFill="1" applyBorder="1" applyAlignment="1" applyProtection="1">
      <alignment vertical="center" wrapText="1"/>
      <protection locked="0"/>
    </xf>
    <xf numFmtId="2" fontId="8" fillId="9" borderId="58" xfId="3" applyNumberFormat="1" applyFont="1" applyFill="1" applyBorder="1" applyAlignment="1" applyProtection="1">
      <alignment horizontal="center" vertical="center"/>
      <protection locked="0"/>
    </xf>
    <xf numFmtId="0" fontId="8" fillId="9" borderId="58" xfId="3" quotePrefix="1" applyFont="1" applyFill="1" applyBorder="1" applyAlignment="1" applyProtection="1">
      <alignment horizontal="center" vertical="center"/>
      <protection locked="0"/>
    </xf>
    <xf numFmtId="2" fontId="8" fillId="0" borderId="59" xfId="3" applyNumberFormat="1" applyFont="1" applyFill="1" applyBorder="1" applyAlignment="1">
      <alignment horizontal="center" vertical="center"/>
    </xf>
    <xf numFmtId="164" fontId="8" fillId="0" borderId="60" xfId="2" applyNumberFormat="1" applyFont="1" applyBorder="1" applyAlignment="1" applyProtection="1">
      <alignment horizontal="center" vertical="center" wrapText="1"/>
    </xf>
    <xf numFmtId="0" fontId="8" fillId="0" borderId="61" xfId="2" applyFont="1" applyBorder="1" applyAlignment="1" applyProtection="1">
      <alignment horizontal="center" vertical="center" wrapText="1"/>
    </xf>
    <xf numFmtId="0" fontId="8" fillId="9" borderId="62" xfId="3" applyFont="1" applyFill="1" applyBorder="1" applyAlignment="1" applyProtection="1">
      <alignment vertical="center" wrapText="1"/>
      <protection locked="0"/>
    </xf>
    <xf numFmtId="0" fontId="8" fillId="0" borderId="63" xfId="2" applyFont="1" applyBorder="1" applyAlignment="1" applyProtection="1">
      <alignment horizontal="center" vertical="center" wrapText="1"/>
    </xf>
    <xf numFmtId="0" fontId="8" fillId="9" borderId="64" xfId="3" applyFont="1" applyFill="1" applyBorder="1" applyAlignment="1" applyProtection="1">
      <alignment vertical="center" wrapText="1"/>
      <protection locked="0"/>
    </xf>
    <xf numFmtId="2" fontId="8" fillId="9" borderId="65" xfId="3" applyNumberFormat="1" applyFont="1" applyFill="1" applyBorder="1" applyAlignment="1" applyProtection="1">
      <alignment horizontal="center" vertical="center"/>
      <protection locked="0"/>
    </xf>
    <xf numFmtId="0" fontId="8" fillId="9" borderId="65" xfId="3" quotePrefix="1" applyFont="1" applyFill="1" applyBorder="1" applyAlignment="1" applyProtection="1">
      <alignment horizontal="center" vertical="center"/>
      <protection locked="0"/>
    </xf>
    <xf numFmtId="2" fontId="8" fillId="0" borderId="66" xfId="3" applyNumberFormat="1" applyFont="1" applyFill="1" applyBorder="1" applyAlignment="1">
      <alignment horizontal="center" vertical="center"/>
    </xf>
    <xf numFmtId="2" fontId="8" fillId="9" borderId="12" xfId="2" applyNumberFormat="1" applyFont="1" applyFill="1" applyBorder="1" applyAlignment="1" applyProtection="1">
      <alignment horizontal="center" vertical="center" wrapText="1"/>
      <protection locked="0"/>
    </xf>
    <xf numFmtId="164" fontId="8" fillId="0" borderId="67" xfId="2" applyNumberFormat="1" applyFont="1" applyBorder="1" applyAlignment="1" applyProtection="1">
      <alignment horizontal="center" vertical="center" wrapText="1"/>
    </xf>
    <xf numFmtId="0" fontId="8" fillId="0" borderId="68" xfId="2" applyFont="1" applyBorder="1" applyAlignment="1" applyProtection="1">
      <alignment horizontal="center" vertical="center" wrapText="1"/>
    </xf>
    <xf numFmtId="165" fontId="8" fillId="0" borderId="58" xfId="2" applyNumberFormat="1" applyFont="1" applyBorder="1" applyAlignment="1" applyProtection="1">
      <alignment horizontal="center" vertical="center" wrapText="1"/>
    </xf>
    <xf numFmtId="2" fontId="8" fillId="9" borderId="69" xfId="3" applyNumberFormat="1" applyFont="1" applyFill="1" applyBorder="1" applyAlignment="1" applyProtection="1">
      <alignment horizontal="center" vertical="center"/>
      <protection locked="0"/>
    </xf>
    <xf numFmtId="0" fontId="8" fillId="9" borderId="69" xfId="3" quotePrefix="1" applyFont="1" applyFill="1" applyBorder="1" applyAlignment="1" applyProtection="1">
      <alignment horizontal="center" vertical="center"/>
      <protection locked="0"/>
    </xf>
    <xf numFmtId="2" fontId="8" fillId="0" borderId="70" xfId="3" applyNumberFormat="1" applyFont="1" applyFill="1" applyBorder="1" applyAlignment="1">
      <alignment horizontal="center" vertical="center"/>
    </xf>
    <xf numFmtId="165" fontId="8" fillId="0" borderId="71" xfId="2" applyNumberFormat="1" applyFont="1" applyBorder="1" applyAlignment="1" applyProtection="1">
      <alignment horizontal="center" vertical="center" wrapText="1"/>
    </xf>
    <xf numFmtId="10" fontId="0" fillId="0" borderId="0" xfId="0" applyNumberFormat="1" applyBorder="1" applyAlignment="1">
      <alignment horizontal="center"/>
    </xf>
    <xf numFmtId="0" fontId="2" fillId="3" borderId="1" xfId="1" applyFont="1" applyFill="1" applyBorder="1" applyAlignment="1" applyProtection="1">
      <alignment horizontal="center" vertical="center"/>
    </xf>
    <xf numFmtId="0" fontId="15" fillId="4" borderId="56" xfId="2" applyFont="1" applyFill="1" applyBorder="1" applyAlignment="1" applyProtection="1">
      <alignment horizontal="center" vertical="center" wrapText="1"/>
    </xf>
    <xf numFmtId="2" fontId="0" fillId="0" borderId="2" xfId="0" applyNumberFormat="1" applyFill="1" applyBorder="1" applyAlignment="1" applyProtection="1">
      <alignment horizontal="center" vertical="center"/>
    </xf>
    <xf numFmtId="164" fontId="0" fillId="0" borderId="1" xfId="0" applyNumberFormat="1" applyFill="1" applyBorder="1" applyAlignment="1" applyProtection="1">
      <alignment horizontal="center" vertical="center"/>
    </xf>
    <xf numFmtId="165" fontId="0" fillId="0" borderId="3" xfId="0" applyNumberFormat="1" applyFill="1" applyBorder="1" applyAlignment="1" applyProtection="1">
      <alignment horizontal="center" vertical="center"/>
    </xf>
    <xf numFmtId="2" fontId="8" fillId="0" borderId="15" xfId="3" applyNumberFormat="1" applyFont="1" applyFill="1" applyBorder="1" applyAlignment="1" applyProtection="1">
      <alignment horizontal="center" vertical="center"/>
    </xf>
    <xf numFmtId="2" fontId="8" fillId="9" borderId="16" xfId="2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 applyProtection="1"/>
    <xf numFmtId="0" fontId="21" fillId="0" borderId="0" xfId="0" applyFont="1" applyProtection="1"/>
    <xf numFmtId="2" fontId="8" fillId="0" borderId="20" xfId="3" applyNumberFormat="1" applyFont="1" applyFill="1" applyBorder="1" applyAlignment="1" applyProtection="1">
      <alignment horizontal="center" vertical="center"/>
    </xf>
    <xf numFmtId="2" fontId="8" fillId="9" borderId="21" xfId="2" applyNumberFormat="1" applyFont="1" applyFill="1" applyBorder="1" applyAlignment="1" applyProtection="1">
      <alignment horizontal="center" vertical="center" wrapText="1"/>
    </xf>
    <xf numFmtId="0" fontId="10" fillId="0" borderId="0" xfId="1" applyFont="1" applyBorder="1" applyAlignment="1" applyProtection="1">
      <alignment horizontal="left" wrapText="1"/>
    </xf>
    <xf numFmtId="0" fontId="10" fillId="0" borderId="0" xfId="1" applyFont="1" applyAlignment="1" applyProtection="1"/>
    <xf numFmtId="0" fontId="10" fillId="0" borderId="0" xfId="1" applyFont="1" applyAlignment="1" applyProtection="1">
      <alignment wrapText="1"/>
    </xf>
    <xf numFmtId="0" fontId="10" fillId="0" borderId="0" xfId="1" applyFont="1" applyAlignment="1" applyProtection="1">
      <alignment horizontal="left"/>
    </xf>
    <xf numFmtId="0" fontId="11" fillId="0" borderId="0" xfId="0" applyFont="1" applyProtection="1"/>
    <xf numFmtId="2" fontId="0" fillId="11" borderId="52" xfId="0" applyNumberFormat="1" applyFill="1" applyBorder="1" applyAlignment="1">
      <alignment horizontal="center" vertical="center"/>
    </xf>
    <xf numFmtId="10" fontId="0" fillId="11" borderId="52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0" fillId="0" borderId="0" xfId="0" applyFont="1" applyBorder="1" applyAlignment="1">
      <alignment horizontal="center" vertical="center" wrapText="1"/>
    </xf>
    <xf numFmtId="0" fontId="10" fillId="0" borderId="0" xfId="0" applyFont="1"/>
    <xf numFmtId="0" fontId="0" fillId="0" borderId="7" xfId="0" applyBorder="1" applyProtection="1"/>
    <xf numFmtId="0" fontId="0" fillId="0" borderId="0" xfId="0" applyBorder="1" applyProtection="1"/>
    <xf numFmtId="0" fontId="0" fillId="0" borderId="72" xfId="0" applyBorder="1" applyProtection="1"/>
    <xf numFmtId="0" fontId="0" fillId="0" borderId="75" xfId="0" applyBorder="1" applyProtection="1"/>
    <xf numFmtId="0" fontId="0" fillId="0" borderId="73" xfId="0" applyBorder="1" applyProtection="1"/>
    <xf numFmtId="0" fontId="0" fillId="0" borderId="74" xfId="0" applyBorder="1" applyProtection="1"/>
    <xf numFmtId="0" fontId="0" fillId="0" borderId="0" xfId="0" applyBorder="1" applyAlignment="1" applyProtection="1"/>
    <xf numFmtId="0" fontId="0" fillId="0" borderId="0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0" fontId="0" fillId="0" borderId="7" xfId="0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0" fillId="0" borderId="72" xfId="0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 wrapText="1"/>
    </xf>
    <xf numFmtId="0" fontId="0" fillId="0" borderId="7" xfId="0" applyBorder="1" applyAlignment="1" applyProtection="1">
      <alignment vertical="center"/>
    </xf>
    <xf numFmtId="0" fontId="0" fillId="0" borderId="72" xfId="0" applyBorder="1" applyAlignment="1" applyProtection="1">
      <alignment vertical="center"/>
    </xf>
    <xf numFmtId="0" fontId="0" fillId="0" borderId="0" xfId="0" applyBorder="1" applyAlignment="1" applyProtection="1">
      <alignment wrapText="1"/>
    </xf>
    <xf numFmtId="0" fontId="26" fillId="0" borderId="0" xfId="5" applyBorder="1" applyProtection="1"/>
    <xf numFmtId="0" fontId="0" fillId="0" borderId="0" xfId="0" applyBorder="1" applyAlignment="1" applyProtection="1">
      <alignment horizontal="right"/>
    </xf>
    <xf numFmtId="0" fontId="10" fillId="0" borderId="0" xfId="0" applyFont="1" applyProtection="1"/>
    <xf numFmtId="0" fontId="8" fillId="0" borderId="3" xfId="0" applyFont="1" applyBorder="1" applyAlignment="1" applyProtection="1">
      <alignment vertical="center"/>
    </xf>
    <xf numFmtId="0" fontId="8" fillId="0" borderId="0" xfId="3" applyFont="1" applyFill="1" applyBorder="1" applyAlignment="1">
      <alignment vertical="center" wrapText="1"/>
    </xf>
    <xf numFmtId="0" fontId="15" fillId="4" borderId="81" xfId="2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wrapText="1"/>
    </xf>
    <xf numFmtId="0" fontId="0" fillId="14" borderId="1" xfId="0" applyFill="1" applyBorder="1" applyProtection="1"/>
    <xf numFmtId="0" fontId="0" fillId="14" borderId="1" xfId="0" applyFill="1" applyBorder="1" applyAlignment="1">
      <alignment horizontal="center" wrapText="1"/>
    </xf>
    <xf numFmtId="0" fontId="0" fillId="14" borderId="1" xfId="0" applyFill="1" applyBorder="1" applyAlignment="1">
      <alignment horizontal="center"/>
    </xf>
    <xf numFmtId="0" fontId="6" fillId="0" borderId="0" xfId="2" applyFont="1" applyFill="1" applyBorder="1" applyAlignment="1" applyProtection="1">
      <alignment horizontal="center" vertical="center" wrapText="1"/>
    </xf>
    <xf numFmtId="165" fontId="0" fillId="0" borderId="7" xfId="0" applyNumberFormat="1" applyFill="1" applyBorder="1" applyAlignment="1" applyProtection="1">
      <alignment horizontal="center" vertical="center"/>
    </xf>
    <xf numFmtId="0" fontId="0" fillId="0" borderId="0" xfId="0" applyFill="1" applyBorder="1" applyAlignment="1" applyProtection="1">
      <alignment horizontal="center" vertical="center" wrapText="1"/>
    </xf>
    <xf numFmtId="0" fontId="0" fillId="14" borderId="3" xfId="0" applyFill="1" applyBorder="1" applyAlignment="1">
      <alignment horizontal="center"/>
    </xf>
    <xf numFmtId="0" fontId="0" fillId="0" borderId="28" xfId="0" applyFill="1" applyBorder="1" applyAlignment="1">
      <alignment horizontal="center"/>
    </xf>
    <xf numFmtId="0" fontId="0" fillId="0" borderId="0" xfId="0" applyFill="1" applyBorder="1" applyAlignment="1">
      <alignment horizontal="center" wrapText="1"/>
    </xf>
    <xf numFmtId="0" fontId="0" fillId="0" borderId="1" xfId="0" applyFill="1" applyBorder="1" applyAlignment="1" applyProtection="1">
      <alignment horizontal="center"/>
      <protection locked="0"/>
    </xf>
    <xf numFmtId="0" fontId="10" fillId="0" borderId="7" xfId="0" applyFont="1" applyBorder="1"/>
    <xf numFmtId="0" fontId="5" fillId="6" borderId="28" xfId="3" applyFont="1" applyFill="1" applyBorder="1" applyAlignment="1">
      <alignment horizontal="center" vertical="center" wrapText="1"/>
    </xf>
    <xf numFmtId="0" fontId="10" fillId="7" borderId="28" xfId="3" applyFont="1" applyFill="1" applyBorder="1" applyAlignment="1">
      <alignment horizontal="left" vertical="center" wrapText="1"/>
    </xf>
    <xf numFmtId="0" fontId="10" fillId="0" borderId="28" xfId="3" applyFont="1" applyBorder="1" applyAlignment="1">
      <alignment horizontal="left" vertical="center" wrapText="1"/>
    </xf>
    <xf numFmtId="2" fontId="5" fillId="6" borderId="9" xfId="3" applyNumberFormat="1" applyFont="1" applyFill="1" applyBorder="1" applyAlignment="1">
      <alignment horizontal="center" vertical="center"/>
    </xf>
    <xf numFmtId="164" fontId="5" fillId="6" borderId="9" xfId="3" applyNumberFormat="1" applyFont="1" applyFill="1" applyBorder="1" applyAlignment="1">
      <alignment horizontal="center" vertical="center"/>
    </xf>
    <xf numFmtId="0" fontId="35" fillId="5" borderId="1" xfId="0" applyFont="1" applyFill="1" applyBorder="1" applyAlignment="1" applyProtection="1">
      <alignment horizontal="center" vertical="center"/>
      <protection locked="0"/>
    </xf>
    <xf numFmtId="0" fontId="0" fillId="0" borderId="31" xfId="0" applyFill="1" applyBorder="1" applyAlignment="1">
      <alignment horizontal="center"/>
    </xf>
    <xf numFmtId="0" fontId="0" fillId="0" borderId="1" xfId="0" applyFill="1" applyBorder="1" applyAlignment="1">
      <alignment horizontal="center" wrapText="1"/>
    </xf>
    <xf numFmtId="0" fontId="8" fillId="0" borderId="41" xfId="3" applyFont="1" applyFill="1" applyBorder="1" applyAlignment="1">
      <alignment horizontal="left" vertical="center" wrapText="1"/>
    </xf>
    <xf numFmtId="0" fontId="0" fillId="14" borderId="28" xfId="0" applyFill="1" applyBorder="1" applyProtection="1"/>
    <xf numFmtId="0" fontId="0" fillId="0" borderId="28" xfId="0" applyBorder="1" applyProtection="1"/>
    <xf numFmtId="0" fontId="0" fillId="0" borderId="28" xfId="0" applyBorder="1"/>
    <xf numFmtId="165" fontId="0" fillId="14" borderId="1" xfId="0" applyNumberFormat="1" applyFill="1" applyBorder="1" applyAlignment="1" applyProtection="1">
      <alignment horizontal="center" vertical="center"/>
    </xf>
    <xf numFmtId="0" fontId="5" fillId="5" borderId="4" xfId="1" applyFont="1" applyFill="1" applyBorder="1" applyAlignment="1">
      <alignment vertical="center" wrapText="1"/>
    </xf>
    <xf numFmtId="0" fontId="5" fillId="5" borderId="2" xfId="1" applyFont="1" applyFill="1" applyBorder="1" applyAlignment="1">
      <alignment vertical="center" wrapText="1"/>
    </xf>
    <xf numFmtId="0" fontId="7" fillId="4" borderId="6" xfId="2" applyFont="1" applyFill="1" applyBorder="1" applyAlignment="1" applyProtection="1">
      <alignment horizontal="center" vertical="center" wrapText="1"/>
    </xf>
    <xf numFmtId="0" fontId="7" fillId="4" borderId="80" xfId="2" applyFont="1" applyFill="1" applyBorder="1" applyAlignment="1" applyProtection="1">
      <alignment horizontal="center" vertical="center" wrapText="1"/>
    </xf>
    <xf numFmtId="0" fontId="36" fillId="4" borderId="52" xfId="2" applyFont="1" applyFill="1" applyBorder="1" applyAlignment="1" applyProtection="1">
      <alignment horizontal="center" vertical="center" wrapText="1"/>
    </xf>
    <xf numFmtId="0" fontId="7" fillId="4" borderId="81" xfId="2" applyFont="1" applyFill="1" applyBorder="1" applyAlignment="1" applyProtection="1">
      <alignment horizontal="center" vertical="center" wrapText="1"/>
    </xf>
    <xf numFmtId="0" fontId="36" fillId="4" borderId="82" xfId="2" applyFont="1" applyFill="1" applyBorder="1" applyAlignment="1" applyProtection="1">
      <alignment horizontal="center" vertical="center" wrapText="1"/>
    </xf>
    <xf numFmtId="165" fontId="8" fillId="0" borderId="1" xfId="2" applyNumberFormat="1" applyFont="1" applyBorder="1" applyAlignment="1" applyProtection="1">
      <alignment horizontal="center" vertical="center" wrapText="1"/>
    </xf>
    <xf numFmtId="0" fontId="8" fillId="0" borderId="1" xfId="2" applyFont="1" applyBorder="1" applyAlignment="1" applyProtection="1">
      <alignment horizontal="center" vertical="center" wrapText="1"/>
    </xf>
    <xf numFmtId="165" fontId="8" fillId="0" borderId="83" xfId="2" applyNumberFormat="1" applyFont="1" applyBorder="1" applyAlignment="1" applyProtection="1">
      <alignment horizontal="center" vertical="center" wrapText="1"/>
    </xf>
    <xf numFmtId="0" fontId="8" fillId="0" borderId="83" xfId="2" applyFont="1" applyBorder="1" applyAlignment="1" applyProtection="1">
      <alignment horizontal="center" vertical="center" wrapText="1"/>
    </xf>
    <xf numFmtId="164" fontId="8" fillId="0" borderId="86" xfId="2" applyNumberFormat="1" applyFont="1" applyBorder="1" applyAlignment="1" applyProtection="1">
      <alignment horizontal="center" vertical="center" wrapText="1"/>
    </xf>
    <xf numFmtId="0" fontId="8" fillId="9" borderId="87" xfId="3" applyFont="1" applyFill="1" applyBorder="1" applyAlignment="1" applyProtection="1">
      <alignment vertical="center" wrapText="1"/>
      <protection locked="0"/>
    </xf>
    <xf numFmtId="2" fontId="8" fillId="0" borderId="88" xfId="3" applyNumberFormat="1" applyFont="1" applyFill="1" applyBorder="1" applyAlignment="1" applyProtection="1">
      <alignment horizontal="center" vertical="center"/>
    </xf>
    <xf numFmtId="2" fontId="8" fillId="9" borderId="88" xfId="2" applyNumberFormat="1" applyFont="1" applyFill="1" applyBorder="1" applyAlignment="1" applyProtection="1">
      <alignment horizontal="center" vertical="center" wrapText="1"/>
    </xf>
    <xf numFmtId="164" fontId="8" fillId="0" borderId="88" xfId="2" applyNumberFormat="1" applyFont="1" applyBorder="1" applyAlignment="1" applyProtection="1">
      <alignment horizontal="center" vertical="center" wrapText="1"/>
    </xf>
    <xf numFmtId="165" fontId="8" fillId="0" borderId="88" xfId="2" applyNumberFormat="1" applyFont="1" applyBorder="1" applyAlignment="1" applyProtection="1">
      <alignment horizontal="center" vertical="center" wrapText="1"/>
    </xf>
    <xf numFmtId="0" fontId="8" fillId="0" borderId="88" xfId="2" applyFont="1" applyBorder="1" applyAlignment="1" applyProtection="1">
      <alignment horizontal="center" vertical="center" wrapText="1"/>
    </xf>
    <xf numFmtId="0" fontId="0" fillId="14" borderId="88" xfId="0" applyFill="1" applyBorder="1" applyProtection="1"/>
    <xf numFmtId="0" fontId="8" fillId="9" borderId="85" xfId="3" applyFont="1" applyFill="1" applyBorder="1" applyAlignment="1" applyProtection="1">
      <alignment vertical="center" wrapText="1"/>
      <protection locked="0"/>
    </xf>
    <xf numFmtId="2" fontId="8" fillId="0" borderId="1" xfId="3" applyNumberFormat="1" applyFont="1" applyFill="1" applyBorder="1" applyAlignment="1" applyProtection="1">
      <alignment horizontal="center" vertical="center"/>
    </xf>
    <xf numFmtId="2" fontId="8" fillId="9" borderId="1" xfId="2" applyNumberFormat="1" applyFont="1" applyFill="1" applyBorder="1" applyAlignment="1" applyProtection="1">
      <alignment horizontal="center" vertical="center" wrapText="1"/>
    </xf>
    <xf numFmtId="164" fontId="8" fillId="0" borderId="1" xfId="2" applyNumberFormat="1" applyFont="1" applyBorder="1" applyAlignment="1" applyProtection="1">
      <alignment horizontal="center" vertical="center" wrapText="1"/>
    </xf>
    <xf numFmtId="0" fontId="8" fillId="9" borderId="84" xfId="3" applyFont="1" applyFill="1" applyBorder="1" applyAlignment="1" applyProtection="1">
      <alignment vertical="center" wrapText="1"/>
      <protection locked="0"/>
    </xf>
    <xf numFmtId="2" fontId="8" fillId="0" borderId="83" xfId="3" applyNumberFormat="1" applyFont="1" applyFill="1" applyBorder="1" applyAlignment="1" applyProtection="1">
      <alignment horizontal="center" vertical="center"/>
    </xf>
    <xf numFmtId="2" fontId="8" fillId="9" borderId="83" xfId="2" applyNumberFormat="1" applyFont="1" applyFill="1" applyBorder="1" applyAlignment="1" applyProtection="1">
      <alignment horizontal="center" vertical="center" wrapText="1"/>
    </xf>
    <xf numFmtId="164" fontId="8" fillId="0" borderId="83" xfId="2" applyNumberFormat="1" applyFont="1" applyBorder="1" applyAlignment="1" applyProtection="1">
      <alignment horizontal="center" vertical="center" wrapText="1"/>
    </xf>
    <xf numFmtId="0" fontId="35" fillId="5" borderId="88" xfId="0" applyFont="1" applyFill="1" applyBorder="1" applyAlignment="1" applyProtection="1">
      <alignment horizontal="center" vertical="center"/>
      <protection locked="0"/>
    </xf>
    <xf numFmtId="0" fontId="5" fillId="4" borderId="9" xfId="2" applyFont="1" applyFill="1" applyBorder="1" applyAlignment="1" applyProtection="1">
      <alignment horizontal="center" vertical="center" wrapText="1"/>
    </xf>
    <xf numFmtId="0" fontId="15" fillId="4" borderId="88" xfId="2" applyFont="1" applyFill="1" applyBorder="1" applyAlignment="1" applyProtection="1">
      <alignment horizontal="center" vertical="center" wrapText="1"/>
      <protection locked="0"/>
    </xf>
    <xf numFmtId="0" fontId="0" fillId="14" borderId="38" xfId="0" applyFill="1" applyBorder="1"/>
    <xf numFmtId="0" fontId="0" fillId="14" borderId="1" xfId="0" applyFill="1" applyBorder="1" applyAlignment="1">
      <alignment wrapText="1"/>
    </xf>
    <xf numFmtId="2" fontId="0" fillId="0" borderId="0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0" xfId="0" applyNumberFormat="1"/>
    <xf numFmtId="2" fontId="20" fillId="0" borderId="0" xfId="0" applyNumberFormat="1" applyFont="1" applyBorder="1" applyAlignment="1">
      <alignment horizontal="left" wrapText="1"/>
    </xf>
    <xf numFmtId="0" fontId="20" fillId="0" borderId="0" xfId="0" applyFont="1" applyBorder="1" applyAlignment="1">
      <alignment horizontal="left" vertical="center" wrapText="1"/>
    </xf>
    <xf numFmtId="10" fontId="20" fillId="0" borderId="0" xfId="0" applyNumberFormat="1" applyFont="1" applyBorder="1" applyAlignment="1">
      <alignment horizontal="center" vertical="center" wrapText="1"/>
    </xf>
    <xf numFmtId="0" fontId="10" fillId="0" borderId="9" xfId="3" applyFont="1" applyBorder="1" applyAlignment="1">
      <alignment horizontal="left" vertical="center" wrapText="1"/>
    </xf>
    <xf numFmtId="0" fontId="0" fillId="0" borderId="0" xfId="0" applyAlignment="1">
      <alignment horizontal="center" wrapText="1"/>
    </xf>
    <xf numFmtId="2" fontId="8" fillId="0" borderId="28" xfId="3" applyNumberFormat="1" applyFont="1" applyBorder="1" applyAlignment="1">
      <alignment horizontal="center" vertical="center"/>
    </xf>
    <xf numFmtId="0" fontId="5" fillId="5" borderId="38" xfId="0" applyFont="1" applyFill="1" applyBorder="1" applyAlignment="1">
      <alignment horizontal="center" vertical="center" wrapText="1"/>
    </xf>
    <xf numFmtId="0" fontId="8" fillId="8" borderId="28" xfId="0" applyFont="1" applyFill="1" applyBorder="1" applyAlignment="1">
      <alignment horizontal="center" vertical="center"/>
    </xf>
    <xf numFmtId="0" fontId="10" fillId="0" borderId="28" xfId="0" applyFont="1" applyFill="1" applyBorder="1" applyAlignment="1">
      <alignment vertical="center" wrapText="1"/>
    </xf>
    <xf numFmtId="0" fontId="8" fillId="8" borderId="28" xfId="0" applyNumberFormat="1" applyFont="1" applyFill="1" applyBorder="1" applyAlignment="1">
      <alignment horizontal="center" vertical="center"/>
    </xf>
    <xf numFmtId="49" fontId="8" fillId="8" borderId="28" xfId="0" applyNumberFormat="1" applyFont="1" applyFill="1" applyBorder="1" applyAlignment="1">
      <alignment horizontal="center" vertical="center"/>
    </xf>
    <xf numFmtId="0" fontId="8" fillId="5" borderId="38" xfId="3" applyFont="1" applyFill="1" applyBorder="1" applyAlignment="1">
      <alignment vertical="center" wrapText="1"/>
    </xf>
    <xf numFmtId="0" fontId="8" fillId="8" borderId="28" xfId="3" applyFont="1" applyFill="1" applyBorder="1" applyAlignment="1">
      <alignment horizontal="center" vertical="center"/>
    </xf>
    <xf numFmtId="0" fontId="0" fillId="0" borderId="28" xfId="0" applyFont="1" applyBorder="1" applyAlignment="1">
      <alignment vertical="center" wrapText="1"/>
    </xf>
    <xf numFmtId="0" fontId="8" fillId="5" borderId="28" xfId="3" applyFont="1" applyFill="1" applyBorder="1" applyAlignment="1">
      <alignment vertical="center" wrapText="1"/>
    </xf>
    <xf numFmtId="0" fontId="8" fillId="8" borderId="28" xfId="3" applyFont="1" applyFill="1" applyBorder="1" applyAlignment="1">
      <alignment horizontal="center" vertical="center" shrinkToFit="1"/>
    </xf>
    <xf numFmtId="0" fontId="8" fillId="0" borderId="0" xfId="3" quotePrefix="1" applyFont="1" applyFill="1" applyBorder="1" applyAlignment="1" applyProtection="1">
      <alignment horizontal="center" vertical="center"/>
      <protection locked="0"/>
    </xf>
    <xf numFmtId="0" fontId="8" fillId="9" borderId="14" xfId="3" quotePrefix="1" applyNumberFormat="1" applyFon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</xf>
    <xf numFmtId="0" fontId="23" fillId="15" borderId="28" xfId="0" applyFont="1" applyFill="1" applyBorder="1" applyAlignment="1" applyProtection="1">
      <alignment horizontal="center" vertical="center"/>
      <protection locked="0"/>
    </xf>
    <xf numFmtId="2" fontId="8" fillId="15" borderId="34" xfId="2" applyNumberFormat="1" applyFont="1" applyFill="1" applyBorder="1" applyAlignment="1" applyProtection="1">
      <alignment horizontal="center" vertical="center" wrapText="1"/>
      <protection locked="0"/>
    </xf>
    <xf numFmtId="0" fontId="0" fillId="14" borderId="1" xfId="0" applyFill="1" applyBorder="1"/>
    <xf numFmtId="0" fontId="0" fillId="15" borderId="28" xfId="0" applyFill="1" applyBorder="1" applyAlignment="1" applyProtection="1">
      <alignment horizontal="center" vertical="center"/>
      <protection locked="0"/>
    </xf>
    <xf numFmtId="0" fontId="8" fillId="9" borderId="41" xfId="3" applyFont="1" applyFill="1" applyBorder="1" applyAlignment="1">
      <alignment horizontal="left" vertical="center" wrapText="1"/>
    </xf>
    <xf numFmtId="0" fontId="8" fillId="0" borderId="40" xfId="2" applyFont="1" applyBorder="1" applyAlignment="1" applyProtection="1">
      <alignment horizontal="center" vertical="center" wrapText="1"/>
    </xf>
    <xf numFmtId="0" fontId="0" fillId="9" borderId="28" xfId="0" applyFill="1" applyBorder="1" applyProtection="1"/>
    <xf numFmtId="0" fontId="20" fillId="0" borderId="3" xfId="0" applyFont="1" applyBorder="1" applyAlignment="1" applyProtection="1">
      <alignment horizontal="center" vertical="center"/>
    </xf>
    <xf numFmtId="10" fontId="0" fillId="0" borderId="0" xfId="0" applyNumberFormat="1"/>
    <xf numFmtId="0" fontId="0" fillId="15" borderId="28" xfId="0" applyFill="1" applyBorder="1" applyProtection="1">
      <protection locked="0"/>
    </xf>
    <xf numFmtId="0" fontId="20" fillId="0" borderId="2" xfId="0" applyFont="1" applyBorder="1" applyAlignment="1" applyProtection="1">
      <alignment horizontal="center" vertical="center"/>
    </xf>
    <xf numFmtId="0" fontId="42" fillId="0" borderId="3" xfId="0" applyFont="1" applyBorder="1" applyAlignment="1">
      <alignment horizontal="center" vertical="center"/>
    </xf>
    <xf numFmtId="0" fontId="43" fillId="0" borderId="2" xfId="0" applyFont="1" applyBorder="1" applyAlignment="1">
      <alignment horizontal="center" vertical="center"/>
    </xf>
    <xf numFmtId="0" fontId="5" fillId="6" borderId="39" xfId="3" applyFont="1" applyFill="1" applyBorder="1" applyAlignment="1">
      <alignment horizontal="center" vertical="center"/>
    </xf>
    <xf numFmtId="44" fontId="19" fillId="6" borderId="28" xfId="4" applyFont="1" applyFill="1" applyBorder="1" applyAlignment="1">
      <alignment horizontal="center" vertical="center" wrapText="1"/>
    </xf>
    <xf numFmtId="2" fontId="5" fillId="6" borderId="28" xfId="3" applyNumberFormat="1" applyFont="1" applyFill="1" applyBorder="1" applyAlignment="1">
      <alignment horizontal="center" vertical="center"/>
    </xf>
    <xf numFmtId="0" fontId="9" fillId="6" borderId="9" xfId="3" applyFont="1" applyFill="1" applyBorder="1" applyAlignment="1">
      <alignment horizontal="center" vertical="center" wrapText="1"/>
    </xf>
    <xf numFmtId="0" fontId="10" fillId="0" borderId="0" xfId="1" applyFont="1" applyFill="1" applyAlignment="1">
      <alignment vertical="center"/>
    </xf>
    <xf numFmtId="167" fontId="1" fillId="0" borderId="0" xfId="3" applyNumberFormat="1"/>
    <xf numFmtId="0" fontId="1" fillId="0" borderId="0" xfId="3"/>
    <xf numFmtId="0" fontId="8" fillId="9" borderId="28" xfId="3" applyFont="1" applyFill="1" applyBorder="1" applyAlignment="1">
      <alignment horizontal="center" vertical="center"/>
    </xf>
    <xf numFmtId="164" fontId="8" fillId="0" borderId="28" xfId="3" applyNumberFormat="1" applyFont="1" applyFill="1" applyBorder="1" applyAlignment="1">
      <alignment horizontal="center" vertical="center"/>
    </xf>
    <xf numFmtId="0" fontId="4" fillId="0" borderId="0" xfId="3" applyFont="1" applyAlignment="1">
      <alignment vertical="center"/>
    </xf>
    <xf numFmtId="49" fontId="8" fillId="9" borderId="28" xfId="3" applyNumberFormat="1" applyFont="1" applyFill="1" applyBorder="1" applyAlignment="1">
      <alignment horizontal="center" vertical="center" shrinkToFit="1"/>
    </xf>
    <xf numFmtId="44" fontId="8" fillId="0" borderId="28" xfId="4" applyFont="1" applyFill="1" applyBorder="1" applyAlignment="1">
      <alignment horizontal="center" vertical="center"/>
    </xf>
    <xf numFmtId="168" fontId="1" fillId="0" borderId="0" xfId="3" applyNumberFormat="1"/>
    <xf numFmtId="0" fontId="8" fillId="5" borderId="28" xfId="0" applyFont="1" applyFill="1" applyBorder="1" applyAlignment="1">
      <alignment horizontal="left" vertical="center" wrapText="1"/>
    </xf>
    <xf numFmtId="0" fontId="8" fillId="9" borderId="28" xfId="0" applyFont="1" applyFill="1" applyBorder="1" applyAlignment="1">
      <alignment horizontal="center" vertical="center"/>
    </xf>
    <xf numFmtId="0" fontId="8" fillId="0" borderId="28" xfId="0" applyFont="1" applyFill="1" applyBorder="1" applyAlignment="1">
      <alignment horizontal="center" vertical="center"/>
    </xf>
    <xf numFmtId="0" fontId="20" fillId="5" borderId="28" xfId="0" applyFont="1" applyFill="1" applyBorder="1" applyAlignment="1">
      <alignment vertical="center"/>
    </xf>
    <xf numFmtId="0" fontId="20" fillId="9" borderId="28" xfId="0" applyFont="1" applyFill="1" applyBorder="1" applyAlignment="1">
      <alignment horizontal="center" vertical="center"/>
    </xf>
    <xf numFmtId="0" fontId="20" fillId="0" borderId="28" xfId="0" applyFont="1" applyFill="1" applyBorder="1" applyAlignment="1">
      <alignment horizontal="center" vertical="center"/>
    </xf>
    <xf numFmtId="49" fontId="8" fillId="9" borderId="28" xfId="3" applyNumberFormat="1" applyFont="1" applyFill="1" applyBorder="1" applyAlignment="1">
      <alignment horizontal="center" vertical="center"/>
    </xf>
    <xf numFmtId="0" fontId="8" fillId="9" borderId="28" xfId="3" applyNumberFormat="1" applyFont="1" applyFill="1" applyBorder="1" applyAlignment="1">
      <alignment horizontal="center" vertical="center"/>
    </xf>
    <xf numFmtId="0" fontId="10" fillId="7" borderId="28" xfId="3" applyFont="1" applyFill="1" applyBorder="1" applyAlignment="1">
      <alignment vertical="center" wrapText="1"/>
    </xf>
    <xf numFmtId="0" fontId="8" fillId="0" borderId="47" xfId="3" applyNumberFormat="1" applyFont="1" applyFill="1" applyBorder="1" applyAlignment="1">
      <alignment horizontal="center" vertical="center"/>
    </xf>
    <xf numFmtId="2" fontId="8" fillId="0" borderId="47" xfId="3" applyNumberFormat="1" applyFont="1" applyFill="1" applyBorder="1" applyAlignment="1">
      <alignment horizontal="center" vertical="center"/>
    </xf>
    <xf numFmtId="164" fontId="8" fillId="0" borderId="47" xfId="3" applyNumberFormat="1" applyFont="1" applyFill="1" applyBorder="1" applyAlignment="1">
      <alignment horizontal="center" vertical="center"/>
    </xf>
    <xf numFmtId="0" fontId="8" fillId="9" borderId="28" xfId="3" applyNumberFormat="1" applyFont="1" applyFill="1" applyBorder="1" applyAlignment="1">
      <alignment horizontal="center" vertical="center" shrinkToFit="1"/>
    </xf>
    <xf numFmtId="0" fontId="20" fillId="5" borderId="28" xfId="0" applyFont="1" applyFill="1" applyBorder="1"/>
    <xf numFmtId="0" fontId="10" fillId="0" borderId="0" xfId="3" applyFont="1" applyFill="1" applyBorder="1" applyAlignment="1">
      <alignment horizontal="left" vertical="center" wrapText="1"/>
    </xf>
    <xf numFmtId="0" fontId="20" fillId="0" borderId="28" xfId="0" applyFont="1" applyBorder="1" applyAlignment="1">
      <alignment horizontal="center" vertical="center"/>
    </xf>
    <xf numFmtId="164" fontId="20" fillId="0" borderId="28" xfId="0" applyNumberFormat="1" applyFont="1" applyBorder="1" applyAlignment="1">
      <alignment horizontal="center" vertical="center"/>
    </xf>
    <xf numFmtId="0" fontId="0" fillId="0" borderId="28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164" fontId="0" fillId="0" borderId="28" xfId="0" applyNumberFormat="1" applyBorder="1" applyAlignment="1">
      <alignment horizontal="center" vertical="center"/>
    </xf>
    <xf numFmtId="0" fontId="0" fillId="0" borderId="28" xfId="0" applyBorder="1" applyAlignment="1">
      <alignment vertical="center"/>
    </xf>
    <xf numFmtId="0" fontId="40" fillId="0" borderId="0" xfId="3" applyFont="1" applyFill="1" applyBorder="1" applyAlignment="1">
      <alignment horizontal="left" vertical="center" wrapText="1"/>
    </xf>
    <xf numFmtId="0" fontId="5" fillId="6" borderId="38" xfId="3" applyFont="1" applyFill="1" applyBorder="1" applyAlignment="1">
      <alignment horizontal="center" vertical="center" wrapText="1"/>
    </xf>
    <xf numFmtId="0" fontId="9" fillId="5" borderId="38" xfId="3" applyFont="1" applyFill="1" applyBorder="1" applyAlignment="1">
      <alignment vertical="center" wrapText="1"/>
    </xf>
    <xf numFmtId="0" fontId="9" fillId="5" borderId="28" xfId="3" applyFont="1" applyFill="1" applyBorder="1" applyAlignment="1">
      <alignment horizontal="center" vertical="center" wrapText="1"/>
    </xf>
    <xf numFmtId="0" fontId="9" fillId="6" borderId="28" xfId="3" applyFont="1" applyFill="1" applyBorder="1" applyAlignment="1">
      <alignment horizontal="center" vertical="center"/>
    </xf>
    <xf numFmtId="0" fontId="9" fillId="6" borderId="28" xfId="3" applyFont="1" applyFill="1" applyBorder="1" applyAlignment="1">
      <alignment horizontal="left" vertical="center"/>
    </xf>
    <xf numFmtId="49" fontId="8" fillId="8" borderId="28" xfId="3" applyNumberFormat="1" applyFont="1" applyFill="1" applyBorder="1" applyAlignment="1">
      <alignment horizontal="center" vertical="center" wrapText="1" shrinkToFit="1"/>
    </xf>
    <xf numFmtId="2" fontId="8" fillId="0" borderId="39" xfId="3" applyNumberFormat="1" applyFont="1" applyFill="1" applyBorder="1" applyAlignment="1">
      <alignment horizontal="center" vertical="center"/>
    </xf>
    <xf numFmtId="0" fontId="5" fillId="5" borderId="28" xfId="3" applyFont="1" applyFill="1" applyBorder="1" applyAlignment="1">
      <alignment horizontal="center" vertical="center" wrapText="1"/>
    </xf>
    <xf numFmtId="44" fontId="5" fillId="6" borderId="28" xfId="9" applyFont="1" applyFill="1" applyBorder="1" applyAlignment="1">
      <alignment horizontal="center" vertical="center"/>
    </xf>
    <xf numFmtId="0" fontId="10" fillId="0" borderId="28" xfId="3" applyFont="1" applyFill="1" applyBorder="1" applyAlignment="1">
      <alignment horizontal="left" vertical="center" wrapText="1"/>
    </xf>
    <xf numFmtId="0" fontId="8" fillId="8" borderId="28" xfId="3" applyNumberFormat="1" applyFont="1" applyFill="1" applyBorder="1" applyAlignment="1">
      <alignment horizontal="center" vertical="center" shrinkToFit="1"/>
    </xf>
    <xf numFmtId="0" fontId="8" fillId="0" borderId="77" xfId="3" applyFont="1" applyFill="1" applyBorder="1" applyAlignment="1">
      <alignment vertical="center" wrapText="1"/>
    </xf>
    <xf numFmtId="49" fontId="8" fillId="0" borderId="77" xfId="3" applyNumberFormat="1" applyFont="1" applyFill="1" applyBorder="1" applyAlignment="1">
      <alignment horizontal="center" vertical="center" shrinkToFit="1"/>
    </xf>
    <xf numFmtId="166" fontId="8" fillId="0" borderId="77" xfId="4" applyNumberFormat="1" applyFont="1" applyFill="1" applyBorder="1" applyAlignment="1">
      <alignment horizontal="center" vertical="center"/>
    </xf>
    <xf numFmtId="2" fontId="8" fillId="0" borderId="77" xfId="3" applyNumberFormat="1" applyFont="1" applyFill="1" applyBorder="1" applyAlignment="1">
      <alignment horizontal="center" vertical="center"/>
    </xf>
    <xf numFmtId="0" fontId="10" fillId="0" borderId="77" xfId="3" applyFont="1" applyFill="1" applyBorder="1" applyAlignment="1">
      <alignment vertical="center" wrapText="1"/>
    </xf>
    <xf numFmtId="49" fontId="8" fillId="0" borderId="0" xfId="3" applyNumberFormat="1" applyFont="1" applyFill="1" applyBorder="1" applyAlignment="1">
      <alignment horizontal="center" vertical="center" shrinkToFit="1"/>
    </xf>
    <xf numFmtId="166" fontId="8" fillId="0" borderId="0" xfId="4" applyNumberFormat="1" applyFont="1" applyFill="1" applyBorder="1" applyAlignment="1">
      <alignment horizontal="center" vertical="center"/>
    </xf>
    <xf numFmtId="0" fontId="10" fillId="0" borderId="0" xfId="3" applyFont="1" applyFill="1" applyBorder="1" applyAlignment="1">
      <alignment vertical="center" wrapText="1"/>
    </xf>
    <xf numFmtId="0" fontId="8" fillId="0" borderId="53" xfId="3" applyFont="1" applyFill="1" applyBorder="1" applyAlignment="1">
      <alignment vertical="center" wrapText="1"/>
    </xf>
    <xf numFmtId="49" fontId="8" fillId="0" borderId="53" xfId="3" applyNumberFormat="1" applyFont="1" applyFill="1" applyBorder="1" applyAlignment="1">
      <alignment horizontal="center" vertical="center" shrinkToFit="1"/>
    </xf>
    <xf numFmtId="166" fontId="8" fillId="0" borderId="53" xfId="4" applyNumberFormat="1" applyFont="1" applyFill="1" applyBorder="1" applyAlignment="1">
      <alignment horizontal="center" vertical="center"/>
    </xf>
    <xf numFmtId="2" fontId="8" fillId="0" borderId="53" xfId="3" applyNumberFormat="1" applyFont="1" applyFill="1" applyBorder="1" applyAlignment="1">
      <alignment horizontal="center" vertical="center"/>
    </xf>
    <xf numFmtId="0" fontId="10" fillId="0" borderId="53" xfId="3" applyFont="1" applyFill="1" applyBorder="1" applyAlignment="1">
      <alignment vertical="center" wrapText="1"/>
    </xf>
    <xf numFmtId="0" fontId="9" fillId="5" borderId="28" xfId="3" applyFont="1" applyFill="1" applyBorder="1" applyAlignment="1">
      <alignment vertical="center" wrapText="1"/>
    </xf>
    <xf numFmtId="44" fontId="9" fillId="6" borderId="28" xfId="9" applyFont="1" applyFill="1" applyBorder="1" applyAlignment="1">
      <alignment horizontal="center" vertical="center"/>
    </xf>
    <xf numFmtId="2" fontId="46" fillId="0" borderId="0" xfId="3" applyNumberFormat="1" applyFont="1" applyAlignment="1">
      <alignment horizontal="center"/>
    </xf>
    <xf numFmtId="0" fontId="8" fillId="0" borderId="0" xfId="3" applyFont="1" applyAlignment="1">
      <alignment wrapText="1"/>
    </xf>
    <xf numFmtId="2" fontId="9" fillId="0" borderId="11" xfId="3" applyNumberFormat="1" applyFont="1" applyBorder="1" applyAlignment="1">
      <alignment horizontal="center" vertical="center"/>
    </xf>
    <xf numFmtId="2" fontId="9" fillId="0" borderId="0" xfId="3" applyNumberFormat="1" applyFont="1" applyBorder="1" applyAlignment="1">
      <alignment horizontal="center" vertical="center"/>
    </xf>
    <xf numFmtId="2" fontId="8" fillId="0" borderId="28" xfId="4" applyNumberFormat="1" applyFont="1" applyFill="1" applyBorder="1" applyAlignment="1">
      <alignment horizontal="center" vertical="center"/>
    </xf>
    <xf numFmtId="2" fontId="8" fillId="0" borderId="11" xfId="4" applyNumberFormat="1" applyFont="1" applyFill="1" applyBorder="1" applyAlignment="1">
      <alignment horizontal="center" vertical="center"/>
    </xf>
    <xf numFmtId="2" fontId="8" fillId="0" borderId="0" xfId="4" applyNumberFormat="1" applyFont="1" applyFill="1" applyBorder="1" applyAlignment="1">
      <alignment horizontal="center" vertical="center"/>
    </xf>
    <xf numFmtId="1" fontId="8" fillId="0" borderId="28" xfId="4" applyNumberFormat="1" applyFont="1" applyFill="1" applyBorder="1" applyAlignment="1">
      <alignment horizontal="center" vertical="center"/>
    </xf>
    <xf numFmtId="1" fontId="8" fillId="0" borderId="28" xfId="3" applyNumberFormat="1" applyFont="1" applyBorder="1" applyAlignment="1">
      <alignment horizontal="center" vertical="center"/>
    </xf>
    <xf numFmtId="165" fontId="8" fillId="0" borderId="8" xfId="2" applyNumberFormat="1" applyFont="1" applyFill="1" applyBorder="1" applyAlignment="1" applyProtection="1">
      <alignment horizontal="center" vertical="center" wrapText="1"/>
    </xf>
    <xf numFmtId="0" fontId="0" fillId="0" borderId="89" xfId="0" applyFill="1" applyBorder="1" applyAlignment="1" applyProtection="1">
      <alignment horizontal="center" vertical="center"/>
    </xf>
    <xf numFmtId="0" fontId="0" fillId="0" borderId="0" xfId="0" applyFill="1" applyBorder="1" applyAlignment="1">
      <alignment horizontal="center"/>
    </xf>
    <xf numFmtId="0" fontId="8" fillId="9" borderId="32" xfId="3" quotePrefix="1" applyNumberFormat="1" applyFont="1" applyFill="1" applyBorder="1" applyAlignment="1" applyProtection="1">
      <alignment horizontal="center" vertical="center"/>
      <protection locked="0"/>
    </xf>
    <xf numFmtId="0" fontId="8" fillId="9" borderId="32" xfId="3" applyFont="1" applyFill="1" applyBorder="1" applyAlignment="1" applyProtection="1">
      <alignment horizontal="center" vertical="center"/>
      <protection locked="0"/>
    </xf>
    <xf numFmtId="0" fontId="8" fillId="9" borderId="32" xfId="3" applyNumberFormat="1" applyFont="1" applyFill="1" applyBorder="1" applyAlignment="1" applyProtection="1">
      <alignment horizontal="center" vertical="center"/>
      <protection locked="0"/>
    </xf>
    <xf numFmtId="0" fontId="8" fillId="0" borderId="90" xfId="3" applyFont="1" applyFill="1" applyBorder="1" applyAlignment="1">
      <alignment horizontal="left" vertical="center" wrapText="1"/>
    </xf>
    <xf numFmtId="0" fontId="8" fillId="9" borderId="65" xfId="3" quotePrefix="1" applyNumberFormat="1" applyFont="1" applyFill="1" applyBorder="1" applyAlignment="1" applyProtection="1">
      <alignment horizontal="center" vertical="center"/>
      <protection locked="0"/>
    </xf>
    <xf numFmtId="2" fontId="8" fillId="0" borderId="68" xfId="3" applyNumberFormat="1" applyFont="1" applyFill="1" applyBorder="1" applyAlignment="1">
      <alignment horizontal="center" vertical="center"/>
    </xf>
    <xf numFmtId="0" fontId="0" fillId="0" borderId="42" xfId="0" applyBorder="1"/>
    <xf numFmtId="0" fontId="0" fillId="0" borderId="45" xfId="0" applyBorder="1"/>
    <xf numFmtId="0" fontId="0" fillId="0" borderId="46" xfId="0" applyBorder="1"/>
    <xf numFmtId="0" fontId="0" fillId="0" borderId="42" xfId="0" applyBorder="1" applyProtection="1"/>
    <xf numFmtId="0" fontId="0" fillId="0" borderId="45" xfId="0" applyBorder="1" applyProtection="1"/>
    <xf numFmtId="0" fontId="0" fillId="0" borderId="46" xfId="0" applyBorder="1" applyProtection="1"/>
    <xf numFmtId="0" fontId="0" fillId="0" borderId="39" xfId="0" applyFill="1" applyBorder="1" applyAlignment="1">
      <alignment horizontal="center"/>
    </xf>
    <xf numFmtId="0" fontId="0" fillId="0" borderId="0" xfId="0" applyAlignment="1" applyProtection="1">
      <alignment wrapText="1"/>
    </xf>
    <xf numFmtId="0" fontId="0" fillId="0" borderId="3" xfId="0" applyBorder="1"/>
    <xf numFmtId="0" fontId="0" fillId="0" borderId="2" xfId="0" applyBorder="1"/>
    <xf numFmtId="169" fontId="0" fillId="0" borderId="1" xfId="0" applyNumberFormat="1" applyFill="1" applyBorder="1" applyAlignment="1">
      <alignment horizontal="center" vertical="center"/>
    </xf>
    <xf numFmtId="167" fontId="0" fillId="0" borderId="2" xfId="0" applyNumberFormat="1" applyFill="1" applyBorder="1" applyAlignment="1">
      <alignment horizontal="center" vertical="center"/>
    </xf>
    <xf numFmtId="0" fontId="7" fillId="4" borderId="16" xfId="2" applyFont="1" applyFill="1" applyBorder="1" applyAlignment="1" applyProtection="1">
      <alignment horizontal="center" vertical="center" wrapText="1"/>
    </xf>
    <xf numFmtId="0" fontId="5" fillId="5" borderId="3" xfId="1" applyFont="1" applyFill="1" applyBorder="1" applyAlignment="1">
      <alignment vertical="center" wrapText="1"/>
    </xf>
    <xf numFmtId="0" fontId="0" fillId="0" borderId="7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/>
    <xf numFmtId="0" fontId="0" fillId="0" borderId="72" xfId="0" applyBorder="1"/>
    <xf numFmtId="0" fontId="50" fillId="4" borderId="1" xfId="2" applyFont="1" applyFill="1" applyBorder="1" applyAlignment="1" applyProtection="1">
      <alignment horizontal="center" vertical="center" wrapText="1"/>
    </xf>
    <xf numFmtId="0" fontId="50" fillId="4" borderId="41" xfId="2" applyFont="1" applyFill="1" applyBorder="1" applyAlignment="1" applyProtection="1">
      <alignment horizontal="center" vertical="center" wrapText="1"/>
    </xf>
    <xf numFmtId="0" fontId="0" fillId="0" borderId="2" xfId="0" applyFill="1" applyBorder="1" applyAlignment="1">
      <alignment horizontal="center"/>
    </xf>
    <xf numFmtId="0" fontId="50" fillId="4" borderId="32" xfId="2" applyFont="1" applyFill="1" applyBorder="1" applyAlignment="1" applyProtection="1">
      <alignment horizontal="center" vertical="center" wrapText="1"/>
    </xf>
    <xf numFmtId="0" fontId="50" fillId="4" borderId="35" xfId="2" applyFont="1" applyFill="1" applyBorder="1" applyAlignment="1" applyProtection="1">
      <alignment horizontal="center" vertical="center" wrapText="1"/>
    </xf>
    <xf numFmtId="0" fontId="50" fillId="4" borderId="33" xfId="2" applyFont="1" applyFill="1" applyBorder="1" applyAlignment="1" applyProtection="1">
      <alignment horizontal="center" vertical="center" wrapText="1"/>
    </xf>
    <xf numFmtId="0" fontId="50" fillId="4" borderId="36" xfId="2" applyFont="1" applyFill="1" applyBorder="1" applyAlignment="1" applyProtection="1">
      <alignment horizontal="center" vertical="center" wrapText="1"/>
    </xf>
    <xf numFmtId="10" fontId="0" fillId="15" borderId="2" xfId="0" applyNumberFormat="1" applyFill="1" applyBorder="1" applyAlignment="1">
      <alignment horizontal="center" vertical="center"/>
    </xf>
    <xf numFmtId="165" fontId="8" fillId="0" borderId="93" xfId="2" applyNumberFormat="1" applyFont="1" applyBorder="1" applyAlignment="1" applyProtection="1">
      <alignment horizontal="center" vertical="center" wrapText="1"/>
    </xf>
    <xf numFmtId="165" fontId="8" fillId="0" borderId="15" xfId="2" applyNumberFormat="1" applyFont="1" applyBorder="1" applyAlignment="1" applyProtection="1">
      <alignment horizontal="center" vertical="center" wrapText="1"/>
    </xf>
    <xf numFmtId="165" fontId="8" fillId="0" borderId="66" xfId="2" applyNumberFormat="1" applyFont="1" applyBorder="1" applyAlignment="1" applyProtection="1">
      <alignment horizontal="center" vertical="center" wrapText="1"/>
    </xf>
    <xf numFmtId="0" fontId="8" fillId="0" borderId="44" xfId="2" applyFont="1" applyBorder="1" applyAlignment="1" applyProtection="1">
      <alignment horizontal="center" vertical="center" wrapText="1"/>
    </xf>
    <xf numFmtId="165" fontId="0" fillId="0" borderId="1" xfId="0" applyNumberFormat="1" applyFill="1" applyBorder="1" applyAlignment="1">
      <alignment horizontal="center" vertical="center"/>
    </xf>
    <xf numFmtId="10" fontId="0" fillId="0" borderId="1" xfId="0" applyNumberFormat="1" applyBorder="1"/>
    <xf numFmtId="10" fontId="23" fillId="15" borderId="2" xfId="0" applyNumberFormat="1" applyFont="1" applyFill="1" applyBorder="1" applyAlignment="1">
      <alignment horizontal="center" vertical="center"/>
    </xf>
    <xf numFmtId="164" fontId="8" fillId="0" borderId="97" xfId="2" applyNumberFormat="1" applyFont="1" applyBorder="1" applyAlignment="1" applyProtection="1">
      <alignment horizontal="center" vertical="center" wrapText="1"/>
    </xf>
    <xf numFmtId="165" fontId="8" fillId="0" borderId="98" xfId="2" applyNumberFormat="1" applyFont="1" applyBorder="1" applyAlignment="1" applyProtection="1">
      <alignment horizontal="center" vertical="center" wrapText="1"/>
    </xf>
    <xf numFmtId="164" fontId="8" fillId="0" borderId="99" xfId="2" applyNumberFormat="1" applyFont="1" applyBorder="1" applyAlignment="1" applyProtection="1">
      <alignment horizontal="center" vertical="center" wrapText="1"/>
    </xf>
    <xf numFmtId="0" fontId="8" fillId="0" borderId="100" xfId="2" applyFont="1" applyBorder="1" applyAlignment="1" applyProtection="1">
      <alignment horizontal="center" vertical="center" wrapText="1"/>
    </xf>
    <xf numFmtId="164" fontId="8" fillId="0" borderId="101" xfId="2" applyNumberFormat="1" applyFont="1" applyBorder="1" applyAlignment="1" applyProtection="1">
      <alignment horizontal="center" vertical="center" wrapText="1"/>
    </xf>
    <xf numFmtId="0" fontId="8" fillId="0" borderId="51" xfId="2" applyFont="1" applyBorder="1" applyAlignment="1" applyProtection="1">
      <alignment horizontal="center" vertical="center" wrapText="1"/>
    </xf>
    <xf numFmtId="164" fontId="8" fillId="0" borderId="102" xfId="2" applyNumberFormat="1" applyFont="1" applyBorder="1" applyAlignment="1" applyProtection="1">
      <alignment horizontal="center" vertical="center" wrapText="1"/>
    </xf>
    <xf numFmtId="2" fontId="8" fillId="15" borderId="12" xfId="2" applyNumberFormat="1" applyFont="1" applyFill="1" applyBorder="1" applyAlignment="1" applyProtection="1">
      <alignment horizontal="center" vertical="center" wrapText="1"/>
      <protection locked="0"/>
    </xf>
    <xf numFmtId="0" fontId="0" fillId="0" borderId="77" xfId="0" applyBorder="1"/>
    <xf numFmtId="2" fontId="8" fillId="15" borderId="103" xfId="2" applyNumberFormat="1" applyFont="1" applyFill="1" applyBorder="1" applyAlignment="1" applyProtection="1">
      <alignment horizontal="center" vertical="center" wrapText="1"/>
      <protection locked="0"/>
    </xf>
    <xf numFmtId="2" fontId="8" fillId="15" borderId="104" xfId="2" applyNumberFormat="1" applyFont="1" applyFill="1" applyBorder="1" applyAlignment="1" applyProtection="1">
      <alignment horizontal="center" vertical="center" wrapText="1"/>
      <protection locked="0"/>
    </xf>
    <xf numFmtId="2" fontId="8" fillId="15" borderId="105" xfId="2" applyNumberFormat="1" applyFont="1" applyFill="1" applyBorder="1" applyAlignment="1" applyProtection="1">
      <alignment horizontal="center" vertical="center" wrapText="1"/>
      <protection locked="0"/>
    </xf>
    <xf numFmtId="2" fontId="8" fillId="9" borderId="107" xfId="2" applyNumberFormat="1" applyFont="1" applyFill="1" applyBorder="1" applyAlignment="1" applyProtection="1">
      <alignment horizontal="center" vertical="center" wrapText="1"/>
      <protection locked="0"/>
    </xf>
    <xf numFmtId="2" fontId="8" fillId="9" borderId="106" xfId="2" applyNumberFormat="1" applyFont="1" applyFill="1" applyBorder="1" applyAlignment="1" applyProtection="1">
      <alignment horizontal="center" vertical="center" wrapText="1"/>
      <protection locked="0"/>
    </xf>
    <xf numFmtId="0" fontId="0" fillId="0" borderId="80" xfId="0" applyBorder="1" applyAlignment="1" applyProtection="1">
      <alignment horizontal="center" vertical="center"/>
    </xf>
    <xf numFmtId="2" fontId="8" fillId="15" borderId="106" xfId="2" applyNumberFormat="1" applyFont="1" applyFill="1" applyBorder="1" applyAlignment="1" applyProtection="1">
      <alignment horizontal="center" vertical="center" wrapText="1"/>
      <protection locked="0"/>
    </xf>
    <xf numFmtId="0" fontId="34" fillId="0" borderId="3" xfId="0" applyFont="1" applyBorder="1" applyAlignment="1" applyProtection="1">
      <alignment horizontal="center" vertical="center"/>
    </xf>
    <xf numFmtId="0" fontId="34" fillId="0" borderId="4" xfId="0" applyFont="1" applyBorder="1" applyAlignment="1" applyProtection="1">
      <alignment horizontal="center" vertical="center"/>
    </xf>
    <xf numFmtId="0" fontId="34" fillId="0" borderId="2" xfId="0" applyFont="1" applyBorder="1" applyAlignment="1" applyProtection="1">
      <alignment horizontal="center" vertical="center"/>
    </xf>
    <xf numFmtId="0" fontId="20" fillId="0" borderId="7" xfId="0" applyFont="1" applyBorder="1" applyAlignment="1" applyProtection="1">
      <alignment horizontal="center"/>
    </xf>
    <xf numFmtId="0" fontId="20" fillId="0" borderId="0" xfId="0" applyFont="1" applyBorder="1" applyAlignment="1" applyProtection="1">
      <alignment horizontal="center"/>
    </xf>
    <xf numFmtId="0" fontId="20" fillId="0" borderId="72" xfId="0" applyFont="1" applyBorder="1" applyAlignment="1" applyProtection="1">
      <alignment horizontal="center"/>
    </xf>
    <xf numFmtId="0" fontId="20" fillId="0" borderId="7" xfId="0" applyFont="1" applyBorder="1" applyAlignment="1" applyProtection="1">
      <alignment horizontal="center" vertical="center" wrapText="1"/>
    </xf>
    <xf numFmtId="0" fontId="20" fillId="0" borderId="0" xfId="0" applyFont="1" applyBorder="1" applyAlignment="1" applyProtection="1">
      <alignment horizontal="center" vertical="center" wrapText="1"/>
    </xf>
    <xf numFmtId="0" fontId="20" fillId="0" borderId="72" xfId="0" applyFont="1" applyBorder="1" applyAlignment="1" applyProtection="1">
      <alignment horizontal="center" vertical="center" wrapText="1"/>
    </xf>
    <xf numFmtId="0" fontId="27" fillId="2" borderId="3" xfId="0" applyFont="1" applyFill="1" applyBorder="1" applyAlignment="1" applyProtection="1">
      <alignment horizontal="center" vertical="center"/>
    </xf>
    <xf numFmtId="0" fontId="27" fillId="2" borderId="4" xfId="0" applyFont="1" applyFill="1" applyBorder="1" applyAlignment="1" applyProtection="1">
      <alignment horizontal="center" vertical="center"/>
    </xf>
    <xf numFmtId="0" fontId="27" fillId="2" borderId="2" xfId="0" applyFont="1" applyFill="1" applyBorder="1" applyAlignment="1" applyProtection="1">
      <alignment horizontal="center" vertical="center"/>
    </xf>
    <xf numFmtId="0" fontId="0" fillId="0" borderId="42" xfId="0" applyBorder="1" applyAlignment="1" applyProtection="1">
      <alignment horizontal="center"/>
    </xf>
    <xf numFmtId="0" fontId="0" fillId="0" borderId="45" xfId="0" applyBorder="1" applyAlignment="1" applyProtection="1">
      <alignment horizontal="center"/>
    </xf>
    <xf numFmtId="0" fontId="0" fillId="0" borderId="46" xfId="0" applyBorder="1" applyAlignment="1" applyProtection="1">
      <alignment horizontal="center"/>
    </xf>
    <xf numFmtId="0" fontId="0" fillId="0" borderId="7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 wrapText="1"/>
    </xf>
    <xf numFmtId="0" fontId="0" fillId="0" borderId="72" xfId="0" applyBorder="1" applyAlignment="1" applyProtection="1">
      <alignment horizontal="center" wrapText="1"/>
    </xf>
    <xf numFmtId="0" fontId="29" fillId="12" borderId="3" xfId="5" applyFont="1" applyFill="1" applyBorder="1" applyAlignment="1">
      <alignment horizontal="center" vertical="center"/>
    </xf>
    <xf numFmtId="0" fontId="29" fillId="12" borderId="4" xfId="5" applyFont="1" applyFill="1" applyBorder="1" applyAlignment="1">
      <alignment horizontal="center" vertical="center"/>
    </xf>
    <xf numFmtId="0" fontId="29" fillId="12" borderId="2" xfId="5" applyFont="1" applyFill="1" applyBorder="1" applyAlignment="1">
      <alignment horizontal="center" vertical="center"/>
    </xf>
    <xf numFmtId="0" fontId="29" fillId="12" borderId="3" xfId="5" applyFont="1" applyFill="1" applyBorder="1" applyAlignment="1" applyProtection="1">
      <alignment horizontal="center" vertical="center"/>
    </xf>
    <xf numFmtId="0" fontId="29" fillId="12" borderId="4" xfId="5" applyFont="1" applyFill="1" applyBorder="1" applyAlignment="1" applyProtection="1">
      <alignment horizontal="center" vertical="center"/>
    </xf>
    <xf numFmtId="0" fontId="29" fillId="12" borderId="2" xfId="5" applyFont="1" applyFill="1" applyBorder="1" applyAlignment="1" applyProtection="1">
      <alignment horizontal="center" vertical="center"/>
    </xf>
    <xf numFmtId="0" fontId="2" fillId="13" borderId="3" xfId="0" applyFont="1" applyFill="1" applyBorder="1" applyAlignment="1" applyProtection="1">
      <alignment horizontal="center" vertical="center"/>
    </xf>
    <xf numFmtId="0" fontId="2" fillId="13" borderId="4" xfId="0" applyFont="1" applyFill="1" applyBorder="1" applyAlignment="1" applyProtection="1">
      <alignment horizontal="center" vertical="center"/>
    </xf>
    <xf numFmtId="0" fontId="2" fillId="13" borderId="2" xfId="0" applyFont="1" applyFill="1" applyBorder="1" applyAlignment="1" applyProtection="1">
      <alignment horizontal="center" vertical="center"/>
    </xf>
    <xf numFmtId="0" fontId="2" fillId="12" borderId="3" xfId="0" applyFont="1" applyFill="1" applyBorder="1" applyAlignment="1" applyProtection="1">
      <alignment horizontal="center" vertical="center"/>
    </xf>
    <xf numFmtId="0" fontId="2" fillId="12" borderId="4" xfId="0" applyFont="1" applyFill="1" applyBorder="1" applyAlignment="1" applyProtection="1">
      <alignment horizontal="center" vertical="center"/>
    </xf>
    <xf numFmtId="0" fontId="2" fillId="12" borderId="2" xfId="0" applyFont="1" applyFill="1" applyBorder="1" applyAlignment="1" applyProtection="1">
      <alignment horizontal="center" vertical="center"/>
    </xf>
    <xf numFmtId="0" fontId="29" fillId="13" borderId="3" xfId="5" applyFont="1" applyFill="1" applyBorder="1" applyAlignment="1" applyProtection="1">
      <alignment horizontal="center" vertical="center"/>
    </xf>
    <xf numFmtId="0" fontId="29" fillId="13" borderId="4" xfId="5" applyFont="1" applyFill="1" applyBorder="1" applyAlignment="1" applyProtection="1">
      <alignment horizontal="center" vertical="center"/>
    </xf>
    <xf numFmtId="0" fontId="29" fillId="13" borderId="2" xfId="5" applyFont="1" applyFill="1" applyBorder="1" applyAlignment="1" applyProtection="1">
      <alignment horizontal="center" vertical="center"/>
    </xf>
    <xf numFmtId="0" fontId="0" fillId="0" borderId="54" xfId="0" applyBorder="1" applyAlignment="1" applyProtection="1">
      <alignment horizontal="center" vertical="center" wrapText="1"/>
    </xf>
    <xf numFmtId="0" fontId="0" fillId="0" borderId="77" xfId="0" applyBorder="1" applyAlignment="1" applyProtection="1">
      <alignment horizontal="center" vertical="center" wrapText="1"/>
    </xf>
    <xf numFmtId="0" fontId="0" fillId="0" borderId="78" xfId="0" applyBorder="1" applyAlignment="1" applyProtection="1">
      <alignment horizontal="center" vertical="center" wrapText="1"/>
    </xf>
    <xf numFmtId="0" fontId="0" fillId="0" borderId="48" xfId="0" applyBorder="1" applyAlignment="1" applyProtection="1">
      <alignment horizontal="center" vertical="center" wrapText="1"/>
    </xf>
    <xf numFmtId="0" fontId="0" fillId="0" borderId="53" xfId="0" applyBorder="1" applyAlignment="1" applyProtection="1">
      <alignment horizontal="center" vertical="center" wrapText="1"/>
    </xf>
    <xf numFmtId="0" fontId="0" fillId="0" borderId="79" xfId="0" applyBorder="1" applyAlignment="1" applyProtection="1">
      <alignment horizontal="center" vertical="center" wrapText="1"/>
    </xf>
    <xf numFmtId="0" fontId="29" fillId="13" borderId="3" xfId="5" applyFont="1" applyFill="1" applyBorder="1" applyAlignment="1">
      <alignment horizontal="center" vertical="center"/>
    </xf>
    <xf numFmtId="0" fontId="29" fillId="13" borderId="4" xfId="5" applyFont="1" applyFill="1" applyBorder="1" applyAlignment="1">
      <alignment horizontal="center" vertical="center"/>
    </xf>
    <xf numFmtId="0" fontId="29" fillId="13" borderId="2" xfId="5" applyFont="1" applyFill="1" applyBorder="1" applyAlignment="1">
      <alignment horizontal="center" vertical="center"/>
    </xf>
    <xf numFmtId="0" fontId="0" fillId="0" borderId="27" xfId="0" applyBorder="1" applyAlignment="1" applyProtection="1">
      <alignment horizontal="center" vertical="center"/>
    </xf>
    <xf numFmtId="0" fontId="0" fillId="0" borderId="47" xfId="0" applyBorder="1" applyAlignment="1" applyProtection="1">
      <alignment horizontal="center" vertical="center"/>
    </xf>
    <xf numFmtId="0" fontId="0" fillId="0" borderId="76" xfId="0" applyBorder="1" applyAlignment="1" applyProtection="1">
      <alignment horizontal="center" vertical="center"/>
    </xf>
    <xf numFmtId="0" fontId="0" fillId="0" borderId="7" xfId="0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0" borderId="72" xfId="0" applyBorder="1" applyAlignment="1" applyProtection="1">
      <alignment horizontal="center"/>
    </xf>
    <xf numFmtId="0" fontId="29" fillId="2" borderId="3" xfId="5" applyFont="1" applyFill="1" applyBorder="1" applyAlignment="1" applyProtection="1">
      <alignment horizontal="center" vertical="center"/>
    </xf>
    <xf numFmtId="0" fontId="29" fillId="2" borderId="4" xfId="5" applyFont="1" applyFill="1" applyBorder="1" applyAlignment="1" applyProtection="1">
      <alignment horizontal="center" vertical="center"/>
    </xf>
    <xf numFmtId="0" fontId="29" fillId="2" borderId="2" xfId="5" applyFont="1" applyFill="1" applyBorder="1" applyAlignment="1" applyProtection="1">
      <alignment horizontal="center" vertical="center"/>
    </xf>
    <xf numFmtId="0" fontId="0" fillId="0" borderId="7" xfId="0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0" fillId="0" borderId="72" xfId="0" applyBorder="1" applyAlignment="1" applyProtection="1">
      <alignment horizontal="center" vertical="center" wrapText="1"/>
    </xf>
    <xf numFmtId="0" fontId="20" fillId="0" borderId="3" xfId="0" applyFont="1" applyBorder="1" applyAlignment="1" applyProtection="1">
      <alignment horizontal="center" vertical="center"/>
    </xf>
    <xf numFmtId="0" fontId="20" fillId="0" borderId="4" xfId="0" applyFont="1" applyBorder="1" applyAlignment="1" applyProtection="1">
      <alignment horizontal="center" vertical="center"/>
    </xf>
    <xf numFmtId="0" fontId="28" fillId="0" borderId="4" xfId="5" applyFont="1" applyBorder="1" applyAlignment="1" applyProtection="1">
      <alignment horizontal="center" vertical="center"/>
    </xf>
    <xf numFmtId="0" fontId="28" fillId="0" borderId="2" xfId="5" applyFont="1" applyBorder="1" applyAlignment="1" applyProtection="1">
      <alignment horizontal="center" vertical="center"/>
    </xf>
    <xf numFmtId="0" fontId="26" fillId="0" borderId="4" xfId="5" applyBorder="1" applyAlignment="1" applyProtection="1">
      <alignment horizontal="center" vertical="center"/>
    </xf>
    <xf numFmtId="0" fontId="29" fillId="0" borderId="2" xfId="5" applyFont="1" applyBorder="1" applyAlignment="1" applyProtection="1">
      <alignment horizontal="center" vertical="center"/>
    </xf>
    <xf numFmtId="0" fontId="29" fillId="2" borderId="3" xfId="5" applyFont="1" applyFill="1" applyBorder="1" applyAlignment="1">
      <alignment horizontal="center" vertical="center"/>
    </xf>
    <xf numFmtId="0" fontId="29" fillId="2" borderId="4" xfId="5" applyFont="1" applyFill="1" applyBorder="1" applyAlignment="1">
      <alignment horizontal="center" vertical="center"/>
    </xf>
    <xf numFmtId="0" fontId="29" fillId="2" borderId="2" xfId="5" applyFont="1" applyFill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2" fillId="3" borderId="3" xfId="0" applyFont="1" applyFill="1" applyBorder="1" applyAlignment="1" applyProtection="1">
      <alignment horizontal="center" vertical="center" wrapText="1"/>
    </xf>
    <xf numFmtId="0" fontId="2" fillId="3" borderId="4" xfId="0" applyFont="1" applyFill="1" applyBorder="1" applyAlignment="1" applyProtection="1">
      <alignment horizontal="center" vertical="center" wrapText="1"/>
    </xf>
    <xf numFmtId="0" fontId="29" fillId="12" borderId="42" xfId="5" applyFont="1" applyFill="1" applyBorder="1" applyAlignment="1" applyProtection="1">
      <alignment horizontal="center" vertical="center" wrapText="1"/>
    </xf>
    <xf numFmtId="0" fontId="29" fillId="12" borderId="46" xfId="5" applyFont="1" applyFill="1" applyBorder="1" applyAlignment="1" applyProtection="1">
      <alignment horizontal="center" vertical="center" wrapText="1"/>
    </xf>
    <xf numFmtId="0" fontId="29" fillId="12" borderId="75" xfId="5" applyFont="1" applyFill="1" applyBorder="1" applyAlignment="1" applyProtection="1">
      <alignment horizontal="center" vertical="center" wrapText="1"/>
    </xf>
    <xf numFmtId="0" fontId="29" fillId="12" borderId="74" xfId="5" applyFont="1" applyFill="1" applyBorder="1" applyAlignment="1" applyProtection="1">
      <alignment horizontal="center" vertical="center" wrapText="1"/>
    </xf>
    <xf numFmtId="0" fontId="5" fillId="5" borderId="3" xfId="1" applyFont="1" applyFill="1" applyBorder="1" applyAlignment="1">
      <alignment horizontal="center" vertical="center" wrapText="1"/>
    </xf>
    <xf numFmtId="0" fontId="5" fillId="5" borderId="4" xfId="1" applyFont="1" applyFill="1" applyBorder="1" applyAlignment="1">
      <alignment horizontal="center" vertical="center" wrapText="1"/>
    </xf>
    <xf numFmtId="0" fontId="0" fillId="11" borderId="3" xfId="0" applyFill="1" applyBorder="1" applyAlignment="1">
      <alignment horizontal="left" vertical="center" wrapText="1"/>
    </xf>
    <xf numFmtId="0" fontId="0" fillId="11" borderId="4" xfId="0" applyFill="1" applyBorder="1" applyAlignment="1">
      <alignment horizontal="left" vertical="center" wrapText="1"/>
    </xf>
    <xf numFmtId="0" fontId="47" fillId="11" borderId="42" xfId="0" applyFont="1" applyFill="1" applyBorder="1" applyAlignment="1">
      <alignment horizontal="center" vertical="center" wrapText="1"/>
    </xf>
    <xf numFmtId="0" fontId="47" fillId="11" borderId="45" xfId="0" applyFont="1" applyFill="1" applyBorder="1" applyAlignment="1">
      <alignment horizontal="center" vertical="center" wrapText="1"/>
    </xf>
    <xf numFmtId="0" fontId="47" fillId="11" borderId="46" xfId="0" applyFont="1" applyFill="1" applyBorder="1" applyAlignment="1">
      <alignment horizontal="center" vertical="center" wrapText="1"/>
    </xf>
    <xf numFmtId="0" fontId="47" fillId="11" borderId="48" xfId="0" applyFont="1" applyFill="1" applyBorder="1" applyAlignment="1">
      <alignment horizontal="center" vertical="center" wrapText="1"/>
    </xf>
    <xf numFmtId="0" fontId="47" fillId="11" borderId="53" xfId="0" applyFont="1" applyFill="1" applyBorder="1" applyAlignment="1">
      <alignment horizontal="center" vertical="center" wrapText="1"/>
    </xf>
    <xf numFmtId="0" fontId="47" fillId="11" borderId="79" xfId="0" applyFont="1" applyFill="1" applyBorder="1" applyAlignment="1">
      <alignment horizontal="center" vertical="center" wrapText="1"/>
    </xf>
    <xf numFmtId="0" fontId="23" fillId="0" borderId="42" xfId="0" applyFont="1" applyBorder="1" applyAlignment="1">
      <alignment horizontal="center" vertical="center" wrapText="1"/>
    </xf>
    <xf numFmtId="0" fontId="23" fillId="0" borderId="46" xfId="0" applyFont="1" applyBorder="1" applyAlignment="1">
      <alignment horizontal="center" vertical="center" wrapText="1"/>
    </xf>
    <xf numFmtId="0" fontId="23" fillId="0" borderId="75" xfId="0" applyFont="1" applyBorder="1" applyAlignment="1">
      <alignment horizontal="center" vertical="center" wrapText="1"/>
    </xf>
    <xf numFmtId="0" fontId="23" fillId="0" borderId="74" xfId="0" applyFont="1" applyBorder="1" applyAlignment="1">
      <alignment horizontal="center" vertical="center" wrapText="1"/>
    </xf>
    <xf numFmtId="0" fontId="23" fillId="11" borderId="80" xfId="0" applyFont="1" applyFill="1" applyBorder="1" applyAlignment="1" applyProtection="1">
      <alignment horizontal="center" vertical="center"/>
      <protection locked="0"/>
    </xf>
    <xf numFmtId="0" fontId="23" fillId="11" borderId="52" xfId="0" applyFont="1" applyFill="1" applyBorder="1" applyAlignment="1" applyProtection="1">
      <alignment horizontal="center" vertical="center"/>
      <protection locked="0"/>
    </xf>
    <xf numFmtId="0" fontId="0" fillId="0" borderId="5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48" xfId="0" applyBorder="1" applyAlignment="1">
      <alignment horizontal="left" vertical="center" wrapText="1"/>
    </xf>
    <xf numFmtId="0" fontId="0" fillId="0" borderId="30" xfId="0" applyBorder="1" applyAlignment="1">
      <alignment horizontal="left" vertical="center" wrapText="1"/>
    </xf>
    <xf numFmtId="167" fontId="0" fillId="0" borderId="91" xfId="0" applyNumberFormat="1" applyBorder="1" applyAlignment="1">
      <alignment horizontal="left" vertical="center" wrapText="1"/>
    </xf>
    <xf numFmtId="167" fontId="0" fillId="0" borderId="92" xfId="0" applyNumberFormat="1" applyBorder="1" applyAlignment="1">
      <alignment horizontal="left" vertical="center" wrapText="1"/>
    </xf>
    <xf numFmtId="0" fontId="0" fillId="0" borderId="5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0" fillId="0" borderId="42" xfId="0" applyBorder="1" applyAlignment="1">
      <alignment horizontal="left" vertical="center" wrapText="1"/>
    </xf>
    <xf numFmtId="0" fontId="0" fillId="0" borderId="45" xfId="0" applyBorder="1" applyAlignment="1">
      <alignment horizontal="left" vertical="center" wrapText="1"/>
    </xf>
    <xf numFmtId="0" fontId="0" fillId="0" borderId="46" xfId="0" applyBorder="1" applyAlignment="1">
      <alignment horizontal="left" vertical="center" wrapText="1"/>
    </xf>
    <xf numFmtId="0" fontId="0" fillId="0" borderId="75" xfId="0" applyBorder="1" applyAlignment="1">
      <alignment horizontal="left" vertical="center" wrapText="1"/>
    </xf>
    <xf numFmtId="0" fontId="0" fillId="0" borderId="73" xfId="0" applyBorder="1" applyAlignment="1">
      <alignment horizontal="left" vertical="center" wrapText="1"/>
    </xf>
    <xf numFmtId="0" fontId="0" fillId="0" borderId="74" xfId="0" applyBorder="1" applyAlignment="1">
      <alignment horizontal="left" vertical="center" wrapText="1"/>
    </xf>
    <xf numFmtId="0" fontId="0" fillId="0" borderId="42" xfId="0" applyFill="1" applyBorder="1" applyAlignment="1">
      <alignment horizontal="center" wrapText="1"/>
    </xf>
    <xf numFmtId="0" fontId="0" fillId="0" borderId="45" xfId="0" applyFill="1" applyBorder="1" applyAlignment="1">
      <alignment horizontal="center" wrapText="1"/>
    </xf>
    <xf numFmtId="0" fontId="0" fillId="0" borderId="42" xfId="0" applyFont="1" applyBorder="1" applyAlignment="1">
      <alignment horizontal="center" vertical="center" wrapText="1"/>
    </xf>
    <xf numFmtId="0" fontId="0" fillId="0" borderId="4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72" xfId="0" applyFont="1" applyBorder="1" applyAlignment="1">
      <alignment horizontal="center" vertical="center" wrapText="1"/>
    </xf>
    <xf numFmtId="0" fontId="0" fillId="0" borderId="75" xfId="0" applyFont="1" applyBorder="1" applyAlignment="1">
      <alignment horizontal="center" vertical="center" wrapText="1"/>
    </xf>
    <xf numFmtId="0" fontId="0" fillId="0" borderId="74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  <xf numFmtId="0" fontId="29" fillId="12" borderId="42" xfId="5" applyFont="1" applyFill="1" applyBorder="1" applyAlignment="1">
      <alignment horizontal="center" vertical="center" wrapText="1"/>
    </xf>
    <xf numFmtId="0" fontId="29" fillId="12" borderId="46" xfId="5" applyFont="1" applyFill="1" applyBorder="1" applyAlignment="1">
      <alignment horizontal="center" vertical="center" wrapText="1"/>
    </xf>
    <xf numFmtId="0" fontId="29" fillId="12" borderId="7" xfId="5" applyFont="1" applyFill="1" applyBorder="1" applyAlignment="1">
      <alignment horizontal="center" vertical="center" wrapText="1"/>
    </xf>
    <xf numFmtId="0" fontId="29" fillId="12" borderId="72" xfId="5" applyFont="1" applyFill="1" applyBorder="1" applyAlignment="1">
      <alignment horizontal="center" vertical="center" wrapText="1"/>
    </xf>
    <xf numFmtId="0" fontId="29" fillId="12" borderId="73" xfId="5" applyFont="1" applyFill="1" applyBorder="1" applyAlignment="1">
      <alignment horizontal="center" vertical="center" wrapText="1"/>
    </xf>
    <xf numFmtId="0" fontId="29" fillId="12" borderId="74" xfId="5" applyFont="1" applyFill="1" applyBorder="1" applyAlignment="1">
      <alignment horizontal="center" vertical="center" wrapText="1"/>
    </xf>
    <xf numFmtId="0" fontId="29" fillId="2" borderId="42" xfId="5" applyFont="1" applyFill="1" applyBorder="1" applyAlignment="1">
      <alignment horizontal="center" vertical="center" wrapText="1"/>
    </xf>
    <xf numFmtId="0" fontId="29" fillId="2" borderId="46" xfId="5" applyFont="1" applyFill="1" applyBorder="1" applyAlignment="1">
      <alignment horizontal="center" vertical="center"/>
    </xf>
    <xf numFmtId="0" fontId="29" fillId="2" borderId="7" xfId="5" applyFont="1" applyFill="1" applyBorder="1" applyAlignment="1">
      <alignment horizontal="center" vertical="center"/>
    </xf>
    <xf numFmtId="0" fontId="29" fillId="2" borderId="72" xfId="5" applyFont="1" applyFill="1" applyBorder="1" applyAlignment="1">
      <alignment horizontal="center" vertical="center"/>
    </xf>
    <xf numFmtId="0" fontId="29" fillId="2" borderId="75" xfId="5" applyFont="1" applyFill="1" applyBorder="1" applyAlignment="1">
      <alignment horizontal="center" vertical="center"/>
    </xf>
    <xf numFmtId="0" fontId="29" fillId="2" borderId="74" xfId="5" applyFont="1" applyFill="1" applyBorder="1" applyAlignment="1">
      <alignment horizontal="center" vertical="center"/>
    </xf>
    <xf numFmtId="0" fontId="50" fillId="4" borderId="3" xfId="2" applyFont="1" applyFill="1" applyBorder="1" applyAlignment="1" applyProtection="1">
      <alignment horizontal="center" vertical="center" wrapText="1"/>
    </xf>
    <xf numFmtId="0" fontId="50" fillId="4" borderId="2" xfId="2" applyFont="1" applyFill="1" applyBorder="1" applyAlignment="1" applyProtection="1">
      <alignment horizontal="center" vertical="center" wrapText="1"/>
    </xf>
    <xf numFmtId="2" fontId="0" fillId="11" borderId="3" xfId="0" applyNumberFormat="1" applyFill="1" applyBorder="1" applyAlignment="1">
      <alignment horizontal="center" vertical="center"/>
    </xf>
    <xf numFmtId="2" fontId="0" fillId="11" borderId="2" xfId="0" applyNumberFormat="1" applyFill="1" applyBorder="1" applyAlignment="1">
      <alignment horizontal="center" vertical="center"/>
    </xf>
    <xf numFmtId="0" fontId="0" fillId="0" borderId="45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165" fontId="0" fillId="11" borderId="3" xfId="0" applyNumberFormat="1" applyFill="1" applyBorder="1" applyAlignment="1">
      <alignment horizontal="center" vertical="center"/>
    </xf>
    <xf numFmtId="165" fontId="0" fillId="11" borderId="2" xfId="0" applyNumberFormat="1" applyFill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22" fillId="4" borderId="3" xfId="2" applyFont="1" applyFill="1" applyBorder="1" applyAlignment="1" applyProtection="1">
      <alignment horizontal="center" vertical="center" wrapText="1"/>
    </xf>
    <xf numFmtId="0" fontId="22" fillId="4" borderId="4" xfId="2" applyFont="1" applyFill="1" applyBorder="1" applyAlignment="1" applyProtection="1">
      <alignment horizontal="center" vertical="center" wrapText="1"/>
    </xf>
    <xf numFmtId="0" fontId="22" fillId="4" borderId="2" xfId="2" applyFont="1" applyFill="1" applyBorder="1" applyAlignment="1" applyProtection="1">
      <alignment horizontal="center" vertical="center" wrapText="1"/>
    </xf>
    <xf numFmtId="2" fontId="48" fillId="0" borderId="3" xfId="0" applyNumberFormat="1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2" fontId="48" fillId="0" borderId="3" xfId="0" applyNumberFormat="1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7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42" xfId="0" applyFill="1" applyBorder="1" applyAlignment="1" applyProtection="1">
      <alignment horizontal="center"/>
    </xf>
    <xf numFmtId="0" fontId="0" fillId="0" borderId="46" xfId="0" applyFill="1" applyBorder="1" applyAlignment="1" applyProtection="1">
      <alignment horizontal="center"/>
    </xf>
    <xf numFmtId="10" fontId="0" fillId="0" borderId="75" xfId="0" applyNumberFormat="1" applyBorder="1" applyAlignment="1" applyProtection="1">
      <alignment horizontal="center"/>
    </xf>
    <xf numFmtId="0" fontId="0" fillId="0" borderId="74" xfId="0" applyBorder="1" applyAlignment="1" applyProtection="1">
      <alignment horizontal="center"/>
    </xf>
    <xf numFmtId="0" fontId="0" fillId="0" borderId="27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75" xfId="0" applyBorder="1" applyAlignment="1">
      <alignment horizontal="left" wrapText="1"/>
    </xf>
    <xf numFmtId="0" fontId="0" fillId="0" borderId="22" xfId="0" applyBorder="1" applyAlignment="1">
      <alignment horizontal="left" wrapText="1"/>
    </xf>
    <xf numFmtId="167" fontId="0" fillId="0" borderId="96" xfId="0" applyNumberFormat="1" applyBorder="1" applyAlignment="1">
      <alignment horizontal="left" vertical="center" wrapText="1"/>
    </xf>
    <xf numFmtId="0" fontId="0" fillId="0" borderId="42" xfId="0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0" fillId="0" borderId="75" xfId="0" applyBorder="1" applyAlignment="1">
      <alignment horizontal="center" vertical="center" wrapText="1"/>
    </xf>
    <xf numFmtId="0" fontId="0" fillId="0" borderId="73" xfId="0" applyBorder="1" applyAlignment="1">
      <alignment horizontal="center" vertical="center" wrapText="1"/>
    </xf>
    <xf numFmtId="0" fontId="0" fillId="0" borderId="74" xfId="0" applyBorder="1" applyAlignment="1">
      <alignment horizontal="center" vertical="center" wrapText="1"/>
    </xf>
    <xf numFmtId="0" fontId="0" fillId="0" borderId="94" xfId="0" applyBorder="1" applyAlignment="1">
      <alignment horizontal="left" vertical="center" wrapText="1"/>
    </xf>
    <xf numFmtId="167" fontId="0" fillId="0" borderId="44" xfId="0" applyNumberFormat="1" applyBorder="1" applyAlignment="1">
      <alignment horizontal="left" vertical="center" wrapText="1"/>
    </xf>
    <xf numFmtId="167" fontId="0" fillId="0" borderId="95" xfId="0" applyNumberFormat="1" applyBorder="1" applyAlignment="1">
      <alignment horizontal="left" vertical="center" wrapText="1"/>
    </xf>
    <xf numFmtId="0" fontId="2" fillId="3" borderId="42" xfId="0" applyFont="1" applyFill="1" applyBorder="1" applyAlignment="1" applyProtection="1">
      <alignment horizontal="center" vertical="center" wrapText="1"/>
    </xf>
    <xf numFmtId="0" fontId="47" fillId="11" borderId="75" xfId="0" applyFont="1" applyFill="1" applyBorder="1" applyAlignment="1">
      <alignment horizontal="center" vertical="center" wrapText="1"/>
    </xf>
    <xf numFmtId="0" fontId="47" fillId="11" borderId="73" xfId="0" applyFont="1" applyFill="1" applyBorder="1" applyAlignment="1">
      <alignment horizontal="center" vertical="center" wrapText="1"/>
    </xf>
    <xf numFmtId="0" fontId="47" fillId="11" borderId="74" xfId="0" applyFont="1" applyFill="1" applyBorder="1" applyAlignment="1">
      <alignment horizontal="center" vertical="center" wrapText="1"/>
    </xf>
    <xf numFmtId="0" fontId="30" fillId="13" borderId="42" xfId="5" applyFont="1" applyFill="1" applyBorder="1" applyAlignment="1" applyProtection="1">
      <alignment horizontal="center" vertical="center" wrapText="1"/>
    </xf>
    <xf numFmtId="0" fontId="30" fillId="13" borderId="46" xfId="5" applyFont="1" applyFill="1" applyBorder="1" applyAlignment="1" applyProtection="1">
      <alignment horizontal="center" vertical="center" wrapText="1"/>
    </xf>
    <xf numFmtId="0" fontId="30" fillId="13" borderId="75" xfId="5" applyFont="1" applyFill="1" applyBorder="1" applyAlignment="1" applyProtection="1">
      <alignment horizontal="center" vertical="center" wrapText="1"/>
    </xf>
    <xf numFmtId="0" fontId="30" fillId="13" borderId="74" xfId="5" applyFont="1" applyFill="1" applyBorder="1" applyAlignment="1" applyProtection="1">
      <alignment horizontal="center" vertical="center" wrapText="1"/>
    </xf>
    <xf numFmtId="0" fontId="37" fillId="2" borderId="42" xfId="5" applyFont="1" applyFill="1" applyBorder="1" applyAlignment="1">
      <alignment horizontal="center" vertical="center" wrapText="1"/>
    </xf>
    <xf numFmtId="0" fontId="37" fillId="2" borderId="46" xfId="5" applyFont="1" applyFill="1" applyBorder="1" applyAlignment="1">
      <alignment horizontal="center" vertical="center" wrapText="1"/>
    </xf>
    <xf numFmtId="0" fontId="37" fillId="2" borderId="7" xfId="5" applyFont="1" applyFill="1" applyBorder="1" applyAlignment="1">
      <alignment horizontal="center" vertical="center" wrapText="1"/>
    </xf>
    <xf numFmtId="0" fontId="37" fillId="2" borderId="72" xfId="5" applyFont="1" applyFill="1" applyBorder="1" applyAlignment="1">
      <alignment horizontal="center" vertical="center" wrapText="1"/>
    </xf>
    <xf numFmtId="0" fontId="37" fillId="2" borderId="75" xfId="5" applyFont="1" applyFill="1" applyBorder="1" applyAlignment="1">
      <alignment horizontal="center" vertical="center" wrapText="1"/>
    </xf>
    <xf numFmtId="0" fontId="37" fillId="2" borderId="74" xfId="5" applyFont="1" applyFill="1" applyBorder="1" applyAlignment="1">
      <alignment horizontal="center" vertical="center" wrapText="1"/>
    </xf>
    <xf numFmtId="0" fontId="37" fillId="13" borderId="45" xfId="5" applyFont="1" applyFill="1" applyBorder="1" applyAlignment="1">
      <alignment horizontal="center" vertical="center" wrapText="1"/>
    </xf>
    <xf numFmtId="0" fontId="37" fillId="13" borderId="46" xfId="5" applyFont="1" applyFill="1" applyBorder="1" applyAlignment="1">
      <alignment horizontal="center" vertical="center" wrapText="1"/>
    </xf>
    <xf numFmtId="0" fontId="37" fillId="13" borderId="0" xfId="5" applyFont="1" applyFill="1" applyBorder="1" applyAlignment="1">
      <alignment horizontal="center" vertical="center" wrapText="1"/>
    </xf>
    <xf numFmtId="0" fontId="37" fillId="13" borderId="72" xfId="5" applyFont="1" applyFill="1" applyBorder="1" applyAlignment="1">
      <alignment horizontal="center" vertical="center" wrapText="1"/>
    </xf>
    <xf numFmtId="0" fontId="37" fillId="13" borderId="73" xfId="5" applyFont="1" applyFill="1" applyBorder="1" applyAlignment="1">
      <alignment horizontal="center" vertical="center" wrapText="1"/>
    </xf>
    <xf numFmtId="0" fontId="37" fillId="13" borderId="74" xfId="5" applyFont="1" applyFill="1" applyBorder="1" applyAlignment="1">
      <alignment horizontal="center" vertical="center" wrapText="1"/>
    </xf>
    <xf numFmtId="0" fontId="50" fillId="4" borderId="42" xfId="2" applyFont="1" applyFill="1" applyBorder="1" applyAlignment="1" applyProtection="1">
      <alignment horizontal="center" vertical="center" wrapText="1"/>
    </xf>
    <xf numFmtId="0" fontId="50" fillId="4" borderId="46" xfId="2" applyFont="1" applyFill="1" applyBorder="1" applyAlignment="1" applyProtection="1">
      <alignment horizontal="center" vertical="center" wrapText="1"/>
    </xf>
    <xf numFmtId="165" fontId="0" fillId="11" borderId="3" xfId="0" applyNumberFormat="1" applyFont="1" applyFill="1" applyBorder="1" applyAlignment="1">
      <alignment horizontal="center" vertical="center"/>
    </xf>
    <xf numFmtId="165" fontId="0" fillId="11" borderId="2" xfId="0" applyNumberFormat="1" applyFont="1" applyFill="1" applyBorder="1" applyAlignment="1">
      <alignment horizontal="center" vertical="center"/>
    </xf>
    <xf numFmtId="0" fontId="0" fillId="0" borderId="45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73" xfId="0" applyFont="1" applyBorder="1" applyAlignment="1">
      <alignment horizontal="center" vertical="center" wrapText="1"/>
    </xf>
    <xf numFmtId="0" fontId="50" fillId="4" borderId="4" xfId="2" applyFont="1" applyFill="1" applyBorder="1" applyAlignment="1" applyProtection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0" fillId="0" borderId="0" xfId="1" applyFont="1" applyAlignment="1">
      <alignment wrapText="1"/>
    </xf>
    <xf numFmtId="0" fontId="40" fillId="6" borderId="6" xfId="3" applyFont="1" applyFill="1" applyBorder="1" applyAlignment="1">
      <alignment horizontal="left" vertical="center" wrapText="1"/>
    </xf>
    <xf numFmtId="0" fontId="40" fillId="6" borderId="77" xfId="3" applyFont="1" applyFill="1" applyBorder="1" applyAlignment="1">
      <alignment horizontal="left" vertical="center" wrapText="1"/>
    </xf>
    <xf numFmtId="0" fontId="40" fillId="6" borderId="5" xfId="3" applyFont="1" applyFill="1" applyBorder="1" applyAlignment="1">
      <alignment horizontal="left" vertical="center" wrapText="1"/>
    </xf>
    <xf numFmtId="0" fontId="40" fillId="6" borderId="38" xfId="3" applyFont="1" applyFill="1" applyBorder="1" applyAlignment="1">
      <alignment horizontal="left" vertical="center" wrapText="1"/>
    </xf>
    <xf numFmtId="0" fontId="40" fillId="6" borderId="47" xfId="3" applyFont="1" applyFill="1" applyBorder="1" applyAlignment="1">
      <alignment horizontal="left" vertical="center" wrapText="1"/>
    </xf>
    <xf numFmtId="0" fontId="40" fillId="6" borderId="39" xfId="3" applyFont="1" applyFill="1" applyBorder="1" applyAlignment="1">
      <alignment horizontal="left" vertical="center" wrapText="1"/>
    </xf>
    <xf numFmtId="0" fontId="10" fillId="7" borderId="9" xfId="3" applyFont="1" applyFill="1" applyBorder="1" applyAlignment="1">
      <alignment horizontal="left" vertical="center" wrapText="1"/>
    </xf>
    <xf numFmtId="0" fontId="10" fillId="7" borderId="31" xfId="3" applyFont="1" applyFill="1" applyBorder="1" applyAlignment="1">
      <alignment horizontal="left" vertical="center" wrapText="1"/>
    </xf>
    <xf numFmtId="0" fontId="10" fillId="0" borderId="0" xfId="1" applyFont="1" applyBorder="1" applyAlignment="1">
      <alignment horizontal="left" wrapText="1"/>
    </xf>
    <xf numFmtId="0" fontId="10" fillId="7" borderId="28" xfId="3" applyFont="1" applyFill="1" applyBorder="1" applyAlignment="1">
      <alignment horizontal="left" vertical="center" wrapText="1"/>
    </xf>
    <xf numFmtId="0" fontId="10" fillId="0" borderId="28" xfId="3" applyFont="1" applyBorder="1" applyAlignment="1">
      <alignment vertical="center" wrapText="1"/>
    </xf>
    <xf numFmtId="0" fontId="10" fillId="0" borderId="28" xfId="3" applyFont="1" applyBorder="1" applyAlignment="1">
      <alignment horizontal="left" vertical="center" wrapText="1"/>
    </xf>
    <xf numFmtId="0" fontId="10" fillId="0" borderId="28" xfId="3" applyFont="1" applyFill="1" applyBorder="1" applyAlignment="1">
      <alignment horizontal="left" vertical="center" wrapText="1"/>
    </xf>
    <xf numFmtId="0" fontId="0" fillId="0" borderId="28" xfId="0" applyFont="1" applyBorder="1" applyAlignment="1">
      <alignment horizontal="left" vertical="center" wrapText="1"/>
    </xf>
    <xf numFmtId="0" fontId="41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8" fillId="2" borderId="42" xfId="5" applyFont="1" applyFill="1" applyBorder="1" applyAlignment="1">
      <alignment horizontal="center" vertical="center" wrapText="1"/>
    </xf>
    <xf numFmtId="0" fontId="8" fillId="2" borderId="45" xfId="5" applyFont="1" applyFill="1" applyBorder="1" applyAlignment="1">
      <alignment horizontal="center" vertical="center" wrapText="1"/>
    </xf>
    <xf numFmtId="0" fontId="8" fillId="2" borderId="46" xfId="5" applyFont="1" applyFill="1" applyBorder="1" applyAlignment="1">
      <alignment horizontal="center" vertical="center" wrapText="1"/>
    </xf>
    <xf numFmtId="0" fontId="8" fillId="2" borderId="75" xfId="5" applyFont="1" applyFill="1" applyBorder="1" applyAlignment="1">
      <alignment horizontal="center" vertical="center" wrapText="1"/>
    </xf>
    <xf numFmtId="0" fontId="8" fillId="2" borderId="73" xfId="5" applyFont="1" applyFill="1" applyBorder="1" applyAlignment="1">
      <alignment horizontal="center" vertical="center" wrapText="1"/>
    </xf>
    <xf numFmtId="0" fontId="8" fillId="2" borderId="74" xfId="5" applyFont="1" applyFill="1" applyBorder="1" applyAlignment="1">
      <alignment horizontal="center" vertical="center" wrapText="1"/>
    </xf>
    <xf numFmtId="0" fontId="8" fillId="0" borderId="28" xfId="3" applyFont="1" applyBorder="1" applyAlignment="1">
      <alignment horizontal="left" vertical="center" wrapText="1"/>
    </xf>
    <xf numFmtId="0" fontId="16" fillId="0" borderId="53" xfId="3" applyFont="1" applyFill="1" applyBorder="1" applyAlignment="1">
      <alignment horizontal="center" vertical="center"/>
    </xf>
    <xf numFmtId="0" fontId="8" fillId="0" borderId="9" xfId="3" applyFont="1" applyBorder="1" applyAlignment="1">
      <alignment horizontal="left" vertical="center" wrapText="1"/>
    </xf>
    <xf numFmtId="0" fontId="8" fillId="0" borderId="31" xfId="3" applyFont="1" applyBorder="1" applyAlignment="1">
      <alignment horizontal="center" vertical="center" textRotation="90" wrapText="1"/>
    </xf>
    <xf numFmtId="0" fontId="8" fillId="0" borderId="28" xfId="3" applyFont="1" applyBorder="1" applyAlignment="1">
      <alignment horizontal="center" vertical="center" textRotation="90" wrapText="1"/>
    </xf>
    <xf numFmtId="0" fontId="10" fillId="0" borderId="39" xfId="3" applyFont="1" applyBorder="1" applyAlignment="1">
      <alignment horizontal="left" wrapText="1"/>
    </xf>
    <xf numFmtId="0" fontId="10" fillId="0" borderId="28" xfId="3" applyFont="1" applyBorder="1" applyAlignment="1">
      <alignment horizontal="left" wrapText="1"/>
    </xf>
    <xf numFmtId="0" fontId="10" fillId="0" borderId="9" xfId="3" applyFont="1" applyBorder="1" applyAlignment="1">
      <alignment horizontal="left" wrapText="1"/>
    </xf>
    <xf numFmtId="0" fontId="10" fillId="0" borderId="8" xfId="3" applyFont="1" applyBorder="1" applyAlignment="1">
      <alignment horizontal="left" wrapText="1"/>
    </xf>
    <xf numFmtId="0" fontId="8" fillId="0" borderId="31" xfId="3" applyFont="1" applyBorder="1" applyAlignment="1">
      <alignment horizontal="left" vertical="center" wrapText="1"/>
    </xf>
  </cellXfs>
  <cellStyles count="10">
    <cellStyle name="Komma 2" xfId="8"/>
    <cellStyle name="Link" xfId="5" builtinId="8"/>
    <cellStyle name="Standard" xfId="0" builtinId="0"/>
    <cellStyle name="Standard 2" xfId="6"/>
    <cellStyle name="Standard 2 2" xfId="3"/>
    <cellStyle name="Standard 3" xfId="2"/>
    <cellStyle name="Standard 3 2" xfId="1"/>
    <cellStyle name="Währung 2" xfId="4"/>
    <cellStyle name="Währung 3" xfId="7"/>
    <cellStyle name="Währung 3 2" xfId="9"/>
  </cellStyles>
  <dxfs count="45">
    <dxf>
      <font>
        <b/>
        <i val="0"/>
      </font>
      <fill>
        <patternFill>
          <bgColor rgb="FFFFC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4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4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theme="4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ont>
        <color auto="1"/>
      </font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</font>
    </dxf>
    <dxf>
      <fill>
        <patternFill>
          <bgColor rgb="FFFFC000"/>
        </patternFill>
      </fill>
    </dxf>
    <dxf>
      <font>
        <b/>
        <i val="0"/>
      </font>
      <fill>
        <patternFill>
          <bgColor rgb="FFFFC000"/>
        </patternFill>
      </fill>
      <border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9" tint="0.59996337778862885"/>
        </patternFill>
      </fill>
    </dxf>
    <dxf>
      <font>
        <b val="0"/>
        <i val="0"/>
      </font>
      <fill>
        <patternFill>
          <bgColor theme="9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4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theme="4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theme="4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auto="1"/>
      </font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  <border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</font>
    </dxf>
    <dxf>
      <font>
        <b/>
        <i val="0"/>
      </font>
      <fill>
        <patternFill>
          <bgColor rgb="FFFFC000"/>
        </patternFill>
      </fill>
    </dxf>
    <dxf>
      <font>
        <b/>
        <i val="0"/>
      </font>
    </dxf>
    <dxf>
      <font>
        <b/>
        <i val="0"/>
      </font>
      <fill>
        <patternFill>
          <bgColor rgb="FFFFC000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92D050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9" tint="0.7999816888943144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CCEC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95250</xdr:colOff>
      <xdr:row>0</xdr:row>
      <xdr:rowOff>21166</xdr:rowOff>
    </xdr:from>
    <xdr:to>
      <xdr:col>6</xdr:col>
      <xdr:colOff>467314</xdr:colOff>
      <xdr:row>0</xdr:row>
      <xdr:rowOff>639607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97667" y="21166"/>
          <a:ext cx="2880314" cy="618441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 cap="flat">
              <a:solidFill>
                <a:srgbClr val="3465A4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14</xdr:col>
      <xdr:colOff>42333</xdr:colOff>
      <xdr:row>0</xdr:row>
      <xdr:rowOff>63500</xdr:rowOff>
    </xdr:from>
    <xdr:to>
      <xdr:col>16</xdr:col>
      <xdr:colOff>825500</xdr:colOff>
      <xdr:row>0</xdr:row>
      <xdr:rowOff>591185</xdr:rowOff>
    </xdr:to>
    <xdr:pic>
      <xdr:nvPicPr>
        <xdr:cNvPr id="3" name="Grafik 2"/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784666" y="63500"/>
          <a:ext cx="2455334" cy="52768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1076565</xdr:colOff>
      <xdr:row>0</xdr:row>
      <xdr:rowOff>151638</xdr:rowOff>
    </xdr:from>
    <xdr:to>
      <xdr:col>1</xdr:col>
      <xdr:colOff>593912</xdr:colOff>
      <xdr:row>3</xdr:row>
      <xdr:rowOff>93681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76565" y="151638"/>
          <a:ext cx="3098747" cy="827868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 cap="flat">
              <a:solidFill>
                <a:srgbClr val="3465A4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4</xdr:col>
      <xdr:colOff>1548013</xdr:colOff>
      <xdr:row>0</xdr:row>
      <xdr:rowOff>192101</xdr:rowOff>
    </xdr:from>
    <xdr:to>
      <xdr:col>4</xdr:col>
      <xdr:colOff>5458907</xdr:colOff>
      <xdr:row>3</xdr:row>
      <xdr:rowOff>137554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9963" y="192101"/>
          <a:ext cx="3910894" cy="8312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imon.kriegner-schramml@lk-ooe.at" TargetMode="External"/><Relationship Id="rId1" Type="http://schemas.openxmlformats.org/officeDocument/2006/relationships/hyperlink" Target="https://www.bwsb.at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0"/>
  <sheetViews>
    <sheetView tabSelected="1" zoomScale="80" zoomScaleNormal="80" workbookViewId="0">
      <selection activeCell="A19" sqref="A19:J19"/>
    </sheetView>
  </sheetViews>
  <sheetFormatPr baseColWidth="10" defaultRowHeight="14.25" x14ac:dyDescent="0.2"/>
  <cols>
    <col min="1" max="1" width="11" style="17"/>
    <col min="2" max="2" width="9.625" style="17" customWidth="1"/>
    <col min="3" max="5" width="11" style="17"/>
    <col min="6" max="6" width="12.125" style="17" customWidth="1"/>
    <col min="7" max="7" width="11" style="17"/>
    <col min="8" max="8" width="15.875" style="17" customWidth="1"/>
    <col min="9" max="9" width="11" style="17"/>
    <col min="10" max="10" width="15.5" style="17" customWidth="1"/>
    <col min="11" max="11" width="11" style="17"/>
    <col min="12" max="12" width="14.75" style="17" customWidth="1"/>
    <col min="13" max="13" width="11" style="17"/>
    <col min="14" max="14" width="12.75" style="17" customWidth="1"/>
    <col min="15" max="20" width="11" style="17"/>
    <col min="21" max="21" width="14.75" style="17" customWidth="1"/>
    <col min="22" max="16384" width="11" style="17"/>
  </cols>
  <sheetData>
    <row r="1" spans="1:20" ht="53.25" customHeight="1" thickBot="1" x14ac:dyDescent="0.25">
      <c r="A1" s="446" t="s">
        <v>859</v>
      </c>
      <c r="B1" s="447"/>
      <c r="C1" s="447"/>
      <c r="D1" s="447"/>
      <c r="E1" s="447"/>
      <c r="F1" s="447"/>
      <c r="G1" s="447"/>
      <c r="H1" s="447"/>
      <c r="I1" s="447"/>
      <c r="J1" s="447"/>
      <c r="K1" s="447"/>
      <c r="L1" s="447"/>
      <c r="M1" s="447"/>
      <c r="N1" s="447"/>
      <c r="O1" s="447"/>
      <c r="P1" s="447"/>
      <c r="Q1" s="447"/>
      <c r="R1" s="447"/>
      <c r="S1" s="447"/>
      <c r="T1" s="448"/>
    </row>
    <row r="2" spans="1:20" ht="28.5" customHeight="1" thickBot="1" x14ac:dyDescent="0.25">
      <c r="A2" s="222" t="s">
        <v>329</v>
      </c>
      <c r="B2" s="504" t="s">
        <v>330</v>
      </c>
      <c r="C2" s="505"/>
      <c r="D2" s="221"/>
      <c r="E2" s="500" t="s">
        <v>332</v>
      </c>
      <c r="F2" s="501"/>
      <c r="G2" s="501"/>
      <c r="H2" s="502" t="s">
        <v>331</v>
      </c>
      <c r="I2" s="502"/>
      <c r="J2" s="503"/>
      <c r="L2" s="312" t="s">
        <v>339</v>
      </c>
      <c r="M2" s="315">
        <v>20240729</v>
      </c>
      <c r="Q2" s="204"/>
      <c r="R2" s="204"/>
      <c r="S2" s="204"/>
      <c r="T2" s="205"/>
    </row>
    <row r="3" spans="1:20" x14ac:dyDescent="0.2">
      <c r="A3" s="203"/>
      <c r="B3" s="219"/>
      <c r="C3" s="204"/>
      <c r="D3" s="220"/>
      <c r="E3" s="220"/>
      <c r="F3" s="220"/>
      <c r="G3" s="219"/>
      <c r="H3" s="204"/>
      <c r="I3" s="204"/>
      <c r="J3" s="204"/>
      <c r="K3" s="204"/>
      <c r="L3" s="204"/>
      <c r="M3" s="204"/>
      <c r="N3" s="204"/>
      <c r="O3" s="204"/>
      <c r="P3" s="204"/>
      <c r="Q3" s="204"/>
      <c r="R3" s="204"/>
      <c r="S3" s="204"/>
      <c r="T3" s="205"/>
    </row>
    <row r="4" spans="1:20" ht="15.75" x14ac:dyDescent="0.25">
      <c r="A4" s="449" t="s">
        <v>422</v>
      </c>
      <c r="B4" s="450"/>
      <c r="C4" s="450"/>
      <c r="D4" s="450"/>
      <c r="E4" s="450"/>
      <c r="F4" s="450"/>
      <c r="G4" s="450"/>
      <c r="H4" s="450"/>
      <c r="I4" s="450"/>
      <c r="J4" s="450"/>
      <c r="K4" s="450"/>
      <c r="L4" s="450"/>
      <c r="M4" s="450"/>
      <c r="N4" s="450"/>
      <c r="O4" s="450"/>
      <c r="P4" s="450"/>
      <c r="Q4" s="450"/>
      <c r="R4" s="450"/>
      <c r="S4" s="450"/>
      <c r="T4" s="451"/>
    </row>
    <row r="5" spans="1:20" ht="15" customHeight="1" x14ac:dyDescent="0.2">
      <c r="A5" s="452" t="s">
        <v>323</v>
      </c>
      <c r="B5" s="453"/>
      <c r="C5" s="453"/>
      <c r="D5" s="453"/>
      <c r="E5" s="453"/>
      <c r="F5" s="453"/>
      <c r="G5" s="453"/>
      <c r="H5" s="453"/>
      <c r="I5" s="453"/>
      <c r="J5" s="453"/>
      <c r="K5" s="453"/>
      <c r="L5" s="453"/>
      <c r="M5" s="453"/>
      <c r="N5" s="453"/>
      <c r="O5" s="453"/>
      <c r="P5" s="453"/>
      <c r="Q5" s="453"/>
      <c r="R5" s="453"/>
      <c r="S5" s="453"/>
      <c r="T5" s="454"/>
    </row>
    <row r="6" spans="1:20" x14ac:dyDescent="0.2">
      <c r="A6" s="452"/>
      <c r="B6" s="453"/>
      <c r="C6" s="453"/>
      <c r="D6" s="453"/>
      <c r="E6" s="453"/>
      <c r="F6" s="453"/>
      <c r="G6" s="453"/>
      <c r="H6" s="453"/>
      <c r="I6" s="453"/>
      <c r="J6" s="453"/>
      <c r="K6" s="453"/>
      <c r="L6" s="453"/>
      <c r="M6" s="453"/>
      <c r="N6" s="453"/>
      <c r="O6" s="453"/>
      <c r="P6" s="453"/>
      <c r="Q6" s="453"/>
      <c r="R6" s="453"/>
      <c r="S6" s="453"/>
      <c r="T6" s="454"/>
    </row>
    <row r="7" spans="1:20" ht="15" thickBot="1" x14ac:dyDescent="0.25">
      <c r="A7" s="203"/>
      <c r="B7" s="204"/>
      <c r="C7" s="204"/>
      <c r="D7" s="204"/>
      <c r="E7" s="204"/>
      <c r="F7" s="204"/>
      <c r="G7" s="204"/>
      <c r="H7" s="204"/>
      <c r="I7" s="204"/>
      <c r="J7" s="204"/>
      <c r="K7" s="204"/>
      <c r="L7" s="204"/>
      <c r="M7" s="204"/>
      <c r="N7" s="204"/>
      <c r="O7" s="204"/>
      <c r="P7" s="204"/>
      <c r="Q7" s="204"/>
      <c r="R7" s="204"/>
      <c r="S7" s="204"/>
      <c r="T7" s="205"/>
    </row>
    <row r="8" spans="1:20" ht="32.25" customHeight="1" thickBot="1" x14ac:dyDescent="0.25">
      <c r="A8" s="203"/>
      <c r="B8" s="204"/>
      <c r="C8" s="204"/>
      <c r="D8" s="204"/>
      <c r="E8" s="204"/>
      <c r="F8" s="455" t="s">
        <v>328</v>
      </c>
      <c r="G8" s="456"/>
      <c r="H8" s="456"/>
      <c r="I8" s="456"/>
      <c r="J8" s="456"/>
      <c r="K8" s="456"/>
      <c r="L8" s="456"/>
      <c r="M8" s="456"/>
      <c r="N8" s="456"/>
      <c r="O8" s="457"/>
      <c r="P8" s="204"/>
      <c r="Q8" s="204"/>
      <c r="R8" s="204"/>
      <c r="S8" s="204"/>
      <c r="T8" s="205"/>
    </row>
    <row r="9" spans="1:20" ht="15" x14ac:dyDescent="0.25">
      <c r="A9" s="203"/>
      <c r="B9" s="204"/>
      <c r="C9" s="204"/>
      <c r="D9" s="204"/>
      <c r="E9" s="204"/>
      <c r="F9" s="458" t="s">
        <v>861</v>
      </c>
      <c r="G9" s="459"/>
      <c r="H9" s="459"/>
      <c r="I9" s="459"/>
      <c r="J9" s="459"/>
      <c r="K9" s="459"/>
      <c r="L9" s="459"/>
      <c r="M9" s="459"/>
      <c r="N9" s="459"/>
      <c r="O9" s="460"/>
      <c r="P9" s="204"/>
      <c r="Q9" s="204"/>
      <c r="R9" s="204"/>
      <c r="S9" s="204"/>
      <c r="T9" s="205"/>
    </row>
    <row r="10" spans="1:20" x14ac:dyDescent="0.2">
      <c r="A10" s="203"/>
      <c r="B10" s="204"/>
      <c r="C10" s="204"/>
      <c r="D10" s="204"/>
      <c r="E10" s="204"/>
      <c r="F10" s="203"/>
      <c r="G10" s="204"/>
      <c r="H10" s="204"/>
      <c r="I10" s="204"/>
      <c r="J10" s="204"/>
      <c r="K10" s="204"/>
      <c r="L10" s="204"/>
      <c r="M10" s="204"/>
      <c r="N10" s="204"/>
      <c r="O10" s="205"/>
      <c r="P10" s="204"/>
      <c r="Q10" s="204"/>
      <c r="R10" s="204"/>
      <c r="S10" s="204"/>
      <c r="T10" s="205"/>
    </row>
    <row r="11" spans="1:20" ht="15.75" thickBot="1" x14ac:dyDescent="0.3">
      <c r="A11" s="203"/>
      <c r="B11" s="204"/>
      <c r="C11" s="204"/>
      <c r="D11" s="204"/>
      <c r="E11" s="204"/>
      <c r="F11" s="491" t="s">
        <v>860</v>
      </c>
      <c r="G11" s="492"/>
      <c r="H11" s="492"/>
      <c r="I11" s="492"/>
      <c r="J11" s="492"/>
      <c r="K11" s="492"/>
      <c r="L11" s="492"/>
      <c r="M11" s="492"/>
      <c r="N11" s="492"/>
      <c r="O11" s="493"/>
      <c r="P11" s="204"/>
      <c r="Q11" s="204"/>
      <c r="R11" s="204"/>
      <c r="S11" s="204"/>
      <c r="T11" s="205"/>
    </row>
    <row r="12" spans="1:20" ht="30.75" customHeight="1" thickBot="1" x14ac:dyDescent="0.25">
      <c r="A12" s="203"/>
      <c r="B12" s="204"/>
      <c r="C12" s="204"/>
      <c r="D12" s="204"/>
      <c r="E12" s="204"/>
      <c r="F12" s="203"/>
      <c r="G12" s="204"/>
      <c r="H12" s="506" t="s">
        <v>516</v>
      </c>
      <c r="I12" s="507"/>
      <c r="J12" s="507"/>
      <c r="K12" s="507"/>
      <c r="L12" s="507"/>
      <c r="M12" s="508"/>
      <c r="N12" s="204"/>
      <c r="O12" s="205"/>
      <c r="P12" s="204"/>
      <c r="Q12" s="204"/>
      <c r="R12" s="204"/>
      <c r="S12" s="204"/>
      <c r="T12" s="205"/>
    </row>
    <row r="13" spans="1:20" x14ac:dyDescent="0.2">
      <c r="A13" s="203"/>
      <c r="B13" s="204"/>
      <c r="C13" s="204"/>
      <c r="D13" s="204"/>
      <c r="E13" s="204"/>
      <c r="F13" s="203"/>
      <c r="G13" s="204"/>
      <c r="H13" s="204"/>
      <c r="I13" s="204"/>
      <c r="J13" s="204"/>
      <c r="K13" s="204"/>
      <c r="L13" s="204"/>
      <c r="M13" s="204"/>
      <c r="N13" s="204"/>
      <c r="O13" s="205"/>
      <c r="P13" s="204"/>
      <c r="Q13" s="204"/>
      <c r="R13" s="204"/>
      <c r="S13" s="204"/>
      <c r="T13" s="205"/>
    </row>
    <row r="14" spans="1:20" x14ac:dyDescent="0.2">
      <c r="A14" s="203"/>
      <c r="B14" s="204"/>
      <c r="C14" s="204"/>
      <c r="D14" s="204"/>
      <c r="E14" s="204"/>
      <c r="F14" s="491" t="s">
        <v>314</v>
      </c>
      <c r="G14" s="492"/>
      <c r="H14" s="492"/>
      <c r="I14" s="492"/>
      <c r="J14" s="492"/>
      <c r="K14" s="492"/>
      <c r="L14" s="492"/>
      <c r="M14" s="492"/>
      <c r="N14" s="492"/>
      <c r="O14" s="493"/>
      <c r="P14" s="204"/>
      <c r="Q14" s="204"/>
      <c r="R14" s="204"/>
      <c r="S14" s="204"/>
      <c r="T14" s="205"/>
    </row>
    <row r="15" spans="1:20" ht="15.75" thickBot="1" x14ac:dyDescent="0.3">
      <c r="A15" s="203"/>
      <c r="B15" s="204"/>
      <c r="C15" s="204"/>
      <c r="D15" s="204"/>
      <c r="E15" s="204"/>
      <c r="F15" s="491" t="s">
        <v>315</v>
      </c>
      <c r="G15" s="492"/>
      <c r="H15" s="492"/>
      <c r="I15" s="492"/>
      <c r="J15" s="492"/>
      <c r="K15" s="492"/>
      <c r="L15" s="492"/>
      <c r="M15" s="492"/>
      <c r="N15" s="492"/>
      <c r="O15" s="493"/>
      <c r="P15" s="204"/>
      <c r="Q15" s="204"/>
      <c r="R15" s="204"/>
      <c r="S15" s="204"/>
      <c r="T15" s="205"/>
    </row>
    <row r="16" spans="1:20" ht="30.75" customHeight="1" thickBot="1" x14ac:dyDescent="0.25">
      <c r="A16" s="203"/>
      <c r="B16" s="204"/>
      <c r="C16" s="204"/>
      <c r="D16" s="204"/>
      <c r="E16" s="204"/>
      <c r="F16" s="206"/>
      <c r="G16" s="207"/>
      <c r="H16" s="494" t="s">
        <v>324</v>
      </c>
      <c r="I16" s="495"/>
      <c r="J16" s="495"/>
      <c r="K16" s="495"/>
      <c r="L16" s="495"/>
      <c r="M16" s="496"/>
      <c r="N16" s="207"/>
      <c r="O16" s="208"/>
      <c r="P16" s="204"/>
      <c r="Q16" s="204"/>
      <c r="R16" s="204"/>
      <c r="S16" s="204"/>
      <c r="T16" s="205"/>
    </row>
    <row r="17" spans="1:21" x14ac:dyDescent="0.2">
      <c r="A17" s="203"/>
      <c r="B17" s="204"/>
      <c r="C17" s="204"/>
      <c r="D17" s="204"/>
      <c r="E17" s="204"/>
      <c r="F17" s="204"/>
      <c r="G17" s="204"/>
      <c r="H17" s="204"/>
      <c r="I17" s="204"/>
      <c r="J17" s="204"/>
      <c r="K17" s="204"/>
      <c r="L17" s="204"/>
      <c r="M17" s="204"/>
      <c r="N17" s="204"/>
      <c r="O17" s="204"/>
      <c r="P17" s="204"/>
      <c r="Q17" s="204"/>
      <c r="R17" s="204"/>
      <c r="S17" s="204"/>
      <c r="T17" s="205"/>
    </row>
    <row r="18" spans="1:21" ht="15" thickBot="1" x14ac:dyDescent="0.25">
      <c r="A18" s="203"/>
      <c r="B18" s="204"/>
      <c r="C18" s="204"/>
      <c r="D18" s="204"/>
      <c r="E18" s="204"/>
      <c r="F18" s="204"/>
      <c r="G18" s="204"/>
      <c r="H18" s="204"/>
      <c r="I18" s="204"/>
      <c r="J18" s="204"/>
      <c r="K18" s="204"/>
      <c r="L18" s="204"/>
      <c r="M18" s="204"/>
      <c r="N18" s="204"/>
      <c r="O18" s="204"/>
      <c r="P18" s="204"/>
      <c r="Q18" s="204"/>
      <c r="R18" s="204"/>
      <c r="S18" s="204"/>
      <c r="T18" s="205"/>
    </row>
    <row r="19" spans="1:21" ht="32.25" customHeight="1" thickBot="1" x14ac:dyDescent="0.25">
      <c r="A19" s="473" t="s">
        <v>419</v>
      </c>
      <c r="B19" s="474"/>
      <c r="C19" s="474"/>
      <c r="D19" s="474"/>
      <c r="E19" s="474"/>
      <c r="F19" s="474"/>
      <c r="G19" s="474"/>
      <c r="H19" s="474"/>
      <c r="I19" s="474"/>
      <c r="J19" s="475"/>
      <c r="K19" s="204"/>
      <c r="L19" s="470" t="s">
        <v>420</v>
      </c>
      <c r="M19" s="471"/>
      <c r="N19" s="471"/>
      <c r="O19" s="471"/>
      <c r="P19" s="471"/>
      <c r="Q19" s="471"/>
      <c r="R19" s="471"/>
      <c r="S19" s="471"/>
      <c r="T19" s="472"/>
    </row>
    <row r="20" spans="1:21" ht="15" x14ac:dyDescent="0.25">
      <c r="A20" s="458" t="s">
        <v>424</v>
      </c>
      <c r="B20" s="459"/>
      <c r="C20" s="459"/>
      <c r="D20" s="459"/>
      <c r="E20" s="459"/>
      <c r="F20" s="459"/>
      <c r="G20" s="459"/>
      <c r="H20" s="459"/>
      <c r="I20" s="459"/>
      <c r="J20" s="460"/>
      <c r="K20" s="204"/>
      <c r="L20" s="458" t="s">
        <v>423</v>
      </c>
      <c r="M20" s="459"/>
      <c r="N20" s="459"/>
      <c r="O20" s="459"/>
      <c r="P20" s="459"/>
      <c r="Q20" s="459"/>
      <c r="R20" s="459"/>
      <c r="S20" s="459"/>
      <c r="T20" s="460"/>
    </row>
    <row r="21" spans="1:21" ht="29.25" customHeight="1" x14ac:dyDescent="0.25">
      <c r="A21" s="497" t="s">
        <v>426</v>
      </c>
      <c r="B21" s="498"/>
      <c r="C21" s="498"/>
      <c r="D21" s="498"/>
      <c r="E21" s="498"/>
      <c r="F21" s="498"/>
      <c r="G21" s="498"/>
      <c r="H21" s="498"/>
      <c r="I21" s="498"/>
      <c r="J21" s="499"/>
      <c r="K21" s="204"/>
      <c r="L21" s="461" t="s">
        <v>425</v>
      </c>
      <c r="M21" s="462"/>
      <c r="N21" s="462"/>
      <c r="O21" s="462"/>
      <c r="P21" s="462"/>
      <c r="Q21" s="462"/>
      <c r="R21" s="462"/>
      <c r="S21" s="462"/>
      <c r="T21" s="463"/>
    </row>
    <row r="22" spans="1:21" ht="15" customHeight="1" x14ac:dyDescent="0.2">
      <c r="A22" s="482"/>
      <c r="B22" s="483"/>
      <c r="C22" s="483"/>
      <c r="D22" s="483"/>
      <c r="E22" s="483"/>
      <c r="F22" s="483"/>
      <c r="G22" s="483"/>
      <c r="H22" s="483"/>
      <c r="I22" s="483"/>
      <c r="J22" s="484"/>
      <c r="K22" s="204"/>
      <c r="L22" s="479" t="s">
        <v>320</v>
      </c>
      <c r="M22" s="480"/>
      <c r="N22" s="480"/>
      <c r="O22" s="480"/>
      <c r="P22" s="480"/>
      <c r="Q22" s="480"/>
      <c r="R22" s="480"/>
      <c r="S22" s="480"/>
      <c r="T22" s="481"/>
      <c r="U22" s="209"/>
    </row>
    <row r="23" spans="1:21" s="211" customFormat="1" ht="21.75" customHeight="1" x14ac:dyDescent="0.2">
      <c r="A23" s="488" t="s">
        <v>318</v>
      </c>
      <c r="B23" s="489"/>
      <c r="C23" s="489"/>
      <c r="D23" s="489"/>
      <c r="E23" s="489"/>
      <c r="F23" s="489"/>
      <c r="G23" s="489"/>
      <c r="H23" s="489"/>
      <c r="I23" s="489"/>
      <c r="J23" s="490"/>
      <c r="K23" s="210"/>
      <c r="L23" s="482"/>
      <c r="M23" s="483"/>
      <c r="N23" s="483"/>
      <c r="O23" s="483"/>
      <c r="P23" s="483"/>
      <c r="Q23" s="483"/>
      <c r="R23" s="483"/>
      <c r="S23" s="483"/>
      <c r="T23" s="484"/>
    </row>
    <row r="24" spans="1:21" ht="28.5" customHeight="1" x14ac:dyDescent="0.2">
      <c r="A24" s="461" t="s">
        <v>316</v>
      </c>
      <c r="B24" s="462"/>
      <c r="C24" s="462"/>
      <c r="D24" s="462"/>
      <c r="E24" s="462"/>
      <c r="F24" s="462"/>
      <c r="G24" s="462"/>
      <c r="H24" s="462"/>
      <c r="I24" s="462"/>
      <c r="J24" s="463"/>
      <c r="K24" s="204"/>
      <c r="L24" s="479" t="s">
        <v>316</v>
      </c>
      <c r="M24" s="480"/>
      <c r="N24" s="480"/>
      <c r="O24" s="480"/>
      <c r="P24" s="480"/>
      <c r="Q24" s="480"/>
      <c r="R24" s="480"/>
      <c r="S24" s="480"/>
      <c r="T24" s="481"/>
      <c r="U24" s="210"/>
    </row>
    <row r="25" spans="1:21" ht="15.75" customHeight="1" thickBot="1" x14ac:dyDescent="0.25">
      <c r="A25" s="203"/>
      <c r="B25" s="204"/>
      <c r="C25" s="204"/>
      <c r="D25" s="204"/>
      <c r="E25" s="204"/>
      <c r="F25" s="204"/>
      <c r="G25" s="204"/>
      <c r="H25" s="204"/>
      <c r="I25" s="204"/>
      <c r="J25" s="205"/>
      <c r="K25" s="204"/>
      <c r="L25" s="212"/>
      <c r="M25" s="213"/>
      <c r="N25" s="213"/>
      <c r="O25" s="213"/>
      <c r="P25" s="213"/>
      <c r="Q25" s="213"/>
      <c r="R25" s="213"/>
      <c r="S25" s="213"/>
      <c r="T25" s="214"/>
      <c r="U25" s="215"/>
    </row>
    <row r="26" spans="1:21" s="211" customFormat="1" ht="30.75" customHeight="1" thickBot="1" x14ac:dyDescent="0.25">
      <c r="A26" s="216"/>
      <c r="B26" s="210"/>
      <c r="C26" s="464" t="s">
        <v>322</v>
      </c>
      <c r="D26" s="465"/>
      <c r="E26" s="465"/>
      <c r="F26" s="465"/>
      <c r="G26" s="465"/>
      <c r="H26" s="466"/>
      <c r="I26" s="210"/>
      <c r="J26" s="217"/>
      <c r="K26" s="210"/>
      <c r="L26" s="216"/>
      <c r="M26" s="210"/>
      <c r="N26" s="485" t="s">
        <v>325</v>
      </c>
      <c r="O26" s="486"/>
      <c r="P26" s="486"/>
      <c r="Q26" s="486"/>
      <c r="R26" s="487"/>
      <c r="S26" s="210"/>
      <c r="T26" s="217"/>
    </row>
    <row r="27" spans="1:21" x14ac:dyDescent="0.2">
      <c r="A27" s="203"/>
      <c r="B27" s="204"/>
      <c r="C27" s="204"/>
      <c r="D27" s="204"/>
      <c r="E27" s="204"/>
      <c r="F27" s="204"/>
      <c r="G27" s="204"/>
      <c r="H27" s="204"/>
      <c r="I27" s="204"/>
      <c r="J27" s="205"/>
      <c r="K27" s="204"/>
      <c r="L27" s="203"/>
      <c r="M27" s="204"/>
      <c r="N27" s="204"/>
      <c r="O27" s="204"/>
      <c r="P27" s="204"/>
      <c r="Q27" s="204"/>
      <c r="R27" s="204"/>
      <c r="S27" s="204"/>
      <c r="T27" s="205"/>
    </row>
    <row r="28" spans="1:21" ht="29.25" customHeight="1" x14ac:dyDescent="0.2">
      <c r="A28" s="461" t="s">
        <v>427</v>
      </c>
      <c r="B28" s="462"/>
      <c r="C28" s="462"/>
      <c r="D28" s="462"/>
      <c r="E28" s="462"/>
      <c r="F28" s="462"/>
      <c r="G28" s="462"/>
      <c r="H28" s="462"/>
      <c r="I28" s="462"/>
      <c r="J28" s="463"/>
      <c r="K28" s="204"/>
      <c r="L28" s="461" t="s">
        <v>321</v>
      </c>
      <c r="M28" s="462"/>
      <c r="N28" s="462"/>
      <c r="O28" s="462"/>
      <c r="P28" s="462"/>
      <c r="Q28" s="462"/>
      <c r="R28" s="462"/>
      <c r="S28" s="462"/>
      <c r="T28" s="463"/>
      <c r="U28" s="218"/>
    </row>
    <row r="29" spans="1:21" ht="15" thickBot="1" x14ac:dyDescent="0.25">
      <c r="A29" s="203"/>
      <c r="B29" s="204"/>
      <c r="C29" s="204"/>
      <c r="D29" s="204"/>
      <c r="E29" s="204"/>
      <c r="F29" s="204"/>
      <c r="G29" s="204"/>
      <c r="H29" s="204"/>
      <c r="I29" s="204"/>
      <c r="J29" s="205"/>
      <c r="K29" s="204"/>
      <c r="L29" s="203"/>
      <c r="M29" s="204"/>
      <c r="N29" s="204"/>
      <c r="O29" s="204"/>
      <c r="P29" s="204"/>
      <c r="Q29" s="204"/>
      <c r="R29" s="204"/>
      <c r="S29" s="204"/>
      <c r="T29" s="205"/>
    </row>
    <row r="30" spans="1:21" ht="30.75" customHeight="1" thickBot="1" x14ac:dyDescent="0.25">
      <c r="A30" s="206"/>
      <c r="B30" s="207"/>
      <c r="C30" s="467" t="s">
        <v>319</v>
      </c>
      <c r="D30" s="468"/>
      <c r="E30" s="468"/>
      <c r="F30" s="468"/>
      <c r="G30" s="468"/>
      <c r="H30" s="469"/>
      <c r="I30" s="207"/>
      <c r="J30" s="208"/>
      <c r="K30" s="207"/>
      <c r="L30" s="206"/>
      <c r="M30" s="207"/>
      <c r="N30" s="476" t="s">
        <v>326</v>
      </c>
      <c r="O30" s="477"/>
      <c r="P30" s="477"/>
      <c r="Q30" s="477"/>
      <c r="R30" s="478"/>
      <c r="S30" s="207"/>
      <c r="T30" s="208"/>
    </row>
  </sheetData>
  <sheetProtection password="CAEF" sheet="1" objects="1" scenarios="1"/>
  <mergeCells count="29">
    <mergeCell ref="F14:O14"/>
    <mergeCell ref="F15:O15"/>
    <mergeCell ref="H16:M16"/>
    <mergeCell ref="A21:J22"/>
    <mergeCell ref="E2:G2"/>
    <mergeCell ref="H2:J2"/>
    <mergeCell ref="B2:C2"/>
    <mergeCell ref="F11:O11"/>
    <mergeCell ref="H12:M12"/>
    <mergeCell ref="A24:J24"/>
    <mergeCell ref="C26:H26"/>
    <mergeCell ref="A28:J28"/>
    <mergeCell ref="C30:H30"/>
    <mergeCell ref="L19:T19"/>
    <mergeCell ref="L20:T20"/>
    <mergeCell ref="A19:J19"/>
    <mergeCell ref="A20:J20"/>
    <mergeCell ref="L28:T28"/>
    <mergeCell ref="N30:R30"/>
    <mergeCell ref="L22:T23"/>
    <mergeCell ref="L21:T21"/>
    <mergeCell ref="L24:T24"/>
    <mergeCell ref="N26:R26"/>
    <mergeCell ref="A23:J23"/>
    <mergeCell ref="A1:T1"/>
    <mergeCell ref="A4:T4"/>
    <mergeCell ref="A5:T6"/>
    <mergeCell ref="F8:O8"/>
    <mergeCell ref="F9:O9"/>
  </mergeCells>
  <hyperlinks>
    <hyperlink ref="C30:H30" location="'Zusammenfassung int. Prod.'!A1" display="► HIER gelangen Sie zur Zusammenfassung"/>
    <hyperlink ref="H16:M16" location="Anbauzeitpunkte!A1" display="Durch einen KLICK auf diesen Link ► gelangen Sie zu den Anbauzeitpunkten"/>
    <hyperlink ref="N30:R30" location="'Zusammenfassung BIO'!A1" display="► HIER gelangen Sie zur Zusammenfassung BIO"/>
    <hyperlink ref="C26:H26" location="'Begr.-Rechner int. Prod.'!A1" display="► HIER gelangen Sie gelangen Sie zum Begrünungsrechner"/>
    <hyperlink ref="N26:R26" location="'Begr.-Rechner BIO'!A1" display="► Hier gelangen Sie zum Begrünungsrechner BIO"/>
    <hyperlink ref="B2" r:id="rId1"/>
    <hyperlink ref="H2" r:id="rId2"/>
    <hyperlink ref="H12:M12" location="'Begrünungsliste 2023'!A1" display="Durch einen KLICK auf diesen Link ► gelangen Sie zur Begrünungsliste"/>
  </hyperlinks>
  <pageMargins left="0.7" right="0.7" top="0.78740157499999996" bottom="0.78740157499999996" header="0.3" footer="0.3"/>
  <pageSetup paperSize="9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-0.249977111117893"/>
    <pageSetUpPr fitToPage="1"/>
  </sheetPr>
  <dimension ref="A1:N126"/>
  <sheetViews>
    <sheetView showGridLines="0" showZeros="0" zoomScale="80" zoomScaleNormal="80" zoomScaleSheetLayoutView="100" workbookViewId="0">
      <pane xSplit="1" topLeftCell="B1" activePane="topRight" state="frozen"/>
      <selection pane="topRight" activeCell="E4" sqref="E4"/>
    </sheetView>
  </sheetViews>
  <sheetFormatPr baseColWidth="10" defaultRowHeight="15" x14ac:dyDescent="0.25"/>
  <cols>
    <col min="1" max="1" width="49" customWidth="1"/>
    <col min="2" max="2" width="27.875" style="40" customWidth="1"/>
    <col min="3" max="3" width="20.875" customWidth="1"/>
    <col min="4" max="4" width="20.125" customWidth="1"/>
    <col min="5" max="5" width="14.625" customWidth="1"/>
    <col min="7" max="7" width="14.25" customWidth="1"/>
    <col min="9" max="9" width="21.25" customWidth="1"/>
    <col min="10" max="10" width="11.5" customWidth="1"/>
    <col min="11" max="11" width="11.75" customWidth="1"/>
    <col min="12" max="12" width="17.375" customWidth="1"/>
    <col min="13" max="13" width="18.75" customWidth="1"/>
    <col min="14" max="14" width="18.25" bestFit="1" customWidth="1"/>
  </cols>
  <sheetData>
    <row r="1" spans="1:14" ht="143.25" customHeight="1" thickBot="1" x14ac:dyDescent="0.25">
      <c r="A1" s="68" t="s">
        <v>528</v>
      </c>
      <c r="B1" s="1" t="s">
        <v>828</v>
      </c>
      <c r="C1" s="2" t="s">
        <v>122</v>
      </c>
      <c r="D1" s="3"/>
      <c r="E1" s="511" t="s">
        <v>0</v>
      </c>
      <c r="F1" s="512"/>
      <c r="G1" s="512"/>
      <c r="H1" s="512"/>
      <c r="I1" s="160" t="str">
        <f>IF(OR($I$2="",$I$2=0),"bitte geben Sie HIER die
Begrünungsfläche in ha an","Fläche in ha")</f>
        <v>bitte geben Sie HIER die
Begrünungsfläche in ha an</v>
      </c>
      <c r="J1" s="4" t="s">
        <v>304</v>
      </c>
      <c r="K1" s="4" t="s">
        <v>518</v>
      </c>
      <c r="L1" s="5" t="s">
        <v>305</v>
      </c>
      <c r="M1" s="513" t="s">
        <v>317</v>
      </c>
      <c r="N1" s="514"/>
    </row>
    <row r="2" spans="1:14" ht="46.5" customHeight="1" thickTop="1" thickBot="1" x14ac:dyDescent="0.25">
      <c r="A2" s="7" t="s">
        <v>309</v>
      </c>
      <c r="B2" s="7" t="s">
        <v>2</v>
      </c>
      <c r="C2" s="7" t="s">
        <v>123</v>
      </c>
      <c r="D2" s="252" t="s">
        <v>4</v>
      </c>
      <c r="E2" s="253" t="s">
        <v>5</v>
      </c>
      <c r="F2" s="9" t="s">
        <v>1</v>
      </c>
      <c r="G2" s="7" t="s">
        <v>308</v>
      </c>
      <c r="H2" s="10" t="s">
        <v>6</v>
      </c>
      <c r="I2" s="224"/>
      <c r="J2" s="11">
        <f>SUM(E4:E62)</f>
        <v>0</v>
      </c>
      <c r="K2" s="12">
        <f>SUM(F4:F62)</f>
        <v>0</v>
      </c>
      <c r="L2" s="13">
        <f>SUM(G4:G62)</f>
        <v>0</v>
      </c>
      <c r="M2" s="515"/>
      <c r="N2" s="516"/>
    </row>
    <row r="3" spans="1:14" ht="46.5" customHeight="1" thickTop="1" thickBot="1" x14ac:dyDescent="0.25">
      <c r="A3" s="517" t="s">
        <v>7</v>
      </c>
      <c r="B3" s="518"/>
      <c r="C3" s="518"/>
      <c r="D3" s="518"/>
      <c r="E3" s="254" t="s">
        <v>410</v>
      </c>
      <c r="F3" s="250"/>
      <c r="G3" s="250"/>
      <c r="H3" s="251"/>
      <c r="I3" s="277" t="s">
        <v>334</v>
      </c>
      <c r="J3" s="519" t="s">
        <v>526</v>
      </c>
      <c r="K3" s="520"/>
      <c r="L3" s="422" t="str">
        <f>IF('Zusammenfassung int. Prod.'!H4=0,"0 %",'Zusammenfassung int. Prod.'!H4)</f>
        <v/>
      </c>
      <c r="M3" s="549" t="str">
        <f>IF(AND(L3&gt;0.6,L3&lt;&gt;"0 %",J2&gt;0),"ACHTUNG Vorfruchtwirkung beachten: 
ungenutzte ZWF &gt; 60 % Leg.: 20 kg N
genutzte ZWF &gt; 60% Leg.: 10 kg N","")</f>
        <v/>
      </c>
      <c r="N3" s="550"/>
    </row>
    <row r="4" spans="1:14" ht="21.75" customHeight="1" thickBot="1" x14ac:dyDescent="0.25">
      <c r="A4" s="15" t="s">
        <v>69</v>
      </c>
      <c r="B4" s="69">
        <v>5.57</v>
      </c>
      <c r="C4" s="70">
        <v>15</v>
      </c>
      <c r="D4" s="16">
        <f t="shared" ref="D4:D19" si="0">IF(ISERROR(C4*B4),0,C4*B4)</f>
        <v>83.550000000000011</v>
      </c>
      <c r="E4" s="86"/>
      <c r="F4" s="75">
        <f t="shared" ref="F4" si="1">IF(ISERROR(E4*B4),0,(E4*B4))</f>
        <v>0</v>
      </c>
      <c r="G4" s="76">
        <f t="shared" ref="G4" si="2">IF(ISERROR(E4/C4),0,(E4/C4))</f>
        <v>0</v>
      </c>
      <c r="H4" s="77">
        <f>IF(ISERROR(ROUND($I$2*E4,1)),0,ROUND($I$2*E4,1))</f>
        <v>0</v>
      </c>
      <c r="I4" s="303" t="s">
        <v>140</v>
      </c>
      <c r="J4" s="521" t="s">
        <v>879</v>
      </c>
      <c r="K4" s="522"/>
      <c r="L4" s="523"/>
      <c r="M4" s="14"/>
    </row>
    <row r="5" spans="1:14" ht="21.75" customHeight="1" thickBot="1" x14ac:dyDescent="0.25">
      <c r="A5" s="15" t="s">
        <v>8</v>
      </c>
      <c r="B5" s="69">
        <v>4.9000000000000004</v>
      </c>
      <c r="C5" s="302">
        <v>25</v>
      </c>
      <c r="D5" s="16">
        <f t="shared" ref="D5:D16" si="3">IF(ISERROR(C5*B5),0,C5*B5)</f>
        <v>122.50000000000001</v>
      </c>
      <c r="E5" s="79"/>
      <c r="F5" s="75">
        <f t="shared" ref="F5:F15" si="4">IF(ISERROR(E5*B5),0,(E5*B5))</f>
        <v>0</v>
      </c>
      <c r="G5" s="76">
        <f t="shared" ref="G5:G16" si="5">IF(ISERROR(E5/C5),0,(E5/C5))</f>
        <v>0</v>
      </c>
      <c r="H5" s="77">
        <f t="shared" ref="H5:H44" si="6">IF(ISERROR(ROUND($I$2*E5,1)),0,ROUND($I$2*E5,1))</f>
        <v>0</v>
      </c>
      <c r="I5" s="304" t="s">
        <v>340</v>
      </c>
      <c r="J5" s="524"/>
      <c r="K5" s="525"/>
      <c r="L5" s="526"/>
    </row>
    <row r="6" spans="1:14" ht="21.75" customHeight="1" thickBot="1" x14ac:dyDescent="0.25">
      <c r="A6" s="57" t="s">
        <v>71</v>
      </c>
      <c r="B6" s="69">
        <v>2.89</v>
      </c>
      <c r="C6" s="70">
        <v>25</v>
      </c>
      <c r="D6" s="16">
        <f t="shared" si="3"/>
        <v>72.25</v>
      </c>
      <c r="E6" s="79"/>
      <c r="F6" s="75">
        <f t="shared" si="4"/>
        <v>0</v>
      </c>
      <c r="G6" s="76">
        <f t="shared" si="5"/>
        <v>0</v>
      </c>
      <c r="H6" s="77">
        <f t="shared" si="6"/>
        <v>0</v>
      </c>
      <c r="I6" s="304" t="s">
        <v>182</v>
      </c>
      <c r="J6" s="527" t="str">
        <f>IF(L6="","Wirtschaftsdüngerart auswählen ►","genutzte Wirtschaftsdüngerart:")</f>
        <v>Wirtschaftsdüngerart auswählen ►</v>
      </c>
      <c r="K6" s="528"/>
      <c r="L6" s="531"/>
    </row>
    <row r="7" spans="1:14" ht="21.75" customHeight="1" thickBot="1" x14ac:dyDescent="0.25">
      <c r="A7" s="57" t="s">
        <v>72</v>
      </c>
      <c r="B7" s="69">
        <v>1.63</v>
      </c>
      <c r="C7" s="70">
        <v>170</v>
      </c>
      <c r="D7" s="16">
        <f t="shared" si="3"/>
        <v>277.09999999999997</v>
      </c>
      <c r="E7" s="79"/>
      <c r="F7" s="75">
        <f t="shared" si="4"/>
        <v>0</v>
      </c>
      <c r="G7" s="76">
        <f t="shared" si="5"/>
        <v>0</v>
      </c>
      <c r="H7" s="77">
        <f t="shared" si="6"/>
        <v>0</v>
      </c>
      <c r="I7" s="304" t="s">
        <v>340</v>
      </c>
      <c r="J7" s="529"/>
      <c r="K7" s="530"/>
      <c r="L7" s="532"/>
    </row>
    <row r="8" spans="1:14" ht="21.75" customHeight="1" thickBot="1" x14ac:dyDescent="0.25">
      <c r="A8" s="19" t="s">
        <v>10</v>
      </c>
      <c r="B8" s="69">
        <v>1.89</v>
      </c>
      <c r="C8" s="302">
        <v>70</v>
      </c>
      <c r="D8" s="16">
        <f t="shared" si="3"/>
        <v>132.29999999999998</v>
      </c>
      <c r="E8" s="79"/>
      <c r="F8" s="75">
        <f t="shared" si="4"/>
        <v>0</v>
      </c>
      <c r="G8" s="76">
        <f t="shared" si="5"/>
        <v>0</v>
      </c>
      <c r="H8" s="77">
        <f t="shared" si="6"/>
        <v>0</v>
      </c>
      <c r="I8" s="304" t="s">
        <v>341</v>
      </c>
      <c r="J8" s="533" t="s">
        <v>878</v>
      </c>
      <c r="K8" s="534"/>
      <c r="L8" s="537" t="str">
        <f>IF(L6="",CONCATENATE('Konventionell (2)'!T13," kg N ab Lager"),CONCATENATE('Konventionell (2)'!T13," kg N ab Lager 
(",'Konventionell (2)'!U13," kg N jw)",""))</f>
        <v>60 kg N ab Lager</v>
      </c>
    </row>
    <row r="9" spans="1:14" ht="21.75" customHeight="1" thickBot="1" x14ac:dyDescent="0.25">
      <c r="A9" s="28" t="s">
        <v>11</v>
      </c>
      <c r="B9" s="69">
        <v>2.66</v>
      </c>
      <c r="C9" s="70">
        <v>40</v>
      </c>
      <c r="D9" s="29">
        <f t="shared" si="3"/>
        <v>106.4</v>
      </c>
      <c r="E9" s="79"/>
      <c r="F9" s="75">
        <f t="shared" si="4"/>
        <v>0</v>
      </c>
      <c r="G9" s="76">
        <f t="shared" si="5"/>
        <v>0</v>
      </c>
      <c r="H9" s="77">
        <f t="shared" si="6"/>
        <v>0</v>
      </c>
      <c r="I9" s="304" t="s">
        <v>182</v>
      </c>
      <c r="J9" s="535"/>
      <c r="K9" s="536"/>
      <c r="L9" s="538"/>
    </row>
    <row r="10" spans="1:14" ht="21.75" customHeight="1" thickBot="1" x14ac:dyDescent="0.25">
      <c r="A10" s="23" t="s">
        <v>434</v>
      </c>
      <c r="B10" s="69">
        <v>3.18</v>
      </c>
      <c r="C10" s="302">
        <v>30</v>
      </c>
      <c r="D10" s="24">
        <f t="shared" si="3"/>
        <v>95.4</v>
      </c>
      <c r="E10" s="79"/>
      <c r="F10" s="75">
        <f t="shared" si="4"/>
        <v>0</v>
      </c>
      <c r="G10" s="76">
        <f t="shared" si="5"/>
        <v>0</v>
      </c>
      <c r="H10" s="77">
        <f t="shared" si="6"/>
        <v>0</v>
      </c>
      <c r="I10" s="304" t="s">
        <v>182</v>
      </c>
      <c r="J10" s="539" t="s">
        <v>883</v>
      </c>
      <c r="K10" s="540"/>
      <c r="L10" s="537" t="str">
        <f>IF(L6="",CONCATENATE('Konventionell (2)'!T12," kg N ab Lager"),CONCATENATE('Konventionell (2)'!T12," kg N ab Lager 
(",'Konventionell (2)'!U12," kg N jw)",""))</f>
        <v>60 kg N ab Lager</v>
      </c>
    </row>
    <row r="11" spans="1:14" ht="21.75" customHeight="1" thickBot="1" x14ac:dyDescent="0.25">
      <c r="A11" s="58" t="s">
        <v>74</v>
      </c>
      <c r="B11" s="69">
        <v>3.65</v>
      </c>
      <c r="C11" s="70">
        <v>180</v>
      </c>
      <c r="D11" s="22">
        <f t="shared" si="3"/>
        <v>657</v>
      </c>
      <c r="E11" s="79"/>
      <c r="F11" s="75">
        <f t="shared" si="4"/>
        <v>0</v>
      </c>
      <c r="G11" s="76">
        <f t="shared" si="5"/>
        <v>0</v>
      </c>
      <c r="H11" s="77">
        <f t="shared" si="6"/>
        <v>0</v>
      </c>
      <c r="I11" s="304" t="s">
        <v>340</v>
      </c>
      <c r="J11" s="541"/>
      <c r="K11" s="542"/>
      <c r="L11" s="538"/>
    </row>
    <row r="12" spans="1:14" ht="21.75" customHeight="1" thickBot="1" x14ac:dyDescent="0.25">
      <c r="A12" s="21" t="s">
        <v>13</v>
      </c>
      <c r="B12" s="69">
        <v>1.41</v>
      </c>
      <c r="C12" s="302">
        <v>160</v>
      </c>
      <c r="D12" s="22">
        <f t="shared" si="3"/>
        <v>225.6</v>
      </c>
      <c r="E12" s="79"/>
      <c r="F12" s="75">
        <f t="shared" si="4"/>
        <v>0</v>
      </c>
      <c r="G12" s="76">
        <f t="shared" si="5"/>
        <v>0</v>
      </c>
      <c r="H12" s="77">
        <f t="shared" si="6"/>
        <v>0</v>
      </c>
      <c r="I12" s="304" t="s">
        <v>340</v>
      </c>
      <c r="J12" s="543" t="s">
        <v>877</v>
      </c>
      <c r="K12" s="544"/>
      <c r="L12" s="545"/>
    </row>
    <row r="13" spans="1:14" ht="21.75" customHeight="1" thickBot="1" x14ac:dyDescent="0.25">
      <c r="A13" s="19" t="s">
        <v>75</v>
      </c>
      <c r="B13" s="69">
        <v>13.29</v>
      </c>
      <c r="C13" s="302">
        <v>4</v>
      </c>
      <c r="D13" s="16">
        <f t="shared" si="3"/>
        <v>53.16</v>
      </c>
      <c r="E13" s="79"/>
      <c r="F13" s="75">
        <f t="shared" si="4"/>
        <v>0</v>
      </c>
      <c r="G13" s="76">
        <f t="shared" si="5"/>
        <v>0</v>
      </c>
      <c r="H13" s="77">
        <f t="shared" si="6"/>
        <v>0</v>
      </c>
      <c r="I13" s="303" t="s">
        <v>140</v>
      </c>
      <c r="J13" s="546"/>
      <c r="K13" s="547"/>
      <c r="L13" s="548"/>
    </row>
    <row r="14" spans="1:14" ht="21.75" customHeight="1" thickBot="1" x14ac:dyDescent="0.25">
      <c r="A14" s="19" t="s">
        <v>14</v>
      </c>
      <c r="B14" s="69">
        <v>8.23</v>
      </c>
      <c r="C14" s="70">
        <v>30</v>
      </c>
      <c r="D14" s="16">
        <f t="shared" si="3"/>
        <v>246.9</v>
      </c>
      <c r="E14" s="79"/>
      <c r="F14" s="75">
        <f t="shared" si="4"/>
        <v>0</v>
      </c>
      <c r="G14" s="76">
        <f t="shared" si="5"/>
        <v>0</v>
      </c>
      <c r="H14" s="77">
        <f t="shared" si="6"/>
        <v>0</v>
      </c>
      <c r="I14" s="304" t="s">
        <v>340</v>
      </c>
    </row>
    <row r="15" spans="1:14" ht="21.75" customHeight="1" thickBot="1" x14ac:dyDescent="0.25">
      <c r="A15" s="23" t="s">
        <v>15</v>
      </c>
      <c r="B15" s="69">
        <v>1.92</v>
      </c>
      <c r="C15" s="302">
        <v>120</v>
      </c>
      <c r="D15" s="24">
        <f t="shared" si="3"/>
        <v>230.39999999999998</v>
      </c>
      <c r="E15" s="79"/>
      <c r="F15" s="75">
        <f t="shared" si="4"/>
        <v>0</v>
      </c>
      <c r="G15" s="76">
        <f t="shared" si="5"/>
        <v>0</v>
      </c>
      <c r="H15" s="77">
        <f t="shared" si="6"/>
        <v>0</v>
      </c>
      <c r="I15" s="304" t="s">
        <v>182</v>
      </c>
    </row>
    <row r="16" spans="1:14" ht="21.75" customHeight="1" thickBot="1" x14ac:dyDescent="0.25">
      <c r="A16" s="30" t="s">
        <v>572</v>
      </c>
      <c r="B16" s="69">
        <v>10.18</v>
      </c>
      <c r="C16" s="302">
        <v>40</v>
      </c>
      <c r="D16" s="24">
        <f t="shared" si="3"/>
        <v>407.2</v>
      </c>
      <c r="E16" s="79"/>
      <c r="G16" s="388">
        <f t="shared" si="5"/>
        <v>0</v>
      </c>
      <c r="H16" s="77">
        <f t="shared" si="6"/>
        <v>0</v>
      </c>
      <c r="I16" s="389" t="s">
        <v>407</v>
      </c>
    </row>
    <row r="17" spans="1:10" ht="21.75" customHeight="1" thickBot="1" x14ac:dyDescent="0.25">
      <c r="A17" s="19" t="s">
        <v>78</v>
      </c>
      <c r="B17" s="69">
        <v>9.98</v>
      </c>
      <c r="C17" s="70">
        <v>2</v>
      </c>
      <c r="D17" s="16">
        <f t="shared" si="0"/>
        <v>19.96</v>
      </c>
      <c r="E17" s="79"/>
      <c r="F17" s="75">
        <f t="shared" ref="F17:F19" si="7">IF(ISERROR(E17*B17),0,(E17*B17))</f>
        <v>0</v>
      </c>
      <c r="G17" s="76">
        <f t="shared" ref="G17:G19" si="8">IF(ISERROR(E17/C17),0,(E17/C17))</f>
        <v>0</v>
      </c>
      <c r="H17" s="77">
        <f t="shared" si="6"/>
        <v>0</v>
      </c>
      <c r="I17" s="304" t="s">
        <v>140</v>
      </c>
      <c r="J17" s="236"/>
    </row>
    <row r="18" spans="1:10" ht="21.75" customHeight="1" thickBot="1" x14ac:dyDescent="0.25">
      <c r="A18" s="19" t="s">
        <v>79</v>
      </c>
      <c r="B18" s="69">
        <v>4.03</v>
      </c>
      <c r="C18" s="70">
        <v>15</v>
      </c>
      <c r="D18" s="16">
        <f t="shared" si="0"/>
        <v>60.45</v>
      </c>
      <c r="E18" s="79"/>
      <c r="F18" s="75">
        <f t="shared" si="7"/>
        <v>0</v>
      </c>
      <c r="G18" s="76">
        <f t="shared" si="8"/>
        <v>0</v>
      </c>
      <c r="H18" s="77">
        <f t="shared" si="6"/>
        <v>0</v>
      </c>
      <c r="I18" s="303" t="s">
        <v>182</v>
      </c>
    </row>
    <row r="19" spans="1:10" ht="21.75" customHeight="1" thickBot="1" x14ac:dyDescent="0.25">
      <c r="A19" s="19" t="s">
        <v>80</v>
      </c>
      <c r="B19" s="69">
        <v>17.46</v>
      </c>
      <c r="C19" s="70">
        <v>20</v>
      </c>
      <c r="D19" s="16">
        <f t="shared" si="0"/>
        <v>349.20000000000005</v>
      </c>
      <c r="E19" s="79"/>
      <c r="F19" s="75">
        <f t="shared" si="7"/>
        <v>0</v>
      </c>
      <c r="G19" s="76">
        <f t="shared" si="8"/>
        <v>0</v>
      </c>
      <c r="H19" s="77">
        <f t="shared" si="6"/>
        <v>0</v>
      </c>
      <c r="I19" s="304" t="s">
        <v>340</v>
      </c>
    </row>
    <row r="20" spans="1:10" ht="21.75" customHeight="1" thickBot="1" x14ac:dyDescent="0.25">
      <c r="A20" s="19" t="s">
        <v>16</v>
      </c>
      <c r="B20" s="69">
        <v>3.21</v>
      </c>
      <c r="C20" s="70">
        <v>30</v>
      </c>
      <c r="D20" s="16">
        <f t="shared" ref="D20:D44" si="9">IF(ISERROR(C20*B20),0,C20*B20)</f>
        <v>96.3</v>
      </c>
      <c r="E20" s="79"/>
      <c r="F20" s="75">
        <f t="shared" ref="F20:F44" si="10">IF(ISERROR(E20*B20),0,(E20*B20))</f>
        <v>0</v>
      </c>
      <c r="G20" s="76">
        <f t="shared" ref="G20:G44" si="11">IF(ISERROR(E20/C20),0,(E20/C20))</f>
        <v>0</v>
      </c>
      <c r="H20" s="77">
        <f t="shared" si="6"/>
        <v>0</v>
      </c>
      <c r="I20" s="304" t="s">
        <v>340</v>
      </c>
    </row>
    <row r="21" spans="1:10" ht="21.75" customHeight="1" thickBot="1" x14ac:dyDescent="0.25">
      <c r="A21" s="19" t="s">
        <v>439</v>
      </c>
      <c r="B21" s="69">
        <v>2.72</v>
      </c>
      <c r="C21" s="70">
        <v>40</v>
      </c>
      <c r="D21" s="16">
        <f t="shared" si="9"/>
        <v>108.80000000000001</v>
      </c>
      <c r="E21" s="79"/>
      <c r="F21" s="75">
        <f t="shared" si="10"/>
        <v>0</v>
      </c>
      <c r="G21" s="76">
        <f t="shared" si="11"/>
        <v>0</v>
      </c>
      <c r="H21" s="77">
        <f t="shared" si="6"/>
        <v>0</v>
      </c>
      <c r="I21" s="304" t="s">
        <v>182</v>
      </c>
    </row>
    <row r="22" spans="1:10" ht="21.75" customHeight="1" thickBot="1" x14ac:dyDescent="0.25">
      <c r="A22" s="20" t="s">
        <v>441</v>
      </c>
      <c r="B22" s="69">
        <v>4.92</v>
      </c>
      <c r="C22" s="70">
        <v>10</v>
      </c>
      <c r="D22" s="18">
        <f t="shared" si="9"/>
        <v>49.2</v>
      </c>
      <c r="E22" s="79"/>
      <c r="F22" s="75">
        <f t="shared" si="10"/>
        <v>0</v>
      </c>
      <c r="G22" s="76">
        <f t="shared" si="11"/>
        <v>0</v>
      </c>
      <c r="H22" s="77">
        <f t="shared" si="6"/>
        <v>0</v>
      </c>
      <c r="I22" s="304" t="s">
        <v>140</v>
      </c>
    </row>
    <row r="23" spans="1:10" ht="21.75" customHeight="1" thickBot="1" x14ac:dyDescent="0.25">
      <c r="A23" s="23" t="s">
        <v>82</v>
      </c>
      <c r="B23" s="69">
        <v>20.05</v>
      </c>
      <c r="C23" s="302">
        <v>12</v>
      </c>
      <c r="D23" s="24">
        <f t="shared" si="9"/>
        <v>240.60000000000002</v>
      </c>
      <c r="E23" s="79"/>
      <c r="F23" s="75">
        <f t="shared" si="10"/>
        <v>0</v>
      </c>
      <c r="G23" s="76">
        <f t="shared" si="11"/>
        <v>0</v>
      </c>
      <c r="H23" s="77">
        <f t="shared" si="6"/>
        <v>0</v>
      </c>
      <c r="I23" s="304" t="s">
        <v>344</v>
      </c>
    </row>
    <row r="24" spans="1:10" ht="21.75" customHeight="1" thickBot="1" x14ac:dyDescent="0.25">
      <c r="A24" s="25" t="s">
        <v>19</v>
      </c>
      <c r="B24" s="69">
        <v>4.8499999999999996</v>
      </c>
      <c r="C24" s="302">
        <v>10</v>
      </c>
      <c r="D24" s="16">
        <f t="shared" si="9"/>
        <v>48.5</v>
      </c>
      <c r="E24" s="79"/>
      <c r="F24" s="75">
        <f t="shared" si="10"/>
        <v>0</v>
      </c>
      <c r="G24" s="76">
        <f t="shared" si="11"/>
        <v>0</v>
      </c>
      <c r="H24" s="77">
        <f t="shared" si="6"/>
        <v>0</v>
      </c>
      <c r="I24" s="303" t="s">
        <v>140</v>
      </c>
    </row>
    <row r="25" spans="1:10" ht="21.75" customHeight="1" thickBot="1" x14ac:dyDescent="0.25">
      <c r="A25" s="26" t="s">
        <v>600</v>
      </c>
      <c r="B25" s="69">
        <v>5.51</v>
      </c>
      <c r="C25" s="70">
        <v>90</v>
      </c>
      <c r="D25" s="27">
        <f t="shared" si="9"/>
        <v>495.9</v>
      </c>
      <c r="E25" s="79"/>
      <c r="F25" s="75">
        <f t="shared" si="10"/>
        <v>0</v>
      </c>
      <c r="G25" s="76">
        <f t="shared" si="11"/>
        <v>0</v>
      </c>
      <c r="H25" s="77">
        <f t="shared" si="6"/>
        <v>0</v>
      </c>
      <c r="I25" s="304" t="s">
        <v>340</v>
      </c>
    </row>
    <row r="26" spans="1:10" ht="21.75" customHeight="1" thickBot="1" x14ac:dyDescent="0.25">
      <c r="A26" s="26" t="s">
        <v>21</v>
      </c>
      <c r="B26" s="69">
        <v>7.91</v>
      </c>
      <c r="C26" s="70">
        <v>25</v>
      </c>
      <c r="D26" s="27">
        <f t="shared" si="9"/>
        <v>197.75</v>
      </c>
      <c r="E26" s="79"/>
      <c r="F26" s="75">
        <f t="shared" si="10"/>
        <v>0</v>
      </c>
      <c r="G26" s="76">
        <f t="shared" si="11"/>
        <v>0</v>
      </c>
      <c r="H26" s="77">
        <f t="shared" si="6"/>
        <v>0</v>
      </c>
      <c r="I26" s="304" t="s">
        <v>340</v>
      </c>
    </row>
    <row r="27" spans="1:10" ht="21.75" customHeight="1" thickBot="1" x14ac:dyDescent="0.25">
      <c r="A27" s="19" t="s">
        <v>23</v>
      </c>
      <c r="B27" s="69">
        <v>7.8</v>
      </c>
      <c r="C27" s="302">
        <v>8</v>
      </c>
      <c r="D27" s="16">
        <f t="shared" si="9"/>
        <v>62.4</v>
      </c>
      <c r="E27" s="79"/>
      <c r="F27" s="75">
        <f t="shared" si="10"/>
        <v>0</v>
      </c>
      <c r="G27" s="76">
        <f t="shared" si="11"/>
        <v>0</v>
      </c>
      <c r="H27" s="77">
        <f t="shared" si="6"/>
        <v>0</v>
      </c>
      <c r="I27" s="304" t="s">
        <v>140</v>
      </c>
    </row>
    <row r="28" spans="1:10" ht="40.5" customHeight="1" thickBot="1" x14ac:dyDescent="0.25">
      <c r="A28" s="23" t="s">
        <v>335</v>
      </c>
      <c r="B28" s="69">
        <v>3.58</v>
      </c>
      <c r="C28" s="302">
        <v>10</v>
      </c>
      <c r="D28" s="24">
        <f t="shared" si="9"/>
        <v>35.799999999999997</v>
      </c>
      <c r="E28" s="79"/>
      <c r="F28" s="75">
        <f t="shared" si="10"/>
        <v>0</v>
      </c>
      <c r="G28" s="76">
        <f t="shared" si="11"/>
        <v>0</v>
      </c>
      <c r="H28" s="77">
        <f t="shared" si="6"/>
        <v>0</v>
      </c>
      <c r="I28" s="303" t="s">
        <v>342</v>
      </c>
    </row>
    <row r="29" spans="1:10" ht="21.75" customHeight="1" thickBot="1" x14ac:dyDescent="0.25">
      <c r="A29" s="19" t="s">
        <v>24</v>
      </c>
      <c r="B29" s="69">
        <v>3.0199999999999996</v>
      </c>
      <c r="C29" s="70">
        <v>20</v>
      </c>
      <c r="D29" s="16">
        <f t="shared" si="9"/>
        <v>60.399999999999991</v>
      </c>
      <c r="E29" s="79"/>
      <c r="F29" s="75">
        <f t="shared" si="10"/>
        <v>0</v>
      </c>
      <c r="G29" s="76">
        <f t="shared" si="11"/>
        <v>0</v>
      </c>
      <c r="H29" s="77">
        <f t="shared" si="6"/>
        <v>0</v>
      </c>
      <c r="I29" s="303" t="s">
        <v>140</v>
      </c>
    </row>
    <row r="30" spans="1:10" ht="21.75" customHeight="1" thickBot="1" x14ac:dyDescent="0.25">
      <c r="A30" s="28" t="s">
        <v>108</v>
      </c>
      <c r="B30" s="69">
        <v>3.51</v>
      </c>
      <c r="C30" s="302">
        <v>25</v>
      </c>
      <c r="D30" s="29">
        <f t="shared" si="9"/>
        <v>87.75</v>
      </c>
      <c r="E30" s="79"/>
      <c r="F30" s="75">
        <f t="shared" si="10"/>
        <v>0</v>
      </c>
      <c r="G30" s="76">
        <f t="shared" si="11"/>
        <v>0</v>
      </c>
      <c r="H30" s="77">
        <f t="shared" si="6"/>
        <v>0</v>
      </c>
      <c r="I30" s="303" t="s">
        <v>140</v>
      </c>
    </row>
    <row r="31" spans="1:10" ht="21.75" customHeight="1" thickBot="1" x14ac:dyDescent="0.25">
      <c r="A31" s="28" t="s">
        <v>25</v>
      </c>
      <c r="B31" s="69">
        <v>6.23</v>
      </c>
      <c r="C31" s="302">
        <v>20</v>
      </c>
      <c r="D31" s="29">
        <f t="shared" si="9"/>
        <v>124.60000000000001</v>
      </c>
      <c r="E31" s="79"/>
      <c r="F31" s="75">
        <f t="shared" si="10"/>
        <v>0</v>
      </c>
      <c r="G31" s="76">
        <f t="shared" si="11"/>
        <v>0</v>
      </c>
      <c r="H31" s="77">
        <f t="shared" si="6"/>
        <v>0</v>
      </c>
      <c r="I31" s="304" t="s">
        <v>340</v>
      </c>
    </row>
    <row r="32" spans="1:10" ht="21.75" customHeight="1" thickBot="1" x14ac:dyDescent="0.25">
      <c r="A32" s="23" t="s">
        <v>26</v>
      </c>
      <c r="B32" s="69">
        <v>4.6300000000000008</v>
      </c>
      <c r="C32" s="302">
        <v>12</v>
      </c>
      <c r="D32" s="24">
        <f t="shared" si="9"/>
        <v>55.560000000000009</v>
      </c>
      <c r="E32" s="79"/>
      <c r="F32" s="75">
        <f t="shared" si="10"/>
        <v>0</v>
      </c>
      <c r="G32" s="76">
        <f t="shared" si="11"/>
        <v>0</v>
      </c>
      <c r="H32" s="77">
        <f t="shared" si="6"/>
        <v>0</v>
      </c>
      <c r="I32" s="304" t="s">
        <v>343</v>
      </c>
    </row>
    <row r="33" spans="1:9" ht="21.75" customHeight="1" thickBot="1" x14ac:dyDescent="0.25">
      <c r="A33" s="23" t="s">
        <v>28</v>
      </c>
      <c r="B33" s="69">
        <v>2.2000000000000002</v>
      </c>
      <c r="C33" s="302">
        <f>(120+160)/2</f>
        <v>140</v>
      </c>
      <c r="D33" s="24">
        <f t="shared" si="9"/>
        <v>308</v>
      </c>
      <c r="E33" s="79"/>
      <c r="F33" s="75">
        <f t="shared" si="10"/>
        <v>0</v>
      </c>
      <c r="G33" s="76">
        <f t="shared" si="11"/>
        <v>0</v>
      </c>
      <c r="H33" s="77">
        <f t="shared" si="6"/>
        <v>0</v>
      </c>
      <c r="I33" s="304" t="s">
        <v>340</v>
      </c>
    </row>
    <row r="34" spans="1:9" ht="21.75" customHeight="1" thickBot="1" x14ac:dyDescent="0.25">
      <c r="A34" s="23" t="s">
        <v>30</v>
      </c>
      <c r="B34" s="69">
        <v>19.91</v>
      </c>
      <c r="C34" s="302">
        <v>12</v>
      </c>
      <c r="D34" s="24">
        <f t="shared" si="9"/>
        <v>238.92000000000002</v>
      </c>
      <c r="E34" s="79"/>
      <c r="F34" s="75">
        <f t="shared" si="10"/>
        <v>0</v>
      </c>
      <c r="G34" s="76">
        <f t="shared" si="11"/>
        <v>0</v>
      </c>
      <c r="H34" s="77">
        <f t="shared" si="6"/>
        <v>0</v>
      </c>
      <c r="I34" s="303" t="s">
        <v>342</v>
      </c>
    </row>
    <row r="35" spans="1:9" ht="21.75" customHeight="1" thickBot="1" x14ac:dyDescent="0.25">
      <c r="A35" s="23" t="s">
        <v>31</v>
      </c>
      <c r="B35" s="69">
        <v>7.98</v>
      </c>
      <c r="C35" s="302">
        <v>25</v>
      </c>
      <c r="D35" s="24">
        <f t="shared" si="9"/>
        <v>199.5</v>
      </c>
      <c r="E35" s="79"/>
      <c r="F35" s="75">
        <f t="shared" si="10"/>
        <v>0</v>
      </c>
      <c r="G35" s="76">
        <f t="shared" si="11"/>
        <v>0</v>
      </c>
      <c r="H35" s="77">
        <f t="shared" si="6"/>
        <v>0</v>
      </c>
      <c r="I35" s="304" t="s">
        <v>340</v>
      </c>
    </row>
    <row r="36" spans="1:9" ht="21.75" customHeight="1" thickBot="1" x14ac:dyDescent="0.25">
      <c r="A36" s="60" t="s">
        <v>84</v>
      </c>
      <c r="B36" s="69">
        <v>2.13</v>
      </c>
      <c r="C36" s="302">
        <v>150</v>
      </c>
      <c r="D36" s="61">
        <f t="shared" si="9"/>
        <v>319.5</v>
      </c>
      <c r="E36" s="79"/>
      <c r="F36" s="75">
        <f t="shared" si="10"/>
        <v>0</v>
      </c>
      <c r="G36" s="76">
        <f t="shared" si="11"/>
        <v>0</v>
      </c>
      <c r="H36" s="77">
        <f t="shared" si="6"/>
        <v>0</v>
      </c>
      <c r="I36" s="304" t="s">
        <v>340</v>
      </c>
    </row>
    <row r="37" spans="1:9" ht="21.75" customHeight="1" thickBot="1" x14ac:dyDescent="0.25">
      <c r="A37" s="63" t="s">
        <v>887</v>
      </c>
      <c r="B37" s="69">
        <v>2.66</v>
      </c>
      <c r="C37" s="70">
        <v>130</v>
      </c>
      <c r="D37" s="24">
        <f t="shared" si="9"/>
        <v>345.8</v>
      </c>
      <c r="E37" s="79"/>
      <c r="F37" s="75">
        <f t="shared" si="10"/>
        <v>0</v>
      </c>
      <c r="G37" s="76">
        <f t="shared" si="11"/>
        <v>0</v>
      </c>
      <c r="H37" s="77">
        <f t="shared" si="6"/>
        <v>0</v>
      </c>
      <c r="I37" s="304" t="s">
        <v>340</v>
      </c>
    </row>
    <row r="38" spans="1:9" ht="21.75" customHeight="1" thickBot="1" x14ac:dyDescent="0.25">
      <c r="A38" s="63" t="s">
        <v>110</v>
      </c>
      <c r="B38" s="69">
        <v>5.52</v>
      </c>
      <c r="C38" s="70">
        <v>30</v>
      </c>
      <c r="D38" s="62">
        <f t="shared" si="9"/>
        <v>165.6</v>
      </c>
      <c r="E38" s="79"/>
      <c r="F38" s="75">
        <f t="shared" si="10"/>
        <v>0</v>
      </c>
      <c r="G38" s="76">
        <f t="shared" si="11"/>
        <v>0</v>
      </c>
      <c r="H38" s="77">
        <f t="shared" si="6"/>
        <v>0</v>
      </c>
      <c r="I38" s="304" t="s">
        <v>342</v>
      </c>
    </row>
    <row r="39" spans="1:9" ht="21.75" customHeight="1" thickBot="1" x14ac:dyDescent="0.25">
      <c r="A39" s="23" t="s">
        <v>374</v>
      </c>
      <c r="B39" s="69">
        <v>2.52</v>
      </c>
      <c r="C39" s="70">
        <v>100</v>
      </c>
      <c r="D39" s="24">
        <f t="shared" si="9"/>
        <v>252</v>
      </c>
      <c r="E39" s="79"/>
      <c r="F39" s="75">
        <f t="shared" si="10"/>
        <v>0</v>
      </c>
      <c r="G39" s="76">
        <f t="shared" si="11"/>
        <v>0</v>
      </c>
      <c r="H39" s="77">
        <f t="shared" si="6"/>
        <v>0</v>
      </c>
      <c r="I39" s="304" t="s">
        <v>182</v>
      </c>
    </row>
    <row r="40" spans="1:9" ht="21.75" customHeight="1" thickBot="1" x14ac:dyDescent="0.25">
      <c r="A40" s="23" t="s">
        <v>33</v>
      </c>
      <c r="B40" s="69">
        <v>5.89</v>
      </c>
      <c r="C40" s="70">
        <v>10</v>
      </c>
      <c r="D40" s="24">
        <f t="shared" si="9"/>
        <v>58.9</v>
      </c>
      <c r="E40" s="79"/>
      <c r="F40" s="75">
        <f t="shared" si="10"/>
        <v>0</v>
      </c>
      <c r="G40" s="76">
        <f t="shared" si="11"/>
        <v>0</v>
      </c>
      <c r="H40" s="77">
        <f t="shared" si="6"/>
        <v>0</v>
      </c>
      <c r="I40" s="304" t="s">
        <v>140</v>
      </c>
    </row>
    <row r="41" spans="1:9" ht="21.75" customHeight="1" thickBot="1" x14ac:dyDescent="0.25">
      <c r="A41" s="23" t="s">
        <v>34</v>
      </c>
      <c r="B41" s="69">
        <v>8.17</v>
      </c>
      <c r="C41" s="70">
        <v>20</v>
      </c>
      <c r="D41" s="24">
        <f t="shared" si="9"/>
        <v>163.4</v>
      </c>
      <c r="E41" s="80"/>
      <c r="F41" s="75">
        <f t="shared" si="10"/>
        <v>0</v>
      </c>
      <c r="G41" s="76">
        <f t="shared" si="11"/>
        <v>0</v>
      </c>
      <c r="H41" s="77">
        <f t="shared" si="6"/>
        <v>0</v>
      </c>
      <c r="I41" s="304" t="s">
        <v>340</v>
      </c>
    </row>
    <row r="42" spans="1:9" ht="21.75" customHeight="1" thickBot="1" x14ac:dyDescent="0.25">
      <c r="A42" s="19" t="s">
        <v>35</v>
      </c>
      <c r="B42" s="69">
        <v>2.44</v>
      </c>
      <c r="C42" s="302">
        <v>15</v>
      </c>
      <c r="D42" s="16">
        <f t="shared" si="9"/>
        <v>36.6</v>
      </c>
      <c r="E42" s="79"/>
      <c r="F42" s="75">
        <f t="shared" si="10"/>
        <v>0</v>
      </c>
      <c r="G42" s="76">
        <f t="shared" si="11"/>
        <v>0</v>
      </c>
      <c r="H42" s="77">
        <f t="shared" si="6"/>
        <v>0</v>
      </c>
      <c r="I42" s="303" t="s">
        <v>140</v>
      </c>
    </row>
    <row r="43" spans="1:9" ht="21.75" customHeight="1" thickBot="1" x14ac:dyDescent="0.25">
      <c r="A43" s="19" t="s">
        <v>447</v>
      </c>
      <c r="B43" s="69">
        <v>3.31</v>
      </c>
      <c r="C43" s="302">
        <v>20</v>
      </c>
      <c r="D43" s="16">
        <f t="shared" si="9"/>
        <v>66.2</v>
      </c>
      <c r="E43" s="79"/>
      <c r="F43" s="75">
        <f t="shared" si="10"/>
        <v>0</v>
      </c>
      <c r="G43" s="76">
        <f t="shared" si="11"/>
        <v>0</v>
      </c>
      <c r="H43" s="77">
        <f t="shared" si="6"/>
        <v>0</v>
      </c>
      <c r="I43" s="304" t="s">
        <v>140</v>
      </c>
    </row>
    <row r="44" spans="1:9" ht="21.75" customHeight="1" thickBot="1" x14ac:dyDescent="0.25">
      <c r="A44" s="28" t="s">
        <v>37</v>
      </c>
      <c r="B44" s="69">
        <v>2.79</v>
      </c>
      <c r="C44" s="70">
        <v>15</v>
      </c>
      <c r="D44" s="16">
        <f t="shared" si="9"/>
        <v>41.85</v>
      </c>
      <c r="E44" s="79"/>
      <c r="F44" s="75">
        <f t="shared" si="10"/>
        <v>0</v>
      </c>
      <c r="G44" s="76">
        <f t="shared" si="11"/>
        <v>0</v>
      </c>
      <c r="H44" s="77">
        <f t="shared" si="6"/>
        <v>0</v>
      </c>
      <c r="I44" s="303" t="s">
        <v>140</v>
      </c>
    </row>
    <row r="45" spans="1:9" ht="21.75" customHeight="1" thickBot="1" x14ac:dyDescent="0.25">
      <c r="A45" s="23" t="s">
        <v>449</v>
      </c>
      <c r="B45" s="69">
        <v>21.87</v>
      </c>
      <c r="C45" s="70">
        <v>20</v>
      </c>
      <c r="D45" s="24">
        <f t="shared" ref="D45:D61" si="12">IF(ISERROR(C45*B45),0,C45*B45)</f>
        <v>437.40000000000003</v>
      </c>
      <c r="E45" s="79"/>
      <c r="F45" s="75">
        <f t="shared" ref="F45:F55" si="13">IF(ISERROR(E45*B45),0,(E45*B45))</f>
        <v>0</v>
      </c>
      <c r="G45" s="76">
        <f t="shared" ref="G45:G55" si="14">IF(ISERROR(E45/C45),0,(E45/C45))</f>
        <v>0</v>
      </c>
      <c r="H45" s="77">
        <f t="shared" ref="H45:H62" si="15">IF(ISERROR(ROUND($I$2*E45,1)),0,ROUND($I$2*E45,1))</f>
        <v>0</v>
      </c>
      <c r="I45" s="304" t="s">
        <v>514</v>
      </c>
    </row>
    <row r="46" spans="1:9" ht="21.75" customHeight="1" thickBot="1" x14ac:dyDescent="0.25">
      <c r="A46" s="19" t="s">
        <v>38</v>
      </c>
      <c r="B46" s="69">
        <v>5.15</v>
      </c>
      <c r="C46" s="302">
        <v>20</v>
      </c>
      <c r="D46" s="16">
        <f t="shared" si="12"/>
        <v>103</v>
      </c>
      <c r="E46" s="79"/>
      <c r="F46" s="75">
        <f t="shared" si="13"/>
        <v>0</v>
      </c>
      <c r="G46" s="76">
        <f t="shared" si="14"/>
        <v>0</v>
      </c>
      <c r="H46" s="77">
        <f t="shared" si="15"/>
        <v>0</v>
      </c>
      <c r="I46" s="303" t="s">
        <v>340</v>
      </c>
    </row>
    <row r="47" spans="1:9" ht="21.75" customHeight="1" thickBot="1" x14ac:dyDescent="0.25">
      <c r="A47" s="19" t="s">
        <v>39</v>
      </c>
      <c r="B47" s="69">
        <v>2.92</v>
      </c>
      <c r="C47" s="302">
        <v>25</v>
      </c>
      <c r="D47" s="29">
        <f t="shared" si="12"/>
        <v>73</v>
      </c>
      <c r="E47" s="79"/>
      <c r="F47" s="75">
        <f t="shared" si="13"/>
        <v>0</v>
      </c>
      <c r="G47" s="76">
        <f t="shared" si="14"/>
        <v>0</v>
      </c>
      <c r="H47" s="77">
        <f t="shared" si="15"/>
        <v>0</v>
      </c>
      <c r="I47" s="304" t="s">
        <v>182</v>
      </c>
    </row>
    <row r="48" spans="1:9" ht="21.75" customHeight="1" thickBot="1" x14ac:dyDescent="0.25">
      <c r="A48" s="19" t="s">
        <v>515</v>
      </c>
      <c r="B48" s="69">
        <v>1.97</v>
      </c>
      <c r="C48" s="70">
        <v>120</v>
      </c>
      <c r="D48" s="29">
        <f t="shared" si="12"/>
        <v>236.4</v>
      </c>
      <c r="E48" s="79"/>
      <c r="F48" s="75">
        <f t="shared" si="13"/>
        <v>0</v>
      </c>
      <c r="G48" s="76">
        <f t="shared" si="14"/>
        <v>0</v>
      </c>
      <c r="H48" s="77">
        <f t="shared" si="15"/>
        <v>0</v>
      </c>
      <c r="I48" s="303" t="s">
        <v>182</v>
      </c>
    </row>
    <row r="49" spans="1:14" ht="21.75" customHeight="1" thickBot="1" x14ac:dyDescent="0.25">
      <c r="A49" s="19" t="s">
        <v>40</v>
      </c>
      <c r="B49" s="69">
        <v>11.25</v>
      </c>
      <c r="C49" s="70">
        <v>12</v>
      </c>
      <c r="D49" s="29">
        <f t="shared" si="12"/>
        <v>135</v>
      </c>
      <c r="E49" s="79"/>
      <c r="F49" s="75">
        <f t="shared" si="13"/>
        <v>0</v>
      </c>
      <c r="G49" s="76">
        <f t="shared" si="14"/>
        <v>0</v>
      </c>
      <c r="H49" s="77">
        <f t="shared" si="15"/>
        <v>0</v>
      </c>
      <c r="I49" s="304" t="s">
        <v>340</v>
      </c>
    </row>
    <row r="50" spans="1:14" ht="21.75" customHeight="1" thickBot="1" x14ac:dyDescent="0.25">
      <c r="A50" s="19" t="s">
        <v>452</v>
      </c>
      <c r="B50" s="69">
        <v>2.37</v>
      </c>
      <c r="C50" s="302">
        <v>150</v>
      </c>
      <c r="D50" s="29">
        <f t="shared" si="12"/>
        <v>355.5</v>
      </c>
      <c r="E50" s="79"/>
      <c r="F50" s="75">
        <f t="shared" si="13"/>
        <v>0</v>
      </c>
      <c r="G50" s="76">
        <f t="shared" si="14"/>
        <v>0</v>
      </c>
      <c r="H50" s="77">
        <f t="shared" si="15"/>
        <v>0</v>
      </c>
      <c r="I50" s="304" t="s">
        <v>340</v>
      </c>
    </row>
    <row r="51" spans="1:14" ht="21.75" customHeight="1" thickBot="1" x14ac:dyDescent="0.25">
      <c r="A51" s="19" t="s">
        <v>42</v>
      </c>
      <c r="B51" s="69">
        <v>3.1</v>
      </c>
      <c r="C51" s="302">
        <v>15</v>
      </c>
      <c r="D51" s="29">
        <f t="shared" si="12"/>
        <v>46.5</v>
      </c>
      <c r="E51" s="79"/>
      <c r="F51" s="75">
        <f t="shared" si="13"/>
        <v>0</v>
      </c>
      <c r="G51" s="76">
        <f t="shared" si="14"/>
        <v>0</v>
      </c>
      <c r="H51" s="77">
        <f t="shared" si="15"/>
        <v>0</v>
      </c>
      <c r="I51" s="304" t="s">
        <v>140</v>
      </c>
    </row>
    <row r="52" spans="1:14" ht="21.75" customHeight="1" thickBot="1" x14ac:dyDescent="0.25">
      <c r="A52" s="19" t="s">
        <v>455</v>
      </c>
      <c r="B52" s="69">
        <v>3.3200000000000003</v>
      </c>
      <c r="C52" s="302">
        <v>15</v>
      </c>
      <c r="D52" s="29">
        <f t="shared" si="12"/>
        <v>49.800000000000004</v>
      </c>
      <c r="E52" s="79"/>
      <c r="F52" s="75">
        <f t="shared" si="13"/>
        <v>0</v>
      </c>
      <c r="G52" s="76">
        <f t="shared" si="14"/>
        <v>0</v>
      </c>
      <c r="H52" s="77">
        <f t="shared" si="15"/>
        <v>0</v>
      </c>
      <c r="I52" s="304" t="s">
        <v>140</v>
      </c>
    </row>
    <row r="53" spans="1:14" ht="21.75" customHeight="1" thickBot="1" x14ac:dyDescent="0.25">
      <c r="A53" s="19" t="s">
        <v>43</v>
      </c>
      <c r="B53" s="69">
        <v>2.75</v>
      </c>
      <c r="C53" s="302">
        <v>100</v>
      </c>
      <c r="D53" s="29">
        <f t="shared" si="12"/>
        <v>275</v>
      </c>
      <c r="E53" s="79"/>
      <c r="F53" s="75">
        <f t="shared" si="13"/>
        <v>0</v>
      </c>
      <c r="G53" s="76">
        <f t="shared" si="14"/>
        <v>0</v>
      </c>
      <c r="H53" s="77">
        <f t="shared" si="15"/>
        <v>0</v>
      </c>
      <c r="I53" s="304" t="s">
        <v>340</v>
      </c>
    </row>
    <row r="54" spans="1:14" ht="21.75" customHeight="1" thickBot="1" x14ac:dyDescent="0.25">
      <c r="A54" s="19" t="s">
        <v>456</v>
      </c>
      <c r="B54" s="69">
        <v>26.11</v>
      </c>
      <c r="C54" s="70">
        <v>15</v>
      </c>
      <c r="D54" s="29">
        <f t="shared" si="12"/>
        <v>391.65</v>
      </c>
      <c r="E54" s="79"/>
      <c r="F54" s="75">
        <f t="shared" si="13"/>
        <v>0</v>
      </c>
      <c r="G54" s="76">
        <f t="shared" si="14"/>
        <v>0</v>
      </c>
      <c r="H54" s="77">
        <f t="shared" si="15"/>
        <v>0</v>
      </c>
      <c r="I54" s="303" t="s">
        <v>342</v>
      </c>
    </row>
    <row r="55" spans="1:14" ht="21.75" customHeight="1" thickBot="1" x14ac:dyDescent="0.25">
      <c r="A55" s="19" t="s">
        <v>457</v>
      </c>
      <c r="B55" s="69">
        <v>5.83</v>
      </c>
      <c r="C55" s="70">
        <v>15</v>
      </c>
      <c r="D55" s="29">
        <f t="shared" si="12"/>
        <v>87.45</v>
      </c>
      <c r="E55" s="442"/>
      <c r="F55" s="75">
        <f t="shared" si="13"/>
        <v>0</v>
      </c>
      <c r="G55" s="76">
        <f t="shared" si="14"/>
        <v>0</v>
      </c>
      <c r="H55" s="426">
        <f t="shared" si="15"/>
        <v>0</v>
      </c>
      <c r="I55" s="444" t="s">
        <v>182</v>
      </c>
    </row>
    <row r="56" spans="1:14" ht="21.75" customHeight="1" thickTop="1" thickBot="1" x14ac:dyDescent="0.25">
      <c r="A56" s="161" t="s">
        <v>124</v>
      </c>
      <c r="B56" s="162"/>
      <c r="C56" s="163"/>
      <c r="D56" s="164">
        <f t="shared" si="12"/>
        <v>0</v>
      </c>
      <c r="E56" s="443"/>
      <c r="F56" s="165">
        <f t="shared" ref="F56:F62" si="16">IF(ISERROR(E56*B56),0,(E56*B56))</f>
        <v>0</v>
      </c>
      <c r="G56" s="423">
        <f t="shared" ref="G56:G62" si="17">IF(ISERROR(E56/C56),0,(E56/C56))</f>
        <v>0</v>
      </c>
      <c r="H56" s="166">
        <f t="shared" si="15"/>
        <v>0</v>
      </c>
      <c r="I56" s="445"/>
      <c r="J56" s="509" t="s">
        <v>416</v>
      </c>
      <c r="K56" s="510"/>
      <c r="L56" s="305"/>
      <c r="M56" s="248" t="s">
        <v>517</v>
      </c>
      <c r="N56" s="314"/>
    </row>
    <row r="57" spans="1:14" ht="21.75" customHeight="1" thickBot="1" x14ac:dyDescent="0.25">
      <c r="A57" s="167" t="s">
        <v>125</v>
      </c>
      <c r="B57" s="65"/>
      <c r="C57" s="66"/>
      <c r="D57" s="24">
        <f t="shared" si="12"/>
        <v>0</v>
      </c>
      <c r="E57" s="79"/>
      <c r="F57" s="75">
        <f t="shared" si="16"/>
        <v>0</v>
      </c>
      <c r="G57" s="424">
        <f t="shared" si="17"/>
        <v>0</v>
      </c>
      <c r="H57" s="168">
        <f t="shared" si="15"/>
        <v>0</v>
      </c>
      <c r="I57" s="306"/>
      <c r="J57" s="509" t="s">
        <v>416</v>
      </c>
      <c r="K57" s="510"/>
      <c r="L57" s="305"/>
      <c r="M57" s="248" t="s">
        <v>517</v>
      </c>
      <c r="N57" s="314"/>
    </row>
    <row r="58" spans="1:14" ht="21.75" customHeight="1" thickBot="1" x14ac:dyDescent="0.25">
      <c r="A58" s="167" t="s">
        <v>126</v>
      </c>
      <c r="B58" s="65"/>
      <c r="C58" s="66"/>
      <c r="D58" s="24">
        <f t="shared" si="12"/>
        <v>0</v>
      </c>
      <c r="E58" s="79"/>
      <c r="F58" s="75">
        <f t="shared" si="16"/>
        <v>0</v>
      </c>
      <c r="G58" s="424">
        <f t="shared" si="17"/>
        <v>0</v>
      </c>
      <c r="H58" s="168">
        <f t="shared" si="15"/>
        <v>0</v>
      </c>
      <c r="I58" s="306"/>
      <c r="J58" s="509" t="s">
        <v>416</v>
      </c>
      <c r="K58" s="510"/>
      <c r="L58" s="305"/>
      <c r="M58" s="248" t="s">
        <v>517</v>
      </c>
      <c r="N58" s="314"/>
    </row>
    <row r="59" spans="1:14" ht="21.75" customHeight="1" thickBot="1" x14ac:dyDescent="0.25">
      <c r="A59" s="167" t="s">
        <v>127</v>
      </c>
      <c r="B59" s="65"/>
      <c r="C59" s="66"/>
      <c r="D59" s="24">
        <f t="shared" si="12"/>
        <v>0</v>
      </c>
      <c r="E59" s="79"/>
      <c r="F59" s="75">
        <f t="shared" si="16"/>
        <v>0</v>
      </c>
      <c r="G59" s="424">
        <f t="shared" si="17"/>
        <v>0</v>
      </c>
      <c r="H59" s="168">
        <f t="shared" si="15"/>
        <v>0</v>
      </c>
      <c r="I59" s="306"/>
      <c r="J59" s="509" t="s">
        <v>416</v>
      </c>
      <c r="K59" s="510"/>
      <c r="L59" s="305"/>
      <c r="M59" s="248" t="s">
        <v>517</v>
      </c>
      <c r="N59" s="314"/>
    </row>
    <row r="60" spans="1:14" ht="21.75" customHeight="1" thickBot="1" x14ac:dyDescent="0.25">
      <c r="A60" s="167" t="s">
        <v>128</v>
      </c>
      <c r="B60" s="65"/>
      <c r="C60" s="66"/>
      <c r="D60" s="24">
        <f t="shared" si="12"/>
        <v>0</v>
      </c>
      <c r="E60" s="79"/>
      <c r="F60" s="75">
        <f t="shared" si="16"/>
        <v>0</v>
      </c>
      <c r="G60" s="424">
        <f t="shared" si="17"/>
        <v>0</v>
      </c>
      <c r="H60" s="168">
        <f t="shared" si="15"/>
        <v>0</v>
      </c>
      <c r="I60" s="306"/>
      <c r="J60" s="509" t="s">
        <v>416</v>
      </c>
      <c r="K60" s="510"/>
      <c r="L60" s="305"/>
      <c r="M60" s="248" t="s">
        <v>517</v>
      </c>
      <c r="N60" s="314"/>
    </row>
    <row r="61" spans="1:14" ht="21.75" customHeight="1" thickBot="1" x14ac:dyDescent="0.25">
      <c r="A61" s="167" t="s">
        <v>129</v>
      </c>
      <c r="B61" s="65"/>
      <c r="C61" s="66"/>
      <c r="D61" s="24">
        <f t="shared" si="12"/>
        <v>0</v>
      </c>
      <c r="E61" s="79"/>
      <c r="F61" s="75">
        <f t="shared" si="16"/>
        <v>0</v>
      </c>
      <c r="G61" s="424">
        <f t="shared" si="17"/>
        <v>0</v>
      </c>
      <c r="H61" s="168">
        <f t="shared" si="15"/>
        <v>0</v>
      </c>
      <c r="I61" s="306"/>
      <c r="J61" s="509" t="s">
        <v>416</v>
      </c>
      <c r="K61" s="510"/>
      <c r="L61" s="305"/>
      <c r="M61" s="248" t="s">
        <v>517</v>
      </c>
      <c r="N61" s="314"/>
    </row>
    <row r="62" spans="1:14" ht="21.75" customHeight="1" thickBot="1" x14ac:dyDescent="0.25">
      <c r="A62" s="169" t="s">
        <v>130</v>
      </c>
      <c r="B62" s="170"/>
      <c r="C62" s="171"/>
      <c r="D62" s="172">
        <f t="shared" ref="D62" si="18">IF(ISERROR(C62*B62),0,C62*B62)</f>
        <v>0</v>
      </c>
      <c r="E62" s="173"/>
      <c r="F62" s="174">
        <f t="shared" si="16"/>
        <v>0</v>
      </c>
      <c r="G62" s="425">
        <f t="shared" si="17"/>
        <v>0</v>
      </c>
      <c r="H62" s="175">
        <f t="shared" si="15"/>
        <v>0</v>
      </c>
      <c r="I62" s="437"/>
      <c r="J62" s="509" t="s">
        <v>416</v>
      </c>
      <c r="K62" s="510"/>
      <c r="L62" s="305"/>
      <c r="M62" s="248" t="s">
        <v>517</v>
      </c>
      <c r="N62" s="314"/>
    </row>
    <row r="63" spans="1:14" ht="21.75" customHeight="1" thickTop="1" x14ac:dyDescent="0.25"/>
    <row r="64" spans="1:14" ht="21.75" customHeight="1" x14ac:dyDescent="0.25"/>
    <row r="65" spans="1:9" ht="21.75" customHeight="1" x14ac:dyDescent="0.25"/>
    <row r="66" spans="1:9" ht="21.75" customHeight="1" x14ac:dyDescent="0.25"/>
    <row r="67" spans="1:9" ht="21.75" customHeight="1" x14ac:dyDescent="0.25"/>
    <row r="68" spans="1:9" ht="21.75" customHeight="1" x14ac:dyDescent="0.25"/>
    <row r="69" spans="1:9" ht="21.75" customHeight="1" x14ac:dyDescent="0.25"/>
    <row r="70" spans="1:9" ht="21.75" customHeight="1" x14ac:dyDescent="0.25"/>
    <row r="71" spans="1:9" ht="15.75" x14ac:dyDescent="0.2">
      <c r="A71" s="30"/>
      <c r="B71" s="31"/>
      <c r="C71" s="32"/>
      <c r="D71" s="33"/>
      <c r="E71" s="34"/>
      <c r="F71" s="35"/>
      <c r="G71" s="35"/>
      <c r="H71" s="36"/>
      <c r="I71" s="17"/>
    </row>
    <row r="72" spans="1:9" ht="14.25" x14ac:dyDescent="0.2">
      <c r="B72"/>
    </row>
    <row r="73" spans="1:9" ht="14.25" x14ac:dyDescent="0.2">
      <c r="B73"/>
    </row>
    <row r="74" spans="1:9" ht="14.25" x14ac:dyDescent="0.2">
      <c r="B74"/>
    </row>
    <row r="75" spans="1:9" ht="14.25" x14ac:dyDescent="0.2">
      <c r="B75"/>
    </row>
    <row r="76" spans="1:9" ht="14.25" x14ac:dyDescent="0.2">
      <c r="B76"/>
    </row>
    <row r="77" spans="1:9" ht="14.25" x14ac:dyDescent="0.2">
      <c r="B77"/>
    </row>
    <row r="78" spans="1:9" ht="14.25" x14ac:dyDescent="0.2">
      <c r="B78"/>
    </row>
    <row r="79" spans="1:9" ht="14.25" x14ac:dyDescent="0.2">
      <c r="B79"/>
    </row>
    <row r="80" spans="1:9" ht="14.25" x14ac:dyDescent="0.2">
      <c r="B80"/>
    </row>
    <row r="81" spans="2:2" ht="14.25" x14ac:dyDescent="0.2">
      <c r="B81"/>
    </row>
    <row r="82" spans="2:2" ht="14.25" x14ac:dyDescent="0.2">
      <c r="B82"/>
    </row>
    <row r="83" spans="2:2" ht="14.25" x14ac:dyDescent="0.2">
      <c r="B83"/>
    </row>
    <row r="84" spans="2:2" ht="14.25" x14ac:dyDescent="0.2">
      <c r="B84"/>
    </row>
    <row r="85" spans="2:2" ht="14.25" x14ac:dyDescent="0.2">
      <c r="B85"/>
    </row>
    <row r="86" spans="2:2" ht="14.25" x14ac:dyDescent="0.2">
      <c r="B86"/>
    </row>
    <row r="87" spans="2:2" ht="14.25" x14ac:dyDescent="0.2">
      <c r="B87"/>
    </row>
    <row r="88" spans="2:2" ht="14.25" x14ac:dyDescent="0.2">
      <c r="B88"/>
    </row>
    <row r="89" spans="2:2" ht="14.25" x14ac:dyDescent="0.2">
      <c r="B89"/>
    </row>
    <row r="90" spans="2:2" ht="14.25" x14ac:dyDescent="0.2">
      <c r="B90"/>
    </row>
    <row r="91" spans="2:2" ht="14.25" x14ac:dyDescent="0.2">
      <c r="B91"/>
    </row>
    <row r="92" spans="2:2" ht="14.25" x14ac:dyDescent="0.2">
      <c r="B92"/>
    </row>
    <row r="93" spans="2:2" ht="14.25" x14ac:dyDescent="0.2">
      <c r="B93"/>
    </row>
    <row r="94" spans="2:2" ht="14.25" x14ac:dyDescent="0.2">
      <c r="B94"/>
    </row>
    <row r="95" spans="2:2" ht="14.25" x14ac:dyDescent="0.2">
      <c r="B95"/>
    </row>
    <row r="96" spans="2:2" ht="14.25" x14ac:dyDescent="0.2">
      <c r="B96"/>
    </row>
    <row r="97" spans="2:2" ht="14.25" x14ac:dyDescent="0.2">
      <c r="B97"/>
    </row>
    <row r="98" spans="2:2" ht="14.25" x14ac:dyDescent="0.2">
      <c r="B98"/>
    </row>
    <row r="99" spans="2:2" ht="14.25" x14ac:dyDescent="0.2">
      <c r="B99"/>
    </row>
    <row r="100" spans="2:2" ht="14.25" x14ac:dyDescent="0.2">
      <c r="B100"/>
    </row>
    <row r="101" spans="2:2" ht="14.25" x14ac:dyDescent="0.2">
      <c r="B101"/>
    </row>
    <row r="102" spans="2:2" ht="14.25" x14ac:dyDescent="0.2">
      <c r="B102"/>
    </row>
    <row r="103" spans="2:2" ht="14.25" x14ac:dyDescent="0.2">
      <c r="B103"/>
    </row>
    <row r="104" spans="2:2" ht="14.25" x14ac:dyDescent="0.2">
      <c r="B104"/>
    </row>
    <row r="105" spans="2:2" ht="14.25" x14ac:dyDescent="0.2">
      <c r="B105"/>
    </row>
    <row r="106" spans="2:2" ht="14.25" x14ac:dyDescent="0.2">
      <c r="B106"/>
    </row>
    <row r="107" spans="2:2" ht="14.25" x14ac:dyDescent="0.2">
      <c r="B107"/>
    </row>
    <row r="108" spans="2:2" ht="14.25" x14ac:dyDescent="0.2">
      <c r="B108"/>
    </row>
    <row r="109" spans="2:2" ht="14.25" x14ac:dyDescent="0.2">
      <c r="B109"/>
    </row>
    <row r="110" spans="2:2" ht="14.25" x14ac:dyDescent="0.2">
      <c r="B110"/>
    </row>
    <row r="111" spans="2:2" ht="14.25" x14ac:dyDescent="0.2">
      <c r="B111"/>
    </row>
    <row r="112" spans="2:2" ht="14.25" x14ac:dyDescent="0.2">
      <c r="B112"/>
    </row>
    <row r="113" spans="2:2" ht="14.25" x14ac:dyDescent="0.2">
      <c r="B113"/>
    </row>
    <row r="114" spans="2:2" ht="14.25" x14ac:dyDescent="0.2">
      <c r="B114"/>
    </row>
    <row r="115" spans="2:2" ht="14.25" x14ac:dyDescent="0.2">
      <c r="B115"/>
    </row>
    <row r="116" spans="2:2" ht="14.25" x14ac:dyDescent="0.2">
      <c r="B116"/>
    </row>
    <row r="117" spans="2:2" ht="14.25" x14ac:dyDescent="0.2">
      <c r="B117"/>
    </row>
    <row r="118" spans="2:2" ht="14.25" x14ac:dyDescent="0.2">
      <c r="B118"/>
    </row>
    <row r="119" spans="2:2" ht="14.25" x14ac:dyDescent="0.2">
      <c r="B119"/>
    </row>
    <row r="120" spans="2:2" ht="14.25" x14ac:dyDescent="0.2">
      <c r="B120"/>
    </row>
    <row r="121" spans="2:2" ht="14.25" x14ac:dyDescent="0.2">
      <c r="B121"/>
    </row>
    <row r="122" spans="2:2" ht="14.25" x14ac:dyDescent="0.2">
      <c r="B122"/>
    </row>
    <row r="123" spans="2:2" ht="14.25" x14ac:dyDescent="0.2">
      <c r="B123"/>
    </row>
    <row r="124" spans="2:2" ht="14.25" x14ac:dyDescent="0.2">
      <c r="B124"/>
    </row>
    <row r="125" spans="2:2" ht="14.25" x14ac:dyDescent="0.2">
      <c r="B125"/>
    </row>
    <row r="126" spans="2:2" ht="14.25" x14ac:dyDescent="0.2">
      <c r="B126"/>
    </row>
  </sheetData>
  <sheetProtection password="CAEF" sheet="1" objects="1" scenarios="1"/>
  <mergeCells count="20">
    <mergeCell ref="J61:K61"/>
    <mergeCell ref="J62:K62"/>
    <mergeCell ref="E1:H1"/>
    <mergeCell ref="M1:N2"/>
    <mergeCell ref="A3:D3"/>
    <mergeCell ref="J3:K3"/>
    <mergeCell ref="J4:L5"/>
    <mergeCell ref="J6:K7"/>
    <mergeCell ref="L6:L7"/>
    <mergeCell ref="J8:K9"/>
    <mergeCell ref="L8:L9"/>
    <mergeCell ref="J10:K11"/>
    <mergeCell ref="L10:L11"/>
    <mergeCell ref="J12:L13"/>
    <mergeCell ref="M3:N3"/>
    <mergeCell ref="J56:K56"/>
    <mergeCell ref="J57:K57"/>
    <mergeCell ref="J58:K58"/>
    <mergeCell ref="J59:K59"/>
    <mergeCell ref="J60:K60"/>
  </mergeCells>
  <conditionalFormatting sqref="I2">
    <cfRule type="expression" dxfId="44" priority="17">
      <formula>OR($I$2="",$I$2=0)</formula>
    </cfRule>
  </conditionalFormatting>
  <conditionalFormatting sqref="I1">
    <cfRule type="expression" dxfId="43" priority="16">
      <formula>OR($I$2="",$I$2=0)</formula>
    </cfRule>
  </conditionalFormatting>
  <conditionalFormatting sqref="L56:L62">
    <cfRule type="expression" dxfId="42" priority="14">
      <formula>AND($J56="insektenblütig JA / NEIN:",$L56&lt;&gt;"")</formula>
    </cfRule>
  </conditionalFormatting>
  <conditionalFormatting sqref="J56">
    <cfRule type="expression" dxfId="41" priority="13">
      <formula>$J56="insektenblütig JA / NEIN:"</formula>
    </cfRule>
  </conditionalFormatting>
  <conditionalFormatting sqref="I56:I62">
    <cfRule type="expression" dxfId="40" priority="1">
      <formula>AND(E56&gt;0,I56="")</formula>
    </cfRule>
    <cfRule type="expression" dxfId="39" priority="12">
      <formula>$I56&lt;&gt;""</formula>
    </cfRule>
  </conditionalFormatting>
  <conditionalFormatting sqref="N56:N62">
    <cfRule type="expression" dxfId="38" priority="11">
      <formula>$N56&lt;&gt;""</formula>
    </cfRule>
  </conditionalFormatting>
  <conditionalFormatting sqref="L3">
    <cfRule type="expression" dxfId="37" priority="7">
      <formula>AND($L$3&gt;0.6,$L$3&lt;&gt;"0 %",$J$2&gt;0)</formula>
    </cfRule>
    <cfRule type="expression" dxfId="36" priority="10">
      <formula>$L$3="0 %"</formula>
    </cfRule>
  </conditionalFormatting>
  <conditionalFormatting sqref="J3:K3">
    <cfRule type="expression" dxfId="35" priority="6">
      <formula>AND($L$3&gt;0.6,$L$3&lt;&gt;"0 %",$J$2&gt;0)</formula>
    </cfRule>
    <cfRule type="expression" dxfId="34" priority="9">
      <formula>$L$3="0 %"</formula>
    </cfRule>
  </conditionalFormatting>
  <conditionalFormatting sqref="M3:N3">
    <cfRule type="expression" dxfId="33" priority="8">
      <formula>AND($L$3&gt;0.6,$L$3&lt;&gt;"0 %",$J$2&gt;0)</formula>
    </cfRule>
  </conditionalFormatting>
  <conditionalFormatting sqref="L6:L7">
    <cfRule type="expression" dxfId="32" priority="5">
      <formula>$L$6=""</formula>
    </cfRule>
  </conditionalFormatting>
  <conditionalFormatting sqref="J6:K7">
    <cfRule type="expression" dxfId="31" priority="4">
      <formula>$L$6=""</formula>
    </cfRule>
  </conditionalFormatting>
  <conditionalFormatting sqref="J4:L5">
    <cfRule type="expression" dxfId="30" priority="3">
      <formula>$L$6=""</formula>
    </cfRule>
  </conditionalFormatting>
  <conditionalFormatting sqref="E2:E3">
    <cfRule type="expression" dxfId="29" priority="43">
      <formula>SUM($E$4:$E$62)=0</formula>
    </cfRule>
  </conditionalFormatting>
  <conditionalFormatting sqref="J57:J62">
    <cfRule type="expression" dxfId="28" priority="2">
      <formula>$J57="insektenblütig JA / NEIN:"</formula>
    </cfRule>
  </conditionalFormatting>
  <hyperlinks>
    <hyperlink ref="M1:N2" location="'Zusammenfassung int. Prod.'!A1" display="'Zusammenfassung int. Prod.'!A1"/>
  </hyperlinks>
  <pageMargins left="0.7" right="0.7" top="0.78740157499999996" bottom="0.78740157499999996" header="0.3" footer="0.3"/>
  <pageSetup paperSize="9" scale="48" fitToHeight="3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>
          <x14:formula1>
            <xm:f>'Konventionell (2)'!$AB$3:$AB$14</xm:f>
          </x14:formula1>
          <xm:sqref>I56:I62</xm:sqref>
        </x14:dataValidation>
        <x14:dataValidation type="list" allowBlank="1" showInputMessage="1" showErrorMessage="1">
          <x14:formula1>
            <xm:f>'Konventionell (2)'!$AC$3:$AC$5</xm:f>
          </x14:formula1>
          <xm:sqref>L56:L62</xm:sqref>
        </x14:dataValidation>
        <x14:dataValidation type="list" allowBlank="1" showInputMessage="1" showErrorMessage="1">
          <x14:formula1>
            <xm:f>'Konventionell (2)'!$AD$3:$AD$9</xm:f>
          </x14:formula1>
          <xm:sqref>N56:N62</xm:sqref>
        </x14:dataValidation>
        <x14:dataValidation type="list" allowBlank="1" showInputMessage="1" showErrorMessage="1" errorTitle="nur Vorauswahl möglich" error="nur vorgegebene Dünger auswählbar">
          <x14:formula1>
            <xm:f>'BIO (2)'!$AE$3:$AE$10</xm:f>
          </x14:formula1>
          <xm:sqref>L6:L7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-0.249977111117893"/>
    <pageSetUpPr fitToPage="1"/>
  </sheetPr>
  <dimension ref="A1:P106"/>
  <sheetViews>
    <sheetView zoomScale="90" zoomScaleNormal="90" workbookViewId="0">
      <selection activeCell="A7" sqref="A7"/>
    </sheetView>
  </sheetViews>
  <sheetFormatPr baseColWidth="10" defaultRowHeight="14.25" x14ac:dyDescent="0.2"/>
  <cols>
    <col min="1" max="1" width="29.5" customWidth="1"/>
    <col min="2" max="2" width="13" customWidth="1"/>
    <col min="3" max="3" width="14.625" customWidth="1"/>
    <col min="4" max="4" width="24.75" bestFit="1" customWidth="1"/>
    <col min="5" max="5" width="24.875" bestFit="1" customWidth="1"/>
    <col min="6" max="6" width="16.625" customWidth="1"/>
    <col min="7" max="7" width="20" customWidth="1"/>
    <col min="8" max="8" width="19.375" customWidth="1"/>
    <col min="9" max="9" width="18.125" customWidth="1"/>
    <col min="10" max="13" width="16.625" customWidth="1"/>
    <col min="15" max="17" width="11" customWidth="1"/>
  </cols>
  <sheetData>
    <row r="1" spans="1:15" ht="39" customHeight="1" thickBot="1" x14ac:dyDescent="0.25">
      <c r="A1" s="581" t="s">
        <v>428</v>
      </c>
      <c r="B1" s="582"/>
      <c r="C1" s="582"/>
      <c r="D1" s="582"/>
      <c r="E1" s="582"/>
      <c r="F1" s="582"/>
      <c r="G1" s="582"/>
      <c r="H1" s="582"/>
      <c r="I1" s="583"/>
      <c r="J1" s="559" t="s">
        <v>421</v>
      </c>
      <c r="K1" s="560"/>
      <c r="L1" s="565" t="s">
        <v>327</v>
      </c>
      <c r="M1" s="566"/>
    </row>
    <row r="2" spans="1:15" ht="15" thickBot="1" x14ac:dyDescent="0.25">
      <c r="J2" s="561"/>
      <c r="K2" s="562"/>
      <c r="L2" s="567"/>
      <c r="M2" s="568"/>
    </row>
    <row r="3" spans="1:15" ht="58.5" customHeight="1" thickBot="1" x14ac:dyDescent="0.25">
      <c r="A3" s="416" t="s">
        <v>306</v>
      </c>
      <c r="B3" s="416" t="s">
        <v>310</v>
      </c>
      <c r="C3" s="416" t="s">
        <v>312</v>
      </c>
      <c r="D3" s="416" t="s">
        <v>307</v>
      </c>
      <c r="E3" s="415" t="str">
        <f>CONCATENATE("Kosten in € für die Gesamtfläche von ",'Begr.-Rechner int. Prod.'!$I$2," ha")</f>
        <v>Kosten in € für die Gesamtfläche von  ha</v>
      </c>
      <c r="F3" s="571" t="s">
        <v>525</v>
      </c>
      <c r="G3" s="572"/>
      <c r="H3" s="571" t="s">
        <v>886</v>
      </c>
      <c r="I3" s="572"/>
      <c r="J3" s="563"/>
      <c r="K3" s="564"/>
      <c r="L3" s="569"/>
      <c r="M3" s="570"/>
    </row>
    <row r="4" spans="1:15" ht="21.75" customHeight="1" thickBot="1" x14ac:dyDescent="0.25">
      <c r="A4" s="198" t="str">
        <f>IF('Begr.-Rechner int. Prod.'!$I$2&lt;&gt;"",CONCATENATE('Begr.-Rechner int. Prod.'!$I$2," ha"),"")</f>
        <v/>
      </c>
      <c r="B4" s="198" t="str">
        <f>IF('Begr.-Rechner int. Prod.'!$J$2&gt;0,CONCATENATE('Begr.-Rechner int. Prod.'!$J$2, " kg/ha"),"")</f>
        <v/>
      </c>
      <c r="C4" s="198" t="str">
        <f>IF('Begr.-Rechner int. Prod.'!$K$2&gt;0,CONCATENATE('Begr.-Rechner int. Prod.'!$K$2," €"),"")</f>
        <v/>
      </c>
      <c r="D4" s="199" t="str">
        <f>IF('Begr.-Rechner int. Prod.'!$L$2&gt;0,'Begr.-Rechner int. Prod.'!$L$2,"")</f>
        <v/>
      </c>
      <c r="E4" s="198" t="str">
        <f>IF(SUM(F7:F27)&gt;0,CONCATENATE(SUM(F7:F27)," €"),"")</f>
        <v/>
      </c>
      <c r="F4" s="573" t="str">
        <f>IF(AND('Konventionell (2)'!Z3="",'Konventionell (2)'!Z4="",'Konventionell (2)'!Z5="",'Konventionell (2)'!Z6="",'Konventionell (2)'!Z7="",'Konventionell (2)'!Z8="",'Konventionell (2)'!Z9="",'Konventionell (2)'!J2&gt;0),'Konventionell (2)'!Z10,CONCATENATE('Konventionell (2)'!Z3,'Konventionell (2)'!Z4,'Konventionell (2)'!Z5,'Konventionell (2)'!Z6,'Konventionell (2)'!Z7,'Konventionell (2)'!Z8,'Konventionell (2)'!Z9))</f>
        <v/>
      </c>
      <c r="G4" s="574"/>
      <c r="H4" s="577" t="str">
        <f>IF(AND($D4&gt;0,P40=0),P40,IF(AND($D4&gt;0,P40&gt;0),P40,""))</f>
        <v/>
      </c>
      <c r="I4" s="578"/>
      <c r="J4" s="575" t="str">
        <f>IF('Konventionell (2)'!$R$3="ja","* zulässige Begrünungskulturen gem. Variante 6 beachten:
- Grünschnittroggen nach Saatgutgesetz,
- Wintererbse lt. Saatgutgesetz,
- Pannonische Wicke, Zottelwicke; Winterackerbohne, Winterrübsen (inkl. Perko)","")</f>
        <v/>
      </c>
      <c r="K4" s="575"/>
      <c r="L4" s="575"/>
      <c r="M4" s="575"/>
    </row>
    <row r="5" spans="1:15" ht="15" thickBot="1" x14ac:dyDescent="0.25">
      <c r="F5" s="557"/>
      <c r="G5" s="558"/>
      <c r="J5" s="576"/>
      <c r="K5" s="576"/>
      <c r="L5" s="576"/>
      <c r="M5" s="576"/>
    </row>
    <row r="6" spans="1:15" ht="29.25" customHeight="1" thickBot="1" x14ac:dyDescent="0.25">
      <c r="A6" s="416" t="s">
        <v>309</v>
      </c>
      <c r="B6" s="418" t="s">
        <v>5</v>
      </c>
      <c r="C6" s="419" t="s">
        <v>1</v>
      </c>
      <c r="D6" s="418" t="s">
        <v>308</v>
      </c>
      <c r="E6" s="420" t="s">
        <v>313</v>
      </c>
      <c r="F6" s="421" t="s">
        <v>311</v>
      </c>
      <c r="G6" s="421" t="s">
        <v>334</v>
      </c>
      <c r="H6" s="571" t="s">
        <v>882</v>
      </c>
      <c r="I6" s="572"/>
      <c r="J6" s="576"/>
      <c r="K6" s="576"/>
      <c r="L6" s="576"/>
      <c r="M6" s="576"/>
    </row>
    <row r="7" spans="1:15" ht="15.75" thickBot="1" x14ac:dyDescent="0.25">
      <c r="A7" s="286" t="str">
        <f t="array" ref="A7">IFERROR(INDEX('Konventionell (2)'!A:A,SMALL(IF('Konventionell (2)'!$E$3:$E$64&gt;0,ROW($3:$64)),ROW(A1))),"")</f>
        <v/>
      </c>
      <c r="B7" s="201" t="str">
        <f t="array" ref="B7">IFERROR(INDEX('Konventionell (2)'!E:E,SMALL(IF('Konventionell (2)'!$E$3:$E$64&gt;0,ROW($3:$64)),ROW(A1))),"")</f>
        <v/>
      </c>
      <c r="C7" s="201" t="str">
        <f t="array" ref="C7">IFERROR(INDEX('Konventionell (2)'!F:F,SMALL(IF('Konventionell (2)'!$E$3:$E$64&gt;0,ROW($3:$64)),ROW(A1))),"")</f>
        <v/>
      </c>
      <c r="D7" s="287" t="str">
        <f t="array" ref="D7">IFERROR(INDEX('Konventionell (2)'!G:G,SMALL(IF('Konventionell (2)'!$E$3:$E$64&gt;0,ROW($3:$64)),ROW(A1))),"")</f>
        <v/>
      </c>
      <c r="E7" s="201" t="str">
        <f t="array" ref="E7">IFERROR(INDEX('Konventionell (2)'!H:H,SMALL(IF('Konventionell (2)'!$E$3:$E$64&gt;0,ROW($3:$64)),ROW(A1))),"")</f>
        <v/>
      </c>
      <c r="F7" s="200" t="str">
        <f>IF(A7="","",C7*'Begr.-Rechner int. Prod.'!$I$2)</f>
        <v/>
      </c>
      <c r="G7" s="200" t="str">
        <f>IFERROR(VLOOKUP(A7,'Konventionell (2)'!$A$3:$I$64,9,0),"")</f>
        <v/>
      </c>
      <c r="H7" s="584" t="s">
        <v>880</v>
      </c>
      <c r="I7" s="585" t="str">
        <f>'Begr.-Rechner int. Prod.'!L8</f>
        <v>60 kg N ab Lager</v>
      </c>
      <c r="J7" s="576"/>
      <c r="K7" s="576"/>
      <c r="L7" s="576"/>
      <c r="M7" s="576"/>
      <c r="O7" s="313">
        <f t="shared" ref="O7:O39" si="0">IF($G7="Leguminose",D7,0)</f>
        <v>0</v>
      </c>
    </row>
    <row r="8" spans="1:15" ht="15.75" thickBot="1" x14ac:dyDescent="0.25">
      <c r="A8" s="286" t="str">
        <f t="array" ref="A8">IFERROR(INDEX('Konventionell (2)'!A:A,SMALL(IF('Konventionell (2)'!$E$3:$E$64&gt;0,ROW($3:$64)),ROW(A2))),"")</f>
        <v/>
      </c>
      <c r="B8" s="201" t="str">
        <f t="array" ref="B8">IFERROR(INDEX('Konventionell (2)'!E:E,SMALL(IF('Konventionell (2)'!$E$3:$E$64&gt;0,ROW($3:$64)),ROW(A2))),"")</f>
        <v/>
      </c>
      <c r="C8" s="201" t="str">
        <f t="array" ref="C8">IFERROR(INDEX('Konventionell (2)'!F:F,SMALL(IF('Konventionell (2)'!$E$3:$E$64&gt;0,ROW($3:$64)),ROW(A2))),"")</f>
        <v/>
      </c>
      <c r="D8" s="287" t="str">
        <f t="array" ref="D8">IFERROR(INDEX('Konventionell (2)'!G:G,SMALL(IF('Konventionell (2)'!$E$3:$E$64&gt;0,ROW($3:$64)),ROW(A2))),"")</f>
        <v/>
      </c>
      <c r="E8" s="201" t="str">
        <f t="array" ref="E8">IFERROR(INDEX('Konventionell (2)'!H:H,SMALL(IF('Konventionell (2)'!$E$3:$E$64&gt;0,ROW($3:$64)),ROW(A2))),"")</f>
        <v/>
      </c>
      <c r="F8" s="200" t="str">
        <f>IF(A8="","",C8*'Begr.-Rechner int. Prod.'!$I$2)</f>
        <v/>
      </c>
      <c r="G8" s="200" t="str">
        <f>IFERROR(VLOOKUP(A8,'Konventionell (2)'!$A$3:$I$64,9,0),"")</f>
        <v/>
      </c>
      <c r="H8" s="584"/>
      <c r="I8" s="585"/>
      <c r="J8" s="579" t="str">
        <f>IF(AND(H4&gt;0.6,'Begr.-Rechner int. Prod.'!J2&gt;0),"ACHTUNG Vorfruchtwirkung beachten: 
ungenutzte ZWF &gt; 60 % Leguminosenanteil: 20 kg
genutzte ZWF &gt; 60% Leguminosenanteil: 10 kg N
HINWEIS: es zählt Bestand am Feld, dieser Hinweis ist ausschließlich als Orientierungshilfe zu sehen.","")</f>
        <v/>
      </c>
      <c r="K8" s="580"/>
      <c r="L8" s="580"/>
      <c r="M8" s="580"/>
      <c r="O8" s="313">
        <f t="shared" si="0"/>
        <v>0</v>
      </c>
    </row>
    <row r="9" spans="1:15" ht="15.75" thickBot="1" x14ac:dyDescent="0.25">
      <c r="A9" s="286" t="str">
        <f t="array" ref="A9">IFERROR(INDEX('Konventionell (2)'!A:A,SMALL(IF('Konventionell (2)'!$E$3:$E$64&gt;0,ROW($3:$64)),ROW(A3))),"")</f>
        <v/>
      </c>
      <c r="B9" s="201" t="str">
        <f t="array" ref="B9">IFERROR(INDEX('Konventionell (2)'!E:E,SMALL(IF('Konventionell (2)'!$E$3:$E$64&gt;0,ROW($3:$64)),ROW(A3))),"")</f>
        <v/>
      </c>
      <c r="C9" s="201" t="str">
        <f t="array" ref="C9">IFERROR(INDEX('Konventionell (2)'!F:F,SMALL(IF('Konventionell (2)'!$E$3:$E$64&gt;0,ROW($3:$64)),ROW(A3))),"")</f>
        <v/>
      </c>
      <c r="D9" s="287" t="str">
        <f t="array" ref="D9">IFERROR(INDEX('Konventionell (2)'!G:G,SMALL(IF('Konventionell (2)'!$E$3:$E$64&gt;0,ROW($3:$64)),ROW(A3))),"")</f>
        <v/>
      </c>
      <c r="E9" s="201" t="str">
        <f t="array" ref="E9">IFERROR(INDEX('Konventionell (2)'!H:H,SMALL(IF('Konventionell (2)'!$E$3:$E$64&gt;0,ROW($3:$64)),ROW(A3))),"")</f>
        <v/>
      </c>
      <c r="F9" s="200" t="str">
        <f>IF(A9="","",C9*'Begr.-Rechner int. Prod.'!$I$2)</f>
        <v/>
      </c>
      <c r="G9" s="200" t="str">
        <f>IFERROR(VLOOKUP(A9,'Konventionell (2)'!$A$3:$I$64,9,0),"")</f>
        <v/>
      </c>
      <c r="H9" s="586" t="s">
        <v>881</v>
      </c>
      <c r="I9" s="587" t="str">
        <f>'Begr.-Rechner int. Prod.'!L10</f>
        <v>60 kg N ab Lager</v>
      </c>
      <c r="J9" s="579"/>
      <c r="K9" s="580"/>
      <c r="L9" s="580"/>
      <c r="M9" s="580"/>
      <c r="O9" s="313">
        <f t="shared" si="0"/>
        <v>0</v>
      </c>
    </row>
    <row r="10" spans="1:15" ht="15.75" thickBot="1" x14ac:dyDescent="0.25">
      <c r="A10" s="286" t="str">
        <f t="array" ref="A10">IFERROR(INDEX('Konventionell (2)'!A:A,SMALL(IF('Konventionell (2)'!$E$3:$E$64&gt;0,ROW($3:$64)),ROW(A4))),"")</f>
        <v/>
      </c>
      <c r="B10" s="201" t="str">
        <f t="array" ref="B10">IFERROR(INDEX('Konventionell (2)'!E:E,SMALL(IF('Konventionell (2)'!$E$3:$E$64&gt;0,ROW($3:$64)),ROW(A4))),"")</f>
        <v/>
      </c>
      <c r="C10" s="201" t="str">
        <f t="array" ref="C10">IFERROR(INDEX('Konventionell (2)'!F:F,SMALL(IF('Konventionell (2)'!$E$3:$E$64&gt;0,ROW($3:$64)),ROW(A4))),"")</f>
        <v/>
      </c>
      <c r="D10" s="287" t="str">
        <f t="array" ref="D10">IFERROR(INDEX('Konventionell (2)'!G:G,SMALL(IF('Konventionell (2)'!$E$3:$E$64&gt;0,ROW($3:$64)),ROW(A4))),"")</f>
        <v/>
      </c>
      <c r="E10" s="201" t="str">
        <f t="array" ref="E10">IFERROR(INDEX('Konventionell (2)'!H:H,SMALL(IF('Konventionell (2)'!$E$3:$E$64&gt;0,ROW($3:$64)),ROW(A4))),"")</f>
        <v/>
      </c>
      <c r="F10" s="200" t="str">
        <f>IF(A10="","",C10*'Begr.-Rechner int. Prod.'!$I$2)</f>
        <v/>
      </c>
      <c r="G10" s="200" t="str">
        <f>IFERROR(VLOOKUP(A10,'Konventionell (2)'!$A$3:$I$64,9,0),"")</f>
        <v/>
      </c>
      <c r="H10" s="586"/>
      <c r="I10" s="587"/>
      <c r="J10" s="579"/>
      <c r="K10" s="580"/>
      <c r="L10" s="580"/>
      <c r="M10" s="580"/>
      <c r="O10" s="313">
        <f t="shared" si="0"/>
        <v>0</v>
      </c>
    </row>
    <row r="11" spans="1:15" ht="15.75" thickBot="1" x14ac:dyDescent="0.25">
      <c r="A11" s="286" t="str">
        <f t="array" ref="A11">IFERROR(INDEX('Konventionell (2)'!A:A,SMALL(IF('Konventionell (2)'!$E$3:$E$64&gt;0,ROW($3:$64)),ROW(A5))),"")</f>
        <v/>
      </c>
      <c r="B11" s="201" t="str">
        <f t="array" ref="B11">IFERROR(INDEX('Konventionell (2)'!E:E,SMALL(IF('Konventionell (2)'!$E$3:$E$64&gt;0,ROW($3:$64)),ROW(A5))),"")</f>
        <v/>
      </c>
      <c r="C11" s="201" t="str">
        <f t="array" ref="C11">IFERROR(INDEX('Konventionell (2)'!F:F,SMALL(IF('Konventionell (2)'!$E$3:$E$64&gt;0,ROW($3:$64)),ROW(A5))),"")</f>
        <v/>
      </c>
      <c r="D11" s="287" t="str">
        <f t="array" ref="D11">IFERROR(INDEX('Konventionell (2)'!G:G,SMALL(IF('Konventionell (2)'!$E$3:$E$64&gt;0,ROW($3:$64)),ROW(A5))),"")</f>
        <v/>
      </c>
      <c r="E11" s="201" t="str">
        <f t="array" ref="E11">IFERROR(INDEX('Konventionell (2)'!H:H,SMALL(IF('Konventionell (2)'!$E$3:$E$64&gt;0,ROW($3:$64)),ROW(A5))),"")</f>
        <v/>
      </c>
      <c r="F11" s="200" t="str">
        <f>IF(A11="","",C11*'Begr.-Rechner int. Prod.'!$I$2)</f>
        <v/>
      </c>
      <c r="G11" s="200" t="str">
        <f>IFERROR(VLOOKUP(A11,'Konventionell (2)'!$A$3:$I$64,9,0),"")</f>
        <v/>
      </c>
      <c r="H11" s="586"/>
      <c r="I11" s="587"/>
      <c r="J11" s="579"/>
      <c r="K11" s="580"/>
      <c r="L11" s="580"/>
      <c r="M11" s="580"/>
      <c r="O11" s="313">
        <f t="shared" si="0"/>
        <v>0</v>
      </c>
    </row>
    <row r="12" spans="1:15" ht="15" x14ac:dyDescent="0.2">
      <c r="A12" s="286" t="str">
        <f t="array" ref="A12">IFERROR(INDEX('Konventionell (2)'!A:A,SMALL(IF('Konventionell (2)'!$E$3:$E$64&gt;0,ROW($3:$64)),ROW(A6))),"")</f>
        <v/>
      </c>
      <c r="B12" s="201" t="str">
        <f t="array" ref="B12">IFERROR(INDEX('Konventionell (2)'!E:E,SMALL(IF('Konventionell (2)'!$E$3:$E$64&gt;0,ROW($3:$64)),ROW(A6))),"")</f>
        <v/>
      </c>
      <c r="C12" s="201" t="str">
        <f t="array" ref="C12">IFERROR(INDEX('Konventionell (2)'!F:F,SMALL(IF('Konventionell (2)'!$E$3:$E$64&gt;0,ROW($3:$64)),ROW(A6))),"")</f>
        <v/>
      </c>
      <c r="D12" s="287" t="str">
        <f t="array" ref="D12">IFERROR(INDEX('Konventionell (2)'!G:G,SMALL(IF('Konventionell (2)'!$E$3:$E$64&gt;0,ROW($3:$64)),ROW(A6))),"")</f>
        <v/>
      </c>
      <c r="E12" s="201" t="str">
        <f t="array" ref="E12">IFERROR(INDEX('Konventionell (2)'!H:H,SMALL(IF('Konventionell (2)'!$E$3:$E$64&gt;0,ROW($3:$64)),ROW(A6))),"")</f>
        <v/>
      </c>
      <c r="F12" s="200" t="str">
        <f>IF(A12="","",C12*'Begr.-Rechner int. Prod.'!$I$2)</f>
        <v/>
      </c>
      <c r="G12" s="200" t="str">
        <f>IFERROR(VLOOKUP(A12,'Konventionell (2)'!$A$3:$I$64,9,0),"")</f>
        <v/>
      </c>
      <c r="H12" s="551" t="s">
        <v>884</v>
      </c>
      <c r="I12" s="552"/>
      <c r="J12" s="579"/>
      <c r="K12" s="580"/>
      <c r="L12" s="580"/>
      <c r="M12" s="580"/>
      <c r="O12" s="313">
        <f t="shared" si="0"/>
        <v>0</v>
      </c>
    </row>
    <row r="13" spans="1:15" ht="15" x14ac:dyDescent="0.2">
      <c r="A13" s="286" t="str">
        <f t="array" ref="A13">IFERROR(INDEX('Konventionell (2)'!A:A,SMALL(IF('Konventionell (2)'!$E$3:$E$64&gt;0,ROW($3:$64)),ROW(A7))),"")</f>
        <v/>
      </c>
      <c r="B13" s="201" t="str">
        <f t="array" ref="B13">IFERROR(INDEX('Konventionell (2)'!E:E,SMALL(IF('Konventionell (2)'!$E$3:$E$64&gt;0,ROW($3:$64)),ROW(A7))),"")</f>
        <v/>
      </c>
      <c r="C13" s="201" t="str">
        <f t="array" ref="C13">IFERROR(INDEX('Konventionell (2)'!F:F,SMALL(IF('Konventionell (2)'!$E$3:$E$64&gt;0,ROW($3:$64)),ROW(A7))),"")</f>
        <v/>
      </c>
      <c r="D13" s="287" t="str">
        <f t="array" ref="D13">IFERROR(INDEX('Konventionell (2)'!G:G,SMALL(IF('Konventionell (2)'!$E$3:$E$64&gt;0,ROW($3:$64)),ROW(A7))),"")</f>
        <v/>
      </c>
      <c r="E13" s="201" t="str">
        <f t="array" ref="E13">IFERROR(INDEX('Konventionell (2)'!H:H,SMALL(IF('Konventionell (2)'!$E$3:$E$64&gt;0,ROW($3:$64)),ROW(A7))),"")</f>
        <v/>
      </c>
      <c r="F13" s="200" t="str">
        <f>IF(A13="","",C13*'Begr.-Rechner int. Prod.'!$I$2)</f>
        <v/>
      </c>
      <c r="G13" s="200" t="str">
        <f>IFERROR(VLOOKUP(A13,'Konventionell (2)'!$A$3:$I$64,9,0),"")</f>
        <v/>
      </c>
      <c r="H13" s="553"/>
      <c r="I13" s="554"/>
      <c r="O13" s="313">
        <f t="shared" si="0"/>
        <v>0</v>
      </c>
    </row>
    <row r="14" spans="1:15" ht="15" x14ac:dyDescent="0.2">
      <c r="A14" s="286" t="str">
        <f t="array" ref="A14">IFERROR(INDEX('Konventionell (2)'!A:A,SMALL(IF('Konventionell (2)'!$E$3:$E$64&gt;0,ROW($3:$64)),ROW(A8))),"")</f>
        <v/>
      </c>
      <c r="B14" s="201" t="str">
        <f t="array" ref="B14">IFERROR(INDEX('Konventionell (2)'!E:E,SMALL(IF('Konventionell (2)'!$E$3:$E$64&gt;0,ROW($3:$64)),ROW(A8))),"")</f>
        <v/>
      </c>
      <c r="C14" s="201" t="str">
        <f t="array" ref="C14">IFERROR(INDEX('Konventionell (2)'!F:F,SMALL(IF('Konventionell (2)'!$E$3:$E$64&gt;0,ROW($3:$64)),ROW(A8))),"")</f>
        <v/>
      </c>
      <c r="D14" s="287" t="str">
        <f t="array" ref="D14">IFERROR(INDEX('Konventionell (2)'!G:G,SMALL(IF('Konventionell (2)'!$E$3:$E$64&gt;0,ROW($3:$64)),ROW(A8))),"")</f>
        <v/>
      </c>
      <c r="E14" s="201" t="str">
        <f t="array" ref="E14">IFERROR(INDEX('Konventionell (2)'!H:H,SMALL(IF('Konventionell (2)'!$E$3:$E$64&gt;0,ROW($3:$64)),ROW(A8))),"")</f>
        <v/>
      </c>
      <c r="F14" s="200" t="str">
        <f>IF(A14="","",C14*'Begr.-Rechner int. Prod.'!$I$2)</f>
        <v/>
      </c>
      <c r="G14" s="200" t="str">
        <f>IFERROR(VLOOKUP(A14,'Konventionell (2)'!$A$3:$I$64,9,0),"")</f>
        <v/>
      </c>
      <c r="H14" s="553"/>
      <c r="I14" s="554"/>
      <c r="O14" s="313">
        <f t="shared" si="0"/>
        <v>0</v>
      </c>
    </row>
    <row r="15" spans="1:15" ht="15" x14ac:dyDescent="0.2">
      <c r="A15" s="286" t="str">
        <f t="array" ref="A15">IFERROR(INDEX('Konventionell (2)'!A:A,SMALL(IF('Konventionell (2)'!$E$3:$E$64&gt;0,ROW($3:$64)),ROW(A9))),"")</f>
        <v/>
      </c>
      <c r="B15" s="201" t="str">
        <f t="array" ref="B15">IFERROR(INDEX('Konventionell (2)'!E:E,SMALL(IF('Konventionell (2)'!$E$3:$E$64&gt;0,ROW($3:$64)),ROW(A9))),"")</f>
        <v/>
      </c>
      <c r="C15" s="201" t="str">
        <f t="array" ref="C15">IFERROR(INDEX('Konventionell (2)'!F:F,SMALL(IF('Konventionell (2)'!$E$3:$E$64&gt;0,ROW($3:$64)),ROW(A9))),"")</f>
        <v/>
      </c>
      <c r="D15" s="287" t="str">
        <f t="array" ref="D15">IFERROR(INDEX('Konventionell (2)'!G:G,SMALL(IF('Konventionell (2)'!$E$3:$E$64&gt;0,ROW($3:$64)),ROW(A9))),"")</f>
        <v/>
      </c>
      <c r="E15" s="201" t="str">
        <f t="array" ref="E15">IFERROR(INDEX('Konventionell (2)'!H:H,SMALL(IF('Konventionell (2)'!$E$3:$E$64&gt;0,ROW($3:$64)),ROW(A9))),"")</f>
        <v/>
      </c>
      <c r="F15" s="200" t="str">
        <f>IF(A15="","",C15*'Begr.-Rechner int. Prod.'!$I$2)</f>
        <v/>
      </c>
      <c r="G15" s="200" t="str">
        <f>IFERROR(VLOOKUP(A15,'Konventionell (2)'!$A$3:$I$64,9,0),"")</f>
        <v/>
      </c>
      <c r="H15" s="553"/>
      <c r="I15" s="554"/>
      <c r="O15" s="313">
        <f t="shared" si="0"/>
        <v>0</v>
      </c>
    </row>
    <row r="16" spans="1:15" ht="15.75" thickBot="1" x14ac:dyDescent="0.25">
      <c r="A16" s="286" t="str">
        <f t="array" ref="A16">IFERROR(INDEX('Konventionell (2)'!A:A,SMALL(IF('Konventionell (2)'!$E$3:$E$64&gt;0,ROW($3:$64)),ROW(A10))),"")</f>
        <v/>
      </c>
      <c r="B16" s="201" t="str">
        <f t="array" ref="B16">IFERROR(INDEX('Konventionell (2)'!E:E,SMALL(IF('Konventionell (2)'!$E$3:$E$64&gt;0,ROW($3:$64)),ROW(A10))),"")</f>
        <v/>
      </c>
      <c r="C16" s="201" t="str">
        <f t="array" ref="C16">IFERROR(INDEX('Konventionell (2)'!F:F,SMALL(IF('Konventionell (2)'!$E$3:$E$64&gt;0,ROW($3:$64)),ROW(A10))),"")</f>
        <v/>
      </c>
      <c r="D16" s="287" t="str">
        <f t="array" ref="D16">IFERROR(INDEX('Konventionell (2)'!G:G,SMALL(IF('Konventionell (2)'!$E$3:$E$64&gt;0,ROW($3:$64)),ROW(A10))),"")</f>
        <v/>
      </c>
      <c r="E16" s="201" t="str">
        <f t="array" ref="E16">IFERROR(INDEX('Konventionell (2)'!H:H,SMALL(IF('Konventionell (2)'!$E$3:$E$64&gt;0,ROW($3:$64)),ROW(A10))),"")</f>
        <v/>
      </c>
      <c r="F16" s="200" t="str">
        <f>IF(A16="","",C16*'Begr.-Rechner int. Prod.'!$I$2)</f>
        <v/>
      </c>
      <c r="G16" s="200" t="str">
        <f>IFERROR(VLOOKUP(A16,'Konventionell (2)'!$A$3:$I$64,9,0),"")</f>
        <v/>
      </c>
      <c r="H16" s="555"/>
      <c r="I16" s="556"/>
      <c r="O16" s="313">
        <f t="shared" si="0"/>
        <v>0</v>
      </c>
    </row>
    <row r="17" spans="1:16" ht="15" x14ac:dyDescent="0.2">
      <c r="A17" s="286" t="str">
        <f t="array" ref="A17">IFERROR(INDEX('Konventionell (2)'!A:A,SMALL(IF('Konventionell (2)'!$E$3:$E$64&gt;0,ROW($3:$64)),ROW(A11))),"")</f>
        <v/>
      </c>
      <c r="B17" s="201" t="str">
        <f t="array" ref="B17">IFERROR(INDEX('Konventionell (2)'!E:E,SMALL(IF('Konventionell (2)'!$E$3:$E$64&gt;0,ROW($3:$64)),ROW(A11))),"")</f>
        <v/>
      </c>
      <c r="C17" s="201" t="str">
        <f t="array" ref="C17">IFERROR(INDEX('Konventionell (2)'!F:F,SMALL(IF('Konventionell (2)'!$E$3:$E$64&gt;0,ROW($3:$64)),ROW(A11))),"")</f>
        <v/>
      </c>
      <c r="D17" s="287" t="str">
        <f t="array" ref="D17">IFERROR(INDEX('Konventionell (2)'!G:G,SMALL(IF('Konventionell (2)'!$E$3:$E$64&gt;0,ROW($3:$64)),ROW(A11))),"")</f>
        <v/>
      </c>
      <c r="E17" s="201" t="str">
        <f t="array" ref="E17">IFERROR(INDEX('Konventionell (2)'!H:H,SMALL(IF('Konventionell (2)'!$E$3:$E$64&gt;0,ROW($3:$64)),ROW(A11))),"")</f>
        <v/>
      </c>
      <c r="F17" s="200" t="str">
        <f>IF(A17="","",C17*'Begr.-Rechner int. Prod.'!$I$2)</f>
        <v/>
      </c>
      <c r="G17" s="200" t="str">
        <f>IFERROR(VLOOKUP(A17,'Konventionell (2)'!$A$3:$I$64,9,0),"")</f>
        <v/>
      </c>
      <c r="H17" s="200"/>
      <c r="I17" s="200"/>
      <c r="O17" s="313">
        <f t="shared" si="0"/>
        <v>0</v>
      </c>
    </row>
    <row r="18" spans="1:16" ht="15" x14ac:dyDescent="0.2">
      <c r="A18" s="286" t="str">
        <f t="array" ref="A18">IFERROR(INDEX('Konventionell (2)'!A:A,SMALL(IF('Konventionell (2)'!$E$3:$E$64&gt;0,ROW($3:$64)),ROW(A12))),"")</f>
        <v/>
      </c>
      <c r="B18" s="201" t="str">
        <f t="array" ref="B18">IFERROR(INDEX('Konventionell (2)'!E:E,SMALL(IF('Konventionell (2)'!$E$3:$E$64&gt;0,ROW($3:$64)),ROW(A12))),"")</f>
        <v/>
      </c>
      <c r="C18" s="201" t="str">
        <f t="array" ref="C18">IFERROR(INDEX('Konventionell (2)'!F:F,SMALL(IF('Konventionell (2)'!$E$3:$E$64&gt;0,ROW($3:$64)),ROW(A12))),"")</f>
        <v/>
      </c>
      <c r="D18" s="287" t="str">
        <f t="array" ref="D18">IFERROR(INDEX('Konventionell (2)'!G:G,SMALL(IF('Konventionell (2)'!$E$3:$E$64&gt;0,ROW($3:$64)),ROW(A12))),"")</f>
        <v/>
      </c>
      <c r="E18" s="201" t="str">
        <f t="array" ref="E18">IFERROR(INDEX('Konventionell (2)'!H:H,SMALL(IF('Konventionell (2)'!$E$3:$E$64&gt;0,ROW($3:$64)),ROW(A12))),"")</f>
        <v/>
      </c>
      <c r="F18" s="200" t="str">
        <f>IF(A18="","",C18*'Begr.-Rechner int. Prod.'!$I$2)</f>
        <v/>
      </c>
      <c r="G18" s="200" t="str">
        <f>IFERROR(VLOOKUP(A18,'Konventionell (2)'!$A$3:$I$64,9,0),"")</f>
        <v/>
      </c>
      <c r="H18" s="200"/>
      <c r="I18" s="200"/>
      <c r="O18" s="313">
        <f t="shared" si="0"/>
        <v>0</v>
      </c>
    </row>
    <row r="19" spans="1:16" ht="15" x14ac:dyDescent="0.2">
      <c r="A19" s="286" t="str">
        <f t="array" ref="A19">IFERROR(INDEX('Konventionell (2)'!A:A,SMALL(IF('Konventionell (2)'!$E$3:$E$64&gt;0,ROW($3:$64)),ROW(A13))),"")</f>
        <v/>
      </c>
      <c r="B19" s="201" t="str">
        <f t="array" ref="B19">IFERROR(INDEX('Konventionell (2)'!E:E,SMALL(IF('Konventionell (2)'!$E$3:$E$64&gt;0,ROW($3:$64)),ROW(A13))),"")</f>
        <v/>
      </c>
      <c r="C19" s="201" t="str">
        <f t="array" ref="C19">IFERROR(INDEX('Konventionell (2)'!F:F,SMALL(IF('Konventionell (2)'!$E$3:$E$64&gt;0,ROW($3:$64)),ROW(A13))),"")</f>
        <v/>
      </c>
      <c r="D19" s="287" t="str">
        <f t="array" ref="D19">IFERROR(INDEX('Konventionell (2)'!G:G,SMALL(IF('Konventionell (2)'!$E$3:$E$64&gt;0,ROW($3:$64)),ROW(A13))),"")</f>
        <v/>
      </c>
      <c r="E19" s="201" t="str">
        <f t="array" ref="E19">IFERROR(INDEX('Konventionell (2)'!H:H,SMALL(IF('Konventionell (2)'!$E$3:$E$64&gt;0,ROW($3:$64)),ROW(A13))),"")</f>
        <v/>
      </c>
      <c r="F19" s="200" t="str">
        <f>IF(A19="","",C19*'Begr.-Rechner int. Prod.'!$I$2)</f>
        <v/>
      </c>
      <c r="G19" s="200" t="str">
        <f>IFERROR(VLOOKUP(A19,'Konventionell (2)'!$A$3:$I$64,9,0),"")</f>
        <v/>
      </c>
      <c r="H19" s="200"/>
      <c r="I19" s="200"/>
      <c r="O19" s="313">
        <f t="shared" si="0"/>
        <v>0</v>
      </c>
    </row>
    <row r="20" spans="1:16" ht="15" x14ac:dyDescent="0.2">
      <c r="A20" s="286" t="str">
        <f t="array" ref="A20">IFERROR(INDEX('Konventionell (2)'!A:A,SMALL(IF('Konventionell (2)'!$E$3:$E$64&gt;0,ROW($3:$64)),ROW(A14))),"")</f>
        <v/>
      </c>
      <c r="B20" s="201" t="str">
        <f t="array" ref="B20">IFERROR(INDEX('Konventionell (2)'!E:E,SMALL(IF('Konventionell (2)'!$E$3:$E$64&gt;0,ROW($3:$64)),ROW(A14))),"")</f>
        <v/>
      </c>
      <c r="C20" s="201" t="str">
        <f t="array" ref="C20">IFERROR(INDEX('Konventionell (2)'!F:F,SMALL(IF('Konventionell (2)'!$E$3:$E$64&gt;0,ROW($3:$64)),ROW(A14))),"")</f>
        <v/>
      </c>
      <c r="D20" s="287" t="str">
        <f t="array" ref="D20">IFERROR(INDEX('Konventionell (2)'!G:G,SMALL(IF('Konventionell (2)'!$E$3:$E$64&gt;0,ROW($3:$64)),ROW(A14))),"")</f>
        <v/>
      </c>
      <c r="E20" s="201" t="str">
        <f t="array" ref="E20">IFERROR(INDEX('Konventionell (2)'!H:H,SMALL(IF('Konventionell (2)'!$E$3:$E$64&gt;0,ROW($3:$64)),ROW(A14))),"")</f>
        <v/>
      </c>
      <c r="F20" s="200" t="str">
        <f>IF(A20="","",C20*'Begr.-Rechner int. Prod.'!$I$2)</f>
        <v/>
      </c>
      <c r="G20" s="200" t="str">
        <f>IFERROR(VLOOKUP(A20,'Konventionell (2)'!$A$3:$I$64,9,0),"")</f>
        <v/>
      </c>
      <c r="H20" s="200"/>
      <c r="I20" s="200"/>
      <c r="O20" s="313">
        <f t="shared" si="0"/>
        <v>0</v>
      </c>
    </row>
    <row r="21" spans="1:16" ht="15" x14ac:dyDescent="0.2">
      <c r="A21" s="286" t="str">
        <f t="array" ref="A21">IFERROR(INDEX('Konventionell (2)'!A:A,SMALL(IF('Konventionell (2)'!$E$3:$E$64&gt;0,ROW($3:$64)),ROW(A15))),"")</f>
        <v/>
      </c>
      <c r="B21" s="201" t="str">
        <f t="array" ref="B21">IFERROR(INDEX('Konventionell (2)'!E:E,SMALL(IF('Konventionell (2)'!$E$3:$E$64&gt;0,ROW($3:$64)),ROW(A15))),"")</f>
        <v/>
      </c>
      <c r="C21" s="201" t="str">
        <f t="array" ref="C21">IFERROR(INDEX('Konventionell (2)'!F:F,SMALL(IF('Konventionell (2)'!$E$3:$E$64&gt;0,ROW($3:$64)),ROW(A15))),"")</f>
        <v/>
      </c>
      <c r="D21" s="287" t="str">
        <f t="array" ref="D21">IFERROR(INDEX('Konventionell (2)'!G:G,SMALL(IF('Konventionell (2)'!$E$3:$E$64&gt;0,ROW($3:$64)),ROW(A15))),"")</f>
        <v/>
      </c>
      <c r="E21" s="201" t="str">
        <f t="array" ref="E21">IFERROR(INDEX('Konventionell (2)'!H:H,SMALL(IF('Konventionell (2)'!$E$3:$E$64&gt;0,ROW($3:$64)),ROW(A15))),"")</f>
        <v/>
      </c>
      <c r="F21" s="200" t="str">
        <f>IF(A21="","",C21*'Begr.-Rechner int. Prod.'!$I$2)</f>
        <v/>
      </c>
      <c r="G21" s="200" t="str">
        <f>IFERROR(VLOOKUP(A21,'Konventionell (2)'!$A$3:$I$64,9,0),"")</f>
        <v/>
      </c>
      <c r="H21" s="200"/>
      <c r="I21" s="200"/>
      <c r="O21" s="313">
        <f t="shared" si="0"/>
        <v>0</v>
      </c>
    </row>
    <row r="22" spans="1:16" ht="15" x14ac:dyDescent="0.2">
      <c r="A22" s="286" t="str">
        <f t="array" ref="A22">IFERROR(INDEX('Konventionell (2)'!A:A,SMALL(IF('Konventionell (2)'!$E$3:$E$64&gt;0,ROW($3:$64)),ROW(A16))),"")</f>
        <v/>
      </c>
      <c r="B22" s="201" t="str">
        <f t="array" ref="B22">IFERROR(INDEX('Konventionell (2)'!E:E,SMALL(IF('Konventionell (2)'!$E$3:$E$64&gt;0,ROW($3:$64)),ROW(A16))),"")</f>
        <v/>
      </c>
      <c r="C22" s="201" t="str">
        <f t="array" ref="C22">IFERROR(INDEX('Konventionell (2)'!F:F,SMALL(IF('Konventionell (2)'!$E$3:$E$64&gt;0,ROW($3:$64)),ROW(A16))),"")</f>
        <v/>
      </c>
      <c r="D22" s="287" t="str">
        <f t="array" ref="D22">IFERROR(INDEX('Konventionell (2)'!G:G,SMALL(IF('Konventionell (2)'!$E$3:$E$64&gt;0,ROW($3:$64)),ROW(A16))),"")</f>
        <v/>
      </c>
      <c r="E22" s="201" t="str">
        <f t="array" ref="E22">IFERROR(INDEX('Konventionell (2)'!H:H,SMALL(IF('Konventionell (2)'!$E$3:$E$64&gt;0,ROW($3:$64)),ROW(A16))),"")</f>
        <v/>
      </c>
      <c r="F22" s="200" t="str">
        <f>IF(A22="","",C22*'Begr.-Rechner int. Prod.'!$I$2)</f>
        <v/>
      </c>
      <c r="G22" s="200" t="str">
        <f>IFERROR(VLOOKUP(A22,'Konventionell (2)'!$A$3:$I$64,9,0),"")</f>
        <v/>
      </c>
      <c r="H22" s="200"/>
      <c r="I22" s="200"/>
      <c r="O22" s="313">
        <f t="shared" si="0"/>
        <v>0</v>
      </c>
    </row>
    <row r="23" spans="1:16" ht="15" x14ac:dyDescent="0.2">
      <c r="A23" s="286" t="str">
        <f t="array" ref="A23">IFERROR(INDEX('Konventionell (2)'!A:A,SMALL(IF('Konventionell (2)'!$E$3:$E$64&gt;0,ROW($3:$64)),ROW(A17))),"")</f>
        <v/>
      </c>
      <c r="B23" s="201" t="str">
        <f t="array" ref="B23">IFERROR(INDEX('Konventionell (2)'!E:E,SMALL(IF('Konventionell (2)'!$E$3:$E$64&gt;0,ROW($3:$64)),ROW(A17))),"")</f>
        <v/>
      </c>
      <c r="C23" s="201" t="str">
        <f t="array" ref="C23">IFERROR(INDEX('Konventionell (2)'!F:F,SMALL(IF('Konventionell (2)'!$E$3:$E$64&gt;0,ROW($3:$64)),ROW(A17))),"")</f>
        <v/>
      </c>
      <c r="D23" s="287" t="str">
        <f t="array" ref="D23">IFERROR(INDEX('Konventionell (2)'!G:G,SMALL(IF('Konventionell (2)'!$E$3:$E$64&gt;0,ROW($3:$64)),ROW(A17))),"")</f>
        <v/>
      </c>
      <c r="E23" s="201" t="str">
        <f t="array" ref="E23">IFERROR(INDEX('Konventionell (2)'!H:H,SMALL(IF('Konventionell (2)'!$E$3:$E$64&gt;0,ROW($3:$64)),ROW(A17))),"")</f>
        <v/>
      </c>
      <c r="F23" s="200" t="str">
        <f>IF(A23="","",C23*'Begr.-Rechner int. Prod.'!$I$2)</f>
        <v/>
      </c>
      <c r="G23" s="200" t="str">
        <f>IFERROR(VLOOKUP(A23,'Konventionell (2)'!$A$3:$I$64,9,0),"")</f>
        <v/>
      </c>
      <c r="H23" s="200"/>
      <c r="I23" s="200"/>
      <c r="O23" s="313">
        <f t="shared" si="0"/>
        <v>0</v>
      </c>
    </row>
    <row r="24" spans="1:16" ht="15" x14ac:dyDescent="0.2">
      <c r="A24" s="286" t="str">
        <f t="array" ref="A24">IFERROR(INDEX('Konventionell (2)'!A:A,SMALL(IF('Konventionell (2)'!$E$3:$E$64&gt;0,ROW($3:$64)),ROW(A18))),"")</f>
        <v/>
      </c>
      <c r="B24" s="201" t="str">
        <f t="array" ref="B24">IFERROR(INDEX('Konventionell (2)'!E:E,SMALL(IF('Konventionell (2)'!$E$3:$E$64&gt;0,ROW($3:$64)),ROW(A18))),"")</f>
        <v/>
      </c>
      <c r="C24" s="201" t="str">
        <f t="array" ref="C24">IFERROR(INDEX('Konventionell (2)'!F:F,SMALL(IF('Konventionell (2)'!$E$3:$E$64&gt;0,ROW($3:$64)),ROW(A18))),"")</f>
        <v/>
      </c>
      <c r="D24" s="287" t="str">
        <f t="array" ref="D24">IFERROR(INDEX('Konventionell (2)'!G:G,SMALL(IF('Konventionell (2)'!$E$3:$E$64&gt;0,ROW($3:$64)),ROW(A18))),"")</f>
        <v/>
      </c>
      <c r="E24" s="201" t="str">
        <f t="array" ref="E24">IFERROR(INDEX('Konventionell (2)'!H:H,SMALL(IF('Konventionell (2)'!$E$3:$E$64&gt;0,ROW($3:$64)),ROW(A18))),"")</f>
        <v/>
      </c>
      <c r="F24" s="200" t="str">
        <f>IF(A24="","",C24*'Begr.-Rechner int. Prod.'!$I$2)</f>
        <v/>
      </c>
      <c r="G24" s="200" t="str">
        <f>IFERROR(VLOOKUP(A24,'Konventionell (2)'!$A$3:$I$64,9,0),"")</f>
        <v/>
      </c>
      <c r="H24" s="200"/>
      <c r="I24" s="200"/>
      <c r="O24" s="313">
        <f t="shared" si="0"/>
        <v>0</v>
      </c>
    </row>
    <row r="25" spans="1:16" ht="15" x14ac:dyDescent="0.2">
      <c r="A25" s="286" t="str">
        <f t="array" ref="A25">IFERROR(INDEX('Konventionell (2)'!A:A,SMALL(IF('Konventionell (2)'!$E$3:$E$64&gt;0,ROW($3:$64)),ROW(A19))),"")</f>
        <v/>
      </c>
      <c r="B25" s="201" t="str">
        <f t="array" ref="B25">IFERROR(INDEX('Konventionell (2)'!E:E,SMALL(IF('Konventionell (2)'!$E$3:$E$64&gt;0,ROW($3:$64)),ROW(A19))),"")</f>
        <v/>
      </c>
      <c r="C25" s="201" t="str">
        <f t="array" ref="C25">IFERROR(INDEX('Konventionell (2)'!F:F,SMALL(IF('Konventionell (2)'!$E$3:$E$64&gt;0,ROW($3:$64)),ROW(A19))),"")</f>
        <v/>
      </c>
      <c r="D25" s="287" t="str">
        <f t="array" ref="D25">IFERROR(INDEX('Konventionell (2)'!G:G,SMALL(IF('Konventionell (2)'!$E$3:$E$64&gt;0,ROW($3:$64)),ROW(A19))),"")</f>
        <v/>
      </c>
      <c r="E25" s="201" t="str">
        <f t="array" ref="E25">IFERROR(INDEX('Konventionell (2)'!H:H,SMALL(IF('Konventionell (2)'!$E$3:$E$64&gt;0,ROW($3:$64)),ROW(A19))),"")</f>
        <v/>
      </c>
      <c r="F25" s="200" t="str">
        <f>IF(A25="","",C25*'Begr.-Rechner int. Prod.'!$I$2)</f>
        <v/>
      </c>
      <c r="G25" s="200" t="str">
        <f>IFERROR(VLOOKUP(A25,'Konventionell (2)'!$A$3:$I$64,9,0),"")</f>
        <v/>
      </c>
      <c r="H25" s="200"/>
      <c r="I25" s="200"/>
      <c r="O25" s="313">
        <f t="shared" si="0"/>
        <v>0</v>
      </c>
    </row>
    <row r="26" spans="1:16" ht="15" x14ac:dyDescent="0.2">
      <c r="A26" s="286" t="str">
        <f t="array" ref="A26">IFERROR(INDEX('Konventionell (2)'!A:A,SMALL(IF('Konventionell (2)'!$E$3:$E$64&gt;0,ROW($3:$64)),ROW(A20))),"")</f>
        <v/>
      </c>
      <c r="B26" s="201" t="str">
        <f t="array" ref="B26">IFERROR(INDEX('Konventionell (2)'!E:E,SMALL(IF('Konventionell (2)'!$E$3:$E$64&gt;0,ROW($3:$64)),ROW(A20))),"")</f>
        <v/>
      </c>
      <c r="C26" s="201" t="str">
        <f t="array" ref="C26">IFERROR(INDEX('Konventionell (2)'!F:F,SMALL(IF('Konventionell (2)'!$E$3:$E$64&gt;0,ROW($3:$64)),ROW(A20))),"")</f>
        <v/>
      </c>
      <c r="D26" s="287" t="str">
        <f t="array" ref="D26">IFERROR(INDEX('Konventionell (2)'!G:G,SMALL(IF('Konventionell (2)'!$E$3:$E$64&gt;0,ROW($3:$64)),ROW(A20))),"")</f>
        <v/>
      </c>
      <c r="E26" s="201" t="str">
        <f t="array" ref="E26">IFERROR(INDEX('Konventionell (2)'!H:H,SMALL(IF('Konventionell (2)'!$E$3:$E$64&gt;0,ROW($3:$64)),ROW(A20))),"")</f>
        <v/>
      </c>
      <c r="F26" s="200" t="str">
        <f>IF(A26="","",C26*'Begr.-Rechner int. Prod.'!$I$2)</f>
        <v/>
      </c>
      <c r="G26" s="200" t="str">
        <f>IFERROR(VLOOKUP(A26,'Konventionell (2)'!$A$3:$I$64,9,0),"")</f>
        <v/>
      </c>
      <c r="H26" s="200"/>
      <c r="I26" s="200"/>
      <c r="O26" s="313">
        <f t="shared" si="0"/>
        <v>0</v>
      </c>
    </row>
    <row r="27" spans="1:16" ht="15" x14ac:dyDescent="0.2">
      <c r="A27" s="286" t="str">
        <f t="array" ref="A27">IFERROR(INDEX('Konventionell (2)'!A:A,SMALL(IF('Konventionell (2)'!$E$3:$E$64&gt;0,ROW($3:$64)),ROW(A21))),"")</f>
        <v/>
      </c>
      <c r="B27" s="201" t="str">
        <f t="array" ref="B27">IFERROR(INDEX('Konventionell (2)'!E:E,SMALL(IF('Konventionell (2)'!$E$3:$E$64&gt;0,ROW($3:$64)),ROW(A21))),"")</f>
        <v/>
      </c>
      <c r="C27" s="201" t="str">
        <f t="array" ref="C27">IFERROR(INDEX('Konventionell (2)'!F:F,SMALL(IF('Konventionell (2)'!$E$3:$E$64&gt;0,ROW($3:$64)),ROW(A21))),"")</f>
        <v/>
      </c>
      <c r="D27" s="287" t="str">
        <f t="array" ref="D27">IFERROR(INDEX('Konventionell (2)'!G:G,SMALL(IF('Konventionell (2)'!$E$3:$E$64&gt;0,ROW($3:$64)),ROW(A21))),"")</f>
        <v/>
      </c>
      <c r="E27" s="201" t="str">
        <f t="array" ref="E27">IFERROR(INDEX('Konventionell (2)'!H:H,SMALL(IF('Konventionell (2)'!$E$3:$E$64&gt;0,ROW($3:$64)),ROW(A21))),"")</f>
        <v/>
      </c>
      <c r="F27" s="200" t="str">
        <f>IF(A27="","",C27*'Begr.-Rechner int. Prod.'!$I$2)</f>
        <v/>
      </c>
      <c r="G27" s="200" t="str">
        <f>IFERROR(VLOOKUP(A27,'Konventionell (2)'!$A$3:$I$64,9,0),"")</f>
        <v/>
      </c>
      <c r="H27" s="200"/>
      <c r="I27" s="200"/>
      <c r="O27" s="313">
        <f t="shared" si="0"/>
        <v>0</v>
      </c>
    </row>
    <row r="28" spans="1:16" ht="15" x14ac:dyDescent="0.2">
      <c r="A28" s="286" t="str">
        <f t="array" ref="A28">IFERROR(INDEX('Konventionell (2)'!A:A,SMALL(IF('Konventionell (2)'!$E$3:$E$64&gt;0,ROW($3:$64)),ROW(A22))),"")</f>
        <v/>
      </c>
      <c r="B28" s="201" t="str">
        <f t="array" ref="B28">IFERROR(INDEX('Konventionell (2)'!E:E,SMALL(IF('Konventionell (2)'!$E$3:$E$64&gt;0,ROW($3:$64)),ROW(A22))),"")</f>
        <v/>
      </c>
      <c r="C28" s="201" t="str">
        <f t="array" ref="C28">IFERROR(INDEX('Konventionell (2)'!F:F,SMALL(IF('Konventionell (2)'!$E$3:$E$64&gt;0,ROW($3:$64)),ROW(A22))),"")</f>
        <v/>
      </c>
      <c r="D28" s="287" t="str">
        <f t="array" ref="D28">IFERROR(INDEX('Konventionell (2)'!G:G,SMALL(IF('Konventionell (2)'!$E$3:$E$64&gt;0,ROW($3:$64)),ROW(A22))),"")</f>
        <v/>
      </c>
      <c r="E28" s="201" t="str">
        <f t="array" ref="E28">IFERROR(INDEX('Konventionell (2)'!H:H,SMALL(IF('Konventionell (2)'!$E$3:$E$64&gt;0,ROW($3:$64)),ROW(A22))),"")</f>
        <v/>
      </c>
      <c r="F28" s="200" t="str">
        <f>IF(A28="","",C28*'Begr.-Rechner int. Prod.'!$I$2)</f>
        <v/>
      </c>
      <c r="G28" s="200" t="str">
        <f>IFERROR(VLOOKUP(A28,'Konventionell (2)'!$A$3:$I$64,9,0),"")</f>
        <v/>
      </c>
      <c r="H28" s="200"/>
      <c r="I28" s="200"/>
      <c r="O28" s="313">
        <f t="shared" si="0"/>
        <v>0</v>
      </c>
      <c r="P28" s="313"/>
    </row>
    <row r="29" spans="1:16" ht="15" x14ac:dyDescent="0.2">
      <c r="A29" s="286" t="str">
        <f t="array" ref="A29">IFERROR(INDEX('Konventionell (2)'!A:A,SMALL(IF('Konventionell (2)'!$E$3:$E$64&gt;0,ROW($3:$64)),ROW(A23))),"")</f>
        <v/>
      </c>
      <c r="B29" s="201" t="str">
        <f t="array" ref="B29">IFERROR(INDEX('Konventionell (2)'!E:E,SMALL(IF('Konventionell (2)'!$E$3:$E$64&gt;0,ROW($3:$64)),ROW(A23))),"")</f>
        <v/>
      </c>
      <c r="C29" s="201" t="str">
        <f t="array" ref="C29">IFERROR(INDEX('Konventionell (2)'!F:F,SMALL(IF('Konventionell (2)'!$E$3:$E$64&gt;0,ROW($3:$64)),ROW(A23))),"")</f>
        <v/>
      </c>
      <c r="D29" s="287" t="str">
        <f t="array" ref="D29">IFERROR(INDEX('Konventionell (2)'!G:G,SMALL(IF('Konventionell (2)'!$E$3:$E$64&gt;0,ROW($3:$64)),ROW(A23))),"")</f>
        <v/>
      </c>
      <c r="E29" s="201" t="str">
        <f t="array" ref="E29">IFERROR(INDEX('Konventionell (2)'!H:H,SMALL(IF('Konventionell (2)'!$E$3:$E$64&gt;0,ROW($3:$64)),ROW(A23))),"")</f>
        <v/>
      </c>
      <c r="F29" s="200" t="str">
        <f>IF(A29="","",C29*'Begr.-Rechner int. Prod.'!$I$2)</f>
        <v/>
      </c>
      <c r="G29" s="200" t="str">
        <f>IFERROR(VLOOKUP(A29,'Konventionell (2)'!$A$3:$I$64,9,0),"")</f>
        <v/>
      </c>
      <c r="H29" s="200"/>
      <c r="I29" s="200"/>
      <c r="O29" s="313">
        <f t="shared" si="0"/>
        <v>0</v>
      </c>
    </row>
    <row r="30" spans="1:16" ht="15" x14ac:dyDescent="0.2">
      <c r="A30" s="286" t="str">
        <f t="array" ref="A30">IFERROR(INDEX('Konventionell (2)'!A:A,SMALL(IF('Konventionell (2)'!$E$3:$E$64&gt;0,ROW($3:$64)),ROW(A24))),"")</f>
        <v/>
      </c>
      <c r="B30" s="201" t="str">
        <f t="array" ref="B30">IFERROR(INDEX('Konventionell (2)'!E:E,SMALL(IF('Konventionell (2)'!$E$3:$E$64&gt;0,ROW($3:$64)),ROW(A24))),"")</f>
        <v/>
      </c>
      <c r="C30" s="201" t="str">
        <f t="array" ref="C30">IFERROR(INDEX('Konventionell (2)'!F:F,SMALL(IF('Konventionell (2)'!$E$3:$E$64&gt;0,ROW($3:$64)),ROW(A24))),"")</f>
        <v/>
      </c>
      <c r="D30" s="287" t="str">
        <f t="array" ref="D30">IFERROR(INDEX('Konventionell (2)'!G:G,SMALL(IF('Konventionell (2)'!$E$3:$E$64&gt;0,ROW($3:$64)),ROW(A24))),"")</f>
        <v/>
      </c>
      <c r="E30" s="201" t="str">
        <f t="array" ref="E30">IFERROR(INDEX('Konventionell (2)'!H:H,SMALL(IF('Konventionell (2)'!$E$3:$E$64&gt;0,ROW($3:$64)),ROW(A24))),"")</f>
        <v/>
      </c>
      <c r="F30" s="200" t="str">
        <f>IF(A30="","",C30*'Begr.-Rechner int. Prod.'!$I$2)</f>
        <v/>
      </c>
      <c r="G30" s="200" t="str">
        <f>IFERROR(VLOOKUP(A30,'Konventionell (2)'!$A$3:$I$64,9,0),"")</f>
        <v/>
      </c>
      <c r="H30" s="200"/>
      <c r="I30" s="200"/>
      <c r="O30" s="313">
        <f t="shared" si="0"/>
        <v>0</v>
      </c>
    </row>
    <row r="31" spans="1:16" ht="15" x14ac:dyDescent="0.2">
      <c r="A31" s="286" t="str">
        <f t="array" ref="A31">IFERROR(INDEX('Konventionell (2)'!A:A,SMALL(IF('Konventionell (2)'!$E$3:$E$64&gt;0,ROW($3:$64)),ROW(A25))),"")</f>
        <v/>
      </c>
      <c r="B31" s="201" t="str">
        <f t="array" ref="B31">IFERROR(INDEX('Konventionell (2)'!E:E,SMALL(IF('Konventionell (2)'!$E$3:$E$64&gt;0,ROW($3:$64)),ROW(A25))),"")</f>
        <v/>
      </c>
      <c r="C31" s="201" t="str">
        <f t="array" ref="C31">IFERROR(INDEX('Konventionell (2)'!F:F,SMALL(IF('Konventionell (2)'!$E$3:$E$64&gt;0,ROW($3:$64)),ROW(A25))),"")</f>
        <v/>
      </c>
      <c r="D31" s="287" t="str">
        <f t="array" ref="D31">IFERROR(INDEX('Konventionell (2)'!G:G,SMALL(IF('Konventionell (2)'!$E$3:$E$64&gt;0,ROW($3:$64)),ROW(A25))),"")</f>
        <v/>
      </c>
      <c r="E31" s="201" t="str">
        <f t="array" ref="E31">IFERROR(INDEX('Konventionell (2)'!H:H,SMALL(IF('Konventionell (2)'!$E$3:$E$64&gt;0,ROW($3:$64)),ROW(A25))),"")</f>
        <v/>
      </c>
      <c r="F31" s="200" t="str">
        <f>IF(A31="","",C31*'Begr.-Rechner int. Prod.'!$I$2)</f>
        <v/>
      </c>
      <c r="G31" s="200" t="str">
        <f>IFERROR(VLOOKUP(A31,'Konventionell (2)'!$A$3:$I$64,9,0),"")</f>
        <v/>
      </c>
      <c r="H31" s="200"/>
      <c r="I31" s="200"/>
      <c r="O31" s="313">
        <f t="shared" si="0"/>
        <v>0</v>
      </c>
    </row>
    <row r="32" spans="1:16" ht="15" x14ac:dyDescent="0.2">
      <c r="A32" s="286" t="str">
        <f t="array" ref="A32">IFERROR(INDEX('Konventionell (2)'!A:A,SMALL(IF('Konventionell (2)'!$E$3:$E$64&gt;0,ROW($3:$64)),ROW(A26))),"")</f>
        <v/>
      </c>
      <c r="B32" s="201" t="str">
        <f t="array" ref="B32">IFERROR(INDEX('Konventionell (2)'!E:E,SMALL(IF('Konventionell (2)'!$E$3:$E$64&gt;0,ROW($3:$64)),ROW(A26))),"")</f>
        <v/>
      </c>
      <c r="C32" s="201" t="str">
        <f t="array" ref="C32">IFERROR(INDEX('Konventionell (2)'!F:F,SMALL(IF('Konventionell (2)'!$E$3:$E$64&gt;0,ROW($3:$64)),ROW(A26))),"")</f>
        <v/>
      </c>
      <c r="D32" s="287" t="str">
        <f t="array" ref="D32">IFERROR(INDEX('Konventionell (2)'!G:G,SMALL(IF('Konventionell (2)'!$E$3:$E$64&gt;0,ROW($3:$64)),ROW(A26))),"")</f>
        <v/>
      </c>
      <c r="E32" s="201" t="str">
        <f t="array" ref="E32">IFERROR(INDEX('Konventionell (2)'!H:H,SMALL(IF('Konventionell (2)'!$E$3:$E$64&gt;0,ROW($3:$64)),ROW(A26))),"")</f>
        <v/>
      </c>
      <c r="F32" s="200" t="str">
        <f>IF(A32="","",C32*'Begr.-Rechner int. Prod.'!$I$2)</f>
        <v/>
      </c>
      <c r="G32" s="200" t="str">
        <f>IFERROR(VLOOKUP(A32,'Konventionell (2)'!$A$3:$I$64,9,0),"")</f>
        <v/>
      </c>
      <c r="H32" s="200"/>
      <c r="I32" s="200"/>
      <c r="O32" s="313">
        <f t="shared" si="0"/>
        <v>0</v>
      </c>
    </row>
    <row r="33" spans="1:16" ht="15" x14ac:dyDescent="0.2">
      <c r="A33" s="286" t="str">
        <f t="array" ref="A33">IFERROR(INDEX('Konventionell (2)'!A:A,SMALL(IF('Konventionell (2)'!$E$3:$E$64&gt;0,ROW($3:$64)),ROW(A27))),"")</f>
        <v/>
      </c>
      <c r="B33" s="201" t="str">
        <f t="array" ref="B33">IFERROR(INDEX('Konventionell (2)'!E:E,SMALL(IF('Konventionell (2)'!$E$3:$E$64&gt;0,ROW($3:$64)),ROW(A27))),"")</f>
        <v/>
      </c>
      <c r="C33" s="201" t="str">
        <f t="array" ref="C33">IFERROR(INDEX('Konventionell (2)'!F:F,SMALL(IF('Konventionell (2)'!$E$3:$E$64&gt;0,ROW($3:$64)),ROW(A27))),"")</f>
        <v/>
      </c>
      <c r="D33" s="287" t="str">
        <f t="array" ref="D33">IFERROR(INDEX('Konventionell (2)'!G:G,SMALL(IF('Konventionell (2)'!$E$3:$E$64&gt;0,ROW($3:$64)),ROW(A27))),"")</f>
        <v/>
      </c>
      <c r="E33" s="201" t="str">
        <f t="array" ref="E33">IFERROR(INDEX('Konventionell (2)'!H:H,SMALL(IF('Konventionell (2)'!$E$3:$E$64&gt;0,ROW($3:$64)),ROW(A27))),"")</f>
        <v/>
      </c>
      <c r="F33" s="200" t="str">
        <f>IF(A33="","",C33*'Begr.-Rechner int. Prod.'!$I$2)</f>
        <v/>
      </c>
      <c r="G33" s="200" t="str">
        <f>IFERROR(VLOOKUP(A33,'Konventionell (2)'!$A$3:$I$64,9,0),"")</f>
        <v/>
      </c>
      <c r="H33" s="200"/>
      <c r="I33" s="200"/>
      <c r="O33" s="313">
        <f t="shared" si="0"/>
        <v>0</v>
      </c>
    </row>
    <row r="34" spans="1:16" ht="15" x14ac:dyDescent="0.2">
      <c r="A34" s="286" t="str">
        <f t="array" ref="A34">IFERROR(INDEX('Konventionell (2)'!A:A,SMALL(IF('Konventionell (2)'!$E$3:$E$64&gt;0,ROW($3:$64)),ROW(A28))),"")</f>
        <v/>
      </c>
      <c r="B34" s="201" t="str">
        <f t="array" ref="B34">IFERROR(INDEX('Konventionell (2)'!E:E,SMALL(IF('Konventionell (2)'!$E$3:$E$64&gt;0,ROW($3:$64)),ROW(A28))),"")</f>
        <v/>
      </c>
      <c r="C34" s="201" t="str">
        <f t="array" ref="C34">IFERROR(INDEX('Konventionell (2)'!F:F,SMALL(IF('Konventionell (2)'!$E$3:$E$64&gt;0,ROW($3:$64)),ROW(A28))),"")</f>
        <v/>
      </c>
      <c r="D34" s="287" t="str">
        <f t="array" ref="D34">IFERROR(INDEX('Konventionell (2)'!G:G,SMALL(IF('Konventionell (2)'!$E$3:$E$64&gt;0,ROW($3:$64)),ROW(A28))),"")</f>
        <v/>
      </c>
      <c r="E34" s="201" t="str">
        <f t="array" ref="E34">IFERROR(INDEX('Konventionell (2)'!H:H,SMALL(IF('Konventionell (2)'!$E$3:$E$64&gt;0,ROW($3:$64)),ROW(A28))),"")</f>
        <v/>
      </c>
      <c r="F34" s="200" t="str">
        <f>IF(A34="","",C34*'Begr.-Rechner int. Prod.'!$I$2)</f>
        <v/>
      </c>
      <c r="G34" s="200" t="str">
        <f>IFERROR(VLOOKUP(A34,'Konventionell (2)'!$A$3:$I$64,9,0),"")</f>
        <v/>
      </c>
      <c r="H34" s="200"/>
      <c r="I34" s="200"/>
      <c r="O34" s="313">
        <f t="shared" si="0"/>
        <v>0</v>
      </c>
    </row>
    <row r="35" spans="1:16" ht="15" x14ac:dyDescent="0.2">
      <c r="A35" s="286" t="str">
        <f t="array" ref="A35">IFERROR(INDEX('Konventionell (2)'!A:A,SMALL(IF('Konventionell (2)'!$E$3:$E$64&gt;0,ROW($3:$64)),ROW(A29))),"")</f>
        <v/>
      </c>
      <c r="B35" s="201" t="str">
        <f t="array" ref="B35">IFERROR(INDEX('Konventionell (2)'!E:E,SMALL(IF('Konventionell (2)'!$E$3:$E$64&gt;0,ROW($3:$64)),ROW(A29))),"")</f>
        <v/>
      </c>
      <c r="C35" s="201" t="str">
        <f t="array" ref="C35">IFERROR(INDEX('Konventionell (2)'!F:F,SMALL(IF('Konventionell (2)'!$E$3:$E$64&gt;0,ROW($3:$64)),ROW(A29))),"")</f>
        <v/>
      </c>
      <c r="D35" s="287" t="str">
        <f t="array" ref="D35">IFERROR(INDEX('Konventionell (2)'!G:G,SMALL(IF('Konventionell (2)'!$E$3:$E$64&gt;0,ROW($3:$64)),ROW(A29))),"")</f>
        <v/>
      </c>
      <c r="E35" s="201" t="str">
        <f t="array" ref="E35">IFERROR(INDEX('Konventionell (2)'!H:H,SMALL(IF('Konventionell (2)'!$E$3:$E$64&gt;0,ROW($3:$64)),ROW(A29))),"")</f>
        <v/>
      </c>
      <c r="F35" s="200" t="str">
        <f>IF(A35="","",C35*'Begr.-Rechner int. Prod.'!$I$2)</f>
        <v/>
      </c>
      <c r="G35" s="200" t="str">
        <f>IFERROR(VLOOKUP(A35,'Konventionell (2)'!$A$3:$I$64,9,0),"")</f>
        <v/>
      </c>
      <c r="H35" s="200"/>
      <c r="I35" s="200"/>
      <c r="O35" s="313">
        <f t="shared" si="0"/>
        <v>0</v>
      </c>
    </row>
    <row r="36" spans="1:16" ht="15" x14ac:dyDescent="0.2">
      <c r="A36" s="286" t="str">
        <f t="array" ref="A36">IFERROR(INDEX('Konventionell (2)'!A:A,SMALL(IF('Konventionell (2)'!$E$3:$E$64&gt;0,ROW($3:$64)),ROW(A30))),"")</f>
        <v/>
      </c>
      <c r="B36" s="201" t="str">
        <f t="array" ref="B36">IFERROR(INDEX('Konventionell (2)'!E:E,SMALL(IF('Konventionell (2)'!$E$3:$E$64&gt;0,ROW($3:$64)),ROW(A30))),"")</f>
        <v/>
      </c>
      <c r="C36" s="201" t="str">
        <f t="array" ref="C36">IFERROR(INDEX('Konventionell (2)'!F:F,SMALL(IF('Konventionell (2)'!$E$3:$E$64&gt;0,ROW($3:$64)),ROW(A30))),"")</f>
        <v/>
      </c>
      <c r="D36" s="287" t="str">
        <f t="array" ref="D36">IFERROR(INDEX('Konventionell (2)'!G:G,SMALL(IF('Konventionell (2)'!$E$3:$E$64&gt;0,ROW($3:$64)),ROW(A30))),"")</f>
        <v/>
      </c>
      <c r="E36" s="201" t="str">
        <f t="array" ref="E36">IFERROR(INDEX('Konventionell (2)'!H:H,SMALL(IF('Konventionell (2)'!$E$3:$E$64&gt;0,ROW($3:$64)),ROW(A30))),"")</f>
        <v/>
      </c>
      <c r="F36" s="200" t="str">
        <f>IF(A36="","",C36*'Begr.-Rechner int. Prod.'!$I$2)</f>
        <v/>
      </c>
      <c r="G36" s="200" t="str">
        <f>IFERROR(VLOOKUP(A36,'Konventionell (2)'!$A$3:$I$64,9,0),"")</f>
        <v/>
      </c>
      <c r="H36" s="200"/>
      <c r="I36" s="200"/>
      <c r="O36" s="313">
        <f t="shared" si="0"/>
        <v>0</v>
      </c>
    </row>
    <row r="37" spans="1:16" ht="15" x14ac:dyDescent="0.2">
      <c r="A37" s="286" t="str">
        <f t="array" ref="A37">IFERROR(INDEX('Konventionell (2)'!A:A,SMALL(IF('Konventionell (2)'!$E$3:$E$64&gt;0,ROW($3:$64)),ROW(A31))),"")</f>
        <v/>
      </c>
      <c r="B37" s="201" t="str">
        <f t="array" ref="B37">IFERROR(INDEX('Konventionell (2)'!E:E,SMALL(IF('Konventionell (2)'!$E$3:$E$64&gt;0,ROW($3:$64)),ROW(A31))),"")</f>
        <v/>
      </c>
      <c r="C37" s="201" t="str">
        <f t="array" ref="C37">IFERROR(INDEX('Konventionell (2)'!F:F,SMALL(IF('Konventionell (2)'!$E$3:$E$64&gt;0,ROW($3:$64)),ROW(A31))),"")</f>
        <v/>
      </c>
      <c r="D37" s="287" t="str">
        <f t="array" ref="D37">IFERROR(INDEX('Konventionell (2)'!G:G,SMALL(IF('Konventionell (2)'!$E$3:$E$64&gt;0,ROW($3:$64)),ROW(A31))),"")</f>
        <v/>
      </c>
      <c r="E37" s="201" t="str">
        <f t="array" ref="E37">IFERROR(INDEX('Konventionell (2)'!H:H,SMALL(IF('Konventionell (2)'!$E$3:$E$64&gt;0,ROW($3:$64)),ROW(A31))),"")</f>
        <v/>
      </c>
      <c r="F37" s="200" t="str">
        <f>IF(A37="","",C37*'Begr.-Rechner int. Prod.'!$I$2)</f>
        <v/>
      </c>
      <c r="G37" s="200" t="str">
        <f>IFERROR(VLOOKUP(A37,'Konventionell (2)'!$A$3:$I$64,9,0),"")</f>
        <v/>
      </c>
      <c r="H37" s="200"/>
      <c r="I37" s="200"/>
      <c r="O37" s="313">
        <f t="shared" si="0"/>
        <v>0</v>
      </c>
    </row>
    <row r="38" spans="1:16" ht="15" x14ac:dyDescent="0.2">
      <c r="A38" s="286" t="str">
        <f t="array" ref="A38">IFERROR(INDEX('Konventionell (2)'!A:A,SMALL(IF('Konventionell (2)'!$E$3:$E$64&gt;0,ROW($3:$64)),ROW(A32))),"")</f>
        <v/>
      </c>
      <c r="B38" s="201" t="str">
        <f t="array" ref="B38">IFERROR(INDEX('Konventionell (2)'!E:E,SMALL(IF('Konventionell (2)'!$E$3:$E$64&gt;0,ROW($3:$64)),ROW(A32))),"")</f>
        <v/>
      </c>
      <c r="C38" s="201" t="str">
        <f t="array" ref="C38">IFERROR(INDEX('Konventionell (2)'!F:F,SMALL(IF('Konventionell (2)'!$E$3:$E$64&gt;0,ROW($3:$64)),ROW(A32))),"")</f>
        <v/>
      </c>
      <c r="D38" s="287" t="str">
        <f t="array" ref="D38">IFERROR(INDEX('Konventionell (2)'!G:G,SMALL(IF('Konventionell (2)'!$E$3:$E$64&gt;0,ROW($3:$64)),ROW(A32))),"")</f>
        <v/>
      </c>
      <c r="E38" s="201" t="str">
        <f t="array" ref="E38">IFERROR(INDEX('Konventionell (2)'!H:H,SMALL(IF('Konventionell (2)'!$E$3:$E$64&gt;0,ROW($3:$64)),ROW(A32))),"")</f>
        <v/>
      </c>
      <c r="F38" s="200" t="str">
        <f>IF(A38="","",C38*'Begr.-Rechner int. Prod.'!$I$2)</f>
        <v/>
      </c>
      <c r="G38" s="200" t="str">
        <f>IFERROR(VLOOKUP(A38,'Konventionell (2)'!$A$3:$I$64,9,0),"")</f>
        <v/>
      </c>
      <c r="H38" s="200"/>
      <c r="I38" s="200"/>
      <c r="O38" s="313">
        <f t="shared" si="0"/>
        <v>0</v>
      </c>
    </row>
    <row r="39" spans="1:16" ht="15" x14ac:dyDescent="0.2">
      <c r="A39" s="286" t="str">
        <f t="array" ref="A39">IFERROR(INDEX('Konventionell (2)'!A:A,SMALL(IF('Konventionell (2)'!$E$3:$E$64&gt;0,ROW($3:$64)),ROW(A33))),"")</f>
        <v/>
      </c>
      <c r="B39" s="201" t="str">
        <f t="array" ref="B39">IFERROR(INDEX('Konventionell (2)'!E:E,SMALL(IF('Konventionell (2)'!$E$3:$E$64&gt;0,ROW($3:$64)),ROW(A33))),"")</f>
        <v/>
      </c>
      <c r="C39" s="201" t="str">
        <f t="array" ref="C39">IFERROR(INDEX('Konventionell (2)'!F:F,SMALL(IF('Konventionell (2)'!$E$3:$E$64&gt;0,ROW($3:$64)),ROW(A33))),"")</f>
        <v/>
      </c>
      <c r="D39" s="287" t="str">
        <f t="array" ref="D39">IFERROR(INDEX('Konventionell (2)'!G:G,SMALL(IF('Konventionell (2)'!$E$3:$E$64&gt;0,ROW($3:$64)),ROW(A33))),"")</f>
        <v/>
      </c>
      <c r="E39" s="201" t="str">
        <f t="array" ref="E39">IFERROR(INDEX('Konventionell (2)'!H:H,SMALL(IF('Konventionell (2)'!$E$3:$E$64&gt;0,ROW($3:$64)),ROW(A33))),"")</f>
        <v/>
      </c>
      <c r="F39" s="200" t="str">
        <f>IF(A39="","",C39*'Begr.-Rechner int. Prod.'!$I$2)</f>
        <v/>
      </c>
      <c r="G39" s="200" t="str">
        <f>IFERROR(VLOOKUP(A39,'Konventionell (2)'!$A$3:$I$64,9,0),"")</f>
        <v/>
      </c>
      <c r="H39" s="200"/>
      <c r="I39" s="200"/>
      <c r="O39" s="313">
        <f t="shared" si="0"/>
        <v>0</v>
      </c>
    </row>
    <row r="40" spans="1:16" x14ac:dyDescent="0.2">
      <c r="G40" s="200"/>
      <c r="H40" s="200"/>
      <c r="I40" s="200"/>
      <c r="O40" s="313">
        <f>SUM(O7:O39)</f>
        <v>0</v>
      </c>
      <c r="P40" t="str">
        <f>IF(D4&lt;&gt;"",O40/D4,"")</f>
        <v/>
      </c>
    </row>
    <row r="41" spans="1:16" x14ac:dyDescent="0.2">
      <c r="G41" s="200"/>
      <c r="H41" s="200"/>
      <c r="I41" s="200"/>
    </row>
    <row r="42" spans="1:16" x14ac:dyDescent="0.2">
      <c r="G42" s="200"/>
      <c r="H42" s="200"/>
      <c r="I42" s="200"/>
    </row>
    <row r="43" spans="1:16" x14ac:dyDescent="0.2">
      <c r="G43" s="200"/>
      <c r="H43" s="200"/>
      <c r="I43" s="200"/>
    </row>
    <row r="44" spans="1:16" x14ac:dyDescent="0.2">
      <c r="G44" s="200"/>
      <c r="H44" s="200"/>
      <c r="I44" s="200"/>
    </row>
    <row r="45" spans="1:16" x14ac:dyDescent="0.2">
      <c r="G45" s="200"/>
      <c r="H45" s="200"/>
      <c r="I45" s="200"/>
    </row>
    <row r="46" spans="1:16" x14ac:dyDescent="0.2">
      <c r="G46" s="200"/>
      <c r="H46" s="200"/>
      <c r="I46" s="200"/>
    </row>
    <row r="47" spans="1:16" x14ac:dyDescent="0.2">
      <c r="G47" s="200"/>
      <c r="H47" s="200"/>
      <c r="I47" s="200"/>
    </row>
    <row r="48" spans="1:16" x14ac:dyDescent="0.2">
      <c r="G48" s="200"/>
      <c r="H48" s="200"/>
      <c r="I48" s="200"/>
    </row>
    <row r="49" spans="7:9" x14ac:dyDescent="0.2">
      <c r="G49" s="200"/>
      <c r="H49" s="200"/>
      <c r="I49" s="200"/>
    </row>
    <row r="50" spans="7:9" x14ac:dyDescent="0.2">
      <c r="G50" s="200"/>
      <c r="H50" s="200"/>
      <c r="I50" s="200"/>
    </row>
    <row r="51" spans="7:9" x14ac:dyDescent="0.2">
      <c r="G51" s="200"/>
      <c r="H51" s="200"/>
      <c r="I51" s="200"/>
    </row>
    <row r="52" spans="7:9" x14ac:dyDescent="0.2">
      <c r="G52" s="200"/>
      <c r="H52" s="200"/>
      <c r="I52" s="200"/>
    </row>
    <row r="53" spans="7:9" x14ac:dyDescent="0.2">
      <c r="G53" s="200"/>
      <c r="H53" s="200"/>
      <c r="I53" s="200"/>
    </row>
    <row r="54" spans="7:9" x14ac:dyDescent="0.2">
      <c r="G54" s="200"/>
      <c r="H54" s="200"/>
      <c r="I54" s="200"/>
    </row>
    <row r="55" spans="7:9" x14ac:dyDescent="0.2">
      <c r="G55" s="200"/>
      <c r="H55" s="200"/>
      <c r="I55" s="200"/>
    </row>
    <row r="56" spans="7:9" x14ac:dyDescent="0.2">
      <c r="G56" s="200"/>
      <c r="H56" s="200"/>
      <c r="I56" s="200"/>
    </row>
    <row r="57" spans="7:9" x14ac:dyDescent="0.2">
      <c r="G57" s="200"/>
      <c r="H57" s="200"/>
      <c r="I57" s="200"/>
    </row>
    <row r="58" spans="7:9" x14ac:dyDescent="0.2">
      <c r="G58" s="200"/>
      <c r="H58" s="200"/>
      <c r="I58" s="200"/>
    </row>
    <row r="59" spans="7:9" x14ac:dyDescent="0.2">
      <c r="G59" s="200"/>
      <c r="H59" s="200"/>
      <c r="I59" s="200"/>
    </row>
    <row r="60" spans="7:9" x14ac:dyDescent="0.2">
      <c r="G60" s="200"/>
      <c r="H60" s="200"/>
      <c r="I60" s="200"/>
    </row>
    <row r="61" spans="7:9" x14ac:dyDescent="0.2">
      <c r="G61" s="200"/>
      <c r="H61" s="200"/>
      <c r="I61" s="200"/>
    </row>
    <row r="62" spans="7:9" x14ac:dyDescent="0.2">
      <c r="G62" s="200"/>
      <c r="H62" s="200"/>
      <c r="I62" s="200"/>
    </row>
    <row r="63" spans="7:9" x14ac:dyDescent="0.2">
      <c r="G63" s="200"/>
      <c r="H63" s="200"/>
      <c r="I63" s="200"/>
    </row>
    <row r="64" spans="7:9" x14ac:dyDescent="0.2">
      <c r="G64" s="200"/>
      <c r="H64" s="200"/>
      <c r="I64" s="200"/>
    </row>
    <row r="65" spans="7:9" x14ac:dyDescent="0.2">
      <c r="G65" s="200"/>
      <c r="H65" s="200"/>
      <c r="I65" s="200"/>
    </row>
    <row r="66" spans="7:9" x14ac:dyDescent="0.2">
      <c r="G66" s="200"/>
      <c r="H66" s="200"/>
      <c r="I66" s="200"/>
    </row>
    <row r="67" spans="7:9" x14ac:dyDescent="0.2">
      <c r="G67" s="200"/>
      <c r="H67" s="200"/>
      <c r="I67" s="200"/>
    </row>
    <row r="68" spans="7:9" x14ac:dyDescent="0.2">
      <c r="G68" s="200"/>
      <c r="H68" s="200"/>
      <c r="I68" s="200"/>
    </row>
    <row r="69" spans="7:9" x14ac:dyDescent="0.2">
      <c r="G69" s="200"/>
      <c r="H69" s="200"/>
      <c r="I69" s="200"/>
    </row>
    <row r="70" spans="7:9" x14ac:dyDescent="0.2">
      <c r="G70" s="200"/>
      <c r="H70" s="200"/>
      <c r="I70" s="200"/>
    </row>
    <row r="71" spans="7:9" x14ac:dyDescent="0.2">
      <c r="G71" s="200"/>
      <c r="H71" s="200"/>
      <c r="I71" s="200"/>
    </row>
    <row r="72" spans="7:9" x14ac:dyDescent="0.2">
      <c r="G72" s="200"/>
      <c r="H72" s="200"/>
      <c r="I72" s="200"/>
    </row>
    <row r="73" spans="7:9" x14ac:dyDescent="0.2">
      <c r="G73" s="200"/>
      <c r="H73" s="200"/>
      <c r="I73" s="200"/>
    </row>
    <row r="74" spans="7:9" x14ac:dyDescent="0.2">
      <c r="G74" s="200"/>
      <c r="H74" s="200"/>
      <c r="I74" s="200"/>
    </row>
    <row r="75" spans="7:9" x14ac:dyDescent="0.2">
      <c r="G75" s="200"/>
      <c r="H75" s="200"/>
      <c r="I75" s="200"/>
    </row>
    <row r="76" spans="7:9" x14ac:dyDescent="0.2">
      <c r="G76" s="200"/>
      <c r="H76" s="200"/>
      <c r="I76" s="200"/>
    </row>
    <row r="77" spans="7:9" x14ac:dyDescent="0.2">
      <c r="G77" s="200"/>
      <c r="H77" s="200"/>
      <c r="I77" s="200"/>
    </row>
    <row r="78" spans="7:9" x14ac:dyDescent="0.2">
      <c r="G78" s="200"/>
      <c r="H78" s="200"/>
      <c r="I78" s="200"/>
    </row>
    <row r="79" spans="7:9" x14ac:dyDescent="0.2">
      <c r="G79" s="200"/>
      <c r="H79" s="200"/>
      <c r="I79" s="200"/>
    </row>
    <row r="80" spans="7:9" x14ac:dyDescent="0.2">
      <c r="G80" s="200"/>
      <c r="H80" s="200"/>
      <c r="I80" s="200"/>
    </row>
    <row r="81" spans="7:9" x14ac:dyDescent="0.2">
      <c r="G81" s="200"/>
      <c r="H81" s="200"/>
      <c r="I81" s="200"/>
    </row>
    <row r="82" spans="7:9" x14ac:dyDescent="0.2">
      <c r="G82" s="200"/>
      <c r="H82" s="200"/>
      <c r="I82" s="200"/>
    </row>
    <row r="83" spans="7:9" x14ac:dyDescent="0.2">
      <c r="G83" s="200"/>
      <c r="H83" s="200"/>
      <c r="I83" s="200"/>
    </row>
    <row r="84" spans="7:9" x14ac:dyDescent="0.2">
      <c r="G84" s="200"/>
      <c r="H84" s="200"/>
      <c r="I84" s="200"/>
    </row>
    <row r="85" spans="7:9" x14ac:dyDescent="0.2">
      <c r="G85" s="200"/>
      <c r="H85" s="200"/>
      <c r="I85" s="200"/>
    </row>
    <row r="86" spans="7:9" x14ac:dyDescent="0.2">
      <c r="G86" s="200"/>
      <c r="H86" s="200"/>
      <c r="I86" s="200"/>
    </row>
    <row r="87" spans="7:9" x14ac:dyDescent="0.2">
      <c r="G87" s="200"/>
      <c r="H87" s="200"/>
      <c r="I87" s="200"/>
    </row>
    <row r="88" spans="7:9" x14ac:dyDescent="0.2">
      <c r="G88" s="200"/>
      <c r="H88" s="200"/>
      <c r="I88" s="200"/>
    </row>
    <row r="89" spans="7:9" x14ac:dyDescent="0.2">
      <c r="G89" s="200"/>
      <c r="H89" s="200"/>
      <c r="I89" s="200"/>
    </row>
    <row r="90" spans="7:9" x14ac:dyDescent="0.2">
      <c r="G90" s="200"/>
      <c r="H90" s="200"/>
      <c r="I90" s="200"/>
    </row>
    <row r="91" spans="7:9" x14ac:dyDescent="0.2">
      <c r="G91" s="200"/>
      <c r="H91" s="200"/>
      <c r="I91" s="200"/>
    </row>
    <row r="92" spans="7:9" x14ac:dyDescent="0.2">
      <c r="G92" s="200"/>
      <c r="H92" s="200"/>
      <c r="I92" s="200"/>
    </row>
    <row r="93" spans="7:9" x14ac:dyDescent="0.2">
      <c r="G93" s="200"/>
      <c r="H93" s="200"/>
      <c r="I93" s="200"/>
    </row>
    <row r="94" spans="7:9" x14ac:dyDescent="0.2">
      <c r="G94" s="200"/>
      <c r="H94" s="200"/>
      <c r="I94" s="200"/>
    </row>
    <row r="95" spans="7:9" x14ac:dyDescent="0.2">
      <c r="G95" s="200"/>
      <c r="H95" s="200"/>
      <c r="I95" s="200"/>
    </row>
    <row r="96" spans="7:9" x14ac:dyDescent="0.2">
      <c r="G96" s="200"/>
      <c r="H96" s="200"/>
      <c r="I96" s="200"/>
    </row>
    <row r="97" spans="7:9" x14ac:dyDescent="0.2">
      <c r="G97" s="200"/>
      <c r="H97" s="200"/>
      <c r="I97" s="200"/>
    </row>
    <row r="98" spans="7:9" x14ac:dyDescent="0.2">
      <c r="G98" s="200"/>
      <c r="H98" s="200"/>
      <c r="I98" s="200"/>
    </row>
    <row r="99" spans="7:9" x14ac:dyDescent="0.2">
      <c r="G99" s="200"/>
      <c r="H99" s="200"/>
      <c r="I99" s="200"/>
    </row>
    <row r="100" spans="7:9" x14ac:dyDescent="0.2">
      <c r="G100" s="200"/>
      <c r="H100" s="200"/>
      <c r="I100" s="200"/>
    </row>
    <row r="101" spans="7:9" x14ac:dyDescent="0.2">
      <c r="G101" s="200"/>
      <c r="H101" s="200"/>
      <c r="I101" s="200"/>
    </row>
    <row r="102" spans="7:9" x14ac:dyDescent="0.2">
      <c r="G102" s="200"/>
      <c r="H102" s="200"/>
      <c r="I102" s="200"/>
    </row>
    <row r="103" spans="7:9" x14ac:dyDescent="0.2">
      <c r="G103" s="200"/>
      <c r="H103" s="200"/>
      <c r="I103" s="200"/>
    </row>
    <row r="104" spans="7:9" x14ac:dyDescent="0.2">
      <c r="G104" s="200"/>
      <c r="H104" s="200"/>
      <c r="I104" s="200"/>
    </row>
    <row r="105" spans="7:9" x14ac:dyDescent="0.2">
      <c r="G105" s="200"/>
      <c r="H105" s="200"/>
      <c r="I105" s="200"/>
    </row>
    <row r="106" spans="7:9" x14ac:dyDescent="0.2">
      <c r="G106" s="200"/>
      <c r="H106" s="200"/>
      <c r="I106" s="200"/>
    </row>
  </sheetData>
  <sheetProtection password="CAEF" sheet="1" objects="1" scenarios="1"/>
  <mergeCells count="16">
    <mergeCell ref="H12:I16"/>
    <mergeCell ref="F5:G5"/>
    <mergeCell ref="J1:K3"/>
    <mergeCell ref="L1:M3"/>
    <mergeCell ref="F3:G3"/>
    <mergeCell ref="F4:G4"/>
    <mergeCell ref="J4:M7"/>
    <mergeCell ref="H3:I3"/>
    <mergeCell ref="H4:I4"/>
    <mergeCell ref="J8:M12"/>
    <mergeCell ref="A1:I1"/>
    <mergeCell ref="H6:I6"/>
    <mergeCell ref="H7:H8"/>
    <mergeCell ref="I7:I8"/>
    <mergeCell ref="H9:H11"/>
    <mergeCell ref="I9:I11"/>
  </mergeCells>
  <conditionalFormatting sqref="A7:E39">
    <cfRule type="expression" dxfId="27" priority="6">
      <formula>A7&lt;&gt;""</formula>
    </cfRule>
  </conditionalFormatting>
  <conditionalFormatting sqref="F7:F39">
    <cfRule type="expression" dxfId="26" priority="5">
      <formula>A7&lt;&gt;""</formula>
    </cfRule>
  </conditionalFormatting>
  <conditionalFormatting sqref="G7:G39">
    <cfRule type="expression" dxfId="25" priority="2">
      <formula>$G7&lt;&gt;""</formula>
    </cfRule>
  </conditionalFormatting>
  <hyperlinks>
    <hyperlink ref="J1:K3" location="'Begr.-Rechner int. Prod.'!A1" display="'Begr.-Rechner int. Prod.'!A1"/>
    <hyperlink ref="L1:M3" location="Anleitung!A1" display="Anleitung!A1"/>
  </hyperlinks>
  <pageMargins left="0.7" right="0.7" top="0.78740157499999996" bottom="0.78740157499999996" header="0.3" footer="0.3"/>
  <pageSetup paperSize="9" scale="66" orientation="landscape" r:id="rId1"/>
  <legacy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" id="{34A4D2F9-5EFE-42E0-B768-37F0EE507ADC}">
            <xm:f>OR(AND('Konventionell (2)'!$Q$3&gt;0,'Konventionell (2)'!$R$3&gt;0),AND('Konventionell (2)'!$Q$3=0,'Konventionell (2)'!$R$3&gt;0))</xm:f>
            <x14:dxf>
              <border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J4</xm:sqref>
        </x14:conditionalFormatting>
        <x14:conditionalFormatting xmlns:xm="http://schemas.microsoft.com/office/excel/2006/main">
          <x14:cfRule type="expression" priority="1" id="{46BC2D5B-8E4C-43A6-B077-87158E0A7EAC}">
            <xm:f>AND($H$4&gt;0.6,'Begr.-Rechner int. Prod.'!$J$2&gt;0)</xm:f>
            <x14:dxf>
              <font>
                <b/>
                <i val="0"/>
              </font>
              <fill>
                <patternFill>
                  <bgColor rgb="FFFFC000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J8:M12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59999389629810485"/>
    <pageSetUpPr fitToPage="1"/>
  </sheetPr>
  <dimension ref="A1:AG271"/>
  <sheetViews>
    <sheetView showZeros="0" zoomScale="85" zoomScaleNormal="85" zoomScaleSheetLayoutView="100" workbookViewId="0">
      <pane xSplit="1" topLeftCell="B1" activePane="topRight" state="frozen"/>
      <selection pane="topRight" activeCell="E7" sqref="E7"/>
    </sheetView>
  </sheetViews>
  <sheetFormatPr baseColWidth="10" defaultRowHeight="15" x14ac:dyDescent="0.25"/>
  <cols>
    <col min="1" max="1" width="45.125" customWidth="1"/>
    <col min="2" max="2" width="27.875" style="40" customWidth="1"/>
    <col min="3" max="3" width="20.875" customWidth="1"/>
    <col min="4" max="4" width="20.125" customWidth="1"/>
    <col min="5" max="5" width="14.625" customWidth="1"/>
    <col min="7" max="7" width="14.25" customWidth="1"/>
    <col min="9" max="9" width="21.25" customWidth="1"/>
    <col min="10" max="11" width="13.375" customWidth="1"/>
    <col min="12" max="12" width="15.125" customWidth="1"/>
    <col min="13" max="13" width="17.25" bestFit="1" customWidth="1"/>
    <col min="14" max="14" width="15.125" customWidth="1"/>
    <col min="15" max="16" width="16.875" customWidth="1"/>
    <col min="17" max="18" width="13.25" customWidth="1"/>
    <col min="21" max="22" width="17.25" customWidth="1"/>
    <col min="28" max="28" width="27.125" customWidth="1"/>
    <col min="29" max="29" width="14" customWidth="1"/>
    <col min="30" max="30" width="17.25" bestFit="1" customWidth="1"/>
    <col min="31" max="31" width="18.125" bestFit="1" customWidth="1"/>
    <col min="32" max="32" width="9.25" bestFit="1" customWidth="1"/>
    <col min="33" max="33" width="14.5" bestFit="1" customWidth="1"/>
  </cols>
  <sheetData>
    <row r="1" spans="1:33" ht="143.25" customHeight="1" thickBot="1" x14ac:dyDescent="0.25">
      <c r="A1" s="182" t="s">
        <v>528</v>
      </c>
      <c r="B1" s="1" t="s">
        <v>828</v>
      </c>
      <c r="C1" s="2" t="s">
        <v>122</v>
      </c>
      <c r="D1" s="3"/>
      <c r="E1" s="511" t="s">
        <v>0</v>
      </c>
      <c r="F1" s="512"/>
      <c r="G1" s="512"/>
      <c r="H1" s="512"/>
      <c r="I1" s="160" t="str">
        <f>IF($I$2="","bitte geben Sie HIER die
Begrünungsfläche in ha an","Fläche in ha")</f>
        <v>Fläche in ha</v>
      </c>
      <c r="J1" s="4" t="s">
        <v>304</v>
      </c>
      <c r="K1" s="4" t="s">
        <v>1</v>
      </c>
      <c r="L1" s="5" t="s">
        <v>305</v>
      </c>
      <c r="M1" s="6"/>
      <c r="N1" s="229"/>
      <c r="O1" s="229"/>
      <c r="P1" s="229"/>
      <c r="W1" s="588" t="s">
        <v>347</v>
      </c>
      <c r="X1" s="589"/>
      <c r="Y1" s="289"/>
    </row>
    <row r="2" spans="1:33" ht="46.5" customHeight="1" thickTop="1" thickBot="1" x14ac:dyDescent="0.25">
      <c r="A2" s="7" t="s">
        <v>309</v>
      </c>
      <c r="B2" s="7" t="s">
        <v>2</v>
      </c>
      <c r="C2" s="7" t="s">
        <v>123</v>
      </c>
      <c r="D2" s="8" t="s">
        <v>4</v>
      </c>
      <c r="E2" s="7" t="s">
        <v>5</v>
      </c>
      <c r="F2" s="9" t="s">
        <v>1</v>
      </c>
      <c r="G2" s="7" t="s">
        <v>308</v>
      </c>
      <c r="H2" s="10" t="s">
        <v>6</v>
      </c>
      <c r="I2" s="183">
        <f>'Begr.-Rechner int. Prod.'!$I$2</f>
        <v>0</v>
      </c>
      <c r="J2" s="184">
        <f>SUM(E3:E61)</f>
        <v>0</v>
      </c>
      <c r="K2" s="185">
        <f>SUM(F3:F61)</f>
        <v>0</v>
      </c>
      <c r="L2" s="186">
        <f>SUM(G3:G61)</f>
        <v>0</v>
      </c>
      <c r="M2" s="249" t="s">
        <v>360</v>
      </c>
      <c r="N2" s="227" t="s">
        <v>355</v>
      </c>
      <c r="O2" s="231" t="s">
        <v>359</v>
      </c>
      <c r="P2" s="231" t="s">
        <v>404</v>
      </c>
      <c r="Q2" s="227" t="s">
        <v>357</v>
      </c>
      <c r="R2" s="227" t="s">
        <v>523</v>
      </c>
      <c r="S2" s="227" t="s">
        <v>346</v>
      </c>
      <c r="T2" s="227" t="s">
        <v>345</v>
      </c>
      <c r="U2" s="227" t="s">
        <v>362</v>
      </c>
      <c r="V2" s="234" t="s">
        <v>363</v>
      </c>
      <c r="W2" t="s">
        <v>349</v>
      </c>
      <c r="X2" s="225" t="s">
        <v>350</v>
      </c>
      <c r="Y2" s="225" t="s">
        <v>524</v>
      </c>
      <c r="Z2" s="227" t="s">
        <v>358</v>
      </c>
      <c r="AB2" s="280" t="s">
        <v>409</v>
      </c>
      <c r="AC2" s="281" t="s">
        <v>413</v>
      </c>
      <c r="AD2" s="281" t="s">
        <v>519</v>
      </c>
      <c r="AE2" s="17" t="s">
        <v>863</v>
      </c>
      <c r="AF2" s="17" t="s">
        <v>868</v>
      </c>
      <c r="AG2" s="17" t="s">
        <v>869</v>
      </c>
    </row>
    <row r="3" spans="1:33" ht="21.75" customHeight="1" thickTop="1" thickBot="1" x14ac:dyDescent="0.25">
      <c r="A3" s="15" t="s">
        <v>69</v>
      </c>
      <c r="B3" s="69">
        <f>'Begr.-Rechner int. Prod.'!B4</f>
        <v>5.57</v>
      </c>
      <c r="C3" s="70">
        <f>'Begr.-Rechner int. Prod.'!C4</f>
        <v>15</v>
      </c>
      <c r="D3" s="187">
        <f>IF(ISERROR(C3*B3),0,C3*B3)</f>
        <v>83.550000000000011</v>
      </c>
      <c r="E3" s="188">
        <f>'Begr.-Rechner int. Prod.'!E4</f>
        <v>0</v>
      </c>
      <c r="F3" s="75">
        <f>IF(ISERROR(E3*B3),0,(E3*B3))</f>
        <v>0</v>
      </c>
      <c r="G3" s="76">
        <f>IF(ISERROR(E3/C3),0,(E3/C3))</f>
        <v>0</v>
      </c>
      <c r="H3" s="77">
        <f>IF(ISERROR($I$2*E3),0,($I$2*E3))</f>
        <v>0</v>
      </c>
      <c r="I3" s="189" t="s">
        <v>140</v>
      </c>
      <c r="J3" s="189"/>
      <c r="K3" s="590" t="s">
        <v>862</v>
      </c>
      <c r="L3" s="591"/>
      <c r="M3" s="189" t="s">
        <v>247</v>
      </c>
      <c r="N3" s="189" t="s">
        <v>361</v>
      </c>
      <c r="O3" s="189" t="str">
        <f>IF(E3&gt;0,"ja","nein")</f>
        <v>nein</v>
      </c>
      <c r="P3" s="189" t="str">
        <f>IF(O3="ja",I3,"")</f>
        <v/>
      </c>
      <c r="Q3" s="228">
        <f>COUNTIFS($M$3:$M$61,"ja",$O$3:$O$61,"ja")</f>
        <v>0</v>
      </c>
      <c r="R3" s="228" t="str">
        <f>IF(AND($R$5&gt;0,$R$4=0),"ja",IF(AND($R$5&gt;0,$R$4&gt;0),"nein",IF(AND($R$5=0,$R$4&gt;0),"nein","nein")))</f>
        <v>nein</v>
      </c>
      <c r="S3" s="228">
        <f t="array" ref="S3">SUM(1/(COUNTIF(P3:P61,P3:P61)))-1</f>
        <v>-1.1102230246251565E-15</v>
      </c>
      <c r="T3" s="228">
        <f>COUNTIF($O$3:$O$61,"ja")</f>
        <v>0</v>
      </c>
      <c r="U3" s="232">
        <f>SUM($V$3:$V$61)</f>
        <v>0</v>
      </c>
      <c r="V3" s="233" t="str">
        <f>IF(AND(O3="ja",N3="ja"),1,"")</f>
        <v/>
      </c>
      <c r="W3" t="s">
        <v>356</v>
      </c>
      <c r="X3">
        <v>5</v>
      </c>
      <c r="Y3">
        <v>2</v>
      </c>
      <c r="Z3" t="str">
        <f>IF(AND($U$3&gt;=$X$3,$S$3&gt;=$Y$3),"Var.1; ","")</f>
        <v/>
      </c>
      <c r="AB3" s="248"/>
      <c r="AE3" s="17"/>
      <c r="AF3" s="17"/>
      <c r="AG3" s="17"/>
    </row>
    <row r="4" spans="1:33" ht="21.75" customHeight="1" thickBot="1" x14ac:dyDescent="0.25">
      <c r="A4" s="15" t="s">
        <v>8</v>
      </c>
      <c r="B4" s="69">
        <f>'Begr.-Rechner int. Prod.'!B5</f>
        <v>4.9000000000000004</v>
      </c>
      <c r="C4" s="70">
        <f>'Begr.-Rechner int. Prod.'!C5</f>
        <v>25</v>
      </c>
      <c r="D4" s="187">
        <f t="shared" ref="D4:D43" si="0">IF(ISERROR(C4*B4),0,C4*B4)</f>
        <v>122.50000000000001</v>
      </c>
      <c r="E4" s="188">
        <f>'Begr.-Rechner int. Prod.'!E5</f>
        <v>0</v>
      </c>
      <c r="F4" s="75">
        <f t="shared" ref="F4:F43" si="1">IF(ISERROR(E4*B4),0,(E4*B4))</f>
        <v>0</v>
      </c>
      <c r="G4" s="76">
        <f t="shared" ref="G4:G43" si="2">IF(ISERROR(E4/C4),0,(E4/C4))</f>
        <v>0</v>
      </c>
      <c r="H4" s="77">
        <f t="shared" ref="H4:H43" si="3">IF(ISERROR($I$2*E4),0,($I$2*E4))</f>
        <v>0</v>
      </c>
      <c r="I4" s="189" t="s">
        <v>340</v>
      </c>
      <c r="J4" s="17"/>
      <c r="K4" s="592" t="str">
        <f>'Begr.-Rechner int. Prod.'!L3</f>
        <v/>
      </c>
      <c r="L4" s="593"/>
      <c r="M4" s="189" t="s">
        <v>247</v>
      </c>
      <c r="N4" s="17" t="s">
        <v>361</v>
      </c>
      <c r="O4" s="189" t="str">
        <f>IF(E4&gt;0,"ja","nein")</f>
        <v>nein</v>
      </c>
      <c r="P4" s="189" t="str">
        <f t="shared" ref="P4:P43" si="4">IF(O4="ja",I4,"")</f>
        <v/>
      </c>
      <c r="R4" s="228">
        <f>COUNTIFS($M$3:$M$61,"nein",$O$3:$O$61,"ja")</f>
        <v>0</v>
      </c>
      <c r="V4" s="233" t="str">
        <f t="shared" ref="V4:V43" si="5">IF(AND(O4="ja",N4="ja"),1,"")</f>
        <v/>
      </c>
      <c r="W4" t="s">
        <v>348</v>
      </c>
      <c r="X4">
        <v>7</v>
      </c>
      <c r="Y4">
        <v>3</v>
      </c>
      <c r="Z4" t="str">
        <f>IF(AND($T$3&gt;=$X$4,$S$3&gt;=$Y$4),"Var.2; ","")</f>
        <v/>
      </c>
      <c r="AB4" s="248" t="s">
        <v>405</v>
      </c>
      <c r="AC4" t="s">
        <v>414</v>
      </c>
      <c r="AD4" t="s">
        <v>15</v>
      </c>
      <c r="AE4" s="17" t="s">
        <v>864</v>
      </c>
      <c r="AF4" s="17">
        <v>0.7</v>
      </c>
      <c r="AG4" s="17">
        <v>0.87</v>
      </c>
    </row>
    <row r="5" spans="1:33" ht="21.75" customHeight="1" thickBot="1" x14ac:dyDescent="0.25">
      <c r="A5" s="15" t="s">
        <v>71</v>
      </c>
      <c r="B5" s="69">
        <f>'Begr.-Rechner int. Prod.'!B6</f>
        <v>2.89</v>
      </c>
      <c r="C5" s="70">
        <f>'Begr.-Rechner int. Prod.'!C6</f>
        <v>25</v>
      </c>
      <c r="D5" s="187">
        <f t="shared" si="0"/>
        <v>72.25</v>
      </c>
      <c r="E5" s="188">
        <f>'Begr.-Rechner int. Prod.'!E6</f>
        <v>0</v>
      </c>
      <c r="F5" s="75">
        <f t="shared" si="1"/>
        <v>0</v>
      </c>
      <c r="G5" s="76">
        <f t="shared" si="2"/>
        <v>0</v>
      </c>
      <c r="H5" s="77">
        <f t="shared" si="3"/>
        <v>0</v>
      </c>
      <c r="I5" s="189" t="s">
        <v>182</v>
      </c>
      <c r="J5" s="190"/>
      <c r="K5" s="17"/>
      <c r="L5" s="17"/>
      <c r="M5" s="189" t="s">
        <v>247</v>
      </c>
      <c r="N5" s="17" t="s">
        <v>247</v>
      </c>
      <c r="O5" s="189" t="str">
        <f t="shared" ref="O5:O43" si="6">IF(E5&gt;0,"ja","nein")</f>
        <v>nein</v>
      </c>
      <c r="P5" s="189" t="str">
        <f t="shared" si="4"/>
        <v/>
      </c>
      <c r="R5" s="228">
        <f>COUNTIFS($M$3:$M$61,"ja",$O$3:$O$61,"ja")</f>
        <v>0</v>
      </c>
      <c r="V5" s="233" t="str">
        <f t="shared" si="5"/>
        <v/>
      </c>
      <c r="W5" t="s">
        <v>351</v>
      </c>
      <c r="X5">
        <v>3</v>
      </c>
      <c r="Y5">
        <v>2</v>
      </c>
      <c r="Z5" t="str">
        <f>IF(AND($T$3&gt;=$X$5,$S$3&gt;=$Y$5),"Var.3; ","")</f>
        <v/>
      </c>
      <c r="AB5" s="248" t="s">
        <v>406</v>
      </c>
      <c r="AC5" t="s">
        <v>415</v>
      </c>
      <c r="AD5" t="s">
        <v>520</v>
      </c>
      <c r="AE5" s="17" t="s">
        <v>865</v>
      </c>
      <c r="AF5" s="17">
        <v>0.8</v>
      </c>
      <c r="AG5" s="17">
        <v>0.87</v>
      </c>
    </row>
    <row r="6" spans="1:33" ht="21.75" customHeight="1" thickBot="1" x14ac:dyDescent="0.25">
      <c r="A6" s="57" t="s">
        <v>72</v>
      </c>
      <c r="B6" s="69">
        <f>'Begr.-Rechner int. Prod.'!B7</f>
        <v>1.63</v>
      </c>
      <c r="C6" s="70">
        <f>'Begr.-Rechner int. Prod.'!C7</f>
        <v>170</v>
      </c>
      <c r="D6" s="187">
        <f t="shared" si="0"/>
        <v>277.09999999999997</v>
      </c>
      <c r="E6" s="188">
        <f>'Begr.-Rechner int. Prod.'!E7</f>
        <v>0</v>
      </c>
      <c r="F6" s="75">
        <f t="shared" si="1"/>
        <v>0</v>
      </c>
      <c r="G6" s="76">
        <f t="shared" si="2"/>
        <v>0</v>
      </c>
      <c r="H6" s="77">
        <f t="shared" si="3"/>
        <v>0</v>
      </c>
      <c r="I6" s="189" t="s">
        <v>340</v>
      </c>
      <c r="J6" s="17"/>
      <c r="K6" s="17"/>
      <c r="L6" s="17"/>
      <c r="M6" s="189" t="s">
        <v>247</v>
      </c>
      <c r="N6" s="189" t="s">
        <v>361</v>
      </c>
      <c r="O6" s="189" t="str">
        <f t="shared" si="6"/>
        <v>nein</v>
      </c>
      <c r="P6" s="189" t="str">
        <f t="shared" si="4"/>
        <v/>
      </c>
      <c r="V6" s="233" t="str">
        <f t="shared" si="5"/>
        <v/>
      </c>
      <c r="W6" t="s">
        <v>352</v>
      </c>
      <c r="X6">
        <v>3</v>
      </c>
      <c r="Y6">
        <v>2</v>
      </c>
      <c r="Z6" t="str">
        <f>IF(AND($T$3&gt;=$X$6,$S$3&gt;=$Y$6),"Var.4; ","")</f>
        <v/>
      </c>
      <c r="AB6" s="248" t="s">
        <v>182</v>
      </c>
      <c r="AD6" t="s">
        <v>112</v>
      </c>
      <c r="AE6" s="189" t="s">
        <v>866</v>
      </c>
      <c r="AF6" s="17">
        <v>0.85</v>
      </c>
      <c r="AG6" s="17">
        <v>0.87</v>
      </c>
    </row>
    <row r="7" spans="1:33" ht="21.75" customHeight="1" thickBot="1" x14ac:dyDescent="0.25">
      <c r="A7" s="57" t="s">
        <v>10</v>
      </c>
      <c r="B7" s="69">
        <f>'Begr.-Rechner int. Prod.'!B8</f>
        <v>1.89</v>
      </c>
      <c r="C7" s="70">
        <f>'Begr.-Rechner int. Prod.'!C8</f>
        <v>70</v>
      </c>
      <c r="D7" s="187">
        <f t="shared" si="0"/>
        <v>132.29999999999998</v>
      </c>
      <c r="E7" s="188">
        <f>'Begr.-Rechner int. Prod.'!E8</f>
        <v>0</v>
      </c>
      <c r="F7" s="75">
        <f t="shared" si="1"/>
        <v>0</v>
      </c>
      <c r="G7" s="76">
        <f t="shared" si="2"/>
        <v>0</v>
      </c>
      <c r="H7" s="77">
        <f t="shared" si="3"/>
        <v>0</v>
      </c>
      <c r="I7" s="189" t="s">
        <v>341</v>
      </c>
      <c r="J7" s="17"/>
      <c r="K7" s="17"/>
      <c r="L7" s="17"/>
      <c r="M7" s="189" t="s">
        <v>247</v>
      </c>
      <c r="N7" s="17" t="s">
        <v>361</v>
      </c>
      <c r="O7" s="189" t="str">
        <f t="shared" si="6"/>
        <v>nein</v>
      </c>
      <c r="P7" s="189" t="str">
        <f t="shared" si="4"/>
        <v/>
      </c>
      <c r="V7" s="233" t="str">
        <f t="shared" si="5"/>
        <v/>
      </c>
      <c r="W7" t="s">
        <v>353</v>
      </c>
      <c r="X7">
        <v>3</v>
      </c>
      <c r="Y7">
        <v>2</v>
      </c>
      <c r="Z7" t="str">
        <f>IF(AND($T$3&gt;=$X$7,$S$3&gt;=$Y$7),"Var.5; ","")</f>
        <v/>
      </c>
      <c r="AB7" s="248" t="s">
        <v>407</v>
      </c>
      <c r="AD7" t="s">
        <v>521</v>
      </c>
      <c r="AE7" s="189" t="s">
        <v>867</v>
      </c>
      <c r="AF7" s="17">
        <v>1</v>
      </c>
      <c r="AG7" s="17">
        <v>0.87</v>
      </c>
    </row>
    <row r="8" spans="1:33" ht="37.5" customHeight="1" thickBot="1" x14ac:dyDescent="0.25">
      <c r="A8" s="19" t="s">
        <v>11</v>
      </c>
      <c r="B8" s="69">
        <f>'Begr.-Rechner int. Prod.'!B9</f>
        <v>2.66</v>
      </c>
      <c r="C8" s="70">
        <f>'Begr.-Rechner int. Prod.'!C9</f>
        <v>40</v>
      </c>
      <c r="D8" s="187">
        <f t="shared" si="0"/>
        <v>106.4</v>
      </c>
      <c r="E8" s="188">
        <f>'Begr.-Rechner int. Prod.'!E9</f>
        <v>0</v>
      </c>
      <c r="F8" s="75">
        <f t="shared" si="1"/>
        <v>0</v>
      </c>
      <c r="G8" s="76">
        <f t="shared" si="2"/>
        <v>0</v>
      </c>
      <c r="H8" s="77">
        <f t="shared" si="3"/>
        <v>0</v>
      </c>
      <c r="I8" s="189" t="s">
        <v>182</v>
      </c>
      <c r="J8" s="17"/>
      <c r="K8" s="17"/>
      <c r="L8" s="17"/>
      <c r="M8" s="189" t="s">
        <v>247</v>
      </c>
      <c r="N8" s="17" t="s">
        <v>247</v>
      </c>
      <c r="O8" s="189" t="str">
        <f t="shared" si="6"/>
        <v>nein</v>
      </c>
      <c r="P8" s="189" t="str">
        <f t="shared" si="4"/>
        <v/>
      </c>
      <c r="Q8" s="397" t="s">
        <v>858</v>
      </c>
      <c r="R8" s="398"/>
      <c r="S8" s="399"/>
      <c r="T8" s="405" t="s">
        <v>873</v>
      </c>
      <c r="U8" s="406" t="s">
        <v>874</v>
      </c>
      <c r="V8" s="233" t="str">
        <f t="shared" si="5"/>
        <v/>
      </c>
      <c r="W8" t="s">
        <v>354</v>
      </c>
      <c r="X8" s="225"/>
      <c r="Y8" s="225"/>
      <c r="Z8" t="str">
        <f>IF($R$3="ja","Var. 6 *","")</f>
        <v/>
      </c>
      <c r="AB8" s="248" t="s">
        <v>341</v>
      </c>
      <c r="AD8" t="s">
        <v>522</v>
      </c>
      <c r="AE8" s="189" t="s">
        <v>870</v>
      </c>
      <c r="AF8" s="17">
        <v>0.5</v>
      </c>
      <c r="AG8" s="17">
        <v>0.91</v>
      </c>
    </row>
    <row r="9" spans="1:33" ht="33" customHeight="1" thickBot="1" x14ac:dyDescent="0.25">
      <c r="A9" s="28" t="s">
        <v>434</v>
      </c>
      <c r="B9" s="69">
        <f>'Begr.-Rechner int. Prod.'!B10</f>
        <v>3.18</v>
      </c>
      <c r="C9" s="70">
        <f>'Begr.-Rechner int. Prod.'!C10</f>
        <v>30</v>
      </c>
      <c r="D9" s="187">
        <f t="shared" si="0"/>
        <v>95.4</v>
      </c>
      <c r="E9" s="188">
        <f>'Begr.-Rechner int. Prod.'!E10</f>
        <v>0</v>
      </c>
      <c r="F9" s="75">
        <f t="shared" si="1"/>
        <v>0</v>
      </c>
      <c r="G9" s="76">
        <f t="shared" si="2"/>
        <v>0</v>
      </c>
      <c r="H9" s="77">
        <f t="shared" si="3"/>
        <v>0</v>
      </c>
      <c r="I9" s="189" t="s">
        <v>182</v>
      </c>
      <c r="J9" s="17"/>
      <c r="K9" s="17"/>
      <c r="L9" s="17"/>
      <c r="M9" s="189" t="s">
        <v>247</v>
      </c>
      <c r="N9" s="17" t="s">
        <v>247</v>
      </c>
      <c r="O9" s="189" t="str">
        <f t="shared" si="6"/>
        <v>nein</v>
      </c>
      <c r="P9" s="189" t="str">
        <f t="shared" si="4"/>
        <v/>
      </c>
      <c r="Q9" s="400">
        <f>IF('Begr.-Rechner int. Prod.'!J2=0,80,IF(K4&gt;0,40,80))</f>
        <v>80</v>
      </c>
      <c r="R9" s="401">
        <f>IFERROR(IF('Begr.-Rechner int. Prod.'!$L$6&lt;&gt;"",VLOOKUP('Begr.-Rechner int. Prod.'!$L$6,'Konventionell (2)'!$AE$4:$AG$10,2,0),1),"")</f>
        <v>1</v>
      </c>
      <c r="S9" s="402">
        <f>IFERROR(IF('Begr.-Rechner int. Prod.'!$L$6&lt;&gt;"",VLOOKUP('Begr.-Rechner int. Prod.'!$L$6,'Konventionell (2)'!$AE$4:$AG$10,3,0),1),"")</f>
        <v>1</v>
      </c>
      <c r="T9" s="204">
        <f>IF('Begr.-Rechner int. Prod.'!$L$6&lt;&gt;"",ROUND(Q9/R9/S9,1),60)</f>
        <v>60</v>
      </c>
      <c r="U9" s="205" t="str">
        <f>IF('Begr.-Rechner int. Prod.'!L6&lt;&gt;"",Q9,"")</f>
        <v/>
      </c>
      <c r="V9" s="233" t="str">
        <f t="shared" si="5"/>
        <v/>
      </c>
      <c r="W9" t="s">
        <v>527</v>
      </c>
      <c r="X9">
        <v>3</v>
      </c>
      <c r="Y9">
        <v>2</v>
      </c>
      <c r="Z9" t="str">
        <f>IF(AND($T$3&gt;=$X$9,$S$3&gt;=$Y$9),"Var.7","")</f>
        <v/>
      </c>
      <c r="AB9" s="248" t="s">
        <v>342</v>
      </c>
      <c r="AD9" t="s">
        <v>455</v>
      </c>
      <c r="AE9" s="17" t="s">
        <v>871</v>
      </c>
      <c r="AF9" s="17">
        <v>0.1</v>
      </c>
      <c r="AG9" s="17">
        <v>0.91</v>
      </c>
    </row>
    <row r="10" spans="1:33" ht="33" customHeight="1" thickBot="1" x14ac:dyDescent="0.25">
      <c r="A10" s="23" t="s">
        <v>74</v>
      </c>
      <c r="B10" s="69">
        <f>'Begr.-Rechner int. Prod.'!B11</f>
        <v>3.65</v>
      </c>
      <c r="C10" s="70">
        <f>'Begr.-Rechner int. Prod.'!C11</f>
        <v>180</v>
      </c>
      <c r="D10" s="187">
        <f t="shared" si="0"/>
        <v>657</v>
      </c>
      <c r="E10" s="188">
        <f>'Begr.-Rechner int. Prod.'!E11</f>
        <v>0</v>
      </c>
      <c r="F10" s="75">
        <f t="shared" si="1"/>
        <v>0</v>
      </c>
      <c r="G10" s="76">
        <f t="shared" si="2"/>
        <v>0</v>
      </c>
      <c r="H10" s="77">
        <f t="shared" si="3"/>
        <v>0</v>
      </c>
      <c r="I10" s="189" t="s">
        <v>340</v>
      </c>
      <c r="J10" s="17"/>
      <c r="K10" s="17"/>
      <c r="L10" s="17"/>
      <c r="M10" s="189" t="s">
        <v>247</v>
      </c>
      <c r="N10" s="17" t="s">
        <v>361</v>
      </c>
      <c r="O10" s="189" t="str">
        <f t="shared" si="6"/>
        <v>nein</v>
      </c>
      <c r="P10" s="189" t="str">
        <f t="shared" si="4"/>
        <v/>
      </c>
      <c r="Q10" s="203">
        <f>IF('Begr.-Rechner int. Prod.'!J2=0,70,IF(K4&gt;0,30,70))</f>
        <v>70</v>
      </c>
      <c r="R10" s="204">
        <f>IFERROR(IF('Begr.-Rechner int. Prod.'!$L$6&lt;&gt;"",VLOOKUP('Begr.-Rechner int. Prod.'!$L$6,'Konventionell (2)'!$AE$4:$AG$10,2,0),1),"")</f>
        <v>1</v>
      </c>
      <c r="S10" s="205">
        <f>IFERROR(IF('Begr.-Rechner int. Prod.'!$L$6&lt;&gt;"",VLOOKUP('Begr.-Rechner int. Prod.'!$L$6,'Konventionell (2)'!$AE$4:$AG$10,3,0),1),"")</f>
        <v>1</v>
      </c>
      <c r="T10" s="204">
        <f>IF('Begr.-Rechner int. Prod.'!$L$6&lt;&gt;"",ROUND(Q10/R10/S10,1),60)</f>
        <v>60</v>
      </c>
      <c r="U10" s="205" t="str">
        <f>IF('Begr.-Rechner int. Prod.'!L6&lt;&gt;"",Q10,"")</f>
        <v/>
      </c>
      <c r="V10" s="233" t="str">
        <f t="shared" si="5"/>
        <v/>
      </c>
      <c r="Z10" t="str">
        <f>IF(AND($Z3="",Z4="",Z5="",Z6="",Z7="",Z8=""),"keine ÖPUL Konformität gegeben","")</f>
        <v>keine ÖPUL Konformität gegeben</v>
      </c>
      <c r="AB10" s="248" t="s">
        <v>140</v>
      </c>
      <c r="AE10" s="17" t="s">
        <v>872</v>
      </c>
      <c r="AF10" s="17">
        <v>0.3</v>
      </c>
      <c r="AG10" s="17">
        <v>0.91</v>
      </c>
    </row>
    <row r="11" spans="1:33" ht="21.75" customHeight="1" thickBot="1" x14ac:dyDescent="0.25">
      <c r="A11" s="58" t="s">
        <v>13</v>
      </c>
      <c r="B11" s="69">
        <f>'Begr.-Rechner int. Prod.'!B12</f>
        <v>1.41</v>
      </c>
      <c r="C11" s="70">
        <f>'Begr.-Rechner int. Prod.'!C12</f>
        <v>160</v>
      </c>
      <c r="D11" s="187">
        <f t="shared" si="0"/>
        <v>225.6</v>
      </c>
      <c r="E11" s="188">
        <f>'Begr.-Rechner int. Prod.'!E12</f>
        <v>0</v>
      </c>
      <c r="F11" s="75">
        <f t="shared" si="1"/>
        <v>0</v>
      </c>
      <c r="G11" s="76">
        <f t="shared" si="2"/>
        <v>0</v>
      </c>
      <c r="H11" s="77">
        <f t="shared" si="3"/>
        <v>0</v>
      </c>
      <c r="I11" s="189" t="s">
        <v>340</v>
      </c>
      <c r="J11" s="17"/>
      <c r="K11" s="17"/>
      <c r="L11" s="17"/>
      <c r="M11" s="189" t="s">
        <v>361</v>
      </c>
      <c r="N11" s="17" t="s">
        <v>361</v>
      </c>
      <c r="O11" s="189" t="str">
        <f t="shared" si="6"/>
        <v>nein</v>
      </c>
      <c r="P11" s="189" t="str">
        <f t="shared" si="4"/>
        <v/>
      </c>
      <c r="Q11" s="206">
        <v>60</v>
      </c>
      <c r="R11" s="207">
        <f>IFERROR(IF('Begr.-Rechner int. Prod.'!$L$6&lt;&gt;"",VLOOKUP('Begr.-Rechner int. Prod.'!$L$6,'Konventionell (2)'!$AE$4:$AG$10,2,0),1),"")</f>
        <v>1</v>
      </c>
      <c r="S11" s="208">
        <f>IFERROR(IF('Begr.-Rechner int. Prod.'!$L$6&lt;&gt;"",VLOOKUP('Begr.-Rechner int. Prod.'!$L$6,'Konventionell (2)'!$AE$4:$AG$10,3,0),1),"")</f>
        <v>1</v>
      </c>
      <c r="T11" s="204">
        <f>IF('Begr.-Rechner int. Prod.'!$L$6&lt;&gt;"",Q11,60)</f>
        <v>60</v>
      </c>
      <c r="U11" s="205" t="str">
        <f>IF('Begr.-Rechner int. Prod.'!L6&lt;&gt;"",Q11,"")</f>
        <v/>
      </c>
      <c r="V11" s="233" t="str">
        <f t="shared" si="5"/>
        <v/>
      </c>
      <c r="AB11" s="248" t="s">
        <v>340</v>
      </c>
    </row>
    <row r="12" spans="1:33" ht="29.25" thickBot="1" x14ac:dyDescent="0.25">
      <c r="A12" s="21" t="s">
        <v>75</v>
      </c>
      <c r="B12" s="69">
        <f>'Begr.-Rechner int. Prod.'!B13</f>
        <v>13.29</v>
      </c>
      <c r="C12" s="70">
        <f>'Begr.-Rechner int. Prod.'!C13</f>
        <v>4</v>
      </c>
      <c r="D12" s="187">
        <f t="shared" si="0"/>
        <v>53.16</v>
      </c>
      <c r="E12" s="188">
        <f>'Begr.-Rechner int. Prod.'!E13</f>
        <v>0</v>
      </c>
      <c r="F12" s="75">
        <f t="shared" si="1"/>
        <v>0</v>
      </c>
      <c r="G12" s="76">
        <f t="shared" si="2"/>
        <v>0</v>
      </c>
      <c r="H12" s="77">
        <f t="shared" si="3"/>
        <v>0</v>
      </c>
      <c r="I12" s="189" t="s">
        <v>140</v>
      </c>
      <c r="J12" s="17"/>
      <c r="K12" s="17"/>
      <c r="L12" s="17"/>
      <c r="M12" s="189" t="s">
        <v>247</v>
      </c>
      <c r="N12" s="17" t="s">
        <v>361</v>
      </c>
      <c r="O12" s="189" t="str">
        <f t="shared" si="6"/>
        <v>nein</v>
      </c>
      <c r="P12" s="189" t="str">
        <f t="shared" si="4"/>
        <v/>
      </c>
      <c r="Q12" s="17"/>
      <c r="R12" s="17"/>
      <c r="S12" s="404" t="s">
        <v>875</v>
      </c>
      <c r="T12" s="17">
        <f>MIN($T$10:$T$11)</f>
        <v>60</v>
      </c>
      <c r="U12" s="17">
        <f>MIN($U$10:$U$11)</f>
        <v>0</v>
      </c>
      <c r="V12" s="233" t="str">
        <f t="shared" si="5"/>
        <v/>
      </c>
      <c r="AB12" s="248" t="s">
        <v>408</v>
      </c>
    </row>
    <row r="13" spans="1:33" ht="43.5" thickBot="1" x14ac:dyDescent="0.25">
      <c r="A13" s="19" t="s">
        <v>14</v>
      </c>
      <c r="B13" s="69">
        <f>'Begr.-Rechner int. Prod.'!B14</f>
        <v>8.23</v>
      </c>
      <c r="C13" s="70">
        <f>'Begr.-Rechner int. Prod.'!C14</f>
        <v>30</v>
      </c>
      <c r="D13" s="187">
        <f t="shared" si="0"/>
        <v>246.9</v>
      </c>
      <c r="E13" s="188">
        <f>'Begr.-Rechner int. Prod.'!E14</f>
        <v>0</v>
      </c>
      <c r="F13" s="75">
        <f t="shared" si="1"/>
        <v>0</v>
      </c>
      <c r="G13" s="76">
        <f t="shared" si="2"/>
        <v>0</v>
      </c>
      <c r="H13" s="77">
        <f t="shared" si="3"/>
        <v>0</v>
      </c>
      <c r="I13" s="189" t="s">
        <v>340</v>
      </c>
      <c r="J13" s="17"/>
      <c r="K13" s="17"/>
      <c r="L13" s="17"/>
      <c r="M13" s="189" t="s">
        <v>247</v>
      </c>
      <c r="N13" s="17" t="s">
        <v>361</v>
      </c>
      <c r="O13" s="189" t="str">
        <f t="shared" si="6"/>
        <v>nein</v>
      </c>
      <c r="P13" s="189" t="str">
        <f t="shared" si="4"/>
        <v/>
      </c>
      <c r="Q13" s="17"/>
      <c r="R13" s="17"/>
      <c r="S13" s="404" t="s">
        <v>876</v>
      </c>
      <c r="T13" s="17">
        <f>MIN(T11,T9)</f>
        <v>60</v>
      </c>
      <c r="U13" s="17">
        <f>MIN(U11,U9)</f>
        <v>0</v>
      </c>
      <c r="V13" s="233" t="str">
        <f t="shared" si="5"/>
        <v/>
      </c>
      <c r="AB13" s="248" t="s">
        <v>344</v>
      </c>
    </row>
    <row r="14" spans="1:33" ht="21.75" customHeight="1" thickBot="1" x14ac:dyDescent="0.25">
      <c r="A14" s="19" t="s">
        <v>15</v>
      </c>
      <c r="B14" s="69">
        <f>'Begr.-Rechner int. Prod.'!B15</f>
        <v>1.92</v>
      </c>
      <c r="C14" s="70">
        <f>'Begr.-Rechner int. Prod.'!C15</f>
        <v>120</v>
      </c>
      <c r="D14" s="187">
        <f t="shared" si="0"/>
        <v>230.39999999999998</v>
      </c>
      <c r="E14" s="188">
        <f>'Begr.-Rechner int. Prod.'!E15</f>
        <v>0</v>
      </c>
      <c r="F14" s="75">
        <f t="shared" si="1"/>
        <v>0</v>
      </c>
      <c r="G14" s="76">
        <f t="shared" si="2"/>
        <v>0</v>
      </c>
      <c r="H14" s="77">
        <f t="shared" si="3"/>
        <v>0</v>
      </c>
      <c r="I14" s="189" t="s">
        <v>182</v>
      </c>
      <c r="J14" s="17"/>
      <c r="K14" s="17"/>
      <c r="L14" s="17"/>
      <c r="M14" s="189" t="s">
        <v>361</v>
      </c>
      <c r="N14" s="17" t="s">
        <v>247</v>
      </c>
      <c r="O14" s="189" t="str">
        <f t="shared" si="6"/>
        <v>nein</v>
      </c>
      <c r="P14" s="189" t="str">
        <f t="shared" si="4"/>
        <v/>
      </c>
      <c r="V14" s="233" t="str">
        <f t="shared" si="5"/>
        <v/>
      </c>
      <c r="AB14" s="248" t="s">
        <v>343</v>
      </c>
    </row>
    <row r="15" spans="1:33" ht="21.75" customHeight="1" thickBot="1" x14ac:dyDescent="0.25">
      <c r="A15" s="23" t="s">
        <v>572</v>
      </c>
      <c r="B15" s="69">
        <f>'Begr.-Rechner int. Prod.'!B16</f>
        <v>10.18</v>
      </c>
      <c r="C15" s="70">
        <f>'Begr.-Rechner int. Prod.'!C16</f>
        <v>40</v>
      </c>
      <c r="D15" s="187">
        <f t="shared" si="0"/>
        <v>407.2</v>
      </c>
      <c r="E15" s="188">
        <f>'Begr.-Rechner int. Prod.'!E16</f>
        <v>0</v>
      </c>
      <c r="F15" s="75">
        <f t="shared" si="1"/>
        <v>0</v>
      </c>
      <c r="G15" s="76">
        <f t="shared" si="2"/>
        <v>0</v>
      </c>
      <c r="H15" s="77">
        <f t="shared" si="3"/>
        <v>0</v>
      </c>
      <c r="I15" s="189" t="s">
        <v>407</v>
      </c>
      <c r="J15" s="17"/>
      <c r="K15" s="17"/>
      <c r="L15" s="17"/>
      <c r="M15" s="17" t="s">
        <v>247</v>
      </c>
      <c r="N15" s="17" t="s">
        <v>247</v>
      </c>
      <c r="O15" s="189" t="str">
        <f t="shared" si="6"/>
        <v>nein</v>
      </c>
      <c r="P15" s="189" t="str">
        <f t="shared" si="4"/>
        <v/>
      </c>
      <c r="V15" s="233" t="str">
        <f t="shared" si="5"/>
        <v/>
      </c>
    </row>
    <row r="16" spans="1:33" ht="21.75" customHeight="1" thickBot="1" x14ac:dyDescent="0.25">
      <c r="A16" s="19" t="s">
        <v>78</v>
      </c>
      <c r="B16" s="69">
        <f>'Begr.-Rechner int. Prod.'!B17</f>
        <v>9.98</v>
      </c>
      <c r="C16" s="70">
        <f>'Begr.-Rechner int. Prod.'!C17</f>
        <v>2</v>
      </c>
      <c r="D16" s="187">
        <f t="shared" si="0"/>
        <v>19.96</v>
      </c>
      <c r="E16" s="188">
        <f>'Begr.-Rechner int. Prod.'!E17</f>
        <v>0</v>
      </c>
      <c r="F16" s="75">
        <f t="shared" si="1"/>
        <v>0</v>
      </c>
      <c r="G16" s="76">
        <f t="shared" si="2"/>
        <v>0</v>
      </c>
      <c r="H16" s="77">
        <f t="shared" si="3"/>
        <v>0</v>
      </c>
      <c r="I16" s="189" t="s">
        <v>140</v>
      </c>
      <c r="J16" s="17"/>
      <c r="K16" s="17"/>
      <c r="L16" s="17"/>
      <c r="M16" s="189" t="s">
        <v>247</v>
      </c>
      <c r="N16" s="17" t="s">
        <v>361</v>
      </c>
      <c r="O16" s="189" t="str">
        <f t="shared" si="6"/>
        <v>nein</v>
      </c>
      <c r="P16" s="189" t="str">
        <f t="shared" si="4"/>
        <v/>
      </c>
      <c r="V16" s="233" t="str">
        <f t="shared" si="5"/>
        <v/>
      </c>
    </row>
    <row r="17" spans="1:22" ht="21.75" customHeight="1" thickBot="1" x14ac:dyDescent="0.25">
      <c r="A17" s="19" t="s">
        <v>79</v>
      </c>
      <c r="B17" s="69">
        <f>'Begr.-Rechner int. Prod.'!B18</f>
        <v>4.03</v>
      </c>
      <c r="C17" s="70">
        <f>'Begr.-Rechner int. Prod.'!C18</f>
        <v>15</v>
      </c>
      <c r="D17" s="187">
        <f t="shared" si="0"/>
        <v>60.45</v>
      </c>
      <c r="E17" s="188">
        <f>'Begr.-Rechner int. Prod.'!E18</f>
        <v>0</v>
      </c>
      <c r="F17" s="75">
        <f t="shared" si="1"/>
        <v>0</v>
      </c>
      <c r="G17" s="76">
        <f t="shared" si="2"/>
        <v>0</v>
      </c>
      <c r="H17" s="77">
        <f t="shared" si="3"/>
        <v>0</v>
      </c>
      <c r="I17" s="189" t="s">
        <v>182</v>
      </c>
      <c r="J17" s="17"/>
      <c r="K17" s="17"/>
      <c r="L17" s="17"/>
      <c r="M17" s="189" t="s">
        <v>247</v>
      </c>
      <c r="N17" s="17" t="s">
        <v>247</v>
      </c>
      <c r="O17" s="189" t="str">
        <f t="shared" si="6"/>
        <v>nein</v>
      </c>
      <c r="P17" s="189" t="str">
        <f t="shared" si="4"/>
        <v/>
      </c>
      <c r="V17" s="233" t="str">
        <f t="shared" si="5"/>
        <v/>
      </c>
    </row>
    <row r="18" spans="1:22" ht="21.75" customHeight="1" thickBot="1" x14ac:dyDescent="0.25">
      <c r="A18" s="19" t="s">
        <v>80</v>
      </c>
      <c r="B18" s="69">
        <f>'Begr.-Rechner int. Prod.'!B19</f>
        <v>17.46</v>
      </c>
      <c r="C18" s="70">
        <f>'Begr.-Rechner int. Prod.'!C19</f>
        <v>20</v>
      </c>
      <c r="D18" s="187">
        <f t="shared" si="0"/>
        <v>349.20000000000005</v>
      </c>
      <c r="E18" s="188">
        <f>'Begr.-Rechner int. Prod.'!E19</f>
        <v>0</v>
      </c>
      <c r="F18" s="75">
        <f t="shared" si="1"/>
        <v>0</v>
      </c>
      <c r="G18" s="76">
        <f t="shared" si="2"/>
        <v>0</v>
      </c>
      <c r="H18" s="77">
        <f t="shared" si="3"/>
        <v>0</v>
      </c>
      <c r="I18" s="189" t="s">
        <v>340</v>
      </c>
      <c r="J18" s="17"/>
      <c r="K18" s="17"/>
      <c r="L18" s="17"/>
      <c r="M18" s="189" t="s">
        <v>247</v>
      </c>
      <c r="N18" s="17" t="s">
        <v>361</v>
      </c>
      <c r="O18" s="189" t="str">
        <f t="shared" si="6"/>
        <v>nein</v>
      </c>
      <c r="P18" s="189" t="str">
        <f t="shared" si="4"/>
        <v/>
      </c>
      <c r="V18" s="233" t="str">
        <f t="shared" si="5"/>
        <v/>
      </c>
    </row>
    <row r="19" spans="1:22" ht="21.75" customHeight="1" thickBot="1" x14ac:dyDescent="0.25">
      <c r="A19" s="23" t="s">
        <v>16</v>
      </c>
      <c r="B19" s="69">
        <f>'Begr.-Rechner int. Prod.'!B20</f>
        <v>3.21</v>
      </c>
      <c r="C19" s="70">
        <f>'Begr.-Rechner int. Prod.'!C20</f>
        <v>30</v>
      </c>
      <c r="D19" s="187">
        <f t="shared" si="0"/>
        <v>96.3</v>
      </c>
      <c r="E19" s="188">
        <f>'Begr.-Rechner int. Prod.'!E20</f>
        <v>0</v>
      </c>
      <c r="F19" s="75">
        <f t="shared" si="1"/>
        <v>0</v>
      </c>
      <c r="G19" s="76">
        <f t="shared" si="2"/>
        <v>0</v>
      </c>
      <c r="H19" s="77">
        <f t="shared" si="3"/>
        <v>0</v>
      </c>
      <c r="I19" s="189" t="s">
        <v>340</v>
      </c>
      <c r="J19" s="17"/>
      <c r="K19" s="17"/>
      <c r="L19" s="17"/>
      <c r="M19" s="189" t="s">
        <v>247</v>
      </c>
      <c r="N19" s="17" t="s">
        <v>361</v>
      </c>
      <c r="O19" s="189" t="str">
        <f t="shared" si="6"/>
        <v>nein</v>
      </c>
      <c r="P19" s="189" t="str">
        <f t="shared" si="4"/>
        <v/>
      </c>
      <c r="V19" s="233" t="str">
        <f t="shared" si="5"/>
        <v/>
      </c>
    </row>
    <row r="20" spans="1:22" ht="21.75" customHeight="1" thickBot="1" x14ac:dyDescent="0.25">
      <c r="A20" s="19" t="s">
        <v>439</v>
      </c>
      <c r="B20" s="69">
        <f>'Begr.-Rechner int. Prod.'!B21</f>
        <v>2.72</v>
      </c>
      <c r="C20" s="70">
        <f>'Begr.-Rechner int. Prod.'!C21</f>
        <v>40</v>
      </c>
      <c r="D20" s="187">
        <f t="shared" si="0"/>
        <v>108.80000000000001</v>
      </c>
      <c r="E20" s="188">
        <f>'Begr.-Rechner int. Prod.'!E21</f>
        <v>0</v>
      </c>
      <c r="F20" s="75">
        <f t="shared" si="1"/>
        <v>0</v>
      </c>
      <c r="G20" s="76">
        <f t="shared" si="2"/>
        <v>0</v>
      </c>
      <c r="H20" s="77">
        <f t="shared" si="3"/>
        <v>0</v>
      </c>
      <c r="I20" s="189" t="s">
        <v>182</v>
      </c>
      <c r="J20" s="17"/>
      <c r="K20" s="17"/>
      <c r="L20" s="17"/>
      <c r="M20" s="189" t="s">
        <v>247</v>
      </c>
      <c r="N20" s="17" t="s">
        <v>247</v>
      </c>
      <c r="O20" s="189" t="str">
        <f t="shared" si="6"/>
        <v>nein</v>
      </c>
      <c r="P20" s="189" t="str">
        <f t="shared" si="4"/>
        <v/>
      </c>
      <c r="V20" s="233" t="str">
        <f t="shared" si="5"/>
        <v/>
      </c>
    </row>
    <row r="21" spans="1:22" ht="21.75" customHeight="1" thickBot="1" x14ac:dyDescent="0.25">
      <c r="A21" s="19" t="s">
        <v>441</v>
      </c>
      <c r="B21" s="69">
        <f>'Begr.-Rechner int. Prod.'!B22</f>
        <v>4.92</v>
      </c>
      <c r="C21" s="70">
        <f>'Begr.-Rechner int. Prod.'!C22</f>
        <v>10</v>
      </c>
      <c r="D21" s="187">
        <f t="shared" si="0"/>
        <v>49.2</v>
      </c>
      <c r="E21" s="188">
        <f>'Begr.-Rechner int. Prod.'!E22</f>
        <v>0</v>
      </c>
      <c r="F21" s="75">
        <f t="shared" si="1"/>
        <v>0</v>
      </c>
      <c r="G21" s="76">
        <f t="shared" si="2"/>
        <v>0</v>
      </c>
      <c r="H21" s="77">
        <f t="shared" si="3"/>
        <v>0</v>
      </c>
      <c r="I21" s="189" t="s">
        <v>182</v>
      </c>
      <c r="J21" s="17"/>
      <c r="K21" s="17"/>
      <c r="L21" s="17"/>
      <c r="M21" s="189" t="s">
        <v>247</v>
      </c>
      <c r="N21" s="17" t="s">
        <v>361</v>
      </c>
      <c r="O21" s="189" t="str">
        <f t="shared" si="6"/>
        <v>nein</v>
      </c>
      <c r="P21" s="189" t="str">
        <f t="shared" si="4"/>
        <v/>
      </c>
      <c r="V21" s="233" t="str">
        <f t="shared" si="5"/>
        <v/>
      </c>
    </row>
    <row r="22" spans="1:22" ht="21.75" customHeight="1" thickBot="1" x14ac:dyDescent="0.25">
      <c r="A22" s="21" t="s">
        <v>82</v>
      </c>
      <c r="B22" s="69">
        <f>'Begr.-Rechner int. Prod.'!B23</f>
        <v>20.05</v>
      </c>
      <c r="C22" s="70">
        <f>'Begr.-Rechner int. Prod.'!C23</f>
        <v>12</v>
      </c>
      <c r="D22" s="187">
        <f t="shared" si="0"/>
        <v>240.60000000000002</v>
      </c>
      <c r="E22" s="188">
        <f>'Begr.-Rechner int. Prod.'!E23</f>
        <v>0</v>
      </c>
      <c r="F22" s="75">
        <f t="shared" si="1"/>
        <v>0</v>
      </c>
      <c r="G22" s="76">
        <f t="shared" si="2"/>
        <v>0</v>
      </c>
      <c r="H22" s="77">
        <f t="shared" si="3"/>
        <v>0</v>
      </c>
      <c r="I22" s="189" t="s">
        <v>344</v>
      </c>
      <c r="J22" s="17"/>
      <c r="K22" s="17"/>
      <c r="L22" s="17"/>
      <c r="M22" s="189" t="s">
        <v>247</v>
      </c>
      <c r="N22" s="17" t="s">
        <v>361</v>
      </c>
      <c r="O22" s="189" t="str">
        <f t="shared" si="6"/>
        <v>nein</v>
      </c>
      <c r="P22" s="189" t="str">
        <f t="shared" si="4"/>
        <v/>
      </c>
      <c r="V22" s="233" t="str">
        <f t="shared" si="5"/>
        <v/>
      </c>
    </row>
    <row r="23" spans="1:22" ht="21.75" customHeight="1" thickBot="1" x14ac:dyDescent="0.25">
      <c r="A23" s="20" t="s">
        <v>19</v>
      </c>
      <c r="B23" s="69">
        <f>'Begr.-Rechner int. Prod.'!B24</f>
        <v>4.8499999999999996</v>
      </c>
      <c r="C23" s="70">
        <f>'Begr.-Rechner int. Prod.'!C24</f>
        <v>10</v>
      </c>
      <c r="D23" s="187">
        <f t="shared" si="0"/>
        <v>48.5</v>
      </c>
      <c r="E23" s="188">
        <f>'Begr.-Rechner int. Prod.'!E24</f>
        <v>0</v>
      </c>
      <c r="F23" s="75">
        <f t="shared" si="1"/>
        <v>0</v>
      </c>
      <c r="G23" s="76">
        <f t="shared" si="2"/>
        <v>0</v>
      </c>
      <c r="H23" s="77">
        <f t="shared" si="3"/>
        <v>0</v>
      </c>
      <c r="I23" s="189" t="s">
        <v>140</v>
      </c>
      <c r="J23" s="17"/>
      <c r="K23" s="17"/>
      <c r="L23" s="17"/>
      <c r="M23" s="189" t="s">
        <v>247</v>
      </c>
      <c r="N23" s="17" t="s">
        <v>361</v>
      </c>
      <c r="O23" s="189" t="str">
        <f t="shared" si="6"/>
        <v>nein</v>
      </c>
      <c r="P23" s="189" t="str">
        <f t="shared" si="4"/>
        <v/>
      </c>
      <c r="V23" s="233" t="str">
        <f t="shared" si="5"/>
        <v/>
      </c>
    </row>
    <row r="24" spans="1:22" ht="21.75" customHeight="1" thickBot="1" x14ac:dyDescent="0.25">
      <c r="A24" s="23" t="s">
        <v>600</v>
      </c>
      <c r="B24" s="69">
        <f>'Begr.-Rechner int. Prod.'!B25</f>
        <v>5.51</v>
      </c>
      <c r="C24" s="70">
        <f>'Begr.-Rechner int. Prod.'!C25</f>
        <v>90</v>
      </c>
      <c r="D24" s="187">
        <f t="shared" si="0"/>
        <v>495.9</v>
      </c>
      <c r="E24" s="188">
        <f>'Begr.-Rechner int. Prod.'!E25</f>
        <v>0</v>
      </c>
      <c r="F24" s="75">
        <f t="shared" si="1"/>
        <v>0</v>
      </c>
      <c r="G24" s="76">
        <f t="shared" si="2"/>
        <v>0</v>
      </c>
      <c r="H24" s="77">
        <f t="shared" si="3"/>
        <v>0</v>
      </c>
      <c r="I24" s="189" t="s">
        <v>340</v>
      </c>
      <c r="J24" s="17"/>
      <c r="K24" s="17"/>
      <c r="L24" s="17"/>
      <c r="M24" s="189" t="s">
        <v>247</v>
      </c>
      <c r="N24" s="17" t="s">
        <v>361</v>
      </c>
      <c r="O24" s="189" t="str">
        <f t="shared" si="6"/>
        <v>nein</v>
      </c>
      <c r="P24" s="189" t="str">
        <f t="shared" si="4"/>
        <v/>
      </c>
      <c r="V24" s="233" t="str">
        <f t="shared" si="5"/>
        <v/>
      </c>
    </row>
    <row r="25" spans="1:22" ht="21.75" customHeight="1" thickBot="1" x14ac:dyDescent="0.25">
      <c r="A25" s="25" t="s">
        <v>21</v>
      </c>
      <c r="B25" s="69">
        <f>'Begr.-Rechner int. Prod.'!B26</f>
        <v>7.91</v>
      </c>
      <c r="C25" s="70">
        <f>'Begr.-Rechner int. Prod.'!C26</f>
        <v>25</v>
      </c>
      <c r="D25" s="187">
        <f t="shared" si="0"/>
        <v>197.75</v>
      </c>
      <c r="E25" s="188">
        <f>'Begr.-Rechner int. Prod.'!E26</f>
        <v>0</v>
      </c>
      <c r="F25" s="75">
        <f t="shared" si="1"/>
        <v>0</v>
      </c>
      <c r="G25" s="76">
        <f t="shared" si="2"/>
        <v>0</v>
      </c>
      <c r="H25" s="77">
        <f t="shared" si="3"/>
        <v>0</v>
      </c>
      <c r="I25" s="189" t="s">
        <v>340</v>
      </c>
      <c r="J25" s="17"/>
      <c r="K25" s="17"/>
      <c r="L25" s="17"/>
      <c r="M25" s="189" t="s">
        <v>247</v>
      </c>
      <c r="N25" s="17" t="s">
        <v>361</v>
      </c>
      <c r="O25" s="189" t="str">
        <f t="shared" si="6"/>
        <v>nein</v>
      </c>
      <c r="P25" s="189" t="str">
        <f t="shared" si="4"/>
        <v/>
      </c>
      <c r="V25" s="233" t="str">
        <f t="shared" si="5"/>
        <v/>
      </c>
    </row>
    <row r="26" spans="1:22" ht="21.75" customHeight="1" thickBot="1" x14ac:dyDescent="0.25">
      <c r="A26" s="26" t="s">
        <v>23</v>
      </c>
      <c r="B26" s="69">
        <f>'Begr.-Rechner int. Prod.'!B27</f>
        <v>7.8</v>
      </c>
      <c r="C26" s="70">
        <f>'Begr.-Rechner int. Prod.'!C27</f>
        <v>8</v>
      </c>
      <c r="D26" s="187">
        <f t="shared" si="0"/>
        <v>62.4</v>
      </c>
      <c r="E26" s="188">
        <f>'Begr.-Rechner int. Prod.'!E27</f>
        <v>0</v>
      </c>
      <c r="F26" s="75">
        <f t="shared" si="1"/>
        <v>0</v>
      </c>
      <c r="G26" s="76">
        <f t="shared" si="2"/>
        <v>0</v>
      </c>
      <c r="H26" s="77">
        <f t="shared" si="3"/>
        <v>0</v>
      </c>
      <c r="I26" s="189" t="s">
        <v>140</v>
      </c>
      <c r="J26" s="17"/>
      <c r="K26" s="17"/>
      <c r="L26" s="17"/>
      <c r="M26" s="189" t="s">
        <v>247</v>
      </c>
      <c r="N26" s="17" t="s">
        <v>361</v>
      </c>
      <c r="O26" s="189" t="str">
        <f t="shared" si="6"/>
        <v>nein</v>
      </c>
      <c r="P26" s="189" t="str">
        <f t="shared" si="4"/>
        <v/>
      </c>
      <c r="V26" s="233" t="str">
        <f t="shared" si="5"/>
        <v/>
      </c>
    </row>
    <row r="27" spans="1:22" ht="21.75" customHeight="1" thickBot="1" x14ac:dyDescent="0.25">
      <c r="A27" s="59" t="s">
        <v>335</v>
      </c>
      <c r="B27" s="69">
        <f>'Begr.-Rechner int. Prod.'!B28</f>
        <v>3.58</v>
      </c>
      <c r="C27" s="70">
        <f>'Begr.-Rechner int. Prod.'!C28</f>
        <v>10</v>
      </c>
      <c r="D27" s="187">
        <f t="shared" si="0"/>
        <v>35.799999999999997</v>
      </c>
      <c r="E27" s="188">
        <f>'Begr.-Rechner int. Prod.'!E28</f>
        <v>0</v>
      </c>
      <c r="F27" s="75">
        <f t="shared" si="1"/>
        <v>0</v>
      </c>
      <c r="G27" s="76">
        <f t="shared" si="2"/>
        <v>0</v>
      </c>
      <c r="H27" s="77">
        <f t="shared" si="3"/>
        <v>0</v>
      </c>
      <c r="I27" s="189" t="s">
        <v>342</v>
      </c>
      <c r="J27" s="17"/>
      <c r="K27" s="17"/>
      <c r="L27" s="17"/>
      <c r="M27" s="189" t="s">
        <v>247</v>
      </c>
      <c r="N27" s="17" t="s">
        <v>361</v>
      </c>
      <c r="O27" s="189" t="str">
        <f t="shared" si="6"/>
        <v>nein</v>
      </c>
      <c r="P27" s="189" t="str">
        <f t="shared" si="4"/>
        <v/>
      </c>
      <c r="V27" s="233" t="str">
        <f t="shared" si="5"/>
        <v/>
      </c>
    </row>
    <row r="28" spans="1:22" ht="21.75" customHeight="1" thickBot="1" x14ac:dyDescent="0.25">
      <c r="A28" s="26" t="s">
        <v>24</v>
      </c>
      <c r="B28" s="69">
        <f>'Begr.-Rechner int. Prod.'!B29</f>
        <v>3.0199999999999996</v>
      </c>
      <c r="C28" s="70">
        <f>'Begr.-Rechner int. Prod.'!C29</f>
        <v>20</v>
      </c>
      <c r="D28" s="187">
        <f t="shared" si="0"/>
        <v>60.399999999999991</v>
      </c>
      <c r="E28" s="188">
        <f>'Begr.-Rechner int. Prod.'!E29</f>
        <v>0</v>
      </c>
      <c r="F28" s="75">
        <f t="shared" si="1"/>
        <v>0</v>
      </c>
      <c r="G28" s="76">
        <f t="shared" si="2"/>
        <v>0</v>
      </c>
      <c r="H28" s="77">
        <f t="shared" si="3"/>
        <v>0</v>
      </c>
      <c r="I28" s="189" t="s">
        <v>140</v>
      </c>
      <c r="J28" s="17"/>
      <c r="K28" s="17"/>
      <c r="L28" s="17"/>
      <c r="M28" s="189" t="s">
        <v>247</v>
      </c>
      <c r="N28" s="17" t="s">
        <v>361</v>
      </c>
      <c r="O28" s="189" t="str">
        <f t="shared" si="6"/>
        <v>nein</v>
      </c>
      <c r="P28" s="189" t="str">
        <f t="shared" si="4"/>
        <v/>
      </c>
      <c r="V28" s="233" t="str">
        <f t="shared" si="5"/>
        <v/>
      </c>
    </row>
    <row r="29" spans="1:22" ht="21.75" customHeight="1" thickBot="1" x14ac:dyDescent="0.25">
      <c r="A29" s="19" t="s">
        <v>108</v>
      </c>
      <c r="B29" s="69">
        <f>'Begr.-Rechner int. Prod.'!B30</f>
        <v>3.51</v>
      </c>
      <c r="C29" s="70">
        <f>'Begr.-Rechner int. Prod.'!C30</f>
        <v>25</v>
      </c>
      <c r="D29" s="187">
        <f t="shared" si="0"/>
        <v>87.75</v>
      </c>
      <c r="E29" s="188">
        <f>'Begr.-Rechner int. Prod.'!E30</f>
        <v>0</v>
      </c>
      <c r="F29" s="75">
        <f t="shared" si="1"/>
        <v>0</v>
      </c>
      <c r="G29" s="76">
        <f t="shared" si="2"/>
        <v>0</v>
      </c>
      <c r="H29" s="77">
        <f t="shared" si="3"/>
        <v>0</v>
      </c>
      <c r="I29" s="189" t="s">
        <v>140</v>
      </c>
      <c r="J29" s="17"/>
      <c r="K29" s="17"/>
      <c r="L29" s="17"/>
      <c r="M29" s="189" t="s">
        <v>247</v>
      </c>
      <c r="N29" s="17" t="s">
        <v>361</v>
      </c>
      <c r="O29" s="189" t="str">
        <f t="shared" si="6"/>
        <v>nein</v>
      </c>
      <c r="P29" s="189" t="str">
        <f t="shared" si="4"/>
        <v/>
      </c>
      <c r="V29" s="233" t="str">
        <f t="shared" si="5"/>
        <v/>
      </c>
    </row>
    <row r="30" spans="1:22" ht="21.75" customHeight="1" thickBot="1" x14ac:dyDescent="0.25">
      <c r="A30" s="19" t="s">
        <v>25</v>
      </c>
      <c r="B30" s="69">
        <f>'Begr.-Rechner int. Prod.'!B31</f>
        <v>6.23</v>
      </c>
      <c r="C30" s="70">
        <f>'Begr.-Rechner int. Prod.'!C31</f>
        <v>20</v>
      </c>
      <c r="D30" s="187">
        <f t="shared" si="0"/>
        <v>124.60000000000001</v>
      </c>
      <c r="E30" s="188">
        <f>'Begr.-Rechner int. Prod.'!E31</f>
        <v>0</v>
      </c>
      <c r="F30" s="75">
        <f t="shared" si="1"/>
        <v>0</v>
      </c>
      <c r="G30" s="76">
        <f t="shared" si="2"/>
        <v>0</v>
      </c>
      <c r="H30" s="77">
        <f t="shared" si="3"/>
        <v>0</v>
      </c>
      <c r="I30" s="189" t="s">
        <v>340</v>
      </c>
      <c r="J30" s="17"/>
      <c r="K30" s="17"/>
      <c r="L30" s="17"/>
      <c r="M30" s="189" t="s">
        <v>247</v>
      </c>
      <c r="N30" s="17" t="s">
        <v>361</v>
      </c>
      <c r="O30" s="189" t="str">
        <f t="shared" si="6"/>
        <v>nein</v>
      </c>
      <c r="P30" s="189" t="str">
        <f t="shared" si="4"/>
        <v/>
      </c>
      <c r="V30" s="233" t="str">
        <f t="shared" si="5"/>
        <v/>
      </c>
    </row>
    <row r="31" spans="1:22" ht="36" customHeight="1" thickBot="1" x14ac:dyDescent="0.25">
      <c r="A31" s="19" t="s">
        <v>26</v>
      </c>
      <c r="B31" s="69">
        <f>'Begr.-Rechner int. Prod.'!B32</f>
        <v>4.6300000000000008</v>
      </c>
      <c r="C31" s="70">
        <f>'Begr.-Rechner int. Prod.'!C32</f>
        <v>12</v>
      </c>
      <c r="D31" s="187">
        <f t="shared" si="0"/>
        <v>55.560000000000009</v>
      </c>
      <c r="E31" s="188">
        <f>'Begr.-Rechner int. Prod.'!E32</f>
        <v>0</v>
      </c>
      <c r="F31" s="75">
        <f t="shared" si="1"/>
        <v>0</v>
      </c>
      <c r="G31" s="76">
        <f t="shared" si="2"/>
        <v>0</v>
      </c>
      <c r="H31" s="77">
        <f t="shared" si="3"/>
        <v>0</v>
      </c>
      <c r="I31" s="189" t="s">
        <v>343</v>
      </c>
      <c r="J31" s="17"/>
      <c r="K31" s="17"/>
      <c r="L31" s="17"/>
      <c r="M31" s="189" t="s">
        <v>247</v>
      </c>
      <c r="N31" s="17" t="s">
        <v>361</v>
      </c>
      <c r="O31" s="189" t="str">
        <f t="shared" si="6"/>
        <v>nein</v>
      </c>
      <c r="P31" s="189" t="str">
        <f t="shared" si="4"/>
        <v/>
      </c>
      <c r="V31" s="233" t="str">
        <f t="shared" si="5"/>
        <v/>
      </c>
    </row>
    <row r="32" spans="1:22" ht="21.75" customHeight="1" thickBot="1" x14ac:dyDescent="0.25">
      <c r="A32" s="23" t="s">
        <v>28</v>
      </c>
      <c r="B32" s="69">
        <f>'Begr.-Rechner int. Prod.'!B33</f>
        <v>2.2000000000000002</v>
      </c>
      <c r="C32" s="70">
        <f>'Begr.-Rechner int. Prod.'!C33</f>
        <v>140</v>
      </c>
      <c r="D32" s="187">
        <f t="shared" si="0"/>
        <v>308</v>
      </c>
      <c r="E32" s="188">
        <f>'Begr.-Rechner int. Prod.'!E33</f>
        <v>0</v>
      </c>
      <c r="F32" s="75">
        <f t="shared" si="1"/>
        <v>0</v>
      </c>
      <c r="G32" s="76">
        <f t="shared" si="2"/>
        <v>0</v>
      </c>
      <c r="H32" s="77">
        <f t="shared" si="3"/>
        <v>0</v>
      </c>
      <c r="I32" s="189" t="s">
        <v>340</v>
      </c>
      <c r="J32" s="17"/>
      <c r="K32" s="17"/>
      <c r="L32" s="17"/>
      <c r="M32" s="189" t="s">
        <v>361</v>
      </c>
      <c r="N32" s="17" t="s">
        <v>247</v>
      </c>
      <c r="O32" s="189" t="str">
        <f t="shared" si="6"/>
        <v>nein</v>
      </c>
      <c r="P32" s="189" t="str">
        <f t="shared" si="4"/>
        <v/>
      </c>
      <c r="V32" s="233" t="str">
        <f t="shared" si="5"/>
        <v/>
      </c>
    </row>
    <row r="33" spans="1:22" ht="21.75" customHeight="1" thickBot="1" x14ac:dyDescent="0.25">
      <c r="A33" s="19" t="s">
        <v>30</v>
      </c>
      <c r="B33" s="69">
        <f>'Begr.-Rechner int. Prod.'!B34</f>
        <v>19.91</v>
      </c>
      <c r="C33" s="70">
        <f>'Begr.-Rechner int. Prod.'!C34</f>
        <v>12</v>
      </c>
      <c r="D33" s="187">
        <f t="shared" si="0"/>
        <v>238.92000000000002</v>
      </c>
      <c r="E33" s="188">
        <f>'Begr.-Rechner int. Prod.'!E34</f>
        <v>0</v>
      </c>
      <c r="F33" s="75">
        <f t="shared" si="1"/>
        <v>0</v>
      </c>
      <c r="G33" s="76">
        <f t="shared" si="2"/>
        <v>0</v>
      </c>
      <c r="H33" s="77">
        <f t="shared" si="3"/>
        <v>0</v>
      </c>
      <c r="I33" s="189" t="s">
        <v>342</v>
      </c>
      <c r="J33" s="17"/>
      <c r="K33" s="17"/>
      <c r="L33" s="17"/>
      <c r="M33" s="189" t="s">
        <v>247</v>
      </c>
      <c r="N33" s="17" t="s">
        <v>361</v>
      </c>
      <c r="O33" s="189" t="str">
        <f t="shared" si="6"/>
        <v>nein</v>
      </c>
      <c r="P33" s="189" t="str">
        <f t="shared" si="4"/>
        <v/>
      </c>
      <c r="V33" s="233" t="str">
        <f t="shared" si="5"/>
        <v/>
      </c>
    </row>
    <row r="34" spans="1:22" ht="21.75" customHeight="1" thickBot="1" x14ac:dyDescent="0.25">
      <c r="A34" s="28" t="s">
        <v>31</v>
      </c>
      <c r="B34" s="69">
        <f>'Begr.-Rechner int. Prod.'!B35</f>
        <v>7.98</v>
      </c>
      <c r="C34" s="70">
        <f>'Begr.-Rechner int. Prod.'!C35</f>
        <v>25</v>
      </c>
      <c r="D34" s="187">
        <f t="shared" si="0"/>
        <v>199.5</v>
      </c>
      <c r="E34" s="188">
        <f>'Begr.-Rechner int. Prod.'!E35</f>
        <v>0</v>
      </c>
      <c r="F34" s="75">
        <f t="shared" si="1"/>
        <v>0</v>
      </c>
      <c r="G34" s="76">
        <f t="shared" si="2"/>
        <v>0</v>
      </c>
      <c r="H34" s="77">
        <f t="shared" si="3"/>
        <v>0</v>
      </c>
      <c r="I34" s="189" t="s">
        <v>340</v>
      </c>
      <c r="J34" s="17"/>
      <c r="K34" s="17"/>
      <c r="L34" s="17"/>
      <c r="M34" s="189" t="s">
        <v>247</v>
      </c>
      <c r="N34" s="17" t="s">
        <v>361</v>
      </c>
      <c r="O34" s="189" t="str">
        <f t="shared" si="6"/>
        <v>nein</v>
      </c>
      <c r="P34" s="189" t="str">
        <f t="shared" si="4"/>
        <v/>
      </c>
      <c r="V34" s="233" t="str">
        <f t="shared" si="5"/>
        <v/>
      </c>
    </row>
    <row r="35" spans="1:22" ht="21.75" customHeight="1" thickBot="1" x14ac:dyDescent="0.25">
      <c r="A35" s="28" t="s">
        <v>84</v>
      </c>
      <c r="B35" s="69">
        <f>'Begr.-Rechner int. Prod.'!B36</f>
        <v>2.13</v>
      </c>
      <c r="C35" s="70">
        <f>'Begr.-Rechner int. Prod.'!C36</f>
        <v>150</v>
      </c>
      <c r="D35" s="187">
        <f t="shared" si="0"/>
        <v>319.5</v>
      </c>
      <c r="E35" s="188">
        <f>'Begr.-Rechner int. Prod.'!E36</f>
        <v>0</v>
      </c>
      <c r="F35" s="75">
        <f t="shared" si="1"/>
        <v>0</v>
      </c>
      <c r="G35" s="76">
        <f t="shared" si="2"/>
        <v>0</v>
      </c>
      <c r="H35" s="77">
        <f t="shared" si="3"/>
        <v>0</v>
      </c>
      <c r="I35" s="189" t="s">
        <v>340</v>
      </c>
      <c r="J35" s="17"/>
      <c r="K35" s="17"/>
      <c r="L35" s="17"/>
      <c r="M35" s="189" t="s">
        <v>361</v>
      </c>
      <c r="N35" s="17" t="s">
        <v>361</v>
      </c>
      <c r="O35" s="189" t="str">
        <f t="shared" si="6"/>
        <v>nein</v>
      </c>
      <c r="P35" s="189" t="str">
        <f t="shared" si="4"/>
        <v/>
      </c>
      <c r="V35" s="233" t="str">
        <f t="shared" si="5"/>
        <v/>
      </c>
    </row>
    <row r="36" spans="1:22" ht="21.75" customHeight="1" thickBot="1" x14ac:dyDescent="0.25">
      <c r="A36" s="23" t="s">
        <v>887</v>
      </c>
      <c r="B36" s="69">
        <f>'Begr.-Rechner int. Prod.'!B37</f>
        <v>2.66</v>
      </c>
      <c r="C36" s="70">
        <f>'Begr.-Rechner int. Prod.'!C37</f>
        <v>130</v>
      </c>
      <c r="D36" s="187">
        <f t="shared" si="0"/>
        <v>345.8</v>
      </c>
      <c r="E36" s="188">
        <f>'Begr.-Rechner int. Prod.'!E37</f>
        <v>0</v>
      </c>
      <c r="F36" s="75">
        <f t="shared" si="1"/>
        <v>0</v>
      </c>
      <c r="G36" s="76">
        <f t="shared" si="2"/>
        <v>0</v>
      </c>
      <c r="H36" s="77">
        <f t="shared" si="3"/>
        <v>0</v>
      </c>
      <c r="I36" s="189" t="s">
        <v>340</v>
      </c>
      <c r="J36" s="17"/>
      <c r="K36" s="17"/>
      <c r="L36" s="17"/>
      <c r="M36" s="189" t="s">
        <v>247</v>
      </c>
      <c r="N36" s="17" t="s">
        <v>361</v>
      </c>
      <c r="O36" s="189" t="str">
        <f t="shared" si="6"/>
        <v>nein</v>
      </c>
      <c r="P36" s="189" t="str">
        <f t="shared" si="4"/>
        <v/>
      </c>
      <c r="V36" s="233" t="str">
        <f t="shared" si="5"/>
        <v/>
      </c>
    </row>
    <row r="37" spans="1:22" ht="21.75" customHeight="1" thickBot="1" x14ac:dyDescent="0.25">
      <c r="A37" s="23" t="s">
        <v>110</v>
      </c>
      <c r="B37" s="69">
        <f>'Begr.-Rechner int. Prod.'!B38</f>
        <v>5.52</v>
      </c>
      <c r="C37" s="70">
        <f>'Begr.-Rechner int. Prod.'!C38</f>
        <v>30</v>
      </c>
      <c r="D37" s="187">
        <f t="shared" si="0"/>
        <v>165.6</v>
      </c>
      <c r="E37" s="188">
        <f>'Begr.-Rechner int. Prod.'!E38</f>
        <v>0</v>
      </c>
      <c r="F37" s="75">
        <f t="shared" si="1"/>
        <v>0</v>
      </c>
      <c r="G37" s="76">
        <f t="shared" si="2"/>
        <v>0</v>
      </c>
      <c r="H37" s="77">
        <f t="shared" si="3"/>
        <v>0</v>
      </c>
      <c r="I37" s="189" t="s">
        <v>342</v>
      </c>
      <c r="J37" s="17"/>
      <c r="K37" s="17"/>
      <c r="L37" s="17"/>
      <c r="M37" s="17" t="s">
        <v>247</v>
      </c>
      <c r="N37" s="17" t="s">
        <v>361</v>
      </c>
      <c r="O37" s="189" t="str">
        <f t="shared" si="6"/>
        <v>nein</v>
      </c>
      <c r="P37" s="189" t="str">
        <f t="shared" si="4"/>
        <v/>
      </c>
      <c r="V37" s="233" t="str">
        <f t="shared" si="5"/>
        <v/>
      </c>
    </row>
    <row r="38" spans="1:22" ht="33" customHeight="1" thickBot="1" x14ac:dyDescent="0.25">
      <c r="A38" s="23" t="s">
        <v>374</v>
      </c>
      <c r="B38" s="69">
        <f>'Begr.-Rechner int. Prod.'!B39</f>
        <v>2.52</v>
      </c>
      <c r="C38" s="70">
        <f>'Begr.-Rechner int. Prod.'!C39</f>
        <v>100</v>
      </c>
      <c r="D38" s="187">
        <f t="shared" si="0"/>
        <v>252</v>
      </c>
      <c r="E38" s="188">
        <f>'Begr.-Rechner int. Prod.'!E39</f>
        <v>0</v>
      </c>
      <c r="F38" s="75">
        <f t="shared" si="1"/>
        <v>0</v>
      </c>
      <c r="G38" s="76">
        <f t="shared" si="2"/>
        <v>0</v>
      </c>
      <c r="H38" s="77">
        <f t="shared" si="3"/>
        <v>0</v>
      </c>
      <c r="I38" s="189" t="s">
        <v>182</v>
      </c>
      <c r="J38" s="17"/>
      <c r="K38" s="17"/>
      <c r="L38" s="17"/>
      <c r="M38" s="189" t="s">
        <v>247</v>
      </c>
      <c r="N38" s="17" t="s">
        <v>361</v>
      </c>
      <c r="O38" s="189" t="str">
        <f t="shared" si="6"/>
        <v>nein</v>
      </c>
      <c r="P38" s="189" t="str">
        <f t="shared" si="4"/>
        <v/>
      </c>
      <c r="V38" s="233" t="str">
        <f t="shared" si="5"/>
        <v/>
      </c>
    </row>
    <row r="39" spans="1:22" ht="21.75" customHeight="1" thickBot="1" x14ac:dyDescent="0.25">
      <c r="A39" s="23" t="s">
        <v>33</v>
      </c>
      <c r="B39" s="69">
        <f>'Begr.-Rechner int. Prod.'!B40</f>
        <v>5.89</v>
      </c>
      <c r="C39" s="70">
        <f>'Begr.-Rechner int. Prod.'!C40</f>
        <v>10</v>
      </c>
      <c r="D39" s="187">
        <f t="shared" si="0"/>
        <v>58.9</v>
      </c>
      <c r="E39" s="188">
        <f>'Begr.-Rechner int. Prod.'!E40</f>
        <v>0</v>
      </c>
      <c r="F39" s="75">
        <f t="shared" si="1"/>
        <v>0</v>
      </c>
      <c r="G39" s="76">
        <f t="shared" si="2"/>
        <v>0</v>
      </c>
      <c r="H39" s="77">
        <f t="shared" si="3"/>
        <v>0</v>
      </c>
      <c r="I39" s="189" t="s">
        <v>140</v>
      </c>
      <c r="J39" s="17"/>
      <c r="K39" s="17"/>
      <c r="L39" s="17"/>
      <c r="M39" s="189" t="s">
        <v>247</v>
      </c>
      <c r="N39" s="17" t="s">
        <v>361</v>
      </c>
      <c r="O39" s="189" t="str">
        <f t="shared" si="6"/>
        <v>nein</v>
      </c>
      <c r="P39" s="189" t="str">
        <f t="shared" si="4"/>
        <v/>
      </c>
      <c r="V39" s="233" t="str">
        <f t="shared" si="5"/>
        <v/>
      </c>
    </row>
    <row r="40" spans="1:22" ht="21.75" customHeight="1" thickBot="1" x14ac:dyDescent="0.25">
      <c r="A40" s="25" t="s">
        <v>34</v>
      </c>
      <c r="B40" s="69">
        <f>'Begr.-Rechner int. Prod.'!B41</f>
        <v>8.17</v>
      </c>
      <c r="C40" s="70">
        <f>'Begr.-Rechner int. Prod.'!C41</f>
        <v>20</v>
      </c>
      <c r="D40" s="187">
        <f t="shared" si="0"/>
        <v>163.4</v>
      </c>
      <c r="E40" s="188">
        <f>'Begr.-Rechner int. Prod.'!E41</f>
        <v>0</v>
      </c>
      <c r="F40" s="75">
        <f t="shared" si="1"/>
        <v>0</v>
      </c>
      <c r="G40" s="76">
        <f t="shared" si="2"/>
        <v>0</v>
      </c>
      <c r="H40" s="77">
        <f t="shared" si="3"/>
        <v>0</v>
      </c>
      <c r="I40" s="189" t="s">
        <v>340</v>
      </c>
      <c r="J40" s="17"/>
      <c r="K40" s="17"/>
      <c r="L40" s="17"/>
      <c r="M40" s="189" t="s">
        <v>247</v>
      </c>
      <c r="N40" s="17" t="s">
        <v>247</v>
      </c>
      <c r="O40" s="189" t="str">
        <f t="shared" si="6"/>
        <v>nein</v>
      </c>
      <c r="P40" s="189" t="str">
        <f t="shared" si="4"/>
        <v/>
      </c>
      <c r="V40" s="233" t="str">
        <f t="shared" si="5"/>
        <v/>
      </c>
    </row>
    <row r="41" spans="1:22" ht="21.75" customHeight="1" thickBot="1" x14ac:dyDescent="0.25">
      <c r="A41" s="60" t="s">
        <v>35</v>
      </c>
      <c r="B41" s="69">
        <f>'Begr.-Rechner int. Prod.'!B42</f>
        <v>2.44</v>
      </c>
      <c r="C41" s="70">
        <f>'Begr.-Rechner int. Prod.'!C42</f>
        <v>15</v>
      </c>
      <c r="D41" s="187">
        <f t="shared" si="0"/>
        <v>36.6</v>
      </c>
      <c r="E41" s="188">
        <f>'Begr.-Rechner int. Prod.'!E42</f>
        <v>0</v>
      </c>
      <c r="F41" s="75">
        <f t="shared" si="1"/>
        <v>0</v>
      </c>
      <c r="G41" s="76">
        <f t="shared" si="2"/>
        <v>0</v>
      </c>
      <c r="H41" s="77">
        <f t="shared" si="3"/>
        <v>0</v>
      </c>
      <c r="I41" s="189" t="s">
        <v>140</v>
      </c>
      <c r="J41" s="17"/>
      <c r="K41" s="17"/>
      <c r="L41" s="17"/>
      <c r="M41" s="17" t="s">
        <v>247</v>
      </c>
      <c r="N41" s="17" t="s">
        <v>361</v>
      </c>
      <c r="O41" s="189" t="str">
        <f t="shared" si="6"/>
        <v>nein</v>
      </c>
      <c r="P41" s="189" t="str">
        <f t="shared" si="4"/>
        <v/>
      </c>
      <c r="V41" s="233" t="str">
        <f t="shared" si="5"/>
        <v/>
      </c>
    </row>
    <row r="42" spans="1:22" ht="21.75" customHeight="1" thickBot="1" x14ac:dyDescent="0.25">
      <c r="A42" s="63" t="s">
        <v>447</v>
      </c>
      <c r="B42" s="69">
        <f>'Begr.-Rechner int. Prod.'!B43</f>
        <v>3.31</v>
      </c>
      <c r="C42" s="70">
        <f>'Begr.-Rechner int. Prod.'!C43</f>
        <v>20</v>
      </c>
      <c r="D42" s="187">
        <f t="shared" si="0"/>
        <v>66.2</v>
      </c>
      <c r="E42" s="188">
        <f>'Begr.-Rechner int. Prod.'!E43</f>
        <v>0</v>
      </c>
      <c r="F42" s="75">
        <f t="shared" si="1"/>
        <v>0</v>
      </c>
      <c r="G42" s="76">
        <f t="shared" si="2"/>
        <v>0</v>
      </c>
      <c r="H42" s="77">
        <f t="shared" si="3"/>
        <v>0</v>
      </c>
      <c r="I42" s="189" t="s">
        <v>140</v>
      </c>
      <c r="J42" s="17"/>
      <c r="K42" s="17"/>
      <c r="L42" s="17"/>
      <c r="M42" s="189" t="s">
        <v>247</v>
      </c>
      <c r="N42" s="17" t="s">
        <v>361</v>
      </c>
      <c r="O42" s="189" t="str">
        <f t="shared" si="6"/>
        <v>nein</v>
      </c>
      <c r="P42" s="189" t="str">
        <f t="shared" si="4"/>
        <v/>
      </c>
      <c r="V42" s="233" t="str">
        <f t="shared" si="5"/>
        <v/>
      </c>
    </row>
    <row r="43" spans="1:22" ht="21.75" customHeight="1" thickBot="1" x14ac:dyDescent="0.25">
      <c r="A43" s="63" t="s">
        <v>37</v>
      </c>
      <c r="B43" s="69">
        <f>'Begr.-Rechner int. Prod.'!B44</f>
        <v>2.79</v>
      </c>
      <c r="C43" s="70">
        <f>'Begr.-Rechner int. Prod.'!C44</f>
        <v>15</v>
      </c>
      <c r="D43" s="187">
        <f t="shared" si="0"/>
        <v>41.85</v>
      </c>
      <c r="E43" s="188">
        <f>'Begr.-Rechner int. Prod.'!E44</f>
        <v>0</v>
      </c>
      <c r="F43" s="75">
        <f t="shared" si="1"/>
        <v>0</v>
      </c>
      <c r="G43" s="76">
        <f t="shared" si="2"/>
        <v>0</v>
      </c>
      <c r="H43" s="77">
        <f t="shared" si="3"/>
        <v>0</v>
      </c>
      <c r="I43" s="189" t="s">
        <v>140</v>
      </c>
      <c r="J43" s="17"/>
      <c r="K43" s="17"/>
      <c r="L43" s="17"/>
      <c r="M43" s="189" t="s">
        <v>247</v>
      </c>
      <c r="N43" s="17" t="s">
        <v>361</v>
      </c>
      <c r="O43" s="189" t="str">
        <f t="shared" si="6"/>
        <v>nein</v>
      </c>
      <c r="P43" s="189" t="str">
        <f t="shared" si="4"/>
        <v/>
      </c>
      <c r="V43" s="233" t="str">
        <f t="shared" si="5"/>
        <v/>
      </c>
    </row>
    <row r="44" spans="1:22" ht="21.75" customHeight="1" thickBot="1" x14ac:dyDescent="0.25">
      <c r="A44" s="23" t="s">
        <v>449</v>
      </c>
      <c r="B44" s="69">
        <f>'Begr.-Rechner int. Prod.'!B45</f>
        <v>21.87</v>
      </c>
      <c r="C44" s="70">
        <f>'Begr.-Rechner int. Prod.'!C45</f>
        <v>20</v>
      </c>
      <c r="D44" s="187">
        <f t="shared" ref="D44:D54" si="7">IF(ISERROR(C44*B44),0,C44*B44)</f>
        <v>437.40000000000003</v>
      </c>
      <c r="E44" s="188">
        <f>'Begr.-Rechner int. Prod.'!E45</f>
        <v>0</v>
      </c>
      <c r="F44" s="75">
        <f t="shared" ref="F44:F54" si="8">IF(ISERROR(E44*B44),0,(E44*B44))</f>
        <v>0</v>
      </c>
      <c r="G44" s="76">
        <f t="shared" ref="G44:G54" si="9">IF(ISERROR(E44/C44),0,(E44/C44))</f>
        <v>0</v>
      </c>
      <c r="H44" s="77">
        <f t="shared" ref="H44:H54" si="10">IF(ISERROR($I$2*E44),0,($I$2*E44))</f>
        <v>0</v>
      </c>
      <c r="I44" s="189" t="s">
        <v>514</v>
      </c>
      <c r="J44" s="17"/>
      <c r="K44" s="17"/>
      <c r="L44" s="17"/>
      <c r="M44" s="189" t="s">
        <v>247</v>
      </c>
      <c r="N44" s="17" t="s">
        <v>361</v>
      </c>
      <c r="O44" s="189" t="str">
        <f t="shared" ref="O44:O54" si="11">IF(E44&gt;0,"ja","nein")</f>
        <v>nein</v>
      </c>
      <c r="P44" s="189" t="str">
        <f t="shared" ref="P44:P54" si="12">IF(O44="ja",I44,"")</f>
        <v/>
      </c>
      <c r="V44" s="233" t="str">
        <f t="shared" ref="V44:V61" si="13">IF(AND(O44="ja",N44="ja"),1,"")</f>
        <v/>
      </c>
    </row>
    <row r="45" spans="1:22" ht="21.75" customHeight="1" thickBot="1" x14ac:dyDescent="0.25">
      <c r="A45" s="23" t="s">
        <v>38</v>
      </c>
      <c r="B45" s="69">
        <f>'Begr.-Rechner int. Prod.'!B46</f>
        <v>5.15</v>
      </c>
      <c r="C45" s="70">
        <f>'Begr.-Rechner int. Prod.'!C46</f>
        <v>20</v>
      </c>
      <c r="D45" s="187">
        <f t="shared" si="7"/>
        <v>103</v>
      </c>
      <c r="E45" s="188">
        <f>'Begr.-Rechner int. Prod.'!E46</f>
        <v>0</v>
      </c>
      <c r="F45" s="75">
        <f t="shared" si="8"/>
        <v>0</v>
      </c>
      <c r="G45" s="76">
        <f t="shared" si="9"/>
        <v>0</v>
      </c>
      <c r="H45" s="77">
        <f t="shared" si="10"/>
        <v>0</v>
      </c>
      <c r="I45" s="189" t="s">
        <v>340</v>
      </c>
      <c r="J45" s="17"/>
      <c r="K45" s="17"/>
      <c r="L45" s="17"/>
      <c r="M45" s="189" t="s">
        <v>247</v>
      </c>
      <c r="N45" s="17" t="s">
        <v>361</v>
      </c>
      <c r="O45" s="189" t="str">
        <f t="shared" si="11"/>
        <v>nein</v>
      </c>
      <c r="P45" s="189" t="str">
        <f t="shared" si="12"/>
        <v/>
      </c>
      <c r="V45" s="233" t="str">
        <f t="shared" si="13"/>
        <v/>
      </c>
    </row>
    <row r="46" spans="1:22" ht="21.75" customHeight="1" thickBot="1" x14ac:dyDescent="0.25">
      <c r="A46" s="19" t="s">
        <v>39</v>
      </c>
      <c r="B46" s="69">
        <f>'Begr.-Rechner int. Prod.'!B47</f>
        <v>2.92</v>
      </c>
      <c r="C46" s="70">
        <f>'Begr.-Rechner int. Prod.'!C47</f>
        <v>25</v>
      </c>
      <c r="D46" s="187">
        <f t="shared" si="7"/>
        <v>73</v>
      </c>
      <c r="E46" s="188">
        <f>'Begr.-Rechner int. Prod.'!E47</f>
        <v>0</v>
      </c>
      <c r="F46" s="75">
        <f t="shared" si="8"/>
        <v>0</v>
      </c>
      <c r="G46" s="76">
        <f t="shared" si="9"/>
        <v>0</v>
      </c>
      <c r="H46" s="77">
        <f t="shared" si="10"/>
        <v>0</v>
      </c>
      <c r="I46" s="189" t="s">
        <v>182</v>
      </c>
      <c r="J46" s="17"/>
      <c r="K46" s="17"/>
      <c r="L46" s="17"/>
      <c r="M46" s="189" t="s">
        <v>247</v>
      </c>
      <c r="N46" s="17" t="s">
        <v>247</v>
      </c>
      <c r="O46" s="189" t="str">
        <f t="shared" si="11"/>
        <v>nein</v>
      </c>
      <c r="P46" s="189" t="str">
        <f t="shared" si="12"/>
        <v/>
      </c>
      <c r="V46" s="233" t="str">
        <f t="shared" si="13"/>
        <v/>
      </c>
    </row>
    <row r="47" spans="1:22" ht="21.75" customHeight="1" thickBot="1" x14ac:dyDescent="0.25">
      <c r="A47" s="19" t="s">
        <v>515</v>
      </c>
      <c r="B47" s="69">
        <f>'Begr.-Rechner int. Prod.'!B48</f>
        <v>1.97</v>
      </c>
      <c r="C47" s="70">
        <f>'Begr.-Rechner int. Prod.'!C48</f>
        <v>120</v>
      </c>
      <c r="D47" s="187">
        <f t="shared" si="7"/>
        <v>236.4</v>
      </c>
      <c r="E47" s="188">
        <f>'Begr.-Rechner int. Prod.'!E48</f>
        <v>0</v>
      </c>
      <c r="F47" s="75">
        <f t="shared" si="8"/>
        <v>0</v>
      </c>
      <c r="G47" s="76">
        <f t="shared" si="9"/>
        <v>0</v>
      </c>
      <c r="H47" s="77">
        <f t="shared" si="10"/>
        <v>0</v>
      </c>
      <c r="I47" s="189" t="s">
        <v>182</v>
      </c>
      <c r="J47" s="17"/>
      <c r="K47" s="17"/>
      <c r="L47" s="17"/>
      <c r="M47" s="189" t="s">
        <v>247</v>
      </c>
      <c r="N47" s="17" t="s">
        <v>247</v>
      </c>
      <c r="O47" s="189" t="str">
        <f t="shared" si="11"/>
        <v>nein</v>
      </c>
      <c r="P47" s="189" t="str">
        <f t="shared" si="12"/>
        <v/>
      </c>
      <c r="V47" s="233" t="str">
        <f t="shared" si="13"/>
        <v/>
      </c>
    </row>
    <row r="48" spans="1:22" ht="21.75" customHeight="1" thickBot="1" x14ac:dyDescent="0.25">
      <c r="A48" s="28" t="s">
        <v>40</v>
      </c>
      <c r="B48" s="69">
        <f>'Begr.-Rechner int. Prod.'!B49</f>
        <v>11.25</v>
      </c>
      <c r="C48" s="70">
        <f>'Begr.-Rechner int. Prod.'!C49</f>
        <v>12</v>
      </c>
      <c r="D48" s="187">
        <f t="shared" si="7"/>
        <v>135</v>
      </c>
      <c r="E48" s="188">
        <f>'Begr.-Rechner int. Prod.'!E49</f>
        <v>0</v>
      </c>
      <c r="F48" s="75">
        <f t="shared" si="8"/>
        <v>0</v>
      </c>
      <c r="G48" s="76">
        <f t="shared" si="9"/>
        <v>0</v>
      </c>
      <c r="H48" s="77">
        <f t="shared" si="10"/>
        <v>0</v>
      </c>
      <c r="I48" s="189" t="s">
        <v>340</v>
      </c>
      <c r="J48" s="17"/>
      <c r="K48" s="17"/>
      <c r="L48" s="17"/>
      <c r="M48" s="189" t="s">
        <v>247</v>
      </c>
      <c r="N48" s="17" t="s">
        <v>361</v>
      </c>
      <c r="O48" s="189" t="str">
        <f t="shared" si="11"/>
        <v>nein</v>
      </c>
      <c r="P48" s="189" t="str">
        <f t="shared" si="12"/>
        <v/>
      </c>
      <c r="V48" s="233" t="str">
        <f t="shared" si="13"/>
        <v/>
      </c>
    </row>
    <row r="49" spans="1:22" ht="21.75" customHeight="1" thickBot="1" x14ac:dyDescent="0.25">
      <c r="A49" s="28" t="s">
        <v>452</v>
      </c>
      <c r="B49" s="69">
        <f>'Begr.-Rechner int. Prod.'!B50</f>
        <v>2.37</v>
      </c>
      <c r="C49" s="70">
        <f>'Begr.-Rechner int. Prod.'!C50</f>
        <v>150</v>
      </c>
      <c r="D49" s="187">
        <f t="shared" si="7"/>
        <v>355.5</v>
      </c>
      <c r="E49" s="188">
        <f>'Begr.-Rechner int. Prod.'!E50</f>
        <v>0</v>
      </c>
      <c r="F49" s="75">
        <f t="shared" si="8"/>
        <v>0</v>
      </c>
      <c r="G49" s="76">
        <f t="shared" si="9"/>
        <v>0</v>
      </c>
      <c r="H49" s="77">
        <f t="shared" si="10"/>
        <v>0</v>
      </c>
      <c r="I49" s="189" t="s">
        <v>340</v>
      </c>
      <c r="J49" s="17"/>
      <c r="K49" s="17"/>
      <c r="L49" s="17"/>
      <c r="M49" s="189" t="s">
        <v>361</v>
      </c>
      <c r="N49" s="17" t="s">
        <v>361</v>
      </c>
      <c r="O49" s="189" t="str">
        <f t="shared" si="11"/>
        <v>nein</v>
      </c>
      <c r="P49" s="189" t="str">
        <f t="shared" si="12"/>
        <v/>
      </c>
      <c r="V49" s="233" t="str">
        <f t="shared" si="13"/>
        <v/>
      </c>
    </row>
    <row r="50" spans="1:22" ht="21.75" customHeight="1" thickBot="1" x14ac:dyDescent="0.25">
      <c r="A50" s="23" t="s">
        <v>42</v>
      </c>
      <c r="B50" s="69">
        <f>'Begr.-Rechner int. Prod.'!B51</f>
        <v>3.1</v>
      </c>
      <c r="C50" s="70">
        <f>'Begr.-Rechner int. Prod.'!C51</f>
        <v>15</v>
      </c>
      <c r="D50" s="187">
        <f t="shared" si="7"/>
        <v>46.5</v>
      </c>
      <c r="E50" s="188">
        <f>'Begr.-Rechner int. Prod.'!E51</f>
        <v>0</v>
      </c>
      <c r="F50" s="75">
        <f t="shared" si="8"/>
        <v>0</v>
      </c>
      <c r="G50" s="76">
        <f t="shared" si="9"/>
        <v>0</v>
      </c>
      <c r="H50" s="77">
        <f t="shared" si="10"/>
        <v>0</v>
      </c>
      <c r="I50" s="189" t="s">
        <v>140</v>
      </c>
      <c r="J50" s="17"/>
      <c r="K50" s="17"/>
      <c r="L50" s="17"/>
      <c r="M50" s="189" t="s">
        <v>247</v>
      </c>
      <c r="N50" s="17" t="s">
        <v>361</v>
      </c>
      <c r="O50" s="189" t="str">
        <f t="shared" si="11"/>
        <v>nein</v>
      </c>
      <c r="P50" s="189" t="str">
        <f t="shared" si="12"/>
        <v/>
      </c>
      <c r="V50" s="233" t="str">
        <f t="shared" si="13"/>
        <v/>
      </c>
    </row>
    <row r="51" spans="1:22" ht="21.75" customHeight="1" thickBot="1" x14ac:dyDescent="0.25">
      <c r="A51" s="19" t="s">
        <v>455</v>
      </c>
      <c r="B51" s="69">
        <f>'Begr.-Rechner int. Prod.'!B52</f>
        <v>3.3200000000000003</v>
      </c>
      <c r="C51" s="70">
        <f>'Begr.-Rechner int. Prod.'!C52</f>
        <v>15</v>
      </c>
      <c r="D51" s="187">
        <f t="shared" si="7"/>
        <v>49.800000000000004</v>
      </c>
      <c r="E51" s="188">
        <f>'Begr.-Rechner int. Prod.'!E52</f>
        <v>0</v>
      </c>
      <c r="F51" s="75">
        <f t="shared" si="8"/>
        <v>0</v>
      </c>
      <c r="G51" s="76">
        <f t="shared" si="9"/>
        <v>0</v>
      </c>
      <c r="H51" s="77">
        <f t="shared" si="10"/>
        <v>0</v>
      </c>
      <c r="I51" s="189" t="s">
        <v>140</v>
      </c>
      <c r="J51" s="17"/>
      <c r="K51" s="17"/>
      <c r="L51" s="17"/>
      <c r="M51" s="189" t="s">
        <v>361</v>
      </c>
      <c r="N51" s="17" t="s">
        <v>361</v>
      </c>
      <c r="O51" s="189" t="str">
        <f t="shared" si="11"/>
        <v>nein</v>
      </c>
      <c r="P51" s="189" t="str">
        <f t="shared" si="12"/>
        <v/>
      </c>
      <c r="V51" s="233" t="str">
        <f t="shared" si="13"/>
        <v/>
      </c>
    </row>
    <row r="52" spans="1:22" ht="21.75" customHeight="1" thickBot="1" x14ac:dyDescent="0.25">
      <c r="A52" s="19" t="s">
        <v>43</v>
      </c>
      <c r="B52" s="69">
        <f>'Begr.-Rechner int. Prod.'!B53</f>
        <v>2.75</v>
      </c>
      <c r="C52" s="70">
        <f>'Begr.-Rechner int. Prod.'!C53</f>
        <v>100</v>
      </c>
      <c r="D52" s="187">
        <f t="shared" si="7"/>
        <v>275</v>
      </c>
      <c r="E52" s="188">
        <f>'Begr.-Rechner int. Prod.'!E53</f>
        <v>0</v>
      </c>
      <c r="F52" s="75">
        <f t="shared" si="8"/>
        <v>0</v>
      </c>
      <c r="G52" s="76">
        <f t="shared" si="9"/>
        <v>0</v>
      </c>
      <c r="H52" s="77">
        <f t="shared" si="10"/>
        <v>0</v>
      </c>
      <c r="I52" s="189" t="s">
        <v>340</v>
      </c>
      <c r="J52" s="17"/>
      <c r="K52" s="17"/>
      <c r="L52" s="17"/>
      <c r="M52" s="189" t="s">
        <v>361</v>
      </c>
      <c r="N52" s="17" t="s">
        <v>361</v>
      </c>
      <c r="O52" s="189" t="str">
        <f t="shared" si="11"/>
        <v>nein</v>
      </c>
      <c r="P52" s="189" t="str">
        <f t="shared" si="12"/>
        <v/>
      </c>
      <c r="V52" s="233" t="str">
        <f t="shared" si="13"/>
        <v/>
      </c>
    </row>
    <row r="53" spans="1:22" ht="21.75" customHeight="1" thickBot="1" x14ac:dyDescent="0.25">
      <c r="A53" s="19" t="s">
        <v>456</v>
      </c>
      <c r="B53" s="69">
        <f>'Begr.-Rechner int. Prod.'!B54</f>
        <v>26.11</v>
      </c>
      <c r="C53" s="70">
        <f>'Begr.-Rechner int. Prod.'!C54</f>
        <v>15</v>
      </c>
      <c r="D53" s="187">
        <f t="shared" si="7"/>
        <v>391.65</v>
      </c>
      <c r="E53" s="188">
        <f>'Begr.-Rechner int. Prod.'!E54</f>
        <v>0</v>
      </c>
      <c r="F53" s="75">
        <f t="shared" si="8"/>
        <v>0</v>
      </c>
      <c r="G53" s="76">
        <f t="shared" si="9"/>
        <v>0</v>
      </c>
      <c r="H53" s="77">
        <f t="shared" si="10"/>
        <v>0</v>
      </c>
      <c r="I53" s="189" t="s">
        <v>342</v>
      </c>
      <c r="J53" s="17"/>
      <c r="K53" s="17"/>
      <c r="L53" s="17"/>
      <c r="M53" s="189" t="s">
        <v>247</v>
      </c>
      <c r="N53" s="17" t="s">
        <v>361</v>
      </c>
      <c r="O53" s="189" t="str">
        <f t="shared" si="11"/>
        <v>nein</v>
      </c>
      <c r="P53" s="189" t="str">
        <f t="shared" si="12"/>
        <v/>
      </c>
      <c r="V53" s="233" t="str">
        <f t="shared" si="13"/>
        <v/>
      </c>
    </row>
    <row r="54" spans="1:22" ht="21.75" customHeight="1" thickBot="1" x14ac:dyDescent="0.25">
      <c r="A54" s="19" t="s">
        <v>457</v>
      </c>
      <c r="B54" s="69">
        <f>'Begr.-Rechner int. Prod.'!B55</f>
        <v>5.83</v>
      </c>
      <c r="C54" s="70">
        <f>'Begr.-Rechner int. Prod.'!C55</f>
        <v>15</v>
      </c>
      <c r="D54" s="187">
        <f t="shared" si="7"/>
        <v>87.45</v>
      </c>
      <c r="E54" s="188">
        <f>'Begr.-Rechner int. Prod.'!E55</f>
        <v>0</v>
      </c>
      <c r="F54" s="75">
        <f t="shared" si="8"/>
        <v>0</v>
      </c>
      <c r="G54" s="76">
        <f t="shared" si="9"/>
        <v>0</v>
      </c>
      <c r="H54" s="77">
        <f t="shared" si="10"/>
        <v>0</v>
      </c>
      <c r="I54" s="189" t="s">
        <v>182</v>
      </c>
      <c r="J54" s="17"/>
      <c r="K54" s="17"/>
      <c r="L54" s="17"/>
      <c r="M54" s="189" t="s">
        <v>247</v>
      </c>
      <c r="N54" s="17" t="s">
        <v>247</v>
      </c>
      <c r="O54" s="189" t="str">
        <f t="shared" si="11"/>
        <v>nein</v>
      </c>
      <c r="P54" s="189" t="str">
        <f t="shared" si="12"/>
        <v/>
      </c>
      <c r="V54" s="233" t="str">
        <f t="shared" si="13"/>
        <v/>
      </c>
    </row>
    <row r="55" spans="1:22" ht="21.75" customHeight="1" thickTop="1" thickBot="1" x14ac:dyDescent="0.25">
      <c r="A55" s="262" t="s">
        <v>124</v>
      </c>
      <c r="B55" s="69">
        <f>'Begr.-Rechner int. Prod.'!B56</f>
        <v>0</v>
      </c>
      <c r="C55" s="70">
        <f>'Begr.-Rechner int. Prod.'!C56</f>
        <v>0</v>
      </c>
      <c r="D55" s="263">
        <f t="shared" ref="D55:D61" si="14">IF(ISERROR(C55*B55),0,C55*B55)</f>
        <v>0</v>
      </c>
      <c r="E55" s="264">
        <f>'Begr.-Rechner int. Prod.'!E56</f>
        <v>0</v>
      </c>
      <c r="F55" s="265">
        <f t="shared" ref="F55:F61" si="15">IF(ISERROR(E55*B55),0,(E55*B55))</f>
        <v>0</v>
      </c>
      <c r="G55" s="266">
        <f t="shared" ref="G55:G61" si="16">IF(ISERROR(E55/C55),0,(E55/C55))</f>
        <v>0</v>
      </c>
      <c r="H55" s="267">
        <f t="shared" ref="H55:H61" si="17">IF(ISERROR($I$2*E55),0,($I$2*E55))</f>
        <v>0</v>
      </c>
      <c r="I55" s="268">
        <f>IF(AND('Begr.-Rechner int. Prod.'!I56="",O55="ja"),"keine Angabe",'Begr.-Rechner int. Prod.'!I56)</f>
        <v>0</v>
      </c>
      <c r="J55" s="17"/>
      <c r="K55" s="17"/>
      <c r="L55" s="17"/>
      <c r="M55" s="17" t="str">
        <f>IF('Begr.-Rechner int. Prod.'!$N56="","nein",IF('Begr.-Rechner int. Prod.'!$N56&lt;&gt;"","ja"))</f>
        <v>nein</v>
      </c>
      <c r="N55" s="226" t="str">
        <f>IF(AND(O55="ja",'Begr.-Rechner int. Prod.'!I56&lt;&gt;""),'Begr.-Rechner int. Prod.'!L56,"")</f>
        <v/>
      </c>
      <c r="O55" s="189" t="str">
        <f t="shared" ref="O55:O61" si="18">IF(E55&gt;0,"ja","nein")</f>
        <v>nein</v>
      </c>
      <c r="P55" s="189" t="str">
        <f>IF(AND(O55="ja",I55&lt;&gt;"keine Angabe"),I55,IF(AND(O55="ja",I55="keine Angabe"),"",""))</f>
        <v/>
      </c>
      <c r="V55" s="233" t="str">
        <f t="shared" si="13"/>
        <v/>
      </c>
    </row>
    <row r="56" spans="1:22" ht="21.75" customHeight="1" thickTop="1" thickBot="1" x14ac:dyDescent="0.25">
      <c r="A56" s="269" t="s">
        <v>125</v>
      </c>
      <c r="B56" s="69">
        <f>'Begr.-Rechner int. Prod.'!B57</f>
        <v>0</v>
      </c>
      <c r="C56" s="70">
        <f>'Begr.-Rechner int. Prod.'!C57</f>
        <v>0</v>
      </c>
      <c r="D56" s="270">
        <f t="shared" si="14"/>
        <v>0</v>
      </c>
      <c r="E56" s="271">
        <f>'Begr.-Rechner int. Prod.'!E57</f>
        <v>0</v>
      </c>
      <c r="F56" s="272">
        <f t="shared" si="15"/>
        <v>0</v>
      </c>
      <c r="G56" s="257">
        <f t="shared" si="16"/>
        <v>0</v>
      </c>
      <c r="H56" s="258">
        <f t="shared" si="17"/>
        <v>0</v>
      </c>
      <c r="I56" s="268">
        <f>IF(AND('Begr.-Rechner int. Prod.'!I57="",O56="ja"),"keine Angabe",'Begr.-Rechner int. Prod.'!I57)</f>
        <v>0</v>
      </c>
      <c r="J56" s="17"/>
      <c r="K56" s="17"/>
      <c r="L56" s="17"/>
      <c r="M56" s="17" t="str">
        <f>IF('Begr.-Rechner int. Prod.'!$N57="","nein",IF('Begr.-Rechner int. Prod.'!$N57&lt;&gt;"","ja"))</f>
        <v>nein</v>
      </c>
      <c r="N56" s="226" t="str">
        <f>IF(AND(O56="ja",'Begr.-Rechner int. Prod.'!I57&lt;&gt;""),'Begr.-Rechner int. Prod.'!L57,"")</f>
        <v/>
      </c>
      <c r="O56" s="189" t="str">
        <f t="shared" si="18"/>
        <v>nein</v>
      </c>
      <c r="P56" s="189" t="str">
        <f t="shared" ref="P56:P61" si="19">IF(AND(O56="ja",I56&lt;&gt;"keine Angabe"),I56,IF(AND(O56="ja",I56="keine Angabe"),"",""))</f>
        <v/>
      </c>
      <c r="V56" s="233" t="str">
        <f t="shared" si="13"/>
        <v/>
      </c>
    </row>
    <row r="57" spans="1:22" ht="21.75" customHeight="1" thickTop="1" thickBot="1" x14ac:dyDescent="0.25">
      <c r="A57" s="269" t="s">
        <v>126</v>
      </c>
      <c r="B57" s="69">
        <f>'Begr.-Rechner int. Prod.'!B58</f>
        <v>0</v>
      </c>
      <c r="C57" s="70">
        <f>'Begr.-Rechner int. Prod.'!C58</f>
        <v>0</v>
      </c>
      <c r="D57" s="270">
        <f t="shared" si="14"/>
        <v>0</v>
      </c>
      <c r="E57" s="271">
        <f>'Begr.-Rechner int. Prod.'!E58</f>
        <v>0</v>
      </c>
      <c r="F57" s="272">
        <f t="shared" si="15"/>
        <v>0</v>
      </c>
      <c r="G57" s="257">
        <f t="shared" si="16"/>
        <v>0</v>
      </c>
      <c r="H57" s="258">
        <f t="shared" si="17"/>
        <v>0</v>
      </c>
      <c r="I57" s="268">
        <f>IF(AND('Begr.-Rechner int. Prod.'!I58="",O57="ja"),"keine Angabe",'Begr.-Rechner int. Prod.'!I58)</f>
        <v>0</v>
      </c>
      <c r="J57" s="17"/>
      <c r="K57" s="17"/>
      <c r="L57" s="17"/>
      <c r="M57" s="17" t="str">
        <f>IF('Begr.-Rechner int. Prod.'!$N58="","nein",IF('Begr.-Rechner int. Prod.'!$N58&lt;&gt;"","ja"))</f>
        <v>nein</v>
      </c>
      <c r="N57" s="226" t="str">
        <f>IF(AND(O57="ja",'Begr.-Rechner int. Prod.'!I58&lt;&gt;""),'Begr.-Rechner int. Prod.'!L58,"")</f>
        <v/>
      </c>
      <c r="O57" s="189" t="str">
        <f t="shared" si="18"/>
        <v>nein</v>
      </c>
      <c r="P57" s="189" t="str">
        <f t="shared" si="19"/>
        <v/>
      </c>
      <c r="V57" s="233" t="str">
        <f t="shared" si="13"/>
        <v/>
      </c>
    </row>
    <row r="58" spans="1:22" ht="21.75" customHeight="1" thickTop="1" thickBot="1" x14ac:dyDescent="0.25">
      <c r="A58" s="269" t="s">
        <v>127</v>
      </c>
      <c r="B58" s="69">
        <f>'Begr.-Rechner int. Prod.'!B59</f>
        <v>0</v>
      </c>
      <c r="C58" s="70">
        <f>'Begr.-Rechner int. Prod.'!C59</f>
        <v>0</v>
      </c>
      <c r="D58" s="270">
        <f t="shared" si="14"/>
        <v>0</v>
      </c>
      <c r="E58" s="271">
        <f>'Begr.-Rechner int. Prod.'!E59</f>
        <v>0</v>
      </c>
      <c r="F58" s="272">
        <f t="shared" si="15"/>
        <v>0</v>
      </c>
      <c r="G58" s="257">
        <f t="shared" si="16"/>
        <v>0</v>
      </c>
      <c r="H58" s="258">
        <f t="shared" si="17"/>
        <v>0</v>
      </c>
      <c r="I58" s="268">
        <f>IF(AND('Begr.-Rechner int. Prod.'!I59="",O58="ja"),"keine Angabe",'Begr.-Rechner int. Prod.'!I59)</f>
        <v>0</v>
      </c>
      <c r="J58" s="17"/>
      <c r="K58" s="17"/>
      <c r="L58" s="17"/>
      <c r="M58" s="17" t="str">
        <f>IF('Begr.-Rechner int. Prod.'!$N59="","nein",IF('Begr.-Rechner int. Prod.'!$N59&lt;&gt;"","ja"))</f>
        <v>nein</v>
      </c>
      <c r="N58" s="226" t="str">
        <f>IF(AND(O58="ja",'Begr.-Rechner int. Prod.'!I59&lt;&gt;""),'Begr.-Rechner int. Prod.'!L59,"")</f>
        <v/>
      </c>
      <c r="O58" s="189" t="str">
        <f t="shared" si="18"/>
        <v>nein</v>
      </c>
      <c r="P58" s="189" t="str">
        <f t="shared" si="19"/>
        <v/>
      </c>
      <c r="V58" s="233" t="str">
        <f t="shared" si="13"/>
        <v/>
      </c>
    </row>
    <row r="59" spans="1:22" ht="21.75" customHeight="1" thickTop="1" thickBot="1" x14ac:dyDescent="0.25">
      <c r="A59" s="269" t="s">
        <v>128</v>
      </c>
      <c r="B59" s="69">
        <f>'Begr.-Rechner int. Prod.'!B60</f>
        <v>0</v>
      </c>
      <c r="C59" s="70">
        <f>'Begr.-Rechner int. Prod.'!C60</f>
        <v>0</v>
      </c>
      <c r="D59" s="270">
        <f t="shared" si="14"/>
        <v>0</v>
      </c>
      <c r="E59" s="271">
        <f>'Begr.-Rechner int. Prod.'!E60</f>
        <v>0</v>
      </c>
      <c r="F59" s="272">
        <f t="shared" si="15"/>
        <v>0</v>
      </c>
      <c r="G59" s="257">
        <f t="shared" si="16"/>
        <v>0</v>
      </c>
      <c r="H59" s="258">
        <f t="shared" si="17"/>
        <v>0</v>
      </c>
      <c r="I59" s="268">
        <f>IF(AND('Begr.-Rechner int. Prod.'!I60="",O59="ja"),"keine Angabe",'Begr.-Rechner int. Prod.'!I60)</f>
        <v>0</v>
      </c>
      <c r="J59" s="17"/>
      <c r="K59" s="17"/>
      <c r="L59" s="17"/>
      <c r="M59" s="17" t="str">
        <f>IF('Begr.-Rechner int. Prod.'!$N60="","nein",IF('Begr.-Rechner int. Prod.'!$N60&lt;&gt;"","ja"))</f>
        <v>nein</v>
      </c>
      <c r="N59" s="226" t="str">
        <f>IF(AND(O59="ja",'Begr.-Rechner int. Prod.'!I60&lt;&gt;""),'Begr.-Rechner int. Prod.'!L60,"")</f>
        <v/>
      </c>
      <c r="O59" s="189" t="str">
        <f t="shared" si="18"/>
        <v>nein</v>
      </c>
      <c r="P59" s="189" t="str">
        <f t="shared" si="19"/>
        <v/>
      </c>
      <c r="V59" s="233" t="str">
        <f t="shared" si="13"/>
        <v/>
      </c>
    </row>
    <row r="60" spans="1:22" ht="21.75" customHeight="1" thickTop="1" thickBot="1" x14ac:dyDescent="0.25">
      <c r="A60" s="269" t="s">
        <v>129</v>
      </c>
      <c r="B60" s="69">
        <f>'Begr.-Rechner int. Prod.'!B61</f>
        <v>0</v>
      </c>
      <c r="C60" s="70">
        <f>'Begr.-Rechner int. Prod.'!C61</f>
        <v>0</v>
      </c>
      <c r="D60" s="270">
        <f t="shared" si="14"/>
        <v>0</v>
      </c>
      <c r="E60" s="271">
        <f>'Begr.-Rechner int. Prod.'!E61</f>
        <v>0</v>
      </c>
      <c r="F60" s="272">
        <f t="shared" si="15"/>
        <v>0</v>
      </c>
      <c r="G60" s="257">
        <f t="shared" si="16"/>
        <v>0</v>
      </c>
      <c r="H60" s="258">
        <f t="shared" si="17"/>
        <v>0</v>
      </c>
      <c r="I60" s="268">
        <f>IF(AND('Begr.-Rechner int. Prod.'!I61="",O60="ja"),"keine Angabe",'Begr.-Rechner int. Prod.'!I61)</f>
        <v>0</v>
      </c>
      <c r="J60" s="17"/>
      <c r="K60" s="17"/>
      <c r="L60" s="17"/>
      <c r="M60" s="17" t="str">
        <f>IF('Begr.-Rechner int. Prod.'!$N61="","nein",IF('Begr.-Rechner int. Prod.'!$N61&lt;&gt;"","ja"))</f>
        <v>nein</v>
      </c>
      <c r="N60" s="226" t="str">
        <f>IF(AND(O60="ja",'Begr.-Rechner int. Prod.'!I61&lt;&gt;""),'Begr.-Rechner int. Prod.'!L61,"")</f>
        <v/>
      </c>
      <c r="O60" s="189" t="str">
        <f t="shared" si="18"/>
        <v>nein</v>
      </c>
      <c r="P60" s="189" t="str">
        <f t="shared" si="19"/>
        <v/>
      </c>
      <c r="V60" s="233" t="str">
        <f t="shared" si="13"/>
        <v/>
      </c>
    </row>
    <row r="61" spans="1:22" ht="21.75" customHeight="1" thickTop="1" thickBot="1" x14ac:dyDescent="0.25">
      <c r="A61" s="273" t="s">
        <v>130</v>
      </c>
      <c r="B61" s="69">
        <f>'Begr.-Rechner int. Prod.'!B62</f>
        <v>0</v>
      </c>
      <c r="C61" s="70">
        <f>'Begr.-Rechner int. Prod.'!C62</f>
        <v>0</v>
      </c>
      <c r="D61" s="274">
        <f t="shared" si="14"/>
        <v>0</v>
      </c>
      <c r="E61" s="275">
        <f>'Begr.-Rechner int. Prod.'!E62</f>
        <v>0</v>
      </c>
      <c r="F61" s="276">
        <f t="shared" si="15"/>
        <v>0</v>
      </c>
      <c r="G61" s="259">
        <f t="shared" si="16"/>
        <v>0</v>
      </c>
      <c r="H61" s="260">
        <f t="shared" si="17"/>
        <v>0</v>
      </c>
      <c r="I61" s="268">
        <f>IF(AND('Begr.-Rechner int. Prod.'!I62="",O61="ja"),"keine Angabe",'Begr.-Rechner int. Prod.'!I62)</f>
        <v>0</v>
      </c>
      <c r="J61" s="17"/>
      <c r="K61" s="17"/>
      <c r="L61" s="17"/>
      <c r="M61" s="17" t="str">
        <f>IF('Begr.-Rechner int. Prod.'!$N62="","nein",IF('Begr.-Rechner int. Prod.'!$N62&lt;&gt;"","ja"))</f>
        <v>nein</v>
      </c>
      <c r="N61" s="226" t="str">
        <f>IF(AND(O61="ja",'Begr.-Rechner int. Prod.'!I62&lt;&gt;""),'Begr.-Rechner int. Prod.'!L62,"")</f>
        <v/>
      </c>
      <c r="O61" s="189" t="str">
        <f t="shared" si="18"/>
        <v>nein</v>
      </c>
      <c r="P61" s="189" t="str">
        <f t="shared" si="19"/>
        <v/>
      </c>
      <c r="V61" s="233" t="str">
        <f t="shared" si="13"/>
        <v/>
      </c>
    </row>
    <row r="62" spans="1:22" ht="21.75" customHeight="1" thickTop="1" x14ac:dyDescent="0.25">
      <c r="V62" s="438"/>
    </row>
    <row r="63" spans="1:22" ht="21.75" customHeight="1" x14ac:dyDescent="0.25">
      <c r="P63" s="189"/>
      <c r="V63" s="390"/>
    </row>
    <row r="64" spans="1:22" ht="21.75" customHeight="1" x14ac:dyDescent="0.25">
      <c r="P64" s="189"/>
      <c r="V64" s="390"/>
    </row>
    <row r="65" spans="1:22" ht="21.75" customHeight="1" x14ac:dyDescent="0.25">
      <c r="P65" s="189"/>
      <c r="V65" s="390"/>
    </row>
    <row r="66" spans="1:22" ht="21.75" customHeight="1" x14ac:dyDescent="0.25">
      <c r="P66" s="189"/>
      <c r="V66" s="390"/>
    </row>
    <row r="67" spans="1:22" ht="21.75" customHeight="1" x14ac:dyDescent="0.25">
      <c r="P67" s="189"/>
      <c r="V67" s="390"/>
    </row>
    <row r="68" spans="1:22" ht="21.75" customHeight="1" x14ac:dyDescent="0.25">
      <c r="P68" s="189"/>
      <c r="V68" s="390"/>
    </row>
    <row r="69" spans="1:22" ht="21.75" customHeight="1" x14ac:dyDescent="0.25">
      <c r="P69" s="189"/>
      <c r="V69" s="390"/>
    </row>
    <row r="70" spans="1:22" ht="14.25" x14ac:dyDescent="0.2">
      <c r="A70" s="38"/>
      <c r="B70" s="37"/>
      <c r="C70" s="37"/>
      <c r="D70" s="37"/>
      <c r="E70" s="37"/>
      <c r="F70" s="37"/>
      <c r="G70" s="37"/>
      <c r="H70" s="37"/>
    </row>
    <row r="71" spans="1:22" ht="14.25" x14ac:dyDescent="0.2">
      <c r="A71" s="56"/>
      <c r="B71" s="37"/>
      <c r="C71" s="37"/>
      <c r="D71" s="37"/>
      <c r="E71" s="37"/>
      <c r="F71" s="37"/>
      <c r="G71" s="37"/>
      <c r="H71" s="37"/>
    </row>
    <row r="72" spans="1:22" ht="14.25" x14ac:dyDescent="0.2">
      <c r="A72" s="39"/>
      <c r="B72" s="37"/>
      <c r="C72" s="37"/>
      <c r="D72" s="37"/>
      <c r="E72" s="37"/>
      <c r="F72" s="37"/>
      <c r="G72" s="37"/>
      <c r="H72" s="37"/>
    </row>
    <row r="73" spans="1:22" ht="14.25" x14ac:dyDescent="0.2">
      <c r="B73"/>
    </row>
    <row r="74" spans="1:22" ht="14.25" x14ac:dyDescent="0.2">
      <c r="B74"/>
    </row>
    <row r="75" spans="1:22" ht="14.25" x14ac:dyDescent="0.2">
      <c r="B75"/>
    </row>
    <row r="76" spans="1:22" ht="14.25" x14ac:dyDescent="0.2">
      <c r="B76"/>
    </row>
    <row r="77" spans="1:22" ht="14.25" x14ac:dyDescent="0.2">
      <c r="B77"/>
    </row>
    <row r="78" spans="1:22" ht="14.25" x14ac:dyDescent="0.2">
      <c r="B78"/>
    </row>
    <row r="79" spans="1:22" ht="14.25" x14ac:dyDescent="0.2">
      <c r="B79"/>
    </row>
    <row r="80" spans="1:22" ht="14.25" x14ac:dyDescent="0.2">
      <c r="B80"/>
    </row>
    <row r="81" spans="2:2" ht="14.25" x14ac:dyDescent="0.2">
      <c r="B81"/>
    </row>
    <row r="82" spans="2:2" ht="14.25" x14ac:dyDescent="0.2">
      <c r="B82"/>
    </row>
    <row r="83" spans="2:2" ht="14.25" x14ac:dyDescent="0.2">
      <c r="B83"/>
    </row>
    <row r="84" spans="2:2" ht="14.25" x14ac:dyDescent="0.2">
      <c r="B84"/>
    </row>
    <row r="85" spans="2:2" ht="14.25" x14ac:dyDescent="0.2">
      <c r="B85"/>
    </row>
    <row r="86" spans="2:2" ht="14.25" x14ac:dyDescent="0.2">
      <c r="B86"/>
    </row>
    <row r="87" spans="2:2" ht="14.25" x14ac:dyDescent="0.2">
      <c r="B87"/>
    </row>
    <row r="88" spans="2:2" ht="14.25" x14ac:dyDescent="0.2">
      <c r="B88"/>
    </row>
    <row r="89" spans="2:2" ht="14.25" x14ac:dyDescent="0.2">
      <c r="B89"/>
    </row>
    <row r="90" spans="2:2" ht="14.25" x14ac:dyDescent="0.2">
      <c r="B90"/>
    </row>
    <row r="91" spans="2:2" ht="14.25" x14ac:dyDescent="0.2">
      <c r="B91"/>
    </row>
    <row r="92" spans="2:2" ht="14.25" x14ac:dyDescent="0.2">
      <c r="B92"/>
    </row>
    <row r="93" spans="2:2" ht="14.25" x14ac:dyDescent="0.2">
      <c r="B93"/>
    </row>
    <row r="94" spans="2:2" ht="14.25" x14ac:dyDescent="0.2">
      <c r="B94"/>
    </row>
    <row r="95" spans="2:2" ht="14.25" x14ac:dyDescent="0.2">
      <c r="B95"/>
    </row>
    <row r="96" spans="2:2" ht="14.25" x14ac:dyDescent="0.2">
      <c r="B96"/>
    </row>
    <row r="97" spans="2:2" ht="14.25" x14ac:dyDescent="0.2">
      <c r="B97"/>
    </row>
    <row r="98" spans="2:2" ht="14.25" x14ac:dyDescent="0.2">
      <c r="B98"/>
    </row>
    <row r="99" spans="2:2" ht="14.25" x14ac:dyDescent="0.2">
      <c r="B99"/>
    </row>
    <row r="100" spans="2:2" ht="14.25" x14ac:dyDescent="0.2">
      <c r="B100"/>
    </row>
    <row r="101" spans="2:2" ht="14.25" x14ac:dyDescent="0.2">
      <c r="B101"/>
    </row>
    <row r="102" spans="2:2" ht="14.25" x14ac:dyDescent="0.2">
      <c r="B102"/>
    </row>
    <row r="103" spans="2:2" ht="14.25" x14ac:dyDescent="0.2">
      <c r="B103"/>
    </row>
    <row r="104" spans="2:2" ht="14.25" x14ac:dyDescent="0.2">
      <c r="B104"/>
    </row>
    <row r="105" spans="2:2" ht="14.25" x14ac:dyDescent="0.2">
      <c r="B105"/>
    </row>
    <row r="106" spans="2:2" ht="14.25" x14ac:dyDescent="0.2">
      <c r="B106"/>
    </row>
    <row r="107" spans="2:2" ht="14.25" x14ac:dyDescent="0.2">
      <c r="B107"/>
    </row>
    <row r="108" spans="2:2" ht="14.25" x14ac:dyDescent="0.2">
      <c r="B108"/>
    </row>
    <row r="109" spans="2:2" ht="14.25" x14ac:dyDescent="0.2">
      <c r="B109"/>
    </row>
    <row r="110" spans="2:2" ht="14.25" x14ac:dyDescent="0.2">
      <c r="B110"/>
    </row>
    <row r="111" spans="2:2" ht="14.25" x14ac:dyDescent="0.2">
      <c r="B111"/>
    </row>
    <row r="112" spans="2:2" ht="14.25" x14ac:dyDescent="0.2">
      <c r="B112"/>
    </row>
    <row r="113" spans="2:2" ht="14.25" x14ac:dyDescent="0.2">
      <c r="B113"/>
    </row>
    <row r="114" spans="2:2" ht="14.25" x14ac:dyDescent="0.2">
      <c r="B114"/>
    </row>
    <row r="115" spans="2:2" ht="14.25" x14ac:dyDescent="0.2">
      <c r="B115"/>
    </row>
    <row r="116" spans="2:2" ht="14.25" x14ac:dyDescent="0.2">
      <c r="B116"/>
    </row>
    <row r="117" spans="2:2" ht="14.25" x14ac:dyDescent="0.2">
      <c r="B117"/>
    </row>
    <row r="118" spans="2:2" ht="14.25" x14ac:dyDescent="0.2">
      <c r="B118"/>
    </row>
    <row r="119" spans="2:2" ht="14.25" x14ac:dyDescent="0.2">
      <c r="B119"/>
    </row>
    <row r="120" spans="2:2" ht="14.25" x14ac:dyDescent="0.2">
      <c r="B120"/>
    </row>
    <row r="121" spans="2:2" ht="14.25" x14ac:dyDescent="0.2">
      <c r="B121"/>
    </row>
    <row r="122" spans="2:2" ht="14.25" x14ac:dyDescent="0.2">
      <c r="B122"/>
    </row>
    <row r="123" spans="2:2" ht="14.25" x14ac:dyDescent="0.2">
      <c r="B123"/>
    </row>
    <row r="124" spans="2:2" ht="14.25" x14ac:dyDescent="0.2">
      <c r="B124"/>
    </row>
    <row r="125" spans="2:2" ht="14.25" x14ac:dyDescent="0.2">
      <c r="B125"/>
    </row>
    <row r="126" spans="2:2" ht="14.25" x14ac:dyDescent="0.2">
      <c r="B126"/>
    </row>
    <row r="127" spans="2:2" ht="14.25" x14ac:dyDescent="0.2">
      <c r="B127"/>
    </row>
    <row r="128" spans="2:2" ht="14.25" x14ac:dyDescent="0.2">
      <c r="B128"/>
    </row>
    <row r="129" spans="2:2" ht="14.25" x14ac:dyDescent="0.2">
      <c r="B129"/>
    </row>
    <row r="130" spans="2:2" ht="14.25" x14ac:dyDescent="0.2">
      <c r="B130"/>
    </row>
    <row r="131" spans="2:2" ht="14.25" x14ac:dyDescent="0.2">
      <c r="B131"/>
    </row>
    <row r="132" spans="2:2" ht="14.25" x14ac:dyDescent="0.2">
      <c r="B132"/>
    </row>
    <row r="133" spans="2:2" ht="14.25" x14ac:dyDescent="0.2">
      <c r="B133"/>
    </row>
    <row r="134" spans="2:2" ht="14.25" x14ac:dyDescent="0.2">
      <c r="B134"/>
    </row>
    <row r="135" spans="2:2" ht="14.25" x14ac:dyDescent="0.2">
      <c r="B135"/>
    </row>
    <row r="136" spans="2:2" ht="14.25" x14ac:dyDescent="0.2">
      <c r="B136"/>
    </row>
    <row r="137" spans="2:2" ht="14.25" x14ac:dyDescent="0.2">
      <c r="B137"/>
    </row>
    <row r="138" spans="2:2" ht="14.25" x14ac:dyDescent="0.2">
      <c r="B138"/>
    </row>
    <row r="139" spans="2:2" ht="14.25" x14ac:dyDescent="0.2">
      <c r="B139"/>
    </row>
    <row r="140" spans="2:2" ht="14.25" x14ac:dyDescent="0.2">
      <c r="B140"/>
    </row>
    <row r="141" spans="2:2" ht="14.25" x14ac:dyDescent="0.2">
      <c r="B141"/>
    </row>
    <row r="142" spans="2:2" ht="14.25" x14ac:dyDescent="0.2">
      <c r="B142"/>
    </row>
    <row r="143" spans="2:2" ht="14.25" x14ac:dyDescent="0.2">
      <c r="B143"/>
    </row>
    <row r="144" spans="2:2" ht="14.25" x14ac:dyDescent="0.2">
      <c r="B144"/>
    </row>
    <row r="145" spans="2:2" ht="14.25" x14ac:dyDescent="0.2">
      <c r="B145"/>
    </row>
    <row r="146" spans="2:2" ht="14.25" x14ac:dyDescent="0.2">
      <c r="B146"/>
    </row>
    <row r="147" spans="2:2" ht="14.25" x14ac:dyDescent="0.2">
      <c r="B147"/>
    </row>
    <row r="148" spans="2:2" ht="14.25" x14ac:dyDescent="0.2">
      <c r="B148"/>
    </row>
    <row r="149" spans="2:2" ht="14.25" x14ac:dyDescent="0.2">
      <c r="B149"/>
    </row>
    <row r="150" spans="2:2" ht="14.25" x14ac:dyDescent="0.2">
      <c r="B150"/>
    </row>
    <row r="151" spans="2:2" ht="14.25" x14ac:dyDescent="0.2">
      <c r="B151"/>
    </row>
    <row r="152" spans="2:2" ht="14.25" x14ac:dyDescent="0.2">
      <c r="B152"/>
    </row>
    <row r="153" spans="2:2" ht="14.25" x14ac:dyDescent="0.2">
      <c r="B153"/>
    </row>
    <row r="154" spans="2:2" ht="14.25" x14ac:dyDescent="0.2">
      <c r="B154"/>
    </row>
    <row r="155" spans="2:2" ht="14.25" x14ac:dyDescent="0.2">
      <c r="B155"/>
    </row>
    <row r="156" spans="2:2" ht="14.25" x14ac:dyDescent="0.2">
      <c r="B156"/>
    </row>
    <row r="157" spans="2:2" ht="14.25" x14ac:dyDescent="0.2">
      <c r="B157"/>
    </row>
    <row r="158" spans="2:2" ht="14.25" x14ac:dyDescent="0.2">
      <c r="B158"/>
    </row>
    <row r="159" spans="2:2" ht="14.25" x14ac:dyDescent="0.2">
      <c r="B159"/>
    </row>
    <row r="160" spans="2:2" ht="14.25" x14ac:dyDescent="0.2">
      <c r="B160"/>
    </row>
    <row r="161" spans="2:2" ht="14.25" x14ac:dyDescent="0.2">
      <c r="B161"/>
    </row>
    <row r="162" spans="2:2" ht="14.25" x14ac:dyDescent="0.2">
      <c r="B162"/>
    </row>
    <row r="163" spans="2:2" ht="14.25" x14ac:dyDescent="0.2">
      <c r="B163"/>
    </row>
    <row r="164" spans="2:2" ht="14.25" x14ac:dyDescent="0.2">
      <c r="B164"/>
    </row>
    <row r="165" spans="2:2" ht="14.25" x14ac:dyDescent="0.2">
      <c r="B165"/>
    </row>
    <row r="166" spans="2:2" ht="14.25" x14ac:dyDescent="0.2">
      <c r="B166"/>
    </row>
    <row r="167" spans="2:2" ht="14.25" x14ac:dyDescent="0.2">
      <c r="B167"/>
    </row>
    <row r="168" spans="2:2" ht="14.25" x14ac:dyDescent="0.2">
      <c r="B168"/>
    </row>
    <row r="169" spans="2:2" ht="14.25" x14ac:dyDescent="0.2">
      <c r="B169"/>
    </row>
    <row r="170" spans="2:2" ht="14.25" x14ac:dyDescent="0.2">
      <c r="B170"/>
    </row>
    <row r="171" spans="2:2" ht="14.25" x14ac:dyDescent="0.2">
      <c r="B171"/>
    </row>
    <row r="172" spans="2:2" ht="14.25" x14ac:dyDescent="0.2">
      <c r="B172"/>
    </row>
    <row r="173" spans="2:2" ht="14.25" x14ac:dyDescent="0.2">
      <c r="B173"/>
    </row>
    <row r="174" spans="2:2" ht="14.25" x14ac:dyDescent="0.2">
      <c r="B174"/>
    </row>
    <row r="175" spans="2:2" ht="14.25" x14ac:dyDescent="0.2">
      <c r="B175"/>
    </row>
    <row r="176" spans="2:2" ht="14.25" x14ac:dyDescent="0.2">
      <c r="B176"/>
    </row>
    <row r="177" spans="2:2" ht="14.25" x14ac:dyDescent="0.2">
      <c r="B177"/>
    </row>
    <row r="178" spans="2:2" ht="14.25" x14ac:dyDescent="0.2">
      <c r="B178"/>
    </row>
    <row r="179" spans="2:2" ht="14.25" x14ac:dyDescent="0.2">
      <c r="B179"/>
    </row>
    <row r="180" spans="2:2" ht="14.25" x14ac:dyDescent="0.2">
      <c r="B180"/>
    </row>
    <row r="181" spans="2:2" ht="14.25" x14ac:dyDescent="0.2">
      <c r="B181"/>
    </row>
    <row r="182" spans="2:2" ht="14.25" x14ac:dyDescent="0.2">
      <c r="B182"/>
    </row>
    <row r="183" spans="2:2" ht="14.25" x14ac:dyDescent="0.2">
      <c r="B183"/>
    </row>
    <row r="184" spans="2:2" ht="14.25" x14ac:dyDescent="0.2">
      <c r="B184"/>
    </row>
    <row r="185" spans="2:2" ht="14.25" x14ac:dyDescent="0.2">
      <c r="B185"/>
    </row>
    <row r="186" spans="2:2" ht="14.25" x14ac:dyDescent="0.2">
      <c r="B186"/>
    </row>
    <row r="187" spans="2:2" ht="14.25" x14ac:dyDescent="0.2">
      <c r="B187"/>
    </row>
    <row r="188" spans="2:2" ht="14.25" x14ac:dyDescent="0.2">
      <c r="B188"/>
    </row>
    <row r="189" spans="2:2" ht="14.25" x14ac:dyDescent="0.2">
      <c r="B189"/>
    </row>
    <row r="190" spans="2:2" ht="14.25" x14ac:dyDescent="0.2">
      <c r="B190"/>
    </row>
    <row r="191" spans="2:2" ht="14.25" x14ac:dyDescent="0.2">
      <c r="B191"/>
    </row>
    <row r="192" spans="2:2" ht="14.25" x14ac:dyDescent="0.2">
      <c r="B192"/>
    </row>
    <row r="193" spans="2:2" ht="14.25" x14ac:dyDescent="0.2">
      <c r="B193"/>
    </row>
    <row r="194" spans="2:2" ht="14.25" x14ac:dyDescent="0.2">
      <c r="B194"/>
    </row>
    <row r="195" spans="2:2" ht="14.25" x14ac:dyDescent="0.2">
      <c r="B195"/>
    </row>
    <row r="196" spans="2:2" ht="14.25" x14ac:dyDescent="0.2">
      <c r="B196"/>
    </row>
    <row r="197" spans="2:2" ht="14.25" x14ac:dyDescent="0.2">
      <c r="B197"/>
    </row>
    <row r="198" spans="2:2" ht="14.25" x14ac:dyDescent="0.2">
      <c r="B198"/>
    </row>
    <row r="199" spans="2:2" ht="14.25" x14ac:dyDescent="0.2">
      <c r="B199"/>
    </row>
    <row r="200" spans="2:2" ht="14.25" x14ac:dyDescent="0.2">
      <c r="B200"/>
    </row>
    <row r="201" spans="2:2" ht="14.25" x14ac:dyDescent="0.2">
      <c r="B201"/>
    </row>
    <row r="202" spans="2:2" ht="14.25" x14ac:dyDescent="0.2">
      <c r="B202"/>
    </row>
    <row r="203" spans="2:2" ht="14.25" x14ac:dyDescent="0.2">
      <c r="B203"/>
    </row>
    <row r="204" spans="2:2" ht="14.25" x14ac:dyDescent="0.2">
      <c r="B204"/>
    </row>
    <row r="205" spans="2:2" ht="14.25" x14ac:dyDescent="0.2">
      <c r="B205"/>
    </row>
    <row r="206" spans="2:2" ht="14.25" x14ac:dyDescent="0.2">
      <c r="B206"/>
    </row>
    <row r="207" spans="2:2" ht="14.25" x14ac:dyDescent="0.2">
      <c r="B207"/>
    </row>
    <row r="208" spans="2:2" ht="14.25" x14ac:dyDescent="0.2">
      <c r="B208"/>
    </row>
    <row r="209" spans="2:2" ht="14.25" x14ac:dyDescent="0.2">
      <c r="B209"/>
    </row>
    <row r="210" spans="2:2" ht="14.25" x14ac:dyDescent="0.2">
      <c r="B210"/>
    </row>
    <row r="211" spans="2:2" ht="14.25" x14ac:dyDescent="0.2">
      <c r="B211"/>
    </row>
    <row r="212" spans="2:2" ht="14.25" x14ac:dyDescent="0.2">
      <c r="B212"/>
    </row>
    <row r="213" spans="2:2" ht="14.25" x14ac:dyDescent="0.2">
      <c r="B213"/>
    </row>
    <row r="214" spans="2:2" ht="14.25" x14ac:dyDescent="0.2">
      <c r="B214"/>
    </row>
    <row r="215" spans="2:2" ht="14.25" x14ac:dyDescent="0.2">
      <c r="B215"/>
    </row>
    <row r="216" spans="2:2" ht="14.25" x14ac:dyDescent="0.2">
      <c r="B216"/>
    </row>
    <row r="217" spans="2:2" ht="14.25" x14ac:dyDescent="0.2">
      <c r="B217"/>
    </row>
    <row r="218" spans="2:2" ht="14.25" x14ac:dyDescent="0.2">
      <c r="B218"/>
    </row>
    <row r="219" spans="2:2" ht="14.25" x14ac:dyDescent="0.2">
      <c r="B219"/>
    </row>
    <row r="220" spans="2:2" ht="14.25" x14ac:dyDescent="0.2">
      <c r="B220"/>
    </row>
    <row r="221" spans="2:2" ht="14.25" x14ac:dyDescent="0.2">
      <c r="B221"/>
    </row>
    <row r="222" spans="2:2" ht="14.25" x14ac:dyDescent="0.2">
      <c r="B222"/>
    </row>
    <row r="223" spans="2:2" ht="14.25" x14ac:dyDescent="0.2">
      <c r="B223"/>
    </row>
    <row r="224" spans="2:2" ht="14.25" x14ac:dyDescent="0.2">
      <c r="B224"/>
    </row>
    <row r="225" spans="2:2" ht="14.25" x14ac:dyDescent="0.2">
      <c r="B225"/>
    </row>
    <row r="226" spans="2:2" ht="14.25" x14ac:dyDescent="0.2">
      <c r="B226"/>
    </row>
    <row r="227" spans="2:2" ht="14.25" x14ac:dyDescent="0.2">
      <c r="B227"/>
    </row>
    <row r="228" spans="2:2" ht="14.25" x14ac:dyDescent="0.2">
      <c r="B228"/>
    </row>
    <row r="229" spans="2:2" ht="14.25" x14ac:dyDescent="0.2">
      <c r="B229"/>
    </row>
    <row r="230" spans="2:2" ht="14.25" x14ac:dyDescent="0.2">
      <c r="B230"/>
    </row>
    <row r="231" spans="2:2" ht="14.25" x14ac:dyDescent="0.2">
      <c r="B231"/>
    </row>
    <row r="232" spans="2:2" ht="14.25" x14ac:dyDescent="0.2">
      <c r="B232"/>
    </row>
    <row r="233" spans="2:2" ht="14.25" x14ac:dyDescent="0.2">
      <c r="B233"/>
    </row>
    <row r="234" spans="2:2" ht="14.25" x14ac:dyDescent="0.2">
      <c r="B234"/>
    </row>
    <row r="235" spans="2:2" ht="14.25" x14ac:dyDescent="0.2">
      <c r="B235"/>
    </row>
    <row r="236" spans="2:2" ht="14.25" x14ac:dyDescent="0.2">
      <c r="B236"/>
    </row>
    <row r="237" spans="2:2" ht="14.25" x14ac:dyDescent="0.2">
      <c r="B237"/>
    </row>
    <row r="238" spans="2:2" ht="14.25" x14ac:dyDescent="0.2">
      <c r="B238"/>
    </row>
    <row r="239" spans="2:2" ht="14.25" x14ac:dyDescent="0.2">
      <c r="B239"/>
    </row>
    <row r="240" spans="2:2" ht="14.25" x14ac:dyDescent="0.2">
      <c r="B240"/>
    </row>
    <row r="241" spans="2:2" ht="14.25" x14ac:dyDescent="0.2">
      <c r="B241"/>
    </row>
    <row r="242" spans="2:2" ht="14.25" x14ac:dyDescent="0.2">
      <c r="B242"/>
    </row>
    <row r="243" spans="2:2" ht="14.25" x14ac:dyDescent="0.2">
      <c r="B243"/>
    </row>
    <row r="244" spans="2:2" ht="14.25" x14ac:dyDescent="0.2">
      <c r="B244"/>
    </row>
    <row r="245" spans="2:2" ht="14.25" x14ac:dyDescent="0.2">
      <c r="B245"/>
    </row>
    <row r="246" spans="2:2" ht="14.25" x14ac:dyDescent="0.2">
      <c r="B246"/>
    </row>
    <row r="247" spans="2:2" ht="14.25" x14ac:dyDescent="0.2">
      <c r="B247"/>
    </row>
    <row r="248" spans="2:2" ht="14.25" x14ac:dyDescent="0.2">
      <c r="B248"/>
    </row>
    <row r="249" spans="2:2" ht="14.25" x14ac:dyDescent="0.2">
      <c r="B249"/>
    </row>
    <row r="250" spans="2:2" ht="14.25" x14ac:dyDescent="0.2">
      <c r="B250"/>
    </row>
    <row r="251" spans="2:2" ht="14.25" x14ac:dyDescent="0.2">
      <c r="B251"/>
    </row>
    <row r="252" spans="2:2" ht="14.25" x14ac:dyDescent="0.2">
      <c r="B252"/>
    </row>
    <row r="253" spans="2:2" ht="14.25" x14ac:dyDescent="0.2">
      <c r="B253"/>
    </row>
    <row r="254" spans="2:2" ht="14.25" x14ac:dyDescent="0.2">
      <c r="B254"/>
    </row>
    <row r="255" spans="2:2" ht="14.25" x14ac:dyDescent="0.2">
      <c r="B255"/>
    </row>
    <row r="256" spans="2:2" ht="14.25" x14ac:dyDescent="0.2">
      <c r="B256"/>
    </row>
    <row r="257" spans="2:2" ht="14.25" x14ac:dyDescent="0.2">
      <c r="B257"/>
    </row>
    <row r="258" spans="2:2" ht="14.25" x14ac:dyDescent="0.2">
      <c r="B258"/>
    </row>
    <row r="259" spans="2:2" ht="14.25" x14ac:dyDescent="0.2">
      <c r="B259"/>
    </row>
    <row r="260" spans="2:2" ht="14.25" x14ac:dyDescent="0.2">
      <c r="B260"/>
    </row>
    <row r="261" spans="2:2" ht="14.25" x14ac:dyDescent="0.2">
      <c r="B261"/>
    </row>
    <row r="262" spans="2:2" ht="14.25" x14ac:dyDescent="0.2">
      <c r="B262"/>
    </row>
    <row r="263" spans="2:2" ht="14.25" x14ac:dyDescent="0.2">
      <c r="B263"/>
    </row>
    <row r="264" spans="2:2" ht="14.25" x14ac:dyDescent="0.2">
      <c r="B264"/>
    </row>
    <row r="265" spans="2:2" ht="14.25" x14ac:dyDescent="0.2">
      <c r="B265"/>
    </row>
    <row r="266" spans="2:2" ht="14.25" x14ac:dyDescent="0.2">
      <c r="B266"/>
    </row>
    <row r="267" spans="2:2" ht="14.25" x14ac:dyDescent="0.2">
      <c r="B267"/>
    </row>
    <row r="268" spans="2:2" ht="14.25" x14ac:dyDescent="0.2">
      <c r="B268"/>
    </row>
    <row r="269" spans="2:2" ht="14.25" x14ac:dyDescent="0.2">
      <c r="B269"/>
    </row>
    <row r="270" spans="2:2" ht="14.25" x14ac:dyDescent="0.2">
      <c r="B270"/>
    </row>
    <row r="271" spans="2:2" ht="14.25" x14ac:dyDescent="0.2">
      <c r="B271"/>
    </row>
  </sheetData>
  <sheetProtection password="CAEF" sheet="1" objects="1" scenarios="1"/>
  <mergeCells count="4">
    <mergeCell ref="E1:H1"/>
    <mergeCell ref="W1:X1"/>
    <mergeCell ref="K3:L3"/>
    <mergeCell ref="K4:L4"/>
  </mergeCells>
  <conditionalFormatting sqref="I2">
    <cfRule type="expression" dxfId="22" priority="2">
      <formula>$I$2=""</formula>
    </cfRule>
  </conditionalFormatting>
  <conditionalFormatting sqref="I1">
    <cfRule type="expression" dxfId="21" priority="1">
      <formula>$I$2=""</formula>
    </cfRule>
  </conditionalFormatting>
  <pageMargins left="0.7" right="0.7" top="0.78740157499999996" bottom="0.78740157499999996" header="0.3" footer="0.3"/>
  <pageSetup paperSize="9" scale="48" fitToHeight="3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92D050"/>
    <pageSetUpPr fitToPage="1"/>
  </sheetPr>
  <dimension ref="A1:N200"/>
  <sheetViews>
    <sheetView showGridLines="0" showZeros="0" zoomScale="80" zoomScaleNormal="80" zoomScaleSheetLayoutView="100" workbookViewId="0">
      <pane xSplit="1" topLeftCell="B1" activePane="topRight" state="frozen"/>
      <selection pane="topRight" activeCell="E4" sqref="E4"/>
    </sheetView>
  </sheetViews>
  <sheetFormatPr baseColWidth="10" defaultRowHeight="15" x14ac:dyDescent="0.25"/>
  <cols>
    <col min="1" max="1" width="45.125" customWidth="1"/>
    <col min="2" max="2" width="27.875" style="40" customWidth="1"/>
    <col min="3" max="3" width="20.875" customWidth="1"/>
    <col min="4" max="4" width="20.125" customWidth="1"/>
    <col min="5" max="5" width="14.625" customWidth="1"/>
    <col min="7" max="7" width="14.25" customWidth="1"/>
    <col min="9" max="9" width="21.25" customWidth="1"/>
    <col min="10" max="10" width="11.5" customWidth="1"/>
    <col min="11" max="11" width="11.75" customWidth="1"/>
    <col min="12" max="12" width="17.375" customWidth="1"/>
    <col min="13" max="13" width="17.625" customWidth="1"/>
    <col min="14" max="14" width="20.375" customWidth="1"/>
  </cols>
  <sheetData>
    <row r="1" spans="1:14" ht="143.25" customHeight="1" thickBot="1" x14ac:dyDescent="0.25">
      <c r="A1" s="68" t="s">
        <v>528</v>
      </c>
      <c r="B1" s="1" t="s">
        <v>131</v>
      </c>
      <c r="C1" s="2" t="s">
        <v>132</v>
      </c>
      <c r="D1" s="3"/>
      <c r="E1" s="608" t="s">
        <v>0</v>
      </c>
      <c r="F1" s="512"/>
      <c r="G1" s="512"/>
      <c r="H1" s="512"/>
      <c r="I1" s="278" t="str">
        <f>IF(OR($I$2="",$I$2=0),"bitte geben Sie HIER die
Begrünungsfläche  in ha an","Fläche in ha")</f>
        <v>bitte geben Sie HIER die
Begrünungsfläche  in ha an</v>
      </c>
      <c r="J1" s="4" t="s">
        <v>304</v>
      </c>
      <c r="K1" s="4" t="s">
        <v>518</v>
      </c>
      <c r="L1" s="5" t="s">
        <v>305</v>
      </c>
      <c r="M1" s="612" t="s">
        <v>317</v>
      </c>
      <c r="N1" s="613"/>
    </row>
    <row r="2" spans="1:14" ht="46.5" customHeight="1" thickTop="1" thickBot="1" x14ac:dyDescent="0.25">
      <c r="B2" s="7" t="s">
        <v>2</v>
      </c>
      <c r="C2" s="7" t="s">
        <v>3</v>
      </c>
      <c r="D2" s="252" t="s">
        <v>4</v>
      </c>
      <c r="E2" s="255" t="s">
        <v>5</v>
      </c>
      <c r="F2" s="9" t="s">
        <v>1</v>
      </c>
      <c r="G2" s="7" t="s">
        <v>308</v>
      </c>
      <c r="H2" s="10" t="s">
        <v>6</v>
      </c>
      <c r="I2" s="279"/>
      <c r="J2" s="408">
        <f>SUM(E4:E38)</f>
        <v>0</v>
      </c>
      <c r="K2" s="407">
        <f>SUM(F4:F38)</f>
        <v>0</v>
      </c>
      <c r="L2" s="427">
        <f>SUM(G4:G38)</f>
        <v>0</v>
      </c>
      <c r="M2" s="614"/>
      <c r="N2" s="615"/>
    </row>
    <row r="3" spans="1:14" ht="46.5" customHeight="1" thickBot="1" x14ac:dyDescent="0.25">
      <c r="A3" s="410" t="s">
        <v>7</v>
      </c>
      <c r="B3" s="250"/>
      <c r="C3" s="250"/>
      <c r="D3" s="250"/>
      <c r="E3" s="256" t="s">
        <v>410</v>
      </c>
      <c r="F3" s="250"/>
      <c r="G3" s="250"/>
      <c r="H3" s="251"/>
      <c r="I3" s="242" t="s">
        <v>334</v>
      </c>
      <c r="J3" s="519" t="s">
        <v>526</v>
      </c>
      <c r="K3" s="520"/>
      <c r="L3" s="429" t="str">
        <f>IF('Zusammenfassung BIO'!$H$4=0,"0 %",'Zusammenfassung BIO'!H4)</f>
        <v/>
      </c>
      <c r="M3" s="549" t="str">
        <f>IF(AND(L3&gt;0.6,L3&lt;&gt;"0 %",J2&gt;0),"ACHTUNG Vorfruchtwirkung beachten: 
ungenutzte ZWF &gt; 60 % Leg.: 20 kg N
genutzte ZWF &gt; 60% Leg.: 10 kg N","")</f>
        <v/>
      </c>
      <c r="N3" s="550"/>
    </row>
    <row r="4" spans="1:14" ht="21.75" customHeight="1" thickBot="1" x14ac:dyDescent="0.25">
      <c r="A4" s="245" t="s">
        <v>9</v>
      </c>
      <c r="B4" s="65">
        <v>5.66</v>
      </c>
      <c r="C4" s="391">
        <v>25</v>
      </c>
      <c r="D4" s="64">
        <f t="shared" ref="D4:D8" si="0">IF(ISERROR(C4*B4),0,C4*B4)</f>
        <v>141.5</v>
      </c>
      <c r="E4" s="86"/>
      <c r="F4" s="261">
        <f t="shared" ref="F4:F9" si="1">IF(ISERROR(E4*B4),0,(E4*B4))</f>
        <v>0</v>
      </c>
      <c r="G4" s="81">
        <f t="shared" ref="G4:G9" si="2">IF(ISERROR(E4/C4),0,(E4/C4))</f>
        <v>0</v>
      </c>
      <c r="H4" s="82">
        <f>IF(ISERROR(ROUND($I$2*E4,1)),0,ROUND($I$2*E4,1))</f>
        <v>0</v>
      </c>
      <c r="I4" s="235" t="s">
        <v>340</v>
      </c>
      <c r="J4" s="521" t="s">
        <v>879</v>
      </c>
      <c r="K4" s="522"/>
      <c r="L4" s="523"/>
      <c r="M4" s="14"/>
    </row>
    <row r="5" spans="1:14" ht="21.75" customHeight="1" thickBot="1" x14ac:dyDescent="0.25">
      <c r="A5" s="245" t="s">
        <v>432</v>
      </c>
      <c r="B5" s="65">
        <v>2.76</v>
      </c>
      <c r="C5" s="391">
        <v>70</v>
      </c>
      <c r="D5" s="64">
        <f t="shared" si="0"/>
        <v>193.2</v>
      </c>
      <c r="E5" s="79"/>
      <c r="F5" s="261">
        <f t="shared" si="1"/>
        <v>0</v>
      </c>
      <c r="G5" s="81">
        <f t="shared" si="2"/>
        <v>0</v>
      </c>
      <c r="H5" s="82">
        <f t="shared" ref="H5:H26" si="3">IF(ISERROR(ROUND($I$2*E5,1)),0,ROUND($I$2*E5,1))</f>
        <v>0</v>
      </c>
      <c r="I5" s="235" t="s">
        <v>341</v>
      </c>
      <c r="J5" s="609"/>
      <c r="K5" s="610"/>
      <c r="L5" s="611"/>
    </row>
    <row r="6" spans="1:14" ht="21.75" customHeight="1" thickBot="1" x14ac:dyDescent="0.25">
      <c r="A6" s="245" t="s">
        <v>106</v>
      </c>
      <c r="B6" s="65">
        <v>3.74</v>
      </c>
      <c r="C6" s="66">
        <v>40</v>
      </c>
      <c r="D6" s="64">
        <f t="shared" si="0"/>
        <v>149.60000000000002</v>
      </c>
      <c r="E6" s="79"/>
      <c r="F6" s="261">
        <f t="shared" si="1"/>
        <v>0</v>
      </c>
      <c r="G6" s="81">
        <f t="shared" si="2"/>
        <v>0</v>
      </c>
      <c r="H6" s="82">
        <f t="shared" si="3"/>
        <v>0</v>
      </c>
      <c r="I6" s="235" t="s">
        <v>182</v>
      </c>
      <c r="J6" s="527" t="str">
        <f>IF(L6="","Wirtschaftsdüngerart auswählen ►","genutzte Wirtschaftsdüngerart:")</f>
        <v>Wirtschaftsdüngerart auswählen ►</v>
      </c>
      <c r="K6" s="528"/>
      <c r="L6" s="531"/>
    </row>
    <row r="7" spans="1:14" ht="21.75" customHeight="1" thickBot="1" x14ac:dyDescent="0.25">
      <c r="A7" s="245" t="s">
        <v>12</v>
      </c>
      <c r="B7" s="65">
        <v>6.26</v>
      </c>
      <c r="C7" s="66">
        <v>30</v>
      </c>
      <c r="D7" s="64">
        <f t="shared" si="0"/>
        <v>187.79999999999998</v>
      </c>
      <c r="E7" s="79"/>
      <c r="F7" s="261">
        <f t="shared" si="1"/>
        <v>0</v>
      </c>
      <c r="G7" s="81">
        <f t="shared" si="2"/>
        <v>0</v>
      </c>
      <c r="H7" s="82">
        <f t="shared" si="3"/>
        <v>0</v>
      </c>
      <c r="I7" s="235" t="s">
        <v>182</v>
      </c>
      <c r="J7" s="529"/>
      <c r="K7" s="530"/>
      <c r="L7" s="532"/>
    </row>
    <row r="8" spans="1:14" ht="21.75" customHeight="1" thickBot="1" x14ac:dyDescent="0.25">
      <c r="A8" s="245" t="s">
        <v>558</v>
      </c>
      <c r="B8" s="65">
        <v>7.59</v>
      </c>
      <c r="C8" s="392">
        <v>180</v>
      </c>
      <c r="D8" s="64">
        <f t="shared" si="0"/>
        <v>1366.2</v>
      </c>
      <c r="E8" s="79"/>
      <c r="F8" s="261">
        <f t="shared" si="1"/>
        <v>0</v>
      </c>
      <c r="G8" s="81">
        <f t="shared" si="2"/>
        <v>0</v>
      </c>
      <c r="H8" s="82">
        <f t="shared" si="3"/>
        <v>0</v>
      </c>
      <c r="I8" s="235" t="s">
        <v>340</v>
      </c>
      <c r="J8" s="543" t="s">
        <v>878</v>
      </c>
      <c r="K8" s="605"/>
      <c r="L8" s="606" t="str">
        <f>IF(L6="",CONCATENATE('BIO (2)'!T13," kg N ab Lager"),CONCATENATE('BIO (2)'!T13," kg N ab Lager (",'BIO (2)'!U13," kg N jw)",""))</f>
        <v>60 kg N ab Lager</v>
      </c>
    </row>
    <row r="9" spans="1:14" ht="21.75" customHeight="1" thickBot="1" x14ac:dyDescent="0.25">
      <c r="A9" s="245" t="s">
        <v>336</v>
      </c>
      <c r="B9" s="65">
        <v>1.62</v>
      </c>
      <c r="C9" s="391">
        <v>160</v>
      </c>
      <c r="D9" s="64">
        <f t="shared" ref="D9:D26" si="4">IF(ISERROR(C9*B9),0,C9*B9)</f>
        <v>259.20000000000005</v>
      </c>
      <c r="E9" s="79"/>
      <c r="F9" s="261">
        <f t="shared" si="1"/>
        <v>0</v>
      </c>
      <c r="G9" s="81">
        <f t="shared" si="2"/>
        <v>0</v>
      </c>
      <c r="H9" s="82">
        <f t="shared" si="3"/>
        <v>0</v>
      </c>
      <c r="I9" s="235" t="s">
        <v>340</v>
      </c>
      <c r="J9" s="535"/>
      <c r="K9" s="536"/>
      <c r="L9" s="607"/>
    </row>
    <row r="10" spans="1:14" ht="21.75" customHeight="1" thickBot="1" x14ac:dyDescent="0.25">
      <c r="A10" s="245" t="s">
        <v>831</v>
      </c>
      <c r="B10" s="65">
        <v>12.18</v>
      </c>
      <c r="C10" s="393">
        <v>40</v>
      </c>
      <c r="D10" s="64">
        <f t="shared" si="4"/>
        <v>487.2</v>
      </c>
      <c r="E10" s="79"/>
      <c r="F10" s="261">
        <f t="shared" ref="F10:F11" si="5">IF(ISERROR(E10*B10),0,(E10*B10))</f>
        <v>0</v>
      </c>
      <c r="G10" s="81">
        <f t="shared" ref="G10:G11" si="6">IF(ISERROR(E10/C10),0,(E10/C10))</f>
        <v>0</v>
      </c>
      <c r="H10" s="82">
        <f t="shared" si="3"/>
        <v>0</v>
      </c>
      <c r="I10" s="235" t="s">
        <v>407</v>
      </c>
      <c r="J10" s="539" t="s">
        <v>883</v>
      </c>
      <c r="K10" s="540"/>
      <c r="L10" s="537" t="str">
        <f>IF(L6="",CONCATENATE('BIO (2)'!T12," kg N ab Lager"),CONCATENATE('BIO (2)'!T12," kg N ab Lager (",'BIO (2)'!U12," kg N jw)",""))</f>
        <v>60 kg N ab Lager</v>
      </c>
    </row>
    <row r="11" spans="1:14" ht="21.75" customHeight="1" thickBot="1" x14ac:dyDescent="0.25">
      <c r="A11" s="245" t="s">
        <v>437</v>
      </c>
      <c r="B11" s="65">
        <v>4.25</v>
      </c>
      <c r="C11" s="66">
        <v>15</v>
      </c>
      <c r="D11" s="64">
        <f t="shared" si="4"/>
        <v>63.75</v>
      </c>
      <c r="E11" s="79"/>
      <c r="F11" s="261">
        <f t="shared" si="5"/>
        <v>0</v>
      </c>
      <c r="G11" s="81">
        <f t="shared" si="6"/>
        <v>0</v>
      </c>
      <c r="H11" s="82">
        <f t="shared" si="3"/>
        <v>0</v>
      </c>
      <c r="I11" s="235" t="s">
        <v>182</v>
      </c>
      <c r="J11" s="596"/>
      <c r="K11" s="597"/>
      <c r="L11" s="598"/>
    </row>
    <row r="12" spans="1:14" ht="21.75" customHeight="1" thickBot="1" x14ac:dyDescent="0.25">
      <c r="A12" s="245" t="s">
        <v>583</v>
      </c>
      <c r="B12" s="65">
        <v>21.3</v>
      </c>
      <c r="C12" s="393">
        <v>20</v>
      </c>
      <c r="D12" s="64">
        <f t="shared" si="4"/>
        <v>426</v>
      </c>
      <c r="E12" s="79"/>
      <c r="F12" s="261">
        <f t="shared" ref="F12" si="7">IF(ISERROR(E12*B12),0,(E12*B12))</f>
        <v>0</v>
      </c>
      <c r="G12" s="81">
        <f t="shared" ref="G12" si="8">IF(ISERROR(E12/C12),0,(E12/C12))</f>
        <v>0</v>
      </c>
      <c r="H12" s="82">
        <f t="shared" si="3"/>
        <v>0</v>
      </c>
      <c r="I12" s="235" t="s">
        <v>340</v>
      </c>
      <c r="J12" s="599" t="s">
        <v>877</v>
      </c>
      <c r="K12" s="600"/>
      <c r="L12" s="601"/>
    </row>
    <row r="13" spans="1:14" ht="21.75" customHeight="1" thickBot="1" x14ac:dyDescent="0.25">
      <c r="A13" s="245" t="s">
        <v>17</v>
      </c>
      <c r="B13" s="65">
        <v>4.4800000000000004</v>
      </c>
      <c r="C13" s="66">
        <v>30</v>
      </c>
      <c r="D13" s="64">
        <f t="shared" si="4"/>
        <v>134.4</v>
      </c>
      <c r="E13" s="79"/>
      <c r="F13" s="261">
        <f t="shared" ref="F13:F26" si="9">IF(ISERROR(E13*B13),0,(E13*B13))</f>
        <v>0</v>
      </c>
      <c r="G13" s="81">
        <f t="shared" ref="G13:G26" si="10">IF(ISERROR(E13/C13),0,(E13/C13))</f>
        <v>0</v>
      </c>
      <c r="H13" s="82">
        <f t="shared" si="3"/>
        <v>0</v>
      </c>
      <c r="I13" s="235" t="s">
        <v>340</v>
      </c>
      <c r="J13" s="602"/>
      <c r="K13" s="603"/>
      <c r="L13" s="604"/>
    </row>
    <row r="14" spans="1:14" ht="21.75" customHeight="1" thickBot="1" x14ac:dyDescent="0.25">
      <c r="A14" s="245" t="s">
        <v>440</v>
      </c>
      <c r="B14" s="65">
        <v>3.31</v>
      </c>
      <c r="C14" s="66">
        <v>40</v>
      </c>
      <c r="D14" s="64">
        <f t="shared" si="4"/>
        <v>132.4</v>
      </c>
      <c r="E14" s="79"/>
      <c r="F14" s="261">
        <f t="shared" si="9"/>
        <v>0</v>
      </c>
      <c r="G14" s="81">
        <f t="shared" si="10"/>
        <v>0</v>
      </c>
      <c r="H14" s="82">
        <f t="shared" si="3"/>
        <v>0</v>
      </c>
      <c r="I14" s="235" t="s">
        <v>182</v>
      </c>
    </row>
    <row r="15" spans="1:14" ht="21.75" customHeight="1" thickBot="1" x14ac:dyDescent="0.25">
      <c r="A15" s="245" t="s">
        <v>18</v>
      </c>
      <c r="B15" s="65">
        <v>11.5</v>
      </c>
      <c r="C15" s="66">
        <v>10</v>
      </c>
      <c r="D15" s="64">
        <f t="shared" si="4"/>
        <v>115</v>
      </c>
      <c r="E15" s="79"/>
      <c r="F15" s="261">
        <f t="shared" si="9"/>
        <v>0</v>
      </c>
      <c r="G15" s="81">
        <f t="shared" si="10"/>
        <v>0</v>
      </c>
      <c r="H15" s="82">
        <f t="shared" si="3"/>
        <v>0</v>
      </c>
      <c r="I15" s="235" t="s">
        <v>140</v>
      </c>
    </row>
    <row r="16" spans="1:14" ht="21.75" customHeight="1" thickBot="1" x14ac:dyDescent="0.25">
      <c r="A16" s="245" t="s">
        <v>20</v>
      </c>
      <c r="B16" s="65">
        <v>8.8699999999999992</v>
      </c>
      <c r="C16" s="391">
        <v>10</v>
      </c>
      <c r="D16" s="64">
        <f t="shared" si="4"/>
        <v>88.699999999999989</v>
      </c>
      <c r="E16" s="79"/>
      <c r="F16" s="261">
        <f t="shared" si="9"/>
        <v>0</v>
      </c>
      <c r="G16" s="81">
        <f t="shared" si="10"/>
        <v>0</v>
      </c>
      <c r="H16" s="82">
        <f t="shared" si="3"/>
        <v>0</v>
      </c>
      <c r="I16" s="235" t="s">
        <v>140</v>
      </c>
    </row>
    <row r="17" spans="1:14" ht="21.75" customHeight="1" thickBot="1" x14ac:dyDescent="0.25">
      <c r="A17" s="245" t="s">
        <v>605</v>
      </c>
      <c r="B17" s="65">
        <v>5.31</v>
      </c>
      <c r="C17" s="66">
        <v>90</v>
      </c>
      <c r="D17" s="64">
        <f t="shared" si="4"/>
        <v>477.9</v>
      </c>
      <c r="E17" s="79"/>
      <c r="F17" s="261">
        <f t="shared" si="9"/>
        <v>0</v>
      </c>
      <c r="G17" s="81">
        <f t="shared" si="10"/>
        <v>0</v>
      </c>
      <c r="H17" s="82">
        <f t="shared" si="3"/>
        <v>0</v>
      </c>
      <c r="I17" s="235" t="s">
        <v>340</v>
      </c>
    </row>
    <row r="18" spans="1:14" ht="21.75" customHeight="1" thickBot="1" x14ac:dyDescent="0.25">
      <c r="A18" s="245" t="s">
        <v>22</v>
      </c>
      <c r="B18" s="65">
        <v>9.73</v>
      </c>
      <c r="C18" s="66">
        <v>25</v>
      </c>
      <c r="D18" s="64">
        <f t="shared" si="4"/>
        <v>243.25</v>
      </c>
      <c r="E18" s="79"/>
      <c r="F18" s="261">
        <f t="shared" si="9"/>
        <v>0</v>
      </c>
      <c r="G18" s="81">
        <f t="shared" si="10"/>
        <v>0</v>
      </c>
      <c r="H18" s="82">
        <f t="shared" si="3"/>
        <v>0</v>
      </c>
      <c r="I18" s="235" t="s">
        <v>340</v>
      </c>
    </row>
    <row r="19" spans="1:14" ht="21.75" customHeight="1" thickBot="1" x14ac:dyDescent="0.25">
      <c r="A19" s="245" t="s">
        <v>337</v>
      </c>
      <c r="B19" s="65">
        <v>9.15</v>
      </c>
      <c r="C19" s="391">
        <v>8</v>
      </c>
      <c r="D19" s="64">
        <f t="shared" si="4"/>
        <v>73.2</v>
      </c>
      <c r="E19" s="79"/>
      <c r="F19" s="261">
        <f t="shared" si="9"/>
        <v>0</v>
      </c>
      <c r="G19" s="81">
        <f t="shared" si="10"/>
        <v>0</v>
      </c>
      <c r="H19" s="82">
        <f t="shared" si="3"/>
        <v>0</v>
      </c>
      <c r="I19" s="235" t="s">
        <v>140</v>
      </c>
    </row>
    <row r="20" spans="1:14" ht="21.75" customHeight="1" thickBot="1" x14ac:dyDescent="0.25">
      <c r="A20" s="245" t="s">
        <v>338</v>
      </c>
      <c r="B20" s="65">
        <v>3.94</v>
      </c>
      <c r="C20" s="66">
        <v>20</v>
      </c>
      <c r="D20" s="64">
        <f t="shared" si="4"/>
        <v>78.8</v>
      </c>
      <c r="E20" s="79"/>
      <c r="F20" s="261">
        <f t="shared" si="9"/>
        <v>0</v>
      </c>
      <c r="G20" s="81">
        <f t="shared" si="10"/>
        <v>0</v>
      </c>
      <c r="H20" s="82">
        <f t="shared" si="3"/>
        <v>0</v>
      </c>
      <c r="I20" s="235" t="s">
        <v>140</v>
      </c>
    </row>
    <row r="21" spans="1:14" ht="21.75" customHeight="1" thickBot="1" x14ac:dyDescent="0.25">
      <c r="A21" s="245" t="s">
        <v>27</v>
      </c>
      <c r="B21" s="65">
        <v>6.72</v>
      </c>
      <c r="C21" s="391">
        <v>12</v>
      </c>
      <c r="D21" s="64">
        <f t="shared" si="4"/>
        <v>80.64</v>
      </c>
      <c r="E21" s="79"/>
      <c r="F21" s="261">
        <f t="shared" si="9"/>
        <v>0</v>
      </c>
      <c r="G21" s="81">
        <f t="shared" si="10"/>
        <v>0</v>
      </c>
      <c r="H21" s="82">
        <f t="shared" si="3"/>
        <v>0</v>
      </c>
      <c r="I21" s="235" t="s">
        <v>343</v>
      </c>
    </row>
    <row r="22" spans="1:14" ht="21.75" customHeight="1" thickBot="1" x14ac:dyDescent="0.25">
      <c r="A22" s="245" t="s">
        <v>29</v>
      </c>
      <c r="B22" s="65">
        <v>3.3</v>
      </c>
      <c r="C22" s="391">
        <v>140</v>
      </c>
      <c r="D22" s="64">
        <f t="shared" si="4"/>
        <v>462</v>
      </c>
      <c r="E22" s="79"/>
      <c r="F22" s="261">
        <f t="shared" si="9"/>
        <v>0</v>
      </c>
      <c r="G22" s="81">
        <f t="shared" si="10"/>
        <v>0</v>
      </c>
      <c r="H22" s="82">
        <f t="shared" si="3"/>
        <v>0</v>
      </c>
      <c r="I22" s="235" t="s">
        <v>340</v>
      </c>
    </row>
    <row r="23" spans="1:14" ht="21.75" customHeight="1" thickBot="1" x14ac:dyDescent="0.25">
      <c r="A23" s="245" t="s">
        <v>32</v>
      </c>
      <c r="B23" s="65">
        <v>9.5500000000000007</v>
      </c>
      <c r="C23" s="391">
        <v>25</v>
      </c>
      <c r="D23" s="64">
        <f t="shared" si="4"/>
        <v>238.75000000000003</v>
      </c>
      <c r="E23" s="79"/>
      <c r="F23" s="261">
        <f t="shared" si="9"/>
        <v>0</v>
      </c>
      <c r="G23" s="81">
        <f t="shared" si="10"/>
        <v>0</v>
      </c>
      <c r="H23" s="82">
        <f t="shared" si="3"/>
        <v>0</v>
      </c>
      <c r="I23" s="235" t="s">
        <v>340</v>
      </c>
    </row>
    <row r="24" spans="1:14" ht="21.75" customHeight="1" thickBot="1" x14ac:dyDescent="0.25">
      <c r="A24" s="245" t="s">
        <v>85</v>
      </c>
      <c r="B24" s="65">
        <v>2.2000000000000002</v>
      </c>
      <c r="C24" s="66">
        <v>150</v>
      </c>
      <c r="D24" s="64">
        <f t="shared" si="4"/>
        <v>330</v>
      </c>
      <c r="E24" s="79"/>
      <c r="F24" s="261">
        <f t="shared" si="9"/>
        <v>0</v>
      </c>
      <c r="G24" s="81">
        <f t="shared" si="10"/>
        <v>0</v>
      </c>
      <c r="H24" s="82">
        <f t="shared" si="3"/>
        <v>0</v>
      </c>
      <c r="I24" s="235" t="s">
        <v>340</v>
      </c>
    </row>
    <row r="25" spans="1:14" ht="21.75" customHeight="1" thickBot="1" x14ac:dyDescent="0.25">
      <c r="A25" s="245" t="s">
        <v>888</v>
      </c>
      <c r="B25" s="65">
        <v>3.165</v>
      </c>
      <c r="C25" s="66">
        <v>130</v>
      </c>
      <c r="D25" s="64">
        <f t="shared" si="4"/>
        <v>411.45</v>
      </c>
      <c r="E25" s="79"/>
      <c r="F25" s="261">
        <f t="shared" si="9"/>
        <v>0</v>
      </c>
      <c r="G25" s="81">
        <f t="shared" si="10"/>
        <v>0</v>
      </c>
      <c r="H25" s="82">
        <f t="shared" si="3"/>
        <v>0</v>
      </c>
      <c r="I25" s="235" t="s">
        <v>340</v>
      </c>
    </row>
    <row r="26" spans="1:14" ht="21.75" customHeight="1" thickBot="1" x14ac:dyDescent="0.25">
      <c r="A26" s="245" t="s">
        <v>36</v>
      </c>
      <c r="B26" s="65">
        <v>2.99</v>
      </c>
      <c r="C26" s="391">
        <v>15</v>
      </c>
      <c r="D26" s="64">
        <f t="shared" si="4"/>
        <v>44.85</v>
      </c>
      <c r="E26" s="79"/>
      <c r="F26" s="261">
        <f t="shared" si="9"/>
        <v>0</v>
      </c>
      <c r="G26" s="81">
        <f t="shared" si="10"/>
        <v>0</v>
      </c>
      <c r="H26" s="82">
        <f t="shared" si="3"/>
        <v>0</v>
      </c>
      <c r="I26" s="235" t="s">
        <v>140</v>
      </c>
    </row>
    <row r="27" spans="1:14" ht="21.75" customHeight="1" thickBot="1" x14ac:dyDescent="0.25">
      <c r="A27" s="245" t="s">
        <v>111</v>
      </c>
      <c r="B27" s="65">
        <v>3.77</v>
      </c>
      <c r="C27" s="391">
        <v>25</v>
      </c>
      <c r="D27" s="64">
        <f>IF(ISERROR(C27*B27),0,C27*B27)</f>
        <v>94.25</v>
      </c>
      <c r="E27" s="79"/>
      <c r="F27" s="261">
        <f>IF(ISERROR(E27*B27),0,(E27*B27))</f>
        <v>0</v>
      </c>
      <c r="G27" s="81">
        <f>IF(ISERROR(E27/C27),0,(E27/C27))</f>
        <v>0</v>
      </c>
      <c r="H27" s="82">
        <f t="shared" ref="H27:H38" si="11">IF(ISERROR(ROUND($I$2*E27,1)),0,ROUND($I$2*E27,1))</f>
        <v>0</v>
      </c>
      <c r="I27" s="235" t="s">
        <v>182</v>
      </c>
    </row>
    <row r="28" spans="1:14" ht="21.75" customHeight="1" thickBot="1" x14ac:dyDescent="0.25">
      <c r="A28" s="245" t="s">
        <v>451</v>
      </c>
      <c r="B28" s="65">
        <v>2.66</v>
      </c>
      <c r="C28" s="66">
        <v>120</v>
      </c>
      <c r="D28" s="64">
        <f>IF(ISERROR(C28*B28),0,C28*B28)</f>
        <v>319.20000000000005</v>
      </c>
      <c r="E28" s="79"/>
      <c r="F28" s="261">
        <f>IF(ISERROR(E28*B28),0,(E28*B28))</f>
        <v>0</v>
      </c>
      <c r="G28" s="81">
        <f>IF(ISERROR(E28/C28),0,(E28/C28))</f>
        <v>0</v>
      </c>
      <c r="H28" s="82">
        <f t="shared" si="11"/>
        <v>0</v>
      </c>
      <c r="I28" s="235" t="s">
        <v>182</v>
      </c>
    </row>
    <row r="29" spans="1:14" ht="21.75" customHeight="1" thickBot="1" x14ac:dyDescent="0.25">
      <c r="A29" s="245" t="s">
        <v>41</v>
      </c>
      <c r="B29" s="65">
        <v>15.44</v>
      </c>
      <c r="C29" s="66">
        <v>12</v>
      </c>
      <c r="D29" s="64">
        <f>IF(ISERROR(C29*B29),0,C29*B29)</f>
        <v>185.28</v>
      </c>
      <c r="E29" s="79"/>
      <c r="F29" s="261">
        <f>IF(ISERROR(E29*B29),0,(E29*B29))</f>
        <v>0</v>
      </c>
      <c r="G29" s="81">
        <f>IF(ISERROR(E29/C29),0,(E29/C29))</f>
        <v>0</v>
      </c>
      <c r="H29" s="82">
        <f t="shared" si="11"/>
        <v>0</v>
      </c>
      <c r="I29" s="235" t="s">
        <v>340</v>
      </c>
    </row>
    <row r="30" spans="1:14" ht="21.75" customHeight="1" thickBot="1" x14ac:dyDescent="0.25">
      <c r="A30" s="245" t="s">
        <v>454</v>
      </c>
      <c r="B30" s="65">
        <v>2.48</v>
      </c>
      <c r="C30" s="391">
        <v>150</v>
      </c>
      <c r="D30" s="64">
        <f>IF(ISERROR(C30*B30),0,C30*B30)</f>
        <v>372</v>
      </c>
      <c r="E30" s="79"/>
      <c r="F30" s="261">
        <f>IF(ISERROR(E30*B30),0,(E30*B30))</f>
        <v>0</v>
      </c>
      <c r="G30" s="81">
        <f>IF(ISERROR(E30/C30),0,(E30/C30))</f>
        <v>0</v>
      </c>
      <c r="H30" s="82">
        <f t="shared" si="11"/>
        <v>0</v>
      </c>
      <c r="I30" s="235" t="s">
        <v>340</v>
      </c>
    </row>
    <row r="31" spans="1:14" ht="21.75" customHeight="1" thickBot="1" x14ac:dyDescent="0.25">
      <c r="A31" s="394" t="s">
        <v>44</v>
      </c>
      <c r="B31" s="170">
        <v>3.02</v>
      </c>
      <c r="C31" s="395">
        <v>100</v>
      </c>
      <c r="D31" s="396">
        <f>IF(ISERROR(C31*B31),0,C31*B31)</f>
        <v>302</v>
      </c>
      <c r="E31" s="442"/>
      <c r="F31" s="430">
        <f>IF(ISERROR(E31*B31),0,(E31*B31))</f>
        <v>0</v>
      </c>
      <c r="G31" s="431">
        <f>IF(ISERROR(E31/C31),0,(E31/C31))</f>
        <v>0</v>
      </c>
      <c r="H31" s="426">
        <f t="shared" si="11"/>
        <v>0</v>
      </c>
      <c r="I31" s="235" t="s">
        <v>340</v>
      </c>
    </row>
    <row r="32" spans="1:14" ht="21.75" customHeight="1" thickTop="1" thickBot="1" x14ac:dyDescent="0.25">
      <c r="A32" s="161" t="s">
        <v>124</v>
      </c>
      <c r="B32" s="162"/>
      <c r="C32" s="163"/>
      <c r="D32" s="164">
        <f t="shared" ref="D32:D38" si="12">IF(ISERROR(C32*B32),0,C32*B32)</f>
        <v>0</v>
      </c>
      <c r="E32" s="443"/>
      <c r="F32" s="432">
        <f t="shared" ref="F32:F38" si="13">IF(ISERROR(E32*B32),0,(E32*B32))</f>
        <v>0</v>
      </c>
      <c r="G32" s="176">
        <f t="shared" ref="G32:G38" si="14">IF(ISERROR(E32/C32),0,(E32/C32))</f>
        <v>0</v>
      </c>
      <c r="H32" s="433">
        <f t="shared" si="11"/>
        <v>0</v>
      </c>
      <c r="I32" s="439"/>
      <c r="J32" s="594" t="s">
        <v>416</v>
      </c>
      <c r="K32" s="595"/>
      <c r="L32" s="308"/>
      <c r="M32" s="248" t="s">
        <v>517</v>
      </c>
      <c r="N32" s="314"/>
    </row>
    <row r="33" spans="1:14" ht="21.75" customHeight="1" thickBot="1" x14ac:dyDescent="0.25">
      <c r="A33" s="167" t="s">
        <v>125</v>
      </c>
      <c r="B33" s="71"/>
      <c r="C33" s="83"/>
      <c r="D33" s="18">
        <f t="shared" si="12"/>
        <v>0</v>
      </c>
      <c r="E33" s="79"/>
      <c r="F33" s="434">
        <f t="shared" si="13"/>
        <v>0</v>
      </c>
      <c r="G33" s="85">
        <f t="shared" si="14"/>
        <v>0</v>
      </c>
      <c r="H33" s="435">
        <f t="shared" si="11"/>
        <v>0</v>
      </c>
      <c r="I33" s="440"/>
      <c r="J33" s="594" t="s">
        <v>416</v>
      </c>
      <c r="K33" s="595"/>
      <c r="L33" s="308"/>
      <c r="M33" s="248" t="s">
        <v>517</v>
      </c>
      <c r="N33" s="314"/>
    </row>
    <row r="34" spans="1:14" ht="21.75" customHeight="1" thickBot="1" x14ac:dyDescent="0.25">
      <c r="A34" s="167" t="s">
        <v>126</v>
      </c>
      <c r="B34" s="71"/>
      <c r="C34" s="83"/>
      <c r="D34" s="18">
        <f t="shared" si="12"/>
        <v>0</v>
      </c>
      <c r="E34" s="79"/>
      <c r="F34" s="434">
        <f t="shared" si="13"/>
        <v>0</v>
      </c>
      <c r="G34" s="85">
        <f t="shared" si="14"/>
        <v>0</v>
      </c>
      <c r="H34" s="435">
        <f t="shared" si="11"/>
        <v>0</v>
      </c>
      <c r="I34" s="440"/>
      <c r="J34" s="594" t="s">
        <v>416</v>
      </c>
      <c r="K34" s="595"/>
      <c r="L34" s="308"/>
      <c r="M34" s="248" t="s">
        <v>517</v>
      </c>
      <c r="N34" s="314"/>
    </row>
    <row r="35" spans="1:14" ht="21.75" customHeight="1" thickBot="1" x14ac:dyDescent="0.25">
      <c r="A35" s="167" t="s">
        <v>127</v>
      </c>
      <c r="B35" s="71"/>
      <c r="C35" s="83"/>
      <c r="D35" s="18">
        <f t="shared" si="12"/>
        <v>0</v>
      </c>
      <c r="E35" s="79"/>
      <c r="F35" s="434">
        <f t="shared" si="13"/>
        <v>0</v>
      </c>
      <c r="G35" s="85">
        <f t="shared" si="14"/>
        <v>0</v>
      </c>
      <c r="H35" s="435">
        <f t="shared" si="11"/>
        <v>0</v>
      </c>
      <c r="I35" s="440"/>
      <c r="J35" s="594" t="s">
        <v>416</v>
      </c>
      <c r="K35" s="595"/>
      <c r="L35" s="308"/>
      <c r="M35" s="248" t="s">
        <v>517</v>
      </c>
      <c r="N35" s="314"/>
    </row>
    <row r="36" spans="1:14" ht="21.75" customHeight="1" thickBot="1" x14ac:dyDescent="0.25">
      <c r="A36" s="167" t="s">
        <v>128</v>
      </c>
      <c r="B36" s="71"/>
      <c r="C36" s="83"/>
      <c r="D36" s="18">
        <f t="shared" si="12"/>
        <v>0</v>
      </c>
      <c r="E36" s="79"/>
      <c r="F36" s="434">
        <f t="shared" si="13"/>
        <v>0</v>
      </c>
      <c r="G36" s="85">
        <f t="shared" si="14"/>
        <v>0</v>
      </c>
      <c r="H36" s="435">
        <f t="shared" si="11"/>
        <v>0</v>
      </c>
      <c r="I36" s="440"/>
      <c r="J36" s="594" t="s">
        <v>416</v>
      </c>
      <c r="K36" s="595"/>
      <c r="L36" s="308"/>
      <c r="M36" s="248" t="s">
        <v>517</v>
      </c>
      <c r="N36" s="314"/>
    </row>
    <row r="37" spans="1:14" ht="21.75" customHeight="1" thickBot="1" x14ac:dyDescent="0.25">
      <c r="A37" s="167" t="s">
        <v>129</v>
      </c>
      <c r="B37" s="71"/>
      <c r="C37" s="83"/>
      <c r="D37" s="18">
        <f t="shared" si="12"/>
        <v>0</v>
      </c>
      <c r="E37" s="79"/>
      <c r="F37" s="434">
        <f t="shared" si="13"/>
        <v>0</v>
      </c>
      <c r="G37" s="85">
        <f t="shared" si="14"/>
        <v>0</v>
      </c>
      <c r="H37" s="435">
        <f t="shared" si="11"/>
        <v>0</v>
      </c>
      <c r="I37" s="440"/>
      <c r="J37" s="594" t="s">
        <v>416</v>
      </c>
      <c r="K37" s="595"/>
      <c r="L37" s="308"/>
      <c r="M37" s="248" t="s">
        <v>517</v>
      </c>
      <c r="N37" s="314"/>
    </row>
    <row r="38" spans="1:14" ht="21.75" customHeight="1" thickBot="1" x14ac:dyDescent="0.25">
      <c r="A38" s="169" t="s">
        <v>130</v>
      </c>
      <c r="B38" s="177"/>
      <c r="C38" s="178"/>
      <c r="D38" s="179">
        <f t="shared" si="12"/>
        <v>0</v>
      </c>
      <c r="E38" s="173"/>
      <c r="F38" s="436">
        <f t="shared" si="13"/>
        <v>0</v>
      </c>
      <c r="G38" s="180">
        <f t="shared" si="14"/>
        <v>0</v>
      </c>
      <c r="H38" s="175">
        <f t="shared" si="11"/>
        <v>0</v>
      </c>
      <c r="I38" s="441"/>
      <c r="J38" s="594" t="s">
        <v>416</v>
      </c>
      <c r="K38" s="595"/>
      <c r="L38" s="308"/>
      <c r="M38" s="248" t="s">
        <v>517</v>
      </c>
      <c r="N38" s="314"/>
    </row>
    <row r="39" spans="1:14" ht="21.75" customHeight="1" thickTop="1" x14ac:dyDescent="0.25"/>
    <row r="40" spans="1:14" ht="14.25" x14ac:dyDescent="0.2">
      <c r="B40"/>
    </row>
    <row r="41" spans="1:14" ht="14.25" x14ac:dyDescent="0.2">
      <c r="B41"/>
    </row>
    <row r="42" spans="1:14" ht="14.25" x14ac:dyDescent="0.2">
      <c r="B42"/>
    </row>
    <row r="43" spans="1:14" ht="14.25" x14ac:dyDescent="0.2">
      <c r="B43"/>
    </row>
    <row r="44" spans="1:14" x14ac:dyDescent="0.2">
      <c r="B44"/>
      <c r="D44" s="14"/>
      <c r="E44" s="223"/>
      <c r="F44" s="31"/>
      <c r="G44" s="301"/>
    </row>
    <row r="45" spans="1:14" x14ac:dyDescent="0.2">
      <c r="B45"/>
      <c r="D45" s="14"/>
      <c r="E45" s="223"/>
      <c r="F45" s="31"/>
      <c r="G45" s="301"/>
    </row>
    <row r="46" spans="1:14" x14ac:dyDescent="0.2">
      <c r="B46"/>
      <c r="D46" s="14"/>
      <c r="E46" s="223"/>
      <c r="F46" s="31"/>
      <c r="G46" s="301"/>
    </row>
    <row r="47" spans="1:14" x14ac:dyDescent="0.2">
      <c r="B47"/>
      <c r="D47" s="14"/>
      <c r="E47" s="223"/>
      <c r="F47" s="31"/>
      <c r="G47" s="301"/>
    </row>
    <row r="48" spans="1:14" ht="14.25" x14ac:dyDescent="0.2">
      <c r="B48"/>
    </row>
    <row r="49" spans="2:2" ht="14.25" x14ac:dyDescent="0.2">
      <c r="B49"/>
    </row>
    <row r="50" spans="2:2" ht="14.25" x14ac:dyDescent="0.2">
      <c r="B50"/>
    </row>
    <row r="51" spans="2:2" ht="14.25" x14ac:dyDescent="0.2">
      <c r="B51"/>
    </row>
    <row r="52" spans="2:2" ht="14.25" x14ac:dyDescent="0.2">
      <c r="B52"/>
    </row>
    <row r="53" spans="2:2" ht="14.25" x14ac:dyDescent="0.2">
      <c r="B53"/>
    </row>
    <row r="54" spans="2:2" ht="14.25" x14ac:dyDescent="0.2">
      <c r="B54"/>
    </row>
    <row r="55" spans="2:2" ht="14.25" x14ac:dyDescent="0.2">
      <c r="B55"/>
    </row>
    <row r="56" spans="2:2" ht="14.25" x14ac:dyDescent="0.2">
      <c r="B56"/>
    </row>
    <row r="57" spans="2:2" ht="14.25" x14ac:dyDescent="0.2">
      <c r="B57"/>
    </row>
    <row r="58" spans="2:2" ht="14.25" x14ac:dyDescent="0.2">
      <c r="B58"/>
    </row>
    <row r="59" spans="2:2" ht="14.25" x14ac:dyDescent="0.2">
      <c r="B59"/>
    </row>
    <row r="60" spans="2:2" ht="14.25" x14ac:dyDescent="0.2">
      <c r="B60"/>
    </row>
    <row r="61" spans="2:2" ht="14.25" x14ac:dyDescent="0.2">
      <c r="B61"/>
    </row>
    <row r="62" spans="2:2" ht="14.25" x14ac:dyDescent="0.2">
      <c r="B62"/>
    </row>
    <row r="63" spans="2:2" ht="14.25" x14ac:dyDescent="0.2">
      <c r="B63"/>
    </row>
    <row r="64" spans="2:2" ht="14.25" x14ac:dyDescent="0.2">
      <c r="B64"/>
    </row>
    <row r="65" spans="2:2" ht="14.25" x14ac:dyDescent="0.2">
      <c r="B65"/>
    </row>
    <row r="66" spans="2:2" ht="14.25" x14ac:dyDescent="0.2">
      <c r="B66"/>
    </row>
    <row r="67" spans="2:2" ht="14.25" x14ac:dyDescent="0.2">
      <c r="B67"/>
    </row>
    <row r="68" spans="2:2" ht="14.25" x14ac:dyDescent="0.2">
      <c r="B68"/>
    </row>
    <row r="69" spans="2:2" ht="14.25" x14ac:dyDescent="0.2">
      <c r="B69"/>
    </row>
    <row r="70" spans="2:2" ht="14.25" x14ac:dyDescent="0.2">
      <c r="B70"/>
    </row>
    <row r="71" spans="2:2" ht="14.25" x14ac:dyDescent="0.2">
      <c r="B71"/>
    </row>
    <row r="72" spans="2:2" ht="14.25" x14ac:dyDescent="0.2">
      <c r="B72"/>
    </row>
    <row r="73" spans="2:2" ht="14.25" x14ac:dyDescent="0.2">
      <c r="B73"/>
    </row>
    <row r="74" spans="2:2" ht="14.25" x14ac:dyDescent="0.2">
      <c r="B74"/>
    </row>
    <row r="75" spans="2:2" ht="14.25" x14ac:dyDescent="0.2">
      <c r="B75"/>
    </row>
    <row r="76" spans="2:2" ht="14.25" x14ac:dyDescent="0.2">
      <c r="B76"/>
    </row>
    <row r="77" spans="2:2" ht="14.25" x14ac:dyDescent="0.2">
      <c r="B77"/>
    </row>
    <row r="78" spans="2:2" ht="14.25" x14ac:dyDescent="0.2">
      <c r="B78"/>
    </row>
    <row r="79" spans="2:2" ht="14.25" x14ac:dyDescent="0.2">
      <c r="B79"/>
    </row>
    <row r="80" spans="2:2" ht="14.25" x14ac:dyDescent="0.2">
      <c r="B80"/>
    </row>
    <row r="81" spans="2:2" ht="14.25" x14ac:dyDescent="0.2">
      <c r="B81"/>
    </row>
    <row r="82" spans="2:2" ht="14.25" x14ac:dyDescent="0.2">
      <c r="B82"/>
    </row>
    <row r="83" spans="2:2" ht="14.25" x14ac:dyDescent="0.2">
      <c r="B83"/>
    </row>
    <row r="84" spans="2:2" ht="14.25" x14ac:dyDescent="0.2">
      <c r="B84"/>
    </row>
    <row r="85" spans="2:2" ht="14.25" x14ac:dyDescent="0.2">
      <c r="B85"/>
    </row>
    <row r="86" spans="2:2" ht="14.25" x14ac:dyDescent="0.2">
      <c r="B86"/>
    </row>
    <row r="87" spans="2:2" ht="14.25" x14ac:dyDescent="0.2">
      <c r="B87"/>
    </row>
    <row r="88" spans="2:2" ht="14.25" x14ac:dyDescent="0.2">
      <c r="B88"/>
    </row>
    <row r="89" spans="2:2" ht="14.25" x14ac:dyDescent="0.2">
      <c r="B89"/>
    </row>
    <row r="90" spans="2:2" ht="14.25" x14ac:dyDescent="0.2">
      <c r="B90"/>
    </row>
    <row r="91" spans="2:2" ht="14.25" x14ac:dyDescent="0.2">
      <c r="B91"/>
    </row>
    <row r="92" spans="2:2" ht="14.25" x14ac:dyDescent="0.2">
      <c r="B92"/>
    </row>
    <row r="93" spans="2:2" ht="14.25" x14ac:dyDescent="0.2">
      <c r="B93"/>
    </row>
    <row r="94" spans="2:2" ht="14.25" x14ac:dyDescent="0.2">
      <c r="B94"/>
    </row>
    <row r="95" spans="2:2" ht="14.25" x14ac:dyDescent="0.2">
      <c r="B95"/>
    </row>
    <row r="96" spans="2:2" ht="14.25" x14ac:dyDescent="0.2">
      <c r="B96"/>
    </row>
    <row r="97" spans="2:2" ht="14.25" x14ac:dyDescent="0.2">
      <c r="B97"/>
    </row>
    <row r="98" spans="2:2" ht="14.25" x14ac:dyDescent="0.2">
      <c r="B98"/>
    </row>
    <row r="99" spans="2:2" ht="14.25" x14ac:dyDescent="0.2">
      <c r="B99"/>
    </row>
    <row r="100" spans="2:2" ht="14.25" x14ac:dyDescent="0.2">
      <c r="B100"/>
    </row>
    <row r="101" spans="2:2" ht="14.25" x14ac:dyDescent="0.2">
      <c r="B101"/>
    </row>
    <row r="102" spans="2:2" ht="14.25" x14ac:dyDescent="0.2">
      <c r="B102"/>
    </row>
    <row r="103" spans="2:2" ht="14.25" x14ac:dyDescent="0.2">
      <c r="B103"/>
    </row>
    <row r="104" spans="2:2" ht="14.25" x14ac:dyDescent="0.2">
      <c r="B104"/>
    </row>
    <row r="105" spans="2:2" ht="14.25" x14ac:dyDescent="0.2">
      <c r="B105"/>
    </row>
    <row r="106" spans="2:2" ht="14.25" x14ac:dyDescent="0.2">
      <c r="B106"/>
    </row>
    <row r="107" spans="2:2" ht="14.25" x14ac:dyDescent="0.2">
      <c r="B107"/>
    </row>
    <row r="108" spans="2:2" ht="14.25" x14ac:dyDescent="0.2">
      <c r="B108"/>
    </row>
    <row r="109" spans="2:2" ht="14.25" x14ac:dyDescent="0.2">
      <c r="B109"/>
    </row>
    <row r="110" spans="2:2" ht="14.25" x14ac:dyDescent="0.2">
      <c r="B110"/>
    </row>
    <row r="111" spans="2:2" ht="14.25" x14ac:dyDescent="0.2">
      <c r="B111"/>
    </row>
    <row r="112" spans="2:2" ht="14.25" x14ac:dyDescent="0.2">
      <c r="B112"/>
    </row>
    <row r="113" spans="2:2" ht="14.25" x14ac:dyDescent="0.2">
      <c r="B113"/>
    </row>
    <row r="114" spans="2:2" ht="14.25" x14ac:dyDescent="0.2">
      <c r="B114"/>
    </row>
    <row r="115" spans="2:2" ht="14.25" x14ac:dyDescent="0.2">
      <c r="B115"/>
    </row>
    <row r="116" spans="2:2" ht="14.25" x14ac:dyDescent="0.2">
      <c r="B116"/>
    </row>
    <row r="117" spans="2:2" ht="14.25" x14ac:dyDescent="0.2">
      <c r="B117"/>
    </row>
    <row r="118" spans="2:2" ht="14.25" x14ac:dyDescent="0.2">
      <c r="B118"/>
    </row>
    <row r="119" spans="2:2" ht="14.25" x14ac:dyDescent="0.2">
      <c r="B119"/>
    </row>
    <row r="120" spans="2:2" ht="14.25" x14ac:dyDescent="0.2">
      <c r="B120"/>
    </row>
    <row r="121" spans="2:2" ht="14.25" x14ac:dyDescent="0.2">
      <c r="B121"/>
    </row>
    <row r="122" spans="2:2" ht="14.25" x14ac:dyDescent="0.2">
      <c r="B122"/>
    </row>
    <row r="123" spans="2:2" ht="14.25" x14ac:dyDescent="0.2">
      <c r="B123"/>
    </row>
    <row r="124" spans="2:2" ht="14.25" x14ac:dyDescent="0.2">
      <c r="B124"/>
    </row>
    <row r="125" spans="2:2" ht="14.25" x14ac:dyDescent="0.2">
      <c r="B125"/>
    </row>
    <row r="126" spans="2:2" ht="14.25" x14ac:dyDescent="0.2">
      <c r="B126"/>
    </row>
    <row r="127" spans="2:2" ht="14.25" x14ac:dyDescent="0.2">
      <c r="B127"/>
    </row>
    <row r="128" spans="2:2" ht="14.25" x14ac:dyDescent="0.2">
      <c r="B128"/>
    </row>
    <row r="129" spans="2:2" ht="14.25" x14ac:dyDescent="0.2">
      <c r="B129"/>
    </row>
    <row r="130" spans="2:2" ht="14.25" x14ac:dyDescent="0.2">
      <c r="B130"/>
    </row>
    <row r="131" spans="2:2" ht="14.25" x14ac:dyDescent="0.2">
      <c r="B131"/>
    </row>
    <row r="132" spans="2:2" ht="14.25" x14ac:dyDescent="0.2">
      <c r="B132"/>
    </row>
    <row r="133" spans="2:2" ht="14.25" x14ac:dyDescent="0.2">
      <c r="B133"/>
    </row>
    <row r="134" spans="2:2" ht="14.25" x14ac:dyDescent="0.2">
      <c r="B134"/>
    </row>
    <row r="135" spans="2:2" ht="14.25" x14ac:dyDescent="0.2">
      <c r="B135"/>
    </row>
    <row r="136" spans="2:2" ht="14.25" x14ac:dyDescent="0.2">
      <c r="B136"/>
    </row>
    <row r="137" spans="2:2" ht="14.25" x14ac:dyDescent="0.2">
      <c r="B137"/>
    </row>
    <row r="138" spans="2:2" ht="14.25" x14ac:dyDescent="0.2">
      <c r="B138"/>
    </row>
    <row r="139" spans="2:2" ht="14.25" x14ac:dyDescent="0.2">
      <c r="B139"/>
    </row>
    <row r="140" spans="2:2" ht="14.25" x14ac:dyDescent="0.2">
      <c r="B140"/>
    </row>
    <row r="141" spans="2:2" ht="14.25" x14ac:dyDescent="0.2">
      <c r="B141"/>
    </row>
    <row r="142" spans="2:2" ht="14.25" x14ac:dyDescent="0.2">
      <c r="B142"/>
    </row>
    <row r="143" spans="2:2" ht="14.25" x14ac:dyDescent="0.2">
      <c r="B143"/>
    </row>
    <row r="144" spans="2:2" ht="14.25" x14ac:dyDescent="0.2">
      <c r="B144"/>
    </row>
    <row r="145" spans="2:2" ht="14.25" x14ac:dyDescent="0.2">
      <c r="B145"/>
    </row>
    <row r="146" spans="2:2" ht="14.25" x14ac:dyDescent="0.2">
      <c r="B146"/>
    </row>
    <row r="147" spans="2:2" ht="14.25" x14ac:dyDescent="0.2">
      <c r="B147"/>
    </row>
    <row r="148" spans="2:2" ht="14.25" x14ac:dyDescent="0.2">
      <c r="B148"/>
    </row>
    <row r="149" spans="2:2" ht="14.25" x14ac:dyDescent="0.2">
      <c r="B149"/>
    </row>
    <row r="150" spans="2:2" ht="14.25" x14ac:dyDescent="0.2">
      <c r="B150"/>
    </row>
    <row r="151" spans="2:2" ht="14.25" x14ac:dyDescent="0.2">
      <c r="B151"/>
    </row>
    <row r="152" spans="2:2" ht="14.25" x14ac:dyDescent="0.2">
      <c r="B152"/>
    </row>
    <row r="153" spans="2:2" ht="14.25" x14ac:dyDescent="0.2">
      <c r="B153"/>
    </row>
    <row r="154" spans="2:2" ht="14.25" x14ac:dyDescent="0.2">
      <c r="B154"/>
    </row>
    <row r="155" spans="2:2" ht="14.25" x14ac:dyDescent="0.2">
      <c r="B155"/>
    </row>
    <row r="156" spans="2:2" ht="14.25" x14ac:dyDescent="0.2">
      <c r="B156"/>
    </row>
    <row r="157" spans="2:2" ht="14.25" x14ac:dyDescent="0.2">
      <c r="B157"/>
    </row>
    <row r="158" spans="2:2" ht="14.25" x14ac:dyDescent="0.2">
      <c r="B158"/>
    </row>
    <row r="159" spans="2:2" ht="14.25" x14ac:dyDescent="0.2">
      <c r="B159"/>
    </row>
    <row r="160" spans="2:2" ht="14.25" x14ac:dyDescent="0.2">
      <c r="B160"/>
    </row>
    <row r="161" spans="2:2" ht="14.25" x14ac:dyDescent="0.2">
      <c r="B161"/>
    </row>
    <row r="162" spans="2:2" ht="14.25" x14ac:dyDescent="0.2">
      <c r="B162"/>
    </row>
    <row r="163" spans="2:2" ht="14.25" x14ac:dyDescent="0.2">
      <c r="B163"/>
    </row>
    <row r="164" spans="2:2" ht="14.25" x14ac:dyDescent="0.2">
      <c r="B164"/>
    </row>
    <row r="165" spans="2:2" ht="14.25" x14ac:dyDescent="0.2">
      <c r="B165"/>
    </row>
    <row r="166" spans="2:2" ht="14.25" x14ac:dyDescent="0.2">
      <c r="B166"/>
    </row>
    <row r="167" spans="2:2" ht="14.25" x14ac:dyDescent="0.2">
      <c r="B167"/>
    </row>
    <row r="168" spans="2:2" ht="14.25" x14ac:dyDescent="0.2">
      <c r="B168"/>
    </row>
    <row r="169" spans="2:2" ht="14.25" x14ac:dyDescent="0.2">
      <c r="B169"/>
    </row>
    <row r="170" spans="2:2" ht="14.25" x14ac:dyDescent="0.2">
      <c r="B170"/>
    </row>
    <row r="171" spans="2:2" ht="14.25" x14ac:dyDescent="0.2">
      <c r="B171"/>
    </row>
    <row r="172" spans="2:2" ht="14.25" x14ac:dyDescent="0.2">
      <c r="B172"/>
    </row>
    <row r="173" spans="2:2" ht="14.25" x14ac:dyDescent="0.2">
      <c r="B173"/>
    </row>
    <row r="174" spans="2:2" ht="14.25" x14ac:dyDescent="0.2">
      <c r="B174"/>
    </row>
    <row r="175" spans="2:2" ht="14.25" x14ac:dyDescent="0.2">
      <c r="B175"/>
    </row>
    <row r="176" spans="2:2" ht="14.25" x14ac:dyDescent="0.2">
      <c r="B176"/>
    </row>
    <row r="177" spans="2:2" ht="14.25" x14ac:dyDescent="0.2">
      <c r="B177"/>
    </row>
    <row r="178" spans="2:2" ht="14.25" x14ac:dyDescent="0.2">
      <c r="B178"/>
    </row>
    <row r="179" spans="2:2" ht="14.25" x14ac:dyDescent="0.2">
      <c r="B179"/>
    </row>
    <row r="180" spans="2:2" ht="14.25" x14ac:dyDescent="0.2">
      <c r="B180"/>
    </row>
    <row r="181" spans="2:2" ht="14.25" x14ac:dyDescent="0.2">
      <c r="B181"/>
    </row>
    <row r="182" spans="2:2" ht="14.25" x14ac:dyDescent="0.2">
      <c r="B182"/>
    </row>
    <row r="183" spans="2:2" ht="14.25" x14ac:dyDescent="0.2">
      <c r="B183"/>
    </row>
    <row r="184" spans="2:2" ht="14.25" x14ac:dyDescent="0.2">
      <c r="B184"/>
    </row>
    <row r="185" spans="2:2" ht="14.25" x14ac:dyDescent="0.2">
      <c r="B185"/>
    </row>
    <row r="186" spans="2:2" ht="14.25" x14ac:dyDescent="0.2">
      <c r="B186"/>
    </row>
    <row r="187" spans="2:2" ht="14.25" x14ac:dyDescent="0.2">
      <c r="B187"/>
    </row>
    <row r="188" spans="2:2" ht="14.25" x14ac:dyDescent="0.2">
      <c r="B188"/>
    </row>
    <row r="189" spans="2:2" ht="14.25" x14ac:dyDescent="0.2">
      <c r="B189"/>
    </row>
    <row r="190" spans="2:2" ht="14.25" x14ac:dyDescent="0.2">
      <c r="B190"/>
    </row>
    <row r="191" spans="2:2" ht="14.25" x14ac:dyDescent="0.2">
      <c r="B191"/>
    </row>
    <row r="192" spans="2:2" ht="14.25" x14ac:dyDescent="0.2">
      <c r="B192"/>
    </row>
    <row r="193" spans="2:2" ht="14.25" x14ac:dyDescent="0.2">
      <c r="B193"/>
    </row>
    <row r="194" spans="2:2" ht="14.25" x14ac:dyDescent="0.2">
      <c r="B194"/>
    </row>
    <row r="195" spans="2:2" ht="14.25" x14ac:dyDescent="0.2">
      <c r="B195"/>
    </row>
    <row r="196" spans="2:2" ht="14.25" x14ac:dyDescent="0.2">
      <c r="B196"/>
    </row>
    <row r="197" spans="2:2" ht="14.25" x14ac:dyDescent="0.2">
      <c r="B197"/>
    </row>
    <row r="198" spans="2:2" ht="14.25" x14ac:dyDescent="0.2">
      <c r="B198"/>
    </row>
    <row r="199" spans="2:2" ht="14.25" x14ac:dyDescent="0.2">
      <c r="B199"/>
    </row>
    <row r="200" spans="2:2" ht="14.25" x14ac:dyDescent="0.2">
      <c r="B200"/>
    </row>
  </sheetData>
  <sheetProtection password="CAEF" sheet="1" objects="1" scenarios="1"/>
  <mergeCells count="19">
    <mergeCell ref="E1:H1"/>
    <mergeCell ref="M3:N3"/>
    <mergeCell ref="J4:L5"/>
    <mergeCell ref="J6:K7"/>
    <mergeCell ref="L6:L7"/>
    <mergeCell ref="M1:N2"/>
    <mergeCell ref="J38:K38"/>
    <mergeCell ref="J33:K33"/>
    <mergeCell ref="J34:K34"/>
    <mergeCell ref="J35:K35"/>
    <mergeCell ref="J36:K36"/>
    <mergeCell ref="J37:K37"/>
    <mergeCell ref="J32:K32"/>
    <mergeCell ref="J10:K11"/>
    <mergeCell ref="L10:L11"/>
    <mergeCell ref="J12:L13"/>
    <mergeCell ref="J3:K3"/>
    <mergeCell ref="J8:K9"/>
    <mergeCell ref="L8:L9"/>
  </mergeCells>
  <conditionalFormatting sqref="I1">
    <cfRule type="expression" dxfId="20" priority="16">
      <formula>OR($I$2="",$I$2=0)</formula>
    </cfRule>
  </conditionalFormatting>
  <conditionalFormatting sqref="I2">
    <cfRule type="expression" dxfId="19" priority="15">
      <formula>OR($I$2="",$I$2=0)</formula>
    </cfRule>
  </conditionalFormatting>
  <conditionalFormatting sqref="L32:L38">
    <cfRule type="expression" dxfId="18" priority="13">
      <formula>AND($J32="insektenblütig JA / NEIN:",$L32&lt;&gt;"")</formula>
    </cfRule>
  </conditionalFormatting>
  <conditionalFormatting sqref="I32:I38">
    <cfRule type="expression" dxfId="17" priority="12">
      <formula>$I32&lt;&gt;""</formula>
    </cfRule>
  </conditionalFormatting>
  <conditionalFormatting sqref="N32:N38">
    <cfRule type="expression" dxfId="16" priority="11">
      <formula>$N32&lt;&gt;""</formula>
    </cfRule>
  </conditionalFormatting>
  <conditionalFormatting sqref="L6">
    <cfRule type="expression" dxfId="15" priority="10">
      <formula>$L$6=""</formula>
    </cfRule>
  </conditionalFormatting>
  <conditionalFormatting sqref="J6">
    <cfRule type="expression" dxfId="14" priority="9">
      <formula>$L$6=""</formula>
    </cfRule>
  </conditionalFormatting>
  <conditionalFormatting sqref="M3:N3">
    <cfRule type="expression" dxfId="13" priority="6">
      <formula>AND($L$3&gt;0.6,$L$3&lt;&gt;"0 %",$J$2&gt;0)</formula>
    </cfRule>
  </conditionalFormatting>
  <conditionalFormatting sqref="L3">
    <cfRule type="expression" dxfId="12" priority="5">
      <formula>AND($L$3&gt;0.6,$L$3&lt;&gt;"0 %",$J$2&gt;0)</formula>
    </cfRule>
  </conditionalFormatting>
  <conditionalFormatting sqref="J3:K3">
    <cfRule type="expression" dxfId="11" priority="3">
      <formula>$L$3="0 %"</formula>
    </cfRule>
    <cfRule type="expression" dxfId="10" priority="4">
      <formula>AND($L$3&gt;0.6,$L$3&lt;&gt;"0 %",$J$2&gt;0)</formula>
    </cfRule>
  </conditionalFormatting>
  <conditionalFormatting sqref="J4:L5">
    <cfRule type="expression" dxfId="9" priority="2">
      <formula>$L$6=""</formula>
    </cfRule>
  </conditionalFormatting>
  <conditionalFormatting sqref="E2:E3">
    <cfRule type="expression" dxfId="8" priority="34">
      <formula>SUM($E$4:$E$38)=0</formula>
    </cfRule>
  </conditionalFormatting>
  <conditionalFormatting sqref="I32:I38">
    <cfRule type="expression" dxfId="7" priority="1">
      <formula>AND($E32&gt;0,$I32="")</formula>
    </cfRule>
  </conditionalFormatting>
  <hyperlinks>
    <hyperlink ref="M1:N2" location="'Zusammenfassung BIO'!A1" display="'Zusammenfassung BIO'!A1"/>
  </hyperlinks>
  <pageMargins left="0.7" right="0.7" top="0.78740157499999996" bottom="0.78740157499999996" header="0.3" footer="0.3"/>
  <pageSetup paperSize="9" scale="33" fitToHeight="3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>
          <x14:formula1>
            <xm:f>'BIO (2)'!$AB$3:$AB$14</xm:f>
          </x14:formula1>
          <xm:sqref>I32:I38</xm:sqref>
        </x14:dataValidation>
        <x14:dataValidation type="list" allowBlank="1" showInputMessage="1" showErrorMessage="1">
          <x14:formula1>
            <xm:f>'BIO (2)'!$AC$3:$AC$5</xm:f>
          </x14:formula1>
          <xm:sqref>L32:L38</xm:sqref>
        </x14:dataValidation>
        <x14:dataValidation type="list" allowBlank="1" showInputMessage="1" showErrorMessage="1">
          <x14:formula1>
            <xm:f>'BIO (2)'!$AD$3:$AD$9</xm:f>
          </x14:formula1>
          <xm:sqref>N32:N38</xm:sqref>
        </x14:dataValidation>
        <x14:dataValidation type="list" allowBlank="1" showInputMessage="1" showErrorMessage="1" errorTitle="nur Vorauswahl möglich" error="nur vorgegebene Dünger auswählbar">
          <x14:formula1>
            <xm:f>'BIO (2)'!$AE$3:$AE$10</xm:f>
          </x14:formula1>
          <xm:sqref>L6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9" tint="0.39997558519241921"/>
    <pageSetUpPr fitToPage="1"/>
  </sheetPr>
  <dimension ref="A1:AG242"/>
  <sheetViews>
    <sheetView showZeros="0" zoomScale="80" zoomScaleNormal="80" zoomScaleSheetLayoutView="100" workbookViewId="0">
      <pane xSplit="1" topLeftCell="B1" activePane="topRight" state="frozen"/>
      <selection pane="topRight" activeCell="E3" sqref="E3"/>
    </sheetView>
  </sheetViews>
  <sheetFormatPr baseColWidth="10" defaultRowHeight="15" x14ac:dyDescent="0.25"/>
  <cols>
    <col min="1" max="1" width="45.125" style="17" customWidth="1"/>
    <col min="2" max="2" width="27.875" style="197" customWidth="1"/>
    <col min="3" max="3" width="20.875" style="17" customWidth="1"/>
    <col min="4" max="4" width="20.125" style="17" customWidth="1"/>
    <col min="5" max="5" width="14.625" style="17" customWidth="1"/>
    <col min="6" max="6" width="11" style="17"/>
    <col min="7" max="7" width="14.25" style="17" customWidth="1"/>
    <col min="8" max="8" width="11" style="17"/>
    <col min="9" max="9" width="21.25" style="17" customWidth="1"/>
    <col min="10" max="11" width="13.375" style="17" customWidth="1"/>
    <col min="12" max="12" width="15.125" style="17" customWidth="1"/>
    <col min="13" max="13" width="16" style="17" customWidth="1"/>
    <col min="14" max="14" width="17.375" style="17" customWidth="1"/>
    <col min="15" max="16" width="16.5" style="17" customWidth="1"/>
    <col min="17" max="19" width="11" style="17"/>
    <col min="20" max="20" width="16.375" style="17" bestFit="1" customWidth="1"/>
    <col min="21" max="21" width="11" style="17"/>
    <col min="22" max="22" width="14.625" style="17" customWidth="1"/>
    <col min="23" max="27" width="11" style="17"/>
    <col min="28" max="28" width="20.5" style="17" bestFit="1" customWidth="1"/>
    <col min="29" max="29" width="11" style="17"/>
    <col min="30" max="30" width="18.25" style="17" bestFit="1" customWidth="1"/>
    <col min="31" max="31" width="19" style="17" bestFit="1" customWidth="1"/>
    <col min="32" max="32" width="11" style="17"/>
    <col min="33" max="33" width="15.5" style="17" bestFit="1" customWidth="1"/>
    <col min="34" max="16384" width="11" style="17"/>
  </cols>
  <sheetData>
    <row r="1" spans="1:33" ht="143.25" customHeight="1" thickBot="1" x14ac:dyDescent="0.25">
      <c r="A1" s="182" t="s">
        <v>528</v>
      </c>
      <c r="B1" s="1" t="s">
        <v>131</v>
      </c>
      <c r="C1" s="2" t="s">
        <v>132</v>
      </c>
      <c r="D1" s="3"/>
      <c r="E1" s="511" t="s">
        <v>0</v>
      </c>
      <c r="F1" s="512"/>
      <c r="G1" s="512"/>
      <c r="H1" s="512"/>
      <c r="I1" s="74" t="str">
        <f>IF($I$2="","bitte geben Sie HIER die
Begrünungsfläche  in ha an","Fläche in ha")</f>
        <v>Fläche in ha</v>
      </c>
      <c r="J1" s="4" t="s">
        <v>304</v>
      </c>
      <c r="K1" s="4" t="s">
        <v>1</v>
      </c>
      <c r="L1" s="5" t="s">
        <v>305</v>
      </c>
      <c r="M1" s="6"/>
    </row>
    <row r="2" spans="1:33" ht="46.5" customHeight="1" thickBot="1" x14ac:dyDescent="0.25">
      <c r="B2" s="7" t="s">
        <v>2</v>
      </c>
      <c r="C2" s="7" t="s">
        <v>3</v>
      </c>
      <c r="D2" s="252" t="s">
        <v>4</v>
      </c>
      <c r="E2" s="409" t="s">
        <v>5</v>
      </c>
      <c r="F2" s="9" t="s">
        <v>1</v>
      </c>
      <c r="G2" s="7" t="s">
        <v>308</v>
      </c>
      <c r="H2" s="10" t="s">
        <v>6</v>
      </c>
      <c r="I2" s="67">
        <f>'Begr.-Rechner BIO'!I2</f>
        <v>0</v>
      </c>
      <c r="J2" s="184">
        <f>SUM(E3:E37)</f>
        <v>0</v>
      </c>
      <c r="K2" s="185">
        <f>SUM(F3:F37)</f>
        <v>0</v>
      </c>
      <c r="L2" s="186">
        <f>SUM(G3:G37)</f>
        <v>0</v>
      </c>
      <c r="M2" s="230" t="s">
        <v>360</v>
      </c>
      <c r="N2" s="227" t="s">
        <v>355</v>
      </c>
      <c r="O2" s="231" t="s">
        <v>359</v>
      </c>
      <c r="P2" s="231" t="s">
        <v>417</v>
      </c>
      <c r="Q2" s="227" t="s">
        <v>357</v>
      </c>
      <c r="R2" s="227" t="s">
        <v>364</v>
      </c>
      <c r="S2" s="227" t="s">
        <v>346</v>
      </c>
      <c r="T2" s="227" t="s">
        <v>345</v>
      </c>
      <c r="U2" s="227" t="s">
        <v>362</v>
      </c>
      <c r="V2" s="244" t="s">
        <v>363</v>
      </c>
      <c r="W2" t="s">
        <v>349</v>
      </c>
      <c r="X2" s="225" t="s">
        <v>350</v>
      </c>
      <c r="Y2" s="225" t="s">
        <v>524</v>
      </c>
      <c r="Z2" s="227" t="s">
        <v>358</v>
      </c>
      <c r="AB2" s="246" t="s">
        <v>409</v>
      </c>
      <c r="AC2" s="281" t="s">
        <v>413</v>
      </c>
      <c r="AD2" s="281" t="s">
        <v>519</v>
      </c>
      <c r="AE2" s="17" t="s">
        <v>863</v>
      </c>
      <c r="AF2" s="17" t="s">
        <v>868</v>
      </c>
      <c r="AG2" s="17" t="s">
        <v>869</v>
      </c>
    </row>
    <row r="3" spans="1:33" ht="21.75" customHeight="1" thickBot="1" x14ac:dyDescent="0.25">
      <c r="A3" s="245" t="s">
        <v>834</v>
      </c>
      <c r="B3" s="71">
        <f>'Begr.-Rechner BIO'!$B4</f>
        <v>5.66</v>
      </c>
      <c r="C3" s="83">
        <f>'Begr.-Rechner BIO'!C4</f>
        <v>25</v>
      </c>
      <c r="D3" s="191">
        <f t="shared" ref="D3:D25" si="0">IF(ISERROR(C3*B3),0,C3*B3)</f>
        <v>141.5</v>
      </c>
      <c r="E3" s="192">
        <f>'Begr.-Rechner BIO'!E4</f>
        <v>0</v>
      </c>
      <c r="F3" s="84">
        <f>IF(ISERROR(E3*B3),0,(E3*B3))</f>
        <v>0</v>
      </c>
      <c r="G3" s="85">
        <f t="shared" ref="G3" si="1">IF(ISERROR(E3/C3),0,(E3/C3))</f>
        <v>0</v>
      </c>
      <c r="H3" s="78">
        <f t="shared" ref="H3" si="2">IF(ISERROR($I$2*E3),0,($I$2*E3))</f>
        <v>0</v>
      </c>
      <c r="I3" s="189" t="str">
        <f>'Begr.-Rechner BIO'!$I4</f>
        <v>Leguminose</v>
      </c>
      <c r="J3" s="189"/>
      <c r="K3" s="590" t="s">
        <v>862</v>
      </c>
      <c r="L3" s="591"/>
      <c r="M3" s="189" t="s">
        <v>247</v>
      </c>
      <c r="N3" s="189" t="s">
        <v>361</v>
      </c>
      <c r="O3" s="189" t="str">
        <f>IF(E3&gt;0,"ja","nein")</f>
        <v>nein</v>
      </c>
      <c r="P3" s="189" t="str">
        <f>IF(O3="ja",I3,"")</f>
        <v/>
      </c>
      <c r="Q3" s="228">
        <f>COUNTIFS($M$3:$M$37,"ja",$O$3:$O$37,"ja")</f>
        <v>0</v>
      </c>
      <c r="R3" s="228" t="str">
        <f>IF(AND($R$5&gt;0,$R$4=0),"ja",IF(AND($R$5&gt;0,$R$4&gt;0),"nein",IF(AND($R$5=0,$R$4&gt;0),"nein","nein")))</f>
        <v>nein</v>
      </c>
      <c r="S3" s="228">
        <f t="array" ref="S3">SUM(1/(COUNTIF(P3:P37,P3:P37)))-1</f>
        <v>0</v>
      </c>
      <c r="T3" s="228">
        <f>COUNTIF($O$3:$O$37,"ja")</f>
        <v>0</v>
      </c>
      <c r="U3" s="232">
        <f>SUM($V$3:$V$38)</f>
        <v>0</v>
      </c>
      <c r="V3" s="243" t="str">
        <f>IF(AND(O3="ja",N3="ja"),1,"")</f>
        <v/>
      </c>
      <c r="W3" t="s">
        <v>356</v>
      </c>
      <c r="X3">
        <v>5</v>
      </c>
      <c r="Y3">
        <v>2</v>
      </c>
      <c r="Z3" t="str">
        <f>IF(AND($U$3&gt;=$X$3,$S$3&gt;=$Y$3),"Var.1; ","")</f>
        <v/>
      </c>
      <c r="AB3" s="247"/>
      <c r="AD3"/>
    </row>
    <row r="4" spans="1:33" ht="21.75" customHeight="1" thickBot="1" x14ac:dyDescent="0.25">
      <c r="A4" s="245" t="s">
        <v>835</v>
      </c>
      <c r="B4" s="71">
        <f>'Begr.-Rechner BIO'!$B5</f>
        <v>2.76</v>
      </c>
      <c r="C4" s="83">
        <f>'Begr.-Rechner BIO'!C5</f>
        <v>70</v>
      </c>
      <c r="D4" s="191">
        <f t="shared" si="0"/>
        <v>193.2</v>
      </c>
      <c r="E4" s="192">
        <f>'Begr.-Rechner BIO'!E5</f>
        <v>0</v>
      </c>
      <c r="F4" s="84">
        <f t="shared" ref="F4:F5" si="3">IF(ISERROR(E4*B4),0,(E4*B4))</f>
        <v>0</v>
      </c>
      <c r="G4" s="85">
        <f t="shared" ref="G4:G5" si="4">IF(ISERROR(E4/C4),0,(E4/C4))</f>
        <v>0</v>
      </c>
      <c r="H4" s="78">
        <f t="shared" ref="H4:H5" si="5">IF(ISERROR($I$2*E4),0,($I$2*E4))</f>
        <v>0</v>
      </c>
      <c r="I4" s="189" t="str">
        <f>'Begr.-Rechner BIO'!$I5</f>
        <v>Knöterichgewächse</v>
      </c>
      <c r="K4" s="592" t="str">
        <f>'Begr.-Rechner BIO'!L3</f>
        <v/>
      </c>
      <c r="L4" s="593"/>
      <c r="M4" s="17" t="s">
        <v>247</v>
      </c>
      <c r="N4" s="17" t="s">
        <v>361</v>
      </c>
      <c r="O4" s="189" t="str">
        <f>IF(E4&gt;0,"ja","nein")</f>
        <v>nein</v>
      </c>
      <c r="P4" s="189" t="str">
        <f t="shared" ref="P4:P25" si="6">IF(O4="ja",I4,"")</f>
        <v/>
      </c>
      <c r="Q4"/>
      <c r="R4" s="307">
        <f>COUNTIFS($M$3:$M$37,"nein",$O$3:$O$37,"ja")</f>
        <v>0</v>
      </c>
      <c r="S4"/>
      <c r="T4"/>
      <c r="U4"/>
      <c r="V4" s="233" t="str">
        <f t="shared" ref="V4:V38" si="7">IF(AND(O4="ja",N4="ja"),1,"")</f>
        <v/>
      </c>
      <c r="W4" t="s">
        <v>348</v>
      </c>
      <c r="X4">
        <v>3</v>
      </c>
      <c r="Y4">
        <v>3</v>
      </c>
      <c r="Z4" t="str">
        <f>IF(AND($T$3&gt;=$X$4,$S$3&gt;=$Y$4),"Var.2; ","")</f>
        <v/>
      </c>
      <c r="AB4" s="247" t="s">
        <v>405</v>
      </c>
      <c r="AC4" t="s">
        <v>414</v>
      </c>
      <c r="AD4" t="s">
        <v>15</v>
      </c>
      <c r="AE4" s="17" t="s">
        <v>864</v>
      </c>
      <c r="AF4" s="17">
        <v>0.7</v>
      </c>
      <c r="AG4" s="17">
        <v>0.87</v>
      </c>
    </row>
    <row r="5" spans="1:33" ht="21.75" customHeight="1" thickBot="1" x14ac:dyDescent="0.25">
      <c r="A5" s="245" t="s">
        <v>836</v>
      </c>
      <c r="B5" s="71">
        <f>'Begr.-Rechner BIO'!$B6</f>
        <v>3.74</v>
      </c>
      <c r="C5" s="83">
        <f>'Begr.-Rechner BIO'!C6</f>
        <v>40</v>
      </c>
      <c r="D5" s="191">
        <f t="shared" si="0"/>
        <v>149.60000000000002</v>
      </c>
      <c r="E5" s="192">
        <f>'Begr.-Rechner BIO'!E6</f>
        <v>0</v>
      </c>
      <c r="F5" s="84">
        <f t="shared" si="3"/>
        <v>0</v>
      </c>
      <c r="G5" s="85">
        <f t="shared" si="4"/>
        <v>0</v>
      </c>
      <c r="H5" s="78">
        <f t="shared" si="5"/>
        <v>0</v>
      </c>
      <c r="I5" s="189" t="str">
        <f>'Begr.-Rechner BIO'!$I6</f>
        <v>Gräser</v>
      </c>
      <c r="M5" s="17" t="s">
        <v>247</v>
      </c>
      <c r="N5" s="189" t="s">
        <v>247</v>
      </c>
      <c r="O5" s="189" t="str">
        <f t="shared" ref="O5:O8" si="8">IF(E5&gt;0,"ja","nein")</f>
        <v>nein</v>
      </c>
      <c r="P5" s="189" t="str">
        <f t="shared" si="6"/>
        <v/>
      </c>
      <c r="Q5"/>
      <c r="R5" s="307">
        <f>COUNTIFS($M$3:$M$37,"ja",$O$3:$O$37,"ja")</f>
        <v>0</v>
      </c>
      <c r="S5"/>
      <c r="T5"/>
      <c r="U5"/>
      <c r="V5" s="233" t="str">
        <f t="shared" si="7"/>
        <v/>
      </c>
      <c r="W5" t="s">
        <v>351</v>
      </c>
      <c r="X5">
        <v>3</v>
      </c>
      <c r="Y5">
        <v>2</v>
      </c>
      <c r="Z5" t="str">
        <f>IF(AND($T$3&gt;=$X$5,$S$3&gt;=$Y$5),"Var.3; ","")</f>
        <v/>
      </c>
      <c r="AB5" s="247" t="s">
        <v>406</v>
      </c>
      <c r="AC5" t="s">
        <v>415</v>
      </c>
      <c r="AD5" t="s">
        <v>520</v>
      </c>
      <c r="AE5" s="17" t="s">
        <v>865</v>
      </c>
      <c r="AF5" s="17">
        <v>0.8</v>
      </c>
      <c r="AG5" s="17">
        <v>0.87</v>
      </c>
    </row>
    <row r="6" spans="1:33" ht="21.75" customHeight="1" thickBot="1" x14ac:dyDescent="0.25">
      <c r="A6" s="245" t="s">
        <v>837</v>
      </c>
      <c r="B6" s="71">
        <f>'Begr.-Rechner BIO'!$B7</f>
        <v>6.26</v>
      </c>
      <c r="C6" s="83">
        <f>'Begr.-Rechner BIO'!C7</f>
        <v>30</v>
      </c>
      <c r="D6" s="191">
        <f t="shared" si="0"/>
        <v>187.79999999999998</v>
      </c>
      <c r="E6" s="192">
        <f>'Begr.-Rechner BIO'!E7</f>
        <v>0</v>
      </c>
      <c r="F6" s="84">
        <f t="shared" ref="F6:F25" si="9">IF(ISERROR(E6*B6),0,(E6*B6))</f>
        <v>0</v>
      </c>
      <c r="G6" s="85">
        <f t="shared" ref="G6:G25" si="10">IF(ISERROR(E6/C6),0,(E6/C6))</f>
        <v>0</v>
      </c>
      <c r="H6" s="78">
        <f t="shared" ref="H6:H25" si="11">IF(ISERROR($I$2*E6),0,($I$2*E6))</f>
        <v>0</v>
      </c>
      <c r="I6" s="189" t="str">
        <f>'Begr.-Rechner BIO'!$I7</f>
        <v>Gräser</v>
      </c>
      <c r="M6" s="189" t="s">
        <v>247</v>
      </c>
      <c r="N6" s="189" t="s">
        <v>247</v>
      </c>
      <c r="O6" s="189" t="str">
        <f t="shared" si="8"/>
        <v>nein</v>
      </c>
      <c r="P6" s="189" t="str">
        <f t="shared" si="6"/>
        <v/>
      </c>
      <c r="Q6"/>
      <c r="R6"/>
      <c r="S6"/>
      <c r="T6"/>
      <c r="U6"/>
      <c r="V6" s="233" t="str">
        <f t="shared" si="7"/>
        <v/>
      </c>
      <c r="W6" t="s">
        <v>352</v>
      </c>
      <c r="X6">
        <v>3</v>
      </c>
      <c r="Y6">
        <v>2</v>
      </c>
      <c r="Z6" t="str">
        <f>IF(AND($T$3&gt;=$X$6,$S$3&gt;=$Y$6),"Var.4; ","")</f>
        <v/>
      </c>
      <c r="AB6" s="247" t="s">
        <v>182</v>
      </c>
      <c r="AD6" t="s">
        <v>112</v>
      </c>
      <c r="AE6" s="189" t="s">
        <v>866</v>
      </c>
      <c r="AF6" s="17">
        <v>0.85</v>
      </c>
      <c r="AG6" s="17">
        <v>0.87</v>
      </c>
    </row>
    <row r="7" spans="1:33" ht="21.75" customHeight="1" thickBot="1" x14ac:dyDescent="0.25">
      <c r="A7" s="245" t="s">
        <v>829</v>
      </c>
      <c r="B7" s="71">
        <f>'Begr.-Rechner BIO'!$B8</f>
        <v>7.59</v>
      </c>
      <c r="C7" s="83">
        <f>'Begr.-Rechner BIO'!C8</f>
        <v>180</v>
      </c>
      <c r="D7" s="191">
        <f t="shared" si="0"/>
        <v>1366.2</v>
      </c>
      <c r="E7" s="192">
        <f>'Begr.-Rechner BIO'!E8</f>
        <v>0</v>
      </c>
      <c r="F7" s="84">
        <f t="shared" si="9"/>
        <v>0</v>
      </c>
      <c r="G7" s="85">
        <f t="shared" si="10"/>
        <v>0</v>
      </c>
      <c r="H7" s="78">
        <f t="shared" si="11"/>
        <v>0</v>
      </c>
      <c r="I7" s="189" t="str">
        <f>'Begr.-Rechner BIO'!$I8</f>
        <v>Leguminose</v>
      </c>
      <c r="M7" s="189" t="s">
        <v>247</v>
      </c>
      <c r="N7" s="189" t="s">
        <v>361</v>
      </c>
      <c r="O7" s="189" t="str">
        <f t="shared" si="8"/>
        <v>nein</v>
      </c>
      <c r="P7" s="189" t="str">
        <f t="shared" si="6"/>
        <v/>
      </c>
      <c r="Q7"/>
      <c r="R7"/>
      <c r="S7"/>
      <c r="T7"/>
      <c r="U7"/>
      <c r="V7" s="233" t="str">
        <f t="shared" si="7"/>
        <v/>
      </c>
      <c r="W7" t="s">
        <v>353</v>
      </c>
      <c r="X7">
        <v>3</v>
      </c>
      <c r="Y7">
        <v>2</v>
      </c>
      <c r="Z7" t="str">
        <f>IF(AND($T$3&gt;=$X$7,$S$3&gt;=$Y$7),"Var.5; ","")</f>
        <v/>
      </c>
      <c r="AB7" s="247" t="s">
        <v>407</v>
      </c>
      <c r="AD7" t="s">
        <v>521</v>
      </c>
      <c r="AE7" s="189" t="s">
        <v>867</v>
      </c>
      <c r="AF7" s="17">
        <v>1</v>
      </c>
      <c r="AG7" s="17">
        <v>0.87</v>
      </c>
    </row>
    <row r="8" spans="1:33" ht="21.75" customHeight="1" thickBot="1" x14ac:dyDescent="0.25">
      <c r="A8" s="245" t="s">
        <v>838</v>
      </c>
      <c r="B8" s="71">
        <f>'Begr.-Rechner BIO'!$B9</f>
        <v>1.62</v>
      </c>
      <c r="C8" s="83">
        <f>'Begr.-Rechner BIO'!C9</f>
        <v>160</v>
      </c>
      <c r="D8" s="191">
        <f t="shared" si="0"/>
        <v>259.20000000000005</v>
      </c>
      <c r="E8" s="192">
        <f>'Begr.-Rechner BIO'!E9</f>
        <v>0</v>
      </c>
      <c r="F8" s="84">
        <f t="shared" si="9"/>
        <v>0</v>
      </c>
      <c r="G8" s="85">
        <f t="shared" si="10"/>
        <v>0</v>
      </c>
      <c r="H8" s="78">
        <f t="shared" si="11"/>
        <v>0</v>
      </c>
      <c r="I8" s="189" t="str">
        <f>'Begr.-Rechner BIO'!$I9</f>
        <v>Leguminose</v>
      </c>
      <c r="M8" s="17" t="s">
        <v>361</v>
      </c>
      <c r="N8" s="189" t="s">
        <v>361</v>
      </c>
      <c r="O8" s="189" t="str">
        <f t="shared" si="8"/>
        <v>nein</v>
      </c>
      <c r="P8" s="189" t="str">
        <f t="shared" si="6"/>
        <v/>
      </c>
      <c r="Q8" s="397" t="s">
        <v>858</v>
      </c>
      <c r="R8" s="398"/>
      <c r="S8" s="399"/>
      <c r="T8" s="405" t="s">
        <v>873</v>
      </c>
      <c r="U8" s="406" t="s">
        <v>874</v>
      </c>
      <c r="V8" s="403" t="str">
        <f t="shared" si="7"/>
        <v/>
      </c>
      <c r="W8" t="s">
        <v>354</v>
      </c>
      <c r="X8" s="225"/>
      <c r="Y8" s="225"/>
      <c r="Z8" t="str">
        <f>IF($R$3="ja","Var. 6 *","")</f>
        <v/>
      </c>
      <c r="AB8" s="247" t="s">
        <v>341</v>
      </c>
      <c r="AD8" t="s">
        <v>522</v>
      </c>
      <c r="AE8" s="189" t="s">
        <v>870</v>
      </c>
      <c r="AF8" s="17">
        <v>0.5</v>
      </c>
      <c r="AG8" s="17">
        <v>0.91</v>
      </c>
    </row>
    <row r="9" spans="1:33" ht="21.75" customHeight="1" thickBot="1" x14ac:dyDescent="0.25">
      <c r="A9" s="245" t="s">
        <v>830</v>
      </c>
      <c r="B9" s="71">
        <f>'Begr.-Rechner BIO'!$B10</f>
        <v>12.18</v>
      </c>
      <c r="C9" s="83">
        <f>'Begr.-Rechner BIO'!C10</f>
        <v>40</v>
      </c>
      <c r="D9" s="191">
        <f t="shared" si="0"/>
        <v>487.2</v>
      </c>
      <c r="E9" s="192">
        <f>'Begr.-Rechner BIO'!E10</f>
        <v>0</v>
      </c>
      <c r="F9" s="84">
        <f t="shared" si="9"/>
        <v>0</v>
      </c>
      <c r="G9" s="85">
        <f t="shared" si="10"/>
        <v>0</v>
      </c>
      <c r="H9" s="78">
        <f t="shared" si="11"/>
        <v>0</v>
      </c>
      <c r="I9" s="189" t="str">
        <f>'Begr.-Rechner BIO'!$I10</f>
        <v>Hanfgewächse</v>
      </c>
      <c r="M9" s="17" t="s">
        <v>247</v>
      </c>
      <c r="N9" s="189" t="s">
        <v>247</v>
      </c>
      <c r="O9" s="17" t="str">
        <f t="shared" ref="O9:O25" si="12">IF(E9&gt;0,"ja","nein")</f>
        <v>nein</v>
      </c>
      <c r="P9" s="189" t="str">
        <f t="shared" si="6"/>
        <v/>
      </c>
      <c r="Q9" s="400">
        <f>IF('Begr.-Rechner BIO'!J2=0,80,IF(K4&gt;0,40,80))</f>
        <v>80</v>
      </c>
      <c r="R9" s="401">
        <f>IFERROR(IF('Begr.-Rechner BIO'!$L$6&lt;&gt;"",VLOOKUP('Begr.-Rechner BIO'!$L$6,'BIO (2)'!$AE$4:$AG$10,2,0),1),"")</f>
        <v>1</v>
      </c>
      <c r="S9" s="402">
        <f>IFERROR(IF('Begr.-Rechner BIO'!$L$6&lt;&gt;"",VLOOKUP('Begr.-Rechner BIO'!$L$6,'BIO (2)'!$AE$4:$AG$10,3,0),1),"")</f>
        <v>1</v>
      </c>
      <c r="T9" s="204">
        <f>IF('Begr.-Rechner BIO'!$L$6&lt;&gt;"",ROUND('BIO (2)'!Q9/'BIO (2)'!R9/'BIO (2)'!S9,1),60)</f>
        <v>60</v>
      </c>
      <c r="U9" s="205" t="str">
        <f>IF('Begr.-Rechner BIO'!$L$6&lt;&gt;"",Q9,"")</f>
        <v/>
      </c>
      <c r="V9" s="403" t="str">
        <f t="shared" si="7"/>
        <v/>
      </c>
      <c r="W9" s="17" t="s">
        <v>527</v>
      </c>
      <c r="X9" s="17">
        <v>3</v>
      </c>
      <c r="Y9" s="17">
        <v>2</v>
      </c>
      <c r="Z9" s="17" t="str">
        <f>IF(AND($T$3&gt;=$X$9,$S$3&gt;=$Y$9),"Var.7","")</f>
        <v/>
      </c>
      <c r="AB9" s="247" t="s">
        <v>342</v>
      </c>
      <c r="AD9" t="s">
        <v>455</v>
      </c>
      <c r="AE9" s="17" t="s">
        <v>871</v>
      </c>
      <c r="AF9" s="17">
        <v>0.1</v>
      </c>
      <c r="AG9" s="17">
        <v>0.91</v>
      </c>
    </row>
    <row r="10" spans="1:33" ht="21.75" customHeight="1" thickBot="1" x14ac:dyDescent="0.25">
      <c r="A10" s="245" t="s">
        <v>839</v>
      </c>
      <c r="B10" s="71">
        <f>'Begr.-Rechner BIO'!$B11</f>
        <v>4.25</v>
      </c>
      <c r="C10" s="83">
        <f>'Begr.-Rechner BIO'!C11</f>
        <v>15</v>
      </c>
      <c r="D10" s="191">
        <f t="shared" si="0"/>
        <v>63.75</v>
      </c>
      <c r="E10" s="192">
        <f>'Begr.-Rechner BIO'!E11</f>
        <v>0</v>
      </c>
      <c r="F10" s="84">
        <f t="shared" si="9"/>
        <v>0</v>
      </c>
      <c r="G10" s="85">
        <f t="shared" si="10"/>
        <v>0</v>
      </c>
      <c r="H10" s="78">
        <f t="shared" si="11"/>
        <v>0</v>
      </c>
      <c r="I10" s="189" t="str">
        <f>'Begr.-Rechner BIO'!$I11</f>
        <v>Gräser</v>
      </c>
      <c r="M10" s="17" t="s">
        <v>247</v>
      </c>
      <c r="N10" s="189" t="s">
        <v>247</v>
      </c>
      <c r="O10" s="17" t="str">
        <f t="shared" si="12"/>
        <v>nein</v>
      </c>
      <c r="P10" s="189" t="str">
        <f t="shared" si="6"/>
        <v/>
      </c>
      <c r="Q10" s="203">
        <f>IF('Begr.-Rechner BIO'!J2=0,70,IF(K4&gt;0,30,70))</f>
        <v>70</v>
      </c>
      <c r="R10" s="204">
        <f>IFERROR(IF('Begr.-Rechner BIO'!$L$6&lt;&gt;"",VLOOKUP('Begr.-Rechner BIO'!$L$6,'BIO (2)'!$AE$4:$AG$10,2,0),1),"")</f>
        <v>1</v>
      </c>
      <c r="S10" s="205">
        <f>IFERROR(IF('Begr.-Rechner BIO'!$L$6&lt;&gt;"",VLOOKUP('Begr.-Rechner BIO'!$L$6,'BIO (2)'!$AE$4:$AG$10,3,0),1),"")</f>
        <v>1</v>
      </c>
      <c r="T10" s="204">
        <f>IF('Begr.-Rechner BIO'!$L$6&lt;&gt;"",ROUND('BIO (2)'!Q10/'BIO (2)'!R10/'BIO (2)'!S10,1),60)</f>
        <v>60</v>
      </c>
      <c r="U10" s="205" t="str">
        <f>IF('Begr.-Rechner BIO'!$L$6&lt;&gt;"",Q10,"")</f>
        <v/>
      </c>
      <c r="V10" s="403" t="str">
        <f t="shared" si="7"/>
        <v/>
      </c>
      <c r="Z10" s="17" t="str">
        <f>IF(AND($Z3="",Z4="",Z5="",Z6="",Z7="",Z8=""),"keine ÖPUL Konformität gegeben","")</f>
        <v>keine ÖPUL Konformität gegeben</v>
      </c>
      <c r="AB10" s="247" t="s">
        <v>140</v>
      </c>
      <c r="AE10" s="17" t="s">
        <v>872</v>
      </c>
      <c r="AF10" s="17">
        <v>0.3</v>
      </c>
      <c r="AG10" s="17">
        <v>0.91</v>
      </c>
    </row>
    <row r="11" spans="1:33" ht="21.75" customHeight="1" thickBot="1" x14ac:dyDescent="0.25">
      <c r="A11" s="245" t="s">
        <v>832</v>
      </c>
      <c r="B11" s="71">
        <f>'Begr.-Rechner BIO'!$B12</f>
        <v>21.3</v>
      </c>
      <c r="C11" s="83">
        <f>'Begr.-Rechner BIO'!C12</f>
        <v>20</v>
      </c>
      <c r="D11" s="191">
        <f t="shared" si="0"/>
        <v>426</v>
      </c>
      <c r="E11" s="192">
        <f>'Begr.-Rechner BIO'!E12</f>
        <v>0</v>
      </c>
      <c r="F11" s="84">
        <f t="shared" si="9"/>
        <v>0</v>
      </c>
      <c r="G11" s="85">
        <f t="shared" si="10"/>
        <v>0</v>
      </c>
      <c r="H11" s="78">
        <f t="shared" si="11"/>
        <v>0</v>
      </c>
      <c r="I11" s="189" t="str">
        <f>'Begr.-Rechner BIO'!$I12</f>
        <v>Leguminose</v>
      </c>
      <c r="M11" s="17" t="s">
        <v>247</v>
      </c>
      <c r="N11" s="189" t="s">
        <v>361</v>
      </c>
      <c r="O11" s="17" t="str">
        <f t="shared" si="12"/>
        <v>nein</v>
      </c>
      <c r="P11" s="189" t="str">
        <f t="shared" si="6"/>
        <v/>
      </c>
      <c r="Q11" s="206">
        <v>60</v>
      </c>
      <c r="R11" s="207">
        <f>IFERROR(IF('Begr.-Rechner BIO'!$L$6&lt;&gt;"",VLOOKUP('Begr.-Rechner BIO'!$L$6,'BIO (2)'!$AE$4:$AG$10,2,0),1),"")</f>
        <v>1</v>
      </c>
      <c r="S11" s="208">
        <f>IFERROR(IF('Begr.-Rechner BIO'!$L$6&lt;&gt;"",VLOOKUP('Begr.-Rechner BIO'!$L$6,'BIO (2)'!$AE$4:$AG$10,3,0),1),"")</f>
        <v>1</v>
      </c>
      <c r="T11" s="207">
        <f>IF('Begr.-Rechner BIO'!$L$6&lt;&gt;"",Q11,60)</f>
        <v>60</v>
      </c>
      <c r="U11" s="208" t="str">
        <f>IF('Begr.-Rechner BIO'!$L$6&lt;&gt;"",ROUND('BIO (2)'!Q11*'BIO (2)'!R11*'BIO (2)'!S11,1),"")</f>
        <v/>
      </c>
      <c r="V11" s="403" t="str">
        <f t="shared" si="7"/>
        <v/>
      </c>
      <c r="AB11" s="247" t="s">
        <v>340</v>
      </c>
    </row>
    <row r="12" spans="1:33" ht="29.25" thickBot="1" x14ac:dyDescent="0.25">
      <c r="A12" s="245" t="s">
        <v>840</v>
      </c>
      <c r="B12" s="71">
        <f>'Begr.-Rechner BIO'!$B13</f>
        <v>4.4800000000000004</v>
      </c>
      <c r="C12" s="83">
        <f>'Begr.-Rechner BIO'!C13</f>
        <v>30</v>
      </c>
      <c r="D12" s="191">
        <f t="shared" si="0"/>
        <v>134.4</v>
      </c>
      <c r="E12" s="192">
        <f>'Begr.-Rechner BIO'!E13</f>
        <v>0</v>
      </c>
      <c r="F12" s="84">
        <f t="shared" si="9"/>
        <v>0</v>
      </c>
      <c r="G12" s="85">
        <f t="shared" si="10"/>
        <v>0</v>
      </c>
      <c r="H12" s="78">
        <f t="shared" si="11"/>
        <v>0</v>
      </c>
      <c r="I12" s="189" t="str">
        <f>'Begr.-Rechner BIO'!$I13</f>
        <v>Leguminose</v>
      </c>
      <c r="M12" s="17" t="s">
        <v>247</v>
      </c>
      <c r="N12" s="189" t="s">
        <v>361</v>
      </c>
      <c r="O12" s="17" t="str">
        <f t="shared" si="12"/>
        <v>nein</v>
      </c>
      <c r="P12" s="189" t="str">
        <f t="shared" si="6"/>
        <v/>
      </c>
      <c r="S12" s="404" t="s">
        <v>875</v>
      </c>
      <c r="T12" s="17">
        <f>MIN($T$10:$T$11)</f>
        <v>60</v>
      </c>
      <c r="U12" s="17">
        <f>MIN($U$10:$U$11)</f>
        <v>0</v>
      </c>
      <c r="V12" s="233" t="str">
        <f t="shared" si="7"/>
        <v/>
      </c>
      <c r="AB12" s="247" t="s">
        <v>408</v>
      </c>
    </row>
    <row r="13" spans="1:33" ht="43.5" thickBot="1" x14ac:dyDescent="0.25">
      <c r="A13" s="245" t="s">
        <v>841</v>
      </c>
      <c r="B13" s="71">
        <f>'Begr.-Rechner BIO'!$B14</f>
        <v>3.31</v>
      </c>
      <c r="C13" s="83">
        <f>'Begr.-Rechner BIO'!C14</f>
        <v>40</v>
      </c>
      <c r="D13" s="191">
        <f t="shared" si="0"/>
        <v>132.4</v>
      </c>
      <c r="E13" s="192">
        <f>'Begr.-Rechner BIO'!E14</f>
        <v>0</v>
      </c>
      <c r="F13" s="84">
        <f t="shared" si="9"/>
        <v>0</v>
      </c>
      <c r="G13" s="85">
        <f t="shared" si="10"/>
        <v>0</v>
      </c>
      <c r="H13" s="78">
        <f t="shared" si="11"/>
        <v>0</v>
      </c>
      <c r="I13" s="189" t="str">
        <f>'Begr.-Rechner BIO'!$I14</f>
        <v>Gräser</v>
      </c>
      <c r="M13" s="17" t="s">
        <v>247</v>
      </c>
      <c r="N13" s="189" t="s">
        <v>247</v>
      </c>
      <c r="O13" s="17" t="str">
        <f t="shared" si="12"/>
        <v>nein</v>
      </c>
      <c r="P13" s="189" t="str">
        <f t="shared" si="6"/>
        <v/>
      </c>
      <c r="S13" s="404" t="s">
        <v>876</v>
      </c>
      <c r="T13" s="17">
        <f>MIN(T11,T9)</f>
        <v>60</v>
      </c>
      <c r="U13" s="17">
        <f>MIN(U11,U9)</f>
        <v>0</v>
      </c>
      <c r="V13" s="233" t="str">
        <f t="shared" si="7"/>
        <v/>
      </c>
      <c r="AB13" s="247" t="s">
        <v>344</v>
      </c>
    </row>
    <row r="14" spans="1:33" ht="21.75" customHeight="1" thickBot="1" x14ac:dyDescent="0.25">
      <c r="A14" s="245" t="s">
        <v>842</v>
      </c>
      <c r="B14" s="71">
        <f>'Begr.-Rechner BIO'!$B15</f>
        <v>11.5</v>
      </c>
      <c r="C14" s="83">
        <f>'Begr.-Rechner BIO'!C15</f>
        <v>10</v>
      </c>
      <c r="D14" s="191">
        <f t="shared" si="0"/>
        <v>115</v>
      </c>
      <c r="E14" s="192">
        <f>'Begr.-Rechner BIO'!E15</f>
        <v>0</v>
      </c>
      <c r="F14" s="84">
        <f t="shared" si="9"/>
        <v>0</v>
      </c>
      <c r="G14" s="85">
        <f t="shared" si="10"/>
        <v>0</v>
      </c>
      <c r="H14" s="78">
        <f t="shared" si="11"/>
        <v>0</v>
      </c>
      <c r="I14" s="189" t="str">
        <f>'Begr.-Rechner BIO'!$I15</f>
        <v>Kreuzblütler</v>
      </c>
      <c r="M14" s="17" t="s">
        <v>247</v>
      </c>
      <c r="N14" s="189" t="s">
        <v>361</v>
      </c>
      <c r="O14" s="17" t="str">
        <f t="shared" si="12"/>
        <v>nein</v>
      </c>
      <c r="P14" s="189" t="str">
        <f t="shared" si="6"/>
        <v/>
      </c>
      <c r="V14" s="233" t="str">
        <f t="shared" si="7"/>
        <v/>
      </c>
      <c r="AB14" s="247" t="s">
        <v>343</v>
      </c>
    </row>
    <row r="15" spans="1:33" ht="21.75" customHeight="1" thickBot="1" x14ac:dyDescent="0.25">
      <c r="A15" s="245" t="s">
        <v>843</v>
      </c>
      <c r="B15" s="71">
        <f>'Begr.-Rechner BIO'!$B16</f>
        <v>8.8699999999999992</v>
      </c>
      <c r="C15" s="83">
        <f>'Begr.-Rechner BIO'!C16</f>
        <v>10</v>
      </c>
      <c r="D15" s="191">
        <f t="shared" si="0"/>
        <v>88.699999999999989</v>
      </c>
      <c r="E15" s="192">
        <f>'Begr.-Rechner BIO'!E16</f>
        <v>0</v>
      </c>
      <c r="F15" s="84">
        <f t="shared" si="9"/>
        <v>0</v>
      </c>
      <c r="G15" s="85">
        <f t="shared" si="10"/>
        <v>0</v>
      </c>
      <c r="H15" s="78">
        <f t="shared" si="11"/>
        <v>0</v>
      </c>
      <c r="I15" s="189" t="str">
        <f>'Begr.-Rechner BIO'!$I16</f>
        <v>Kreuzblütler</v>
      </c>
      <c r="M15" s="17" t="s">
        <v>247</v>
      </c>
      <c r="N15" s="189" t="s">
        <v>361</v>
      </c>
      <c r="O15" s="17" t="str">
        <f t="shared" si="12"/>
        <v>nein</v>
      </c>
      <c r="P15" s="189" t="str">
        <f t="shared" si="6"/>
        <v/>
      </c>
      <c r="V15" s="233" t="str">
        <f t="shared" si="7"/>
        <v/>
      </c>
    </row>
    <row r="16" spans="1:33" ht="21.75" customHeight="1" thickBot="1" x14ac:dyDescent="0.25">
      <c r="A16" s="245" t="s">
        <v>833</v>
      </c>
      <c r="B16" s="71">
        <f>'Begr.-Rechner BIO'!$B17</f>
        <v>5.31</v>
      </c>
      <c r="C16" s="83">
        <f>'Begr.-Rechner BIO'!C17</f>
        <v>90</v>
      </c>
      <c r="D16" s="191">
        <f t="shared" si="0"/>
        <v>477.9</v>
      </c>
      <c r="E16" s="192">
        <f>'Begr.-Rechner BIO'!E17</f>
        <v>0</v>
      </c>
      <c r="F16" s="84">
        <f t="shared" si="9"/>
        <v>0</v>
      </c>
      <c r="G16" s="85">
        <f t="shared" si="10"/>
        <v>0</v>
      </c>
      <c r="H16" s="78">
        <f t="shared" si="11"/>
        <v>0</v>
      </c>
      <c r="I16" s="189" t="str">
        <f>'Begr.-Rechner BIO'!$I17</f>
        <v>Leguminose</v>
      </c>
      <c r="M16" s="17" t="s">
        <v>247</v>
      </c>
      <c r="N16" s="189" t="s">
        <v>361</v>
      </c>
      <c r="O16" s="17" t="str">
        <f t="shared" si="12"/>
        <v>nein</v>
      </c>
      <c r="P16" s="189" t="str">
        <f t="shared" si="6"/>
        <v/>
      </c>
      <c r="V16" s="233" t="str">
        <f t="shared" si="7"/>
        <v/>
      </c>
    </row>
    <row r="17" spans="1:22" ht="21.75" customHeight="1" thickBot="1" x14ac:dyDescent="0.25">
      <c r="A17" s="245" t="s">
        <v>844</v>
      </c>
      <c r="B17" s="71">
        <f>'Begr.-Rechner BIO'!$B18</f>
        <v>9.73</v>
      </c>
      <c r="C17" s="83">
        <f>'Begr.-Rechner BIO'!C18</f>
        <v>25</v>
      </c>
      <c r="D17" s="191">
        <f t="shared" si="0"/>
        <v>243.25</v>
      </c>
      <c r="E17" s="192">
        <f>'Begr.-Rechner BIO'!E18</f>
        <v>0</v>
      </c>
      <c r="F17" s="84">
        <f t="shared" si="9"/>
        <v>0</v>
      </c>
      <c r="G17" s="85">
        <f t="shared" si="10"/>
        <v>0</v>
      </c>
      <c r="H17" s="78">
        <f t="shared" si="11"/>
        <v>0</v>
      </c>
      <c r="I17" s="189" t="str">
        <f>'Begr.-Rechner BIO'!$I18</f>
        <v>Leguminose</v>
      </c>
      <c r="M17" s="17" t="s">
        <v>247</v>
      </c>
      <c r="N17" s="189" t="s">
        <v>361</v>
      </c>
      <c r="O17" s="17" t="str">
        <f t="shared" si="12"/>
        <v>nein</v>
      </c>
      <c r="P17" s="189" t="str">
        <f t="shared" si="6"/>
        <v/>
      </c>
      <c r="V17" s="233" t="str">
        <f t="shared" si="7"/>
        <v/>
      </c>
    </row>
    <row r="18" spans="1:22" ht="21.75" customHeight="1" thickBot="1" x14ac:dyDescent="0.25">
      <c r="A18" s="245" t="s">
        <v>845</v>
      </c>
      <c r="B18" s="71">
        <f>'Begr.-Rechner BIO'!$B19</f>
        <v>9.15</v>
      </c>
      <c r="C18" s="83">
        <f>'Begr.-Rechner BIO'!C19</f>
        <v>8</v>
      </c>
      <c r="D18" s="191">
        <f t="shared" si="0"/>
        <v>73.2</v>
      </c>
      <c r="E18" s="192">
        <f>'Begr.-Rechner BIO'!E19</f>
        <v>0</v>
      </c>
      <c r="F18" s="84">
        <f t="shared" si="9"/>
        <v>0</v>
      </c>
      <c r="G18" s="85">
        <f t="shared" si="10"/>
        <v>0</v>
      </c>
      <c r="H18" s="78">
        <f t="shared" si="11"/>
        <v>0</v>
      </c>
      <c r="I18" s="189" t="str">
        <f>'Begr.-Rechner BIO'!$I19</f>
        <v>Kreuzblütler</v>
      </c>
      <c r="M18" s="17" t="s">
        <v>247</v>
      </c>
      <c r="N18" s="189" t="s">
        <v>361</v>
      </c>
      <c r="O18" s="17" t="str">
        <f t="shared" si="12"/>
        <v>nein</v>
      </c>
      <c r="P18" s="189" t="str">
        <f t="shared" si="6"/>
        <v/>
      </c>
      <c r="V18" s="233" t="str">
        <f t="shared" si="7"/>
        <v/>
      </c>
    </row>
    <row r="19" spans="1:22" ht="21.75" customHeight="1" thickBot="1" x14ac:dyDescent="0.25">
      <c r="A19" s="245" t="s">
        <v>846</v>
      </c>
      <c r="B19" s="71">
        <f>'Begr.-Rechner BIO'!$B20</f>
        <v>3.94</v>
      </c>
      <c r="C19" s="83">
        <f>'Begr.-Rechner BIO'!C20</f>
        <v>20</v>
      </c>
      <c r="D19" s="191">
        <f t="shared" si="0"/>
        <v>78.8</v>
      </c>
      <c r="E19" s="192">
        <f>'Begr.-Rechner BIO'!E20</f>
        <v>0</v>
      </c>
      <c r="F19" s="84">
        <f t="shared" si="9"/>
        <v>0</v>
      </c>
      <c r="G19" s="85">
        <f t="shared" si="10"/>
        <v>0</v>
      </c>
      <c r="H19" s="78">
        <f t="shared" si="11"/>
        <v>0</v>
      </c>
      <c r="I19" s="189" t="str">
        <f>'Begr.-Rechner BIO'!$I20</f>
        <v>Kreuzblütler</v>
      </c>
      <c r="M19" s="17" t="s">
        <v>247</v>
      </c>
      <c r="N19" s="189" t="s">
        <v>361</v>
      </c>
      <c r="O19" s="17" t="str">
        <f t="shared" si="12"/>
        <v>nein</v>
      </c>
      <c r="P19" s="189" t="str">
        <f t="shared" si="6"/>
        <v/>
      </c>
      <c r="V19" s="233" t="str">
        <f t="shared" si="7"/>
        <v/>
      </c>
    </row>
    <row r="20" spans="1:22" ht="21.75" customHeight="1" thickBot="1" x14ac:dyDescent="0.25">
      <c r="A20" s="245" t="s">
        <v>847</v>
      </c>
      <c r="B20" s="71">
        <f>'Begr.-Rechner BIO'!$B21</f>
        <v>6.72</v>
      </c>
      <c r="C20" s="83">
        <f>'Begr.-Rechner BIO'!C21</f>
        <v>12</v>
      </c>
      <c r="D20" s="191">
        <f t="shared" si="0"/>
        <v>80.64</v>
      </c>
      <c r="E20" s="192">
        <f>'Begr.-Rechner BIO'!E21</f>
        <v>0</v>
      </c>
      <c r="F20" s="84">
        <f t="shared" si="9"/>
        <v>0</v>
      </c>
      <c r="G20" s="85">
        <f t="shared" si="10"/>
        <v>0</v>
      </c>
      <c r="H20" s="78">
        <f t="shared" si="11"/>
        <v>0</v>
      </c>
      <c r="I20" s="189" t="str">
        <f>'Begr.-Rechner BIO'!$I21</f>
        <v>Wasserblattgewächse</v>
      </c>
      <c r="M20" s="17" t="s">
        <v>247</v>
      </c>
      <c r="N20" s="189" t="s">
        <v>361</v>
      </c>
      <c r="O20" s="17" t="str">
        <f t="shared" si="12"/>
        <v>nein</v>
      </c>
      <c r="P20" s="189" t="str">
        <f t="shared" si="6"/>
        <v/>
      </c>
      <c r="V20" s="233" t="str">
        <f t="shared" si="7"/>
        <v/>
      </c>
    </row>
    <row r="21" spans="1:22" ht="21.75" customHeight="1" thickBot="1" x14ac:dyDescent="0.25">
      <c r="A21" s="245" t="s">
        <v>848</v>
      </c>
      <c r="B21" s="71">
        <f>'Begr.-Rechner BIO'!$B22</f>
        <v>3.3</v>
      </c>
      <c r="C21" s="83">
        <f>'Begr.-Rechner BIO'!C22</f>
        <v>140</v>
      </c>
      <c r="D21" s="191">
        <f t="shared" si="0"/>
        <v>462</v>
      </c>
      <c r="E21" s="192">
        <f>'Begr.-Rechner BIO'!E22</f>
        <v>0</v>
      </c>
      <c r="F21" s="84">
        <f t="shared" si="9"/>
        <v>0</v>
      </c>
      <c r="G21" s="85">
        <f t="shared" si="10"/>
        <v>0</v>
      </c>
      <c r="H21" s="78">
        <f t="shared" si="11"/>
        <v>0</v>
      </c>
      <c r="I21" s="189" t="str">
        <f>'Begr.-Rechner BIO'!$I22</f>
        <v>Leguminose</v>
      </c>
      <c r="M21" s="17" t="s">
        <v>361</v>
      </c>
      <c r="N21" s="189" t="s">
        <v>247</v>
      </c>
      <c r="O21" s="17" t="str">
        <f t="shared" si="12"/>
        <v>nein</v>
      </c>
      <c r="P21" s="189" t="str">
        <f t="shared" si="6"/>
        <v/>
      </c>
      <c r="V21" s="233" t="str">
        <f t="shared" si="7"/>
        <v/>
      </c>
    </row>
    <row r="22" spans="1:22" ht="21.75" customHeight="1" thickBot="1" x14ac:dyDescent="0.25">
      <c r="A22" s="245" t="s">
        <v>849</v>
      </c>
      <c r="B22" s="71">
        <f>'Begr.-Rechner BIO'!$B23</f>
        <v>9.5500000000000007</v>
      </c>
      <c r="C22" s="83">
        <f>'Begr.-Rechner BIO'!C23</f>
        <v>25</v>
      </c>
      <c r="D22" s="191">
        <f t="shared" si="0"/>
        <v>238.75000000000003</v>
      </c>
      <c r="E22" s="192">
        <f>'Begr.-Rechner BIO'!E23</f>
        <v>0</v>
      </c>
      <c r="F22" s="84">
        <f t="shared" si="9"/>
        <v>0</v>
      </c>
      <c r="G22" s="85">
        <f t="shared" si="10"/>
        <v>0</v>
      </c>
      <c r="H22" s="78">
        <f t="shared" si="11"/>
        <v>0</v>
      </c>
      <c r="I22" s="189" t="str">
        <f>'Begr.-Rechner BIO'!$I23</f>
        <v>Leguminose</v>
      </c>
      <c r="M22" s="17" t="s">
        <v>247</v>
      </c>
      <c r="N22" s="189" t="s">
        <v>361</v>
      </c>
      <c r="O22" s="17" t="str">
        <f t="shared" si="12"/>
        <v>nein</v>
      </c>
      <c r="P22" s="189" t="str">
        <f t="shared" si="6"/>
        <v/>
      </c>
      <c r="V22" s="233" t="str">
        <f t="shared" si="7"/>
        <v/>
      </c>
    </row>
    <row r="23" spans="1:22" ht="21.75" customHeight="1" thickBot="1" x14ac:dyDescent="0.25">
      <c r="A23" s="245" t="s">
        <v>850</v>
      </c>
      <c r="B23" s="71">
        <f>'Begr.-Rechner BIO'!$B24</f>
        <v>2.2000000000000002</v>
      </c>
      <c r="C23" s="83">
        <f>'Begr.-Rechner BIO'!C24</f>
        <v>150</v>
      </c>
      <c r="D23" s="191">
        <f t="shared" si="0"/>
        <v>330</v>
      </c>
      <c r="E23" s="192">
        <f>'Begr.-Rechner BIO'!E24</f>
        <v>0</v>
      </c>
      <c r="F23" s="84">
        <f t="shared" si="9"/>
        <v>0</v>
      </c>
      <c r="G23" s="85">
        <f t="shared" si="10"/>
        <v>0</v>
      </c>
      <c r="H23" s="78">
        <f t="shared" si="11"/>
        <v>0</v>
      </c>
      <c r="I23" s="189" t="str">
        <f>'Begr.-Rechner BIO'!$I24</f>
        <v>Leguminose</v>
      </c>
      <c r="M23" s="17" t="s">
        <v>361</v>
      </c>
      <c r="N23" s="189" t="s">
        <v>361</v>
      </c>
      <c r="O23" s="17" t="str">
        <f t="shared" si="12"/>
        <v>nein</v>
      </c>
      <c r="P23" s="189" t="str">
        <f t="shared" si="6"/>
        <v/>
      </c>
      <c r="V23" s="233" t="str">
        <f t="shared" si="7"/>
        <v/>
      </c>
    </row>
    <row r="24" spans="1:22" ht="21.75" customHeight="1" thickBot="1" x14ac:dyDescent="0.25">
      <c r="A24" s="245" t="s">
        <v>851</v>
      </c>
      <c r="B24" s="71">
        <f>'Begr.-Rechner BIO'!$B25</f>
        <v>3.165</v>
      </c>
      <c r="C24" s="83">
        <f>'Begr.-Rechner BIO'!C25</f>
        <v>130</v>
      </c>
      <c r="D24" s="191">
        <f t="shared" si="0"/>
        <v>411.45</v>
      </c>
      <c r="E24" s="192">
        <f>'Begr.-Rechner BIO'!E25</f>
        <v>0</v>
      </c>
      <c r="F24" s="84">
        <f t="shared" si="9"/>
        <v>0</v>
      </c>
      <c r="G24" s="85">
        <f t="shared" si="10"/>
        <v>0</v>
      </c>
      <c r="H24" s="78">
        <f t="shared" si="11"/>
        <v>0</v>
      </c>
      <c r="I24" s="189" t="str">
        <f>'Begr.-Rechner BIO'!$I25</f>
        <v>Leguminose</v>
      </c>
      <c r="M24" s="17" t="s">
        <v>247</v>
      </c>
      <c r="N24" s="189" t="s">
        <v>361</v>
      </c>
      <c r="O24" s="17" t="str">
        <f t="shared" si="12"/>
        <v>nein</v>
      </c>
      <c r="P24" s="189" t="str">
        <f t="shared" si="6"/>
        <v/>
      </c>
      <c r="V24" s="233" t="str">
        <f t="shared" si="7"/>
        <v/>
      </c>
    </row>
    <row r="25" spans="1:22" ht="21.75" customHeight="1" thickBot="1" x14ac:dyDescent="0.25">
      <c r="A25" s="245" t="s">
        <v>852</v>
      </c>
      <c r="B25" s="71">
        <f>'Begr.-Rechner BIO'!$B26</f>
        <v>2.99</v>
      </c>
      <c r="C25" s="83">
        <f>'Begr.-Rechner BIO'!C26</f>
        <v>15</v>
      </c>
      <c r="D25" s="191">
        <f t="shared" si="0"/>
        <v>44.85</v>
      </c>
      <c r="E25" s="192">
        <f>'Begr.-Rechner BIO'!E26</f>
        <v>0</v>
      </c>
      <c r="F25" s="84">
        <f t="shared" si="9"/>
        <v>0</v>
      </c>
      <c r="G25" s="85">
        <f t="shared" si="10"/>
        <v>0</v>
      </c>
      <c r="H25" s="78">
        <f t="shared" si="11"/>
        <v>0</v>
      </c>
      <c r="I25" s="189" t="str">
        <f>'Begr.-Rechner BIO'!$I26</f>
        <v>Kreuzblütler</v>
      </c>
      <c r="M25" s="17" t="s">
        <v>247</v>
      </c>
      <c r="N25" s="189" t="s">
        <v>361</v>
      </c>
      <c r="O25" s="17" t="str">
        <f t="shared" si="12"/>
        <v>nein</v>
      </c>
      <c r="P25" s="189" t="str">
        <f t="shared" si="6"/>
        <v/>
      </c>
      <c r="V25" s="233" t="str">
        <f t="shared" si="7"/>
        <v/>
      </c>
    </row>
    <row r="26" spans="1:22" ht="21.75" customHeight="1" thickBot="1" x14ac:dyDescent="0.25">
      <c r="A26" s="245" t="s">
        <v>853</v>
      </c>
      <c r="B26" s="71">
        <f>'Begr.-Rechner BIO'!$B27</f>
        <v>3.77</v>
      </c>
      <c r="C26" s="83">
        <f>'Begr.-Rechner BIO'!C27</f>
        <v>25</v>
      </c>
      <c r="D26" s="191">
        <f t="shared" ref="D26:D37" si="13">IF(ISERROR(C26*B26),0,C26*B26)</f>
        <v>94.25</v>
      </c>
      <c r="E26" s="192">
        <f>'Begr.-Rechner BIO'!E27</f>
        <v>0</v>
      </c>
      <c r="F26" s="84">
        <f>IF(ISERROR(E26*B26),0,(E26*B26))</f>
        <v>0</v>
      </c>
      <c r="G26" s="85">
        <f>IF(ISERROR(E26/C26),0,(E26/C26))</f>
        <v>0</v>
      </c>
      <c r="H26" s="78">
        <f>IF(ISERROR($I$2*E26),0,($I$2*E26))</f>
        <v>0</v>
      </c>
      <c r="I26" s="189" t="str">
        <f>'Begr.-Rechner BIO'!$I27</f>
        <v>Gräser</v>
      </c>
      <c r="M26" s="17" t="s">
        <v>247</v>
      </c>
      <c r="N26" s="189" t="s">
        <v>247</v>
      </c>
      <c r="O26" s="17" t="str">
        <f t="shared" ref="O26:O37" si="14">IF(E26&gt;0,"ja","nein")</f>
        <v>nein</v>
      </c>
      <c r="P26" s="189" t="str">
        <f>IF(O26="ja",I26,"")</f>
        <v/>
      </c>
      <c r="V26" s="233" t="str">
        <f t="shared" si="7"/>
        <v/>
      </c>
    </row>
    <row r="27" spans="1:22" ht="21.75" customHeight="1" thickBot="1" x14ac:dyDescent="0.25">
      <c r="A27" s="245" t="s">
        <v>854</v>
      </c>
      <c r="B27" s="71">
        <f>'Begr.-Rechner BIO'!$B28</f>
        <v>2.66</v>
      </c>
      <c r="C27" s="83">
        <f>'Begr.-Rechner BIO'!C28</f>
        <v>120</v>
      </c>
      <c r="D27" s="191">
        <f t="shared" si="13"/>
        <v>319.20000000000005</v>
      </c>
      <c r="E27" s="192">
        <f>'Begr.-Rechner BIO'!E28</f>
        <v>0</v>
      </c>
      <c r="F27" s="84">
        <f>IF(ISERROR(E27*B27),0,(E27*B27))</f>
        <v>0</v>
      </c>
      <c r="G27" s="85">
        <f>IF(ISERROR(E27/C27),0,(E27/C27))</f>
        <v>0</v>
      </c>
      <c r="H27" s="78">
        <f>IF(ISERROR($I$2*E27),0,($I$2*E27))</f>
        <v>0</v>
      </c>
      <c r="I27" s="189" t="str">
        <f>'Begr.-Rechner BIO'!$I28</f>
        <v>Gräser</v>
      </c>
      <c r="M27" s="17" t="s">
        <v>247</v>
      </c>
      <c r="N27" s="189" t="s">
        <v>247</v>
      </c>
      <c r="O27" s="17" t="str">
        <f t="shared" si="14"/>
        <v>nein</v>
      </c>
      <c r="P27" s="189" t="str">
        <f>IF(O27="ja",I27,"")</f>
        <v/>
      </c>
      <c r="V27" s="233" t="str">
        <f t="shared" si="7"/>
        <v/>
      </c>
    </row>
    <row r="28" spans="1:22" ht="21.75" customHeight="1" thickBot="1" x14ac:dyDescent="0.25">
      <c r="A28" s="245" t="s">
        <v>855</v>
      </c>
      <c r="B28" s="71">
        <f>'Begr.-Rechner BIO'!$B29</f>
        <v>15.44</v>
      </c>
      <c r="C28" s="83">
        <f>'Begr.-Rechner BIO'!C29</f>
        <v>12</v>
      </c>
      <c r="D28" s="191">
        <f t="shared" si="13"/>
        <v>185.28</v>
      </c>
      <c r="E28" s="192">
        <f>'Begr.-Rechner BIO'!E29</f>
        <v>0</v>
      </c>
      <c r="F28" s="84">
        <f>IF(ISERROR(E28*B28),0,(E28*B28))</f>
        <v>0</v>
      </c>
      <c r="G28" s="85">
        <f>IF(ISERROR(E28/C28),0,(E28/C28))</f>
        <v>0</v>
      </c>
      <c r="H28" s="78">
        <f>IF(ISERROR($I$2*E28),0,($I$2*E28))</f>
        <v>0</v>
      </c>
      <c r="I28" s="189" t="str">
        <f>'Begr.-Rechner BIO'!$I29</f>
        <v>Leguminose</v>
      </c>
      <c r="M28" s="17" t="s">
        <v>247</v>
      </c>
      <c r="N28" s="189" t="s">
        <v>361</v>
      </c>
      <c r="O28" s="17" t="str">
        <f t="shared" si="14"/>
        <v>nein</v>
      </c>
      <c r="P28" s="189" t="str">
        <f>IF(O28="ja",I28,"")</f>
        <v/>
      </c>
      <c r="V28" s="233" t="str">
        <f t="shared" si="7"/>
        <v/>
      </c>
    </row>
    <row r="29" spans="1:22" ht="21.75" customHeight="1" thickBot="1" x14ac:dyDescent="0.25">
      <c r="A29" s="245" t="s">
        <v>856</v>
      </c>
      <c r="B29" s="71">
        <f>'Begr.-Rechner BIO'!$B30</f>
        <v>2.48</v>
      </c>
      <c r="C29" s="83">
        <f>'Begr.-Rechner BIO'!C30</f>
        <v>150</v>
      </c>
      <c r="D29" s="191">
        <f t="shared" si="13"/>
        <v>372</v>
      </c>
      <c r="E29" s="192">
        <f>'Begr.-Rechner BIO'!E30</f>
        <v>0</v>
      </c>
      <c r="F29" s="84">
        <f>IF(ISERROR(E29*B29),0,(E29*B29))</f>
        <v>0</v>
      </c>
      <c r="G29" s="85">
        <f>IF(ISERROR(E29/C29),0,(E29/C29))</f>
        <v>0</v>
      </c>
      <c r="H29" s="78">
        <f>IF(ISERROR($I$2*E29),0,($I$2*E29))</f>
        <v>0</v>
      </c>
      <c r="I29" s="189" t="str">
        <f>'Begr.-Rechner BIO'!$I30</f>
        <v>Leguminose</v>
      </c>
      <c r="M29" s="17" t="s">
        <v>361</v>
      </c>
      <c r="N29" s="189" t="s">
        <v>361</v>
      </c>
      <c r="O29" s="17" t="str">
        <f t="shared" si="14"/>
        <v>nein</v>
      </c>
      <c r="P29" s="189" t="str">
        <f>IF(O29="ja",I29,"")</f>
        <v/>
      </c>
      <c r="V29" s="233" t="str">
        <f t="shared" si="7"/>
        <v/>
      </c>
    </row>
    <row r="30" spans="1:22" ht="21.75" customHeight="1" thickBot="1" x14ac:dyDescent="0.25">
      <c r="A30" s="245" t="s">
        <v>857</v>
      </c>
      <c r="B30" s="71">
        <f>'Begr.-Rechner BIO'!$B31</f>
        <v>3.02</v>
      </c>
      <c r="C30" s="83">
        <f>'Begr.-Rechner BIO'!C31</f>
        <v>100</v>
      </c>
      <c r="D30" s="191">
        <f t="shared" si="13"/>
        <v>302</v>
      </c>
      <c r="E30" s="192">
        <f>'Begr.-Rechner BIO'!E31</f>
        <v>0</v>
      </c>
      <c r="F30" s="84">
        <f>IF(ISERROR(E30*B30),0,(E30*B30))</f>
        <v>0</v>
      </c>
      <c r="G30" s="85">
        <f>IF(ISERROR(E30/C30),0,(E30/C30))</f>
        <v>0</v>
      </c>
      <c r="H30" s="78">
        <f>IF(ISERROR($I$2*E30),0,($I$2*E30))</f>
        <v>0</v>
      </c>
      <c r="I30" s="189" t="str">
        <f>'Begr.-Rechner BIO'!$I31</f>
        <v>Leguminose</v>
      </c>
      <c r="M30" s="17" t="s">
        <v>361</v>
      </c>
      <c r="N30" s="189" t="s">
        <v>361</v>
      </c>
      <c r="O30" s="17" t="str">
        <f t="shared" si="14"/>
        <v>nein</v>
      </c>
      <c r="P30" s="189" t="str">
        <f>IF(O30="ja",I30,"")</f>
        <v/>
      </c>
      <c r="V30" s="233" t="str">
        <f t="shared" si="7"/>
        <v/>
      </c>
    </row>
    <row r="31" spans="1:22" ht="21.75" customHeight="1" thickBot="1" x14ac:dyDescent="0.25">
      <c r="A31" s="309" t="str">
        <f>'Begr.-Rechner BIO'!$A32</f>
        <v>eigene Kultur 1</v>
      </c>
      <c r="B31" s="71">
        <f>'Begr.-Rechner BIO'!$B32</f>
        <v>0</v>
      </c>
      <c r="C31" s="83">
        <f>'Begr.-Rechner BIO'!C32</f>
        <v>0</v>
      </c>
      <c r="D31" s="191">
        <f t="shared" si="13"/>
        <v>0</v>
      </c>
      <c r="E31" s="192">
        <f>'Begr.-Rechner BIO'!E32</f>
        <v>0</v>
      </c>
      <c r="F31" s="84">
        <f t="shared" ref="F31:F37" si="15">IF(ISERROR(E31*B31),0,(E31*B31))</f>
        <v>0</v>
      </c>
      <c r="G31" s="85">
        <f t="shared" ref="G31:G37" si="16">IF(ISERROR(E31/C31),0,(E31/C31))</f>
        <v>0</v>
      </c>
      <c r="H31" s="310">
        <f t="shared" ref="H31:H37" si="17">IF(ISERROR($I$2*E31),0,($I$2*E31))</f>
        <v>0</v>
      </c>
      <c r="I31" s="311">
        <f>IF(AND('Begr.-Rechner BIO'!I32="",O31="ja"),"keine Angabe",'Begr.-Rechner BIO'!I32)</f>
        <v>0</v>
      </c>
      <c r="M31" s="17" t="str">
        <f>IF('Begr.-Rechner BIO'!$N32="","nein",IF('Begr.-Rechner BIO'!$N32&lt;&gt;"","ja"))</f>
        <v>nein</v>
      </c>
      <c r="N31" s="226" t="str">
        <f>IF(AND(O31="ja",'Begr.-Rechner BIO'!I32&lt;&gt;""),'Begr.-Rechner BIO'!L32,"")</f>
        <v/>
      </c>
      <c r="O31" s="17" t="str">
        <f t="shared" si="14"/>
        <v>nein</v>
      </c>
      <c r="P31" s="189" t="str">
        <f>IF(AND(O31="ja",I31&lt;&gt;"keine Angabe"),I31,IF(AND(I31="keine Angabe",O31="ja"),"",""))</f>
        <v/>
      </c>
      <c r="V31" s="233" t="str">
        <f t="shared" si="7"/>
        <v/>
      </c>
    </row>
    <row r="32" spans="1:22" ht="21.75" customHeight="1" thickBot="1" x14ac:dyDescent="0.25">
      <c r="A32" s="309" t="str">
        <f>'Begr.-Rechner BIO'!$A33</f>
        <v>eigene Kultur 2</v>
      </c>
      <c r="B32" s="71">
        <f>'Begr.-Rechner BIO'!$B33</f>
        <v>0</v>
      </c>
      <c r="C32" s="83">
        <f>'Begr.-Rechner BIO'!C33</f>
        <v>0</v>
      </c>
      <c r="D32" s="191">
        <f t="shared" si="13"/>
        <v>0</v>
      </c>
      <c r="E32" s="192">
        <f>'Begr.-Rechner BIO'!E33</f>
        <v>0</v>
      </c>
      <c r="F32" s="84">
        <f t="shared" si="15"/>
        <v>0</v>
      </c>
      <c r="G32" s="85">
        <f t="shared" si="16"/>
        <v>0</v>
      </c>
      <c r="H32" s="310">
        <f t="shared" si="17"/>
        <v>0</v>
      </c>
      <c r="I32" s="311">
        <f>IF(AND('Begr.-Rechner BIO'!I33="",O32="ja"),"keine Angabe",'Begr.-Rechner BIO'!I33)</f>
        <v>0</v>
      </c>
      <c r="M32" s="17" t="str">
        <f>IF('Begr.-Rechner BIO'!$N33="","nein",IF('Begr.-Rechner BIO'!$N33&lt;&gt;"","ja"))</f>
        <v>nein</v>
      </c>
      <c r="N32" s="226" t="str">
        <f>IF(AND(O32="ja",'Begr.-Rechner BIO'!I33&lt;&gt;""),'Begr.-Rechner BIO'!L33,"")</f>
        <v/>
      </c>
      <c r="O32" s="17" t="str">
        <f t="shared" si="14"/>
        <v>nein</v>
      </c>
      <c r="P32" s="189" t="str">
        <f t="shared" ref="P32:P37" si="18">IF(AND(O32="ja",I32&lt;&gt;"keine Angabe"),I32,IF(AND(I32="keine Angabe",O32="ja"),"",""))</f>
        <v/>
      </c>
      <c r="V32" s="233" t="str">
        <f t="shared" si="7"/>
        <v/>
      </c>
    </row>
    <row r="33" spans="1:22" ht="21.75" customHeight="1" thickBot="1" x14ac:dyDescent="0.25">
      <c r="A33" s="309" t="str">
        <f>'Begr.-Rechner BIO'!$A34</f>
        <v>eigene Kultur 3</v>
      </c>
      <c r="B33" s="71">
        <f>'Begr.-Rechner BIO'!$B34</f>
        <v>0</v>
      </c>
      <c r="C33" s="83">
        <f>'Begr.-Rechner BIO'!C34</f>
        <v>0</v>
      </c>
      <c r="D33" s="191">
        <f t="shared" si="13"/>
        <v>0</v>
      </c>
      <c r="E33" s="192">
        <f>'Begr.-Rechner BIO'!E34</f>
        <v>0</v>
      </c>
      <c r="F33" s="84">
        <f t="shared" si="15"/>
        <v>0</v>
      </c>
      <c r="G33" s="85">
        <f t="shared" si="16"/>
        <v>0</v>
      </c>
      <c r="H33" s="310">
        <f t="shared" si="17"/>
        <v>0</v>
      </c>
      <c r="I33" s="311">
        <f>IF(AND('Begr.-Rechner BIO'!I34="",O33="ja"),"keine Angabe",'Begr.-Rechner BIO'!I34)</f>
        <v>0</v>
      </c>
      <c r="M33" s="17" t="str">
        <f>IF('Begr.-Rechner BIO'!$N34="","nein",IF('Begr.-Rechner BIO'!$N34&lt;&gt;"","ja"))</f>
        <v>nein</v>
      </c>
      <c r="N33" s="226" t="str">
        <f>IF(AND(O33="ja",'Begr.-Rechner BIO'!I34&lt;&gt;""),'Begr.-Rechner BIO'!L34,"")</f>
        <v/>
      </c>
      <c r="O33" s="17" t="str">
        <f t="shared" si="14"/>
        <v>nein</v>
      </c>
      <c r="P33" s="189" t="str">
        <f t="shared" si="18"/>
        <v/>
      </c>
      <c r="V33" s="233" t="str">
        <f t="shared" si="7"/>
        <v/>
      </c>
    </row>
    <row r="34" spans="1:22" ht="21.75" customHeight="1" thickBot="1" x14ac:dyDescent="0.25">
      <c r="A34" s="309" t="str">
        <f>'Begr.-Rechner BIO'!$A35</f>
        <v>eigene Kultur 4</v>
      </c>
      <c r="B34" s="71">
        <f>'Begr.-Rechner BIO'!$B35</f>
        <v>0</v>
      </c>
      <c r="C34" s="83">
        <f>'Begr.-Rechner BIO'!C35</f>
        <v>0</v>
      </c>
      <c r="D34" s="191">
        <f t="shared" si="13"/>
        <v>0</v>
      </c>
      <c r="E34" s="192">
        <f>'Begr.-Rechner BIO'!E35</f>
        <v>0</v>
      </c>
      <c r="F34" s="84">
        <f t="shared" si="15"/>
        <v>0</v>
      </c>
      <c r="G34" s="85">
        <f t="shared" si="16"/>
        <v>0</v>
      </c>
      <c r="H34" s="310">
        <f t="shared" si="17"/>
        <v>0</v>
      </c>
      <c r="I34" s="311">
        <f>IF(AND('Begr.-Rechner BIO'!I35="",O34="ja"),"keine Angabe",'Begr.-Rechner BIO'!I35)</f>
        <v>0</v>
      </c>
      <c r="M34" s="17" t="str">
        <f>IF('Begr.-Rechner BIO'!$N35="","nein",IF('Begr.-Rechner BIO'!$N35&lt;&gt;"","ja"))</f>
        <v>nein</v>
      </c>
      <c r="N34" s="226" t="str">
        <f>IF(AND(O34="ja",'Begr.-Rechner BIO'!I35&lt;&gt;""),'Begr.-Rechner BIO'!L35,"")</f>
        <v/>
      </c>
      <c r="O34" s="17" t="str">
        <f t="shared" si="14"/>
        <v>nein</v>
      </c>
      <c r="P34" s="189" t="str">
        <f t="shared" si="18"/>
        <v/>
      </c>
      <c r="V34" s="233" t="str">
        <f t="shared" si="7"/>
        <v/>
      </c>
    </row>
    <row r="35" spans="1:22" ht="21.75" customHeight="1" thickBot="1" x14ac:dyDescent="0.25">
      <c r="A35" s="309" t="str">
        <f>'Begr.-Rechner BIO'!$A36</f>
        <v>eigene Kultur 5</v>
      </c>
      <c r="B35" s="71">
        <f>'Begr.-Rechner BIO'!$B36</f>
        <v>0</v>
      </c>
      <c r="C35" s="83">
        <f>'Begr.-Rechner BIO'!C36</f>
        <v>0</v>
      </c>
      <c r="D35" s="191">
        <f t="shared" si="13"/>
        <v>0</v>
      </c>
      <c r="E35" s="192">
        <f>'Begr.-Rechner BIO'!E36</f>
        <v>0</v>
      </c>
      <c r="F35" s="84">
        <f t="shared" si="15"/>
        <v>0</v>
      </c>
      <c r="G35" s="85">
        <f t="shared" si="16"/>
        <v>0</v>
      </c>
      <c r="H35" s="310">
        <f t="shared" si="17"/>
        <v>0</v>
      </c>
      <c r="I35" s="311">
        <f>IF(AND('Begr.-Rechner BIO'!I36="",O35="ja"),"keine Angabe",'Begr.-Rechner BIO'!I36)</f>
        <v>0</v>
      </c>
      <c r="M35" s="17" t="str">
        <f>IF('Begr.-Rechner BIO'!$N36="","nein",IF('Begr.-Rechner BIO'!$N36&lt;&gt;"","ja"))</f>
        <v>nein</v>
      </c>
      <c r="N35" s="226" t="str">
        <f>IF(AND(O35="ja",'Begr.-Rechner BIO'!I36&lt;&gt;""),'Begr.-Rechner BIO'!L36,"")</f>
        <v/>
      </c>
      <c r="O35" s="17" t="str">
        <f t="shared" si="14"/>
        <v>nein</v>
      </c>
      <c r="P35" s="189" t="str">
        <f t="shared" si="18"/>
        <v/>
      </c>
      <c r="V35" s="233" t="str">
        <f t="shared" si="7"/>
        <v/>
      </c>
    </row>
    <row r="36" spans="1:22" ht="21.75" customHeight="1" thickBot="1" x14ac:dyDescent="0.25">
      <c r="A36" s="309" t="str">
        <f>'Begr.-Rechner BIO'!$A37</f>
        <v>eigene Kultur 6</v>
      </c>
      <c r="B36" s="71">
        <f>'Begr.-Rechner BIO'!$B37</f>
        <v>0</v>
      </c>
      <c r="C36" s="83">
        <f>'Begr.-Rechner BIO'!C37</f>
        <v>0</v>
      </c>
      <c r="D36" s="191">
        <f t="shared" si="13"/>
        <v>0</v>
      </c>
      <c r="E36" s="192">
        <f>'Begr.-Rechner BIO'!E37</f>
        <v>0</v>
      </c>
      <c r="F36" s="84">
        <f t="shared" si="15"/>
        <v>0</v>
      </c>
      <c r="G36" s="85">
        <f t="shared" si="16"/>
        <v>0</v>
      </c>
      <c r="H36" s="310">
        <f t="shared" si="17"/>
        <v>0</v>
      </c>
      <c r="I36" s="311">
        <f>IF(AND('Begr.-Rechner BIO'!I37="",O36="ja"),"keine Angabe",'Begr.-Rechner BIO'!I37)</f>
        <v>0</v>
      </c>
      <c r="M36" s="17" t="str">
        <f>IF('Begr.-Rechner BIO'!$N37="","nein",IF('Begr.-Rechner BIO'!$N37&lt;&gt;"","ja"))</f>
        <v>nein</v>
      </c>
      <c r="N36" s="226" t="str">
        <f>IF(AND(O36="ja",'Begr.-Rechner BIO'!I37&lt;&gt;""),'Begr.-Rechner BIO'!L37,"")</f>
        <v/>
      </c>
      <c r="O36" s="17" t="str">
        <f t="shared" si="14"/>
        <v>nein</v>
      </c>
      <c r="P36" s="189" t="str">
        <f t="shared" si="18"/>
        <v/>
      </c>
      <c r="V36" s="233" t="str">
        <f t="shared" si="7"/>
        <v/>
      </c>
    </row>
    <row r="37" spans="1:22" ht="21.75" customHeight="1" thickBot="1" x14ac:dyDescent="0.25">
      <c r="A37" s="309" t="str">
        <f>'Begr.-Rechner BIO'!$A38</f>
        <v>eigene Kultur 7</v>
      </c>
      <c r="B37" s="71">
        <f>'Begr.-Rechner BIO'!$B38</f>
        <v>0</v>
      </c>
      <c r="C37" s="83">
        <f>'Begr.-Rechner BIO'!C38</f>
        <v>0</v>
      </c>
      <c r="D37" s="191">
        <f t="shared" si="13"/>
        <v>0</v>
      </c>
      <c r="E37" s="192">
        <f>'Begr.-Rechner BIO'!E38</f>
        <v>0</v>
      </c>
      <c r="F37" s="84">
        <f t="shared" si="15"/>
        <v>0</v>
      </c>
      <c r="G37" s="85">
        <f t="shared" si="16"/>
        <v>0</v>
      </c>
      <c r="H37" s="310">
        <f t="shared" si="17"/>
        <v>0</v>
      </c>
      <c r="I37" s="311">
        <f>IF(AND('Begr.-Rechner BIO'!I38="",O37="ja"),"keine Angabe",'Begr.-Rechner BIO'!I38)</f>
        <v>0</v>
      </c>
      <c r="M37" s="17" t="str">
        <f>IF('Begr.-Rechner BIO'!$N38="","nein",IF('Begr.-Rechner BIO'!$N38&lt;&gt;"","ja"))</f>
        <v>nein</v>
      </c>
      <c r="N37" s="226" t="str">
        <f>IF(AND(O37="ja",'Begr.-Rechner BIO'!I38&lt;&gt;""),'Begr.-Rechner BIO'!L38,"")</f>
        <v/>
      </c>
      <c r="O37" s="17" t="str">
        <f t="shared" si="14"/>
        <v>nein</v>
      </c>
      <c r="P37" s="189" t="str">
        <f t="shared" si="18"/>
        <v/>
      </c>
      <c r="V37" s="233" t="str">
        <f t="shared" si="7"/>
        <v/>
      </c>
    </row>
    <row r="38" spans="1:22" ht="21.75" customHeight="1" x14ac:dyDescent="0.25">
      <c r="V38" s="233" t="str">
        <f t="shared" si="7"/>
        <v/>
      </c>
    </row>
    <row r="39" spans="1:22" ht="14.25" x14ac:dyDescent="0.2">
      <c r="B39" s="17"/>
    </row>
    <row r="40" spans="1:22" ht="14.25" customHeight="1" x14ac:dyDescent="0.2">
      <c r="A40" s="193"/>
      <c r="B40" s="17"/>
    </row>
    <row r="41" spans="1:22" ht="14.25" x14ac:dyDescent="0.2">
      <c r="A41" s="194"/>
      <c r="B41" s="17"/>
    </row>
    <row r="42" spans="1:22" ht="14.25" x14ac:dyDescent="0.2">
      <c r="A42" s="195"/>
      <c r="B42" s="17"/>
    </row>
    <row r="43" spans="1:22" ht="14.25" x14ac:dyDescent="0.2">
      <c r="A43" s="196"/>
      <c r="B43" s="17"/>
    </row>
    <row r="44" spans="1:22" ht="14.25" x14ac:dyDescent="0.2">
      <c r="B44" s="17"/>
    </row>
    <row r="45" spans="1:22" ht="14.25" x14ac:dyDescent="0.2">
      <c r="B45" s="17"/>
    </row>
    <row r="46" spans="1:22" ht="14.25" x14ac:dyDescent="0.2">
      <c r="B46" s="17"/>
    </row>
    <row r="47" spans="1:22" ht="14.25" x14ac:dyDescent="0.2">
      <c r="B47" s="17"/>
    </row>
    <row r="48" spans="1:22" ht="14.25" x14ac:dyDescent="0.2">
      <c r="B48" s="17"/>
    </row>
    <row r="49" spans="2:2" ht="14.25" x14ac:dyDescent="0.2">
      <c r="B49" s="17"/>
    </row>
    <row r="50" spans="2:2" ht="14.25" x14ac:dyDescent="0.2">
      <c r="B50" s="17"/>
    </row>
    <row r="51" spans="2:2" ht="14.25" x14ac:dyDescent="0.2">
      <c r="B51" s="17"/>
    </row>
    <row r="52" spans="2:2" ht="14.25" x14ac:dyDescent="0.2">
      <c r="B52" s="17"/>
    </row>
    <row r="53" spans="2:2" ht="14.25" x14ac:dyDescent="0.2">
      <c r="B53" s="17"/>
    </row>
    <row r="54" spans="2:2" ht="14.25" x14ac:dyDescent="0.2">
      <c r="B54" s="17"/>
    </row>
    <row r="55" spans="2:2" ht="14.25" x14ac:dyDescent="0.2">
      <c r="B55" s="17"/>
    </row>
    <row r="56" spans="2:2" ht="14.25" x14ac:dyDescent="0.2">
      <c r="B56" s="17"/>
    </row>
    <row r="57" spans="2:2" ht="14.25" x14ac:dyDescent="0.2">
      <c r="B57" s="17"/>
    </row>
    <row r="58" spans="2:2" ht="14.25" x14ac:dyDescent="0.2">
      <c r="B58" s="17"/>
    </row>
    <row r="59" spans="2:2" ht="14.25" x14ac:dyDescent="0.2">
      <c r="B59" s="17"/>
    </row>
    <row r="60" spans="2:2" ht="14.25" x14ac:dyDescent="0.2">
      <c r="B60" s="17"/>
    </row>
    <row r="61" spans="2:2" ht="14.25" x14ac:dyDescent="0.2">
      <c r="B61" s="17"/>
    </row>
    <row r="62" spans="2:2" ht="14.25" x14ac:dyDescent="0.2">
      <c r="B62" s="17"/>
    </row>
    <row r="63" spans="2:2" ht="14.25" x14ac:dyDescent="0.2">
      <c r="B63" s="17"/>
    </row>
    <row r="64" spans="2:2" ht="14.25" x14ac:dyDescent="0.2">
      <c r="B64" s="17"/>
    </row>
    <row r="65" spans="2:2" ht="14.25" x14ac:dyDescent="0.2">
      <c r="B65" s="17"/>
    </row>
    <row r="66" spans="2:2" ht="14.25" x14ac:dyDescent="0.2">
      <c r="B66" s="17"/>
    </row>
    <row r="67" spans="2:2" ht="14.25" x14ac:dyDescent="0.2">
      <c r="B67" s="17"/>
    </row>
    <row r="68" spans="2:2" ht="14.25" x14ac:dyDescent="0.2">
      <c r="B68" s="17"/>
    </row>
    <row r="69" spans="2:2" ht="14.25" x14ac:dyDescent="0.2">
      <c r="B69" s="17"/>
    </row>
    <row r="70" spans="2:2" ht="14.25" x14ac:dyDescent="0.2">
      <c r="B70" s="17"/>
    </row>
    <row r="71" spans="2:2" ht="14.25" x14ac:dyDescent="0.2">
      <c r="B71" s="17"/>
    </row>
    <row r="72" spans="2:2" ht="14.25" x14ac:dyDescent="0.2">
      <c r="B72" s="17"/>
    </row>
    <row r="73" spans="2:2" ht="14.25" x14ac:dyDescent="0.2">
      <c r="B73" s="17"/>
    </row>
    <row r="74" spans="2:2" ht="14.25" x14ac:dyDescent="0.2">
      <c r="B74" s="17"/>
    </row>
    <row r="75" spans="2:2" ht="14.25" x14ac:dyDescent="0.2">
      <c r="B75" s="17"/>
    </row>
    <row r="76" spans="2:2" ht="14.25" x14ac:dyDescent="0.2">
      <c r="B76" s="17"/>
    </row>
    <row r="77" spans="2:2" ht="14.25" x14ac:dyDescent="0.2">
      <c r="B77" s="17"/>
    </row>
    <row r="78" spans="2:2" ht="14.25" x14ac:dyDescent="0.2">
      <c r="B78" s="17"/>
    </row>
    <row r="79" spans="2:2" ht="14.25" x14ac:dyDescent="0.2">
      <c r="B79" s="17"/>
    </row>
    <row r="80" spans="2:2" ht="14.25" x14ac:dyDescent="0.2">
      <c r="B80" s="17"/>
    </row>
    <row r="81" spans="2:2" ht="14.25" x14ac:dyDescent="0.2">
      <c r="B81" s="17"/>
    </row>
    <row r="82" spans="2:2" ht="14.25" x14ac:dyDescent="0.2">
      <c r="B82" s="17"/>
    </row>
    <row r="83" spans="2:2" ht="14.25" x14ac:dyDescent="0.2">
      <c r="B83" s="17"/>
    </row>
    <row r="84" spans="2:2" ht="14.25" x14ac:dyDescent="0.2">
      <c r="B84" s="17"/>
    </row>
    <row r="85" spans="2:2" ht="14.25" x14ac:dyDescent="0.2">
      <c r="B85" s="17"/>
    </row>
    <row r="86" spans="2:2" ht="14.25" x14ac:dyDescent="0.2">
      <c r="B86" s="17"/>
    </row>
    <row r="87" spans="2:2" ht="14.25" x14ac:dyDescent="0.2">
      <c r="B87" s="17"/>
    </row>
    <row r="88" spans="2:2" ht="14.25" x14ac:dyDescent="0.2">
      <c r="B88" s="17"/>
    </row>
    <row r="89" spans="2:2" ht="14.25" x14ac:dyDescent="0.2">
      <c r="B89" s="17"/>
    </row>
    <row r="90" spans="2:2" ht="14.25" x14ac:dyDescent="0.2">
      <c r="B90" s="17"/>
    </row>
    <row r="91" spans="2:2" ht="14.25" x14ac:dyDescent="0.2">
      <c r="B91" s="17"/>
    </row>
    <row r="92" spans="2:2" ht="14.25" x14ac:dyDescent="0.2">
      <c r="B92" s="17"/>
    </row>
    <row r="93" spans="2:2" ht="14.25" x14ac:dyDescent="0.2">
      <c r="B93" s="17"/>
    </row>
    <row r="94" spans="2:2" ht="14.25" x14ac:dyDescent="0.2">
      <c r="B94" s="17"/>
    </row>
    <row r="95" spans="2:2" ht="14.25" x14ac:dyDescent="0.2">
      <c r="B95" s="17"/>
    </row>
    <row r="96" spans="2:2" ht="14.25" x14ac:dyDescent="0.2">
      <c r="B96" s="17"/>
    </row>
    <row r="97" spans="2:2" ht="14.25" x14ac:dyDescent="0.2">
      <c r="B97" s="17"/>
    </row>
    <row r="98" spans="2:2" ht="14.25" x14ac:dyDescent="0.2">
      <c r="B98" s="17"/>
    </row>
    <row r="99" spans="2:2" ht="14.25" x14ac:dyDescent="0.2">
      <c r="B99" s="17"/>
    </row>
    <row r="100" spans="2:2" ht="14.25" x14ac:dyDescent="0.2">
      <c r="B100" s="17"/>
    </row>
    <row r="101" spans="2:2" ht="14.25" x14ac:dyDescent="0.2">
      <c r="B101" s="17"/>
    </row>
    <row r="102" spans="2:2" ht="14.25" x14ac:dyDescent="0.2">
      <c r="B102" s="17"/>
    </row>
    <row r="103" spans="2:2" ht="14.25" x14ac:dyDescent="0.2">
      <c r="B103" s="17"/>
    </row>
    <row r="104" spans="2:2" ht="14.25" x14ac:dyDescent="0.2">
      <c r="B104" s="17"/>
    </row>
    <row r="105" spans="2:2" ht="14.25" x14ac:dyDescent="0.2">
      <c r="B105" s="17"/>
    </row>
    <row r="106" spans="2:2" ht="14.25" x14ac:dyDescent="0.2">
      <c r="B106" s="17"/>
    </row>
    <row r="107" spans="2:2" ht="14.25" x14ac:dyDescent="0.2">
      <c r="B107" s="17"/>
    </row>
    <row r="108" spans="2:2" ht="14.25" x14ac:dyDescent="0.2">
      <c r="B108" s="17"/>
    </row>
    <row r="109" spans="2:2" ht="14.25" x14ac:dyDescent="0.2">
      <c r="B109" s="17"/>
    </row>
    <row r="110" spans="2:2" ht="14.25" x14ac:dyDescent="0.2">
      <c r="B110" s="17"/>
    </row>
    <row r="111" spans="2:2" ht="14.25" x14ac:dyDescent="0.2">
      <c r="B111" s="17"/>
    </row>
    <row r="112" spans="2:2" ht="14.25" x14ac:dyDescent="0.2">
      <c r="B112" s="17"/>
    </row>
    <row r="113" spans="2:2" ht="14.25" x14ac:dyDescent="0.2">
      <c r="B113" s="17"/>
    </row>
    <row r="114" spans="2:2" ht="14.25" x14ac:dyDescent="0.2">
      <c r="B114" s="17"/>
    </row>
    <row r="115" spans="2:2" ht="14.25" x14ac:dyDescent="0.2">
      <c r="B115" s="17"/>
    </row>
    <row r="116" spans="2:2" ht="14.25" x14ac:dyDescent="0.2">
      <c r="B116" s="17"/>
    </row>
    <row r="117" spans="2:2" ht="14.25" x14ac:dyDescent="0.2">
      <c r="B117" s="17"/>
    </row>
    <row r="118" spans="2:2" ht="14.25" x14ac:dyDescent="0.2">
      <c r="B118" s="17"/>
    </row>
    <row r="119" spans="2:2" ht="14.25" x14ac:dyDescent="0.2">
      <c r="B119" s="17"/>
    </row>
    <row r="120" spans="2:2" ht="14.25" x14ac:dyDescent="0.2">
      <c r="B120" s="17"/>
    </row>
    <row r="121" spans="2:2" ht="14.25" x14ac:dyDescent="0.2">
      <c r="B121" s="17"/>
    </row>
    <row r="122" spans="2:2" ht="14.25" x14ac:dyDescent="0.2">
      <c r="B122" s="17"/>
    </row>
    <row r="123" spans="2:2" ht="14.25" x14ac:dyDescent="0.2">
      <c r="B123" s="17"/>
    </row>
    <row r="124" spans="2:2" ht="14.25" x14ac:dyDescent="0.2">
      <c r="B124" s="17"/>
    </row>
    <row r="125" spans="2:2" ht="14.25" x14ac:dyDescent="0.2">
      <c r="B125" s="17"/>
    </row>
    <row r="126" spans="2:2" ht="14.25" x14ac:dyDescent="0.2">
      <c r="B126" s="17"/>
    </row>
    <row r="127" spans="2:2" ht="14.25" x14ac:dyDescent="0.2">
      <c r="B127" s="17"/>
    </row>
    <row r="128" spans="2:2" ht="14.25" x14ac:dyDescent="0.2">
      <c r="B128" s="17"/>
    </row>
    <row r="129" spans="2:2" ht="14.25" x14ac:dyDescent="0.2">
      <c r="B129" s="17"/>
    </row>
    <row r="130" spans="2:2" ht="14.25" x14ac:dyDescent="0.2">
      <c r="B130" s="17"/>
    </row>
    <row r="131" spans="2:2" ht="14.25" x14ac:dyDescent="0.2">
      <c r="B131" s="17"/>
    </row>
    <row r="132" spans="2:2" ht="14.25" x14ac:dyDescent="0.2">
      <c r="B132" s="17"/>
    </row>
    <row r="133" spans="2:2" ht="14.25" x14ac:dyDescent="0.2">
      <c r="B133" s="17"/>
    </row>
    <row r="134" spans="2:2" ht="14.25" x14ac:dyDescent="0.2">
      <c r="B134" s="17"/>
    </row>
    <row r="135" spans="2:2" ht="14.25" x14ac:dyDescent="0.2">
      <c r="B135" s="17"/>
    </row>
    <row r="136" spans="2:2" ht="14.25" x14ac:dyDescent="0.2">
      <c r="B136" s="17"/>
    </row>
    <row r="137" spans="2:2" ht="14.25" x14ac:dyDescent="0.2">
      <c r="B137" s="17"/>
    </row>
    <row r="138" spans="2:2" ht="14.25" x14ac:dyDescent="0.2">
      <c r="B138" s="17"/>
    </row>
    <row r="139" spans="2:2" ht="14.25" x14ac:dyDescent="0.2">
      <c r="B139" s="17"/>
    </row>
    <row r="140" spans="2:2" ht="14.25" x14ac:dyDescent="0.2">
      <c r="B140" s="17"/>
    </row>
    <row r="141" spans="2:2" ht="14.25" x14ac:dyDescent="0.2">
      <c r="B141" s="17"/>
    </row>
    <row r="142" spans="2:2" ht="14.25" x14ac:dyDescent="0.2">
      <c r="B142" s="17"/>
    </row>
    <row r="143" spans="2:2" ht="14.25" x14ac:dyDescent="0.2">
      <c r="B143" s="17"/>
    </row>
    <row r="144" spans="2:2" ht="14.25" x14ac:dyDescent="0.2">
      <c r="B144" s="17"/>
    </row>
    <row r="145" spans="2:2" ht="14.25" x14ac:dyDescent="0.2">
      <c r="B145" s="17"/>
    </row>
    <row r="146" spans="2:2" ht="14.25" x14ac:dyDescent="0.2">
      <c r="B146" s="17"/>
    </row>
    <row r="147" spans="2:2" ht="14.25" x14ac:dyDescent="0.2">
      <c r="B147" s="17"/>
    </row>
    <row r="148" spans="2:2" ht="14.25" x14ac:dyDescent="0.2">
      <c r="B148" s="17"/>
    </row>
    <row r="149" spans="2:2" ht="14.25" x14ac:dyDescent="0.2">
      <c r="B149" s="17"/>
    </row>
    <row r="150" spans="2:2" ht="14.25" x14ac:dyDescent="0.2">
      <c r="B150" s="17"/>
    </row>
    <row r="151" spans="2:2" ht="14.25" x14ac:dyDescent="0.2">
      <c r="B151" s="17"/>
    </row>
    <row r="152" spans="2:2" ht="14.25" x14ac:dyDescent="0.2">
      <c r="B152" s="17"/>
    </row>
    <row r="153" spans="2:2" ht="14.25" x14ac:dyDescent="0.2">
      <c r="B153" s="17"/>
    </row>
    <row r="154" spans="2:2" ht="14.25" x14ac:dyDescent="0.2">
      <c r="B154" s="17"/>
    </row>
    <row r="155" spans="2:2" ht="14.25" x14ac:dyDescent="0.2">
      <c r="B155" s="17"/>
    </row>
    <row r="156" spans="2:2" ht="14.25" x14ac:dyDescent="0.2">
      <c r="B156" s="17"/>
    </row>
    <row r="157" spans="2:2" ht="14.25" x14ac:dyDescent="0.2">
      <c r="B157" s="17"/>
    </row>
    <row r="158" spans="2:2" ht="14.25" x14ac:dyDescent="0.2">
      <c r="B158" s="17"/>
    </row>
    <row r="159" spans="2:2" ht="14.25" x14ac:dyDescent="0.2">
      <c r="B159" s="17"/>
    </row>
    <row r="160" spans="2:2" ht="14.25" x14ac:dyDescent="0.2">
      <c r="B160" s="17"/>
    </row>
    <row r="161" spans="2:2" ht="14.25" x14ac:dyDescent="0.2">
      <c r="B161" s="17"/>
    </row>
    <row r="162" spans="2:2" ht="14.25" x14ac:dyDescent="0.2">
      <c r="B162" s="17"/>
    </row>
    <row r="163" spans="2:2" ht="14.25" x14ac:dyDescent="0.2">
      <c r="B163" s="17"/>
    </row>
    <row r="164" spans="2:2" ht="14.25" x14ac:dyDescent="0.2">
      <c r="B164" s="17"/>
    </row>
    <row r="165" spans="2:2" ht="14.25" x14ac:dyDescent="0.2">
      <c r="B165" s="17"/>
    </row>
    <row r="166" spans="2:2" ht="14.25" x14ac:dyDescent="0.2">
      <c r="B166" s="17"/>
    </row>
    <row r="167" spans="2:2" ht="14.25" x14ac:dyDescent="0.2">
      <c r="B167" s="17"/>
    </row>
    <row r="168" spans="2:2" ht="14.25" x14ac:dyDescent="0.2">
      <c r="B168" s="17"/>
    </row>
    <row r="169" spans="2:2" ht="14.25" x14ac:dyDescent="0.2">
      <c r="B169" s="17"/>
    </row>
    <row r="170" spans="2:2" ht="14.25" x14ac:dyDescent="0.2">
      <c r="B170" s="17"/>
    </row>
    <row r="171" spans="2:2" ht="14.25" x14ac:dyDescent="0.2">
      <c r="B171" s="17"/>
    </row>
    <row r="172" spans="2:2" ht="14.25" x14ac:dyDescent="0.2">
      <c r="B172" s="17"/>
    </row>
    <row r="173" spans="2:2" ht="14.25" x14ac:dyDescent="0.2">
      <c r="B173" s="17"/>
    </row>
    <row r="174" spans="2:2" ht="14.25" x14ac:dyDescent="0.2">
      <c r="B174" s="17"/>
    </row>
    <row r="175" spans="2:2" ht="14.25" x14ac:dyDescent="0.2">
      <c r="B175" s="17"/>
    </row>
    <row r="176" spans="2:2" ht="14.25" x14ac:dyDescent="0.2">
      <c r="B176" s="17"/>
    </row>
    <row r="177" spans="2:2" ht="14.25" x14ac:dyDescent="0.2">
      <c r="B177" s="17"/>
    </row>
    <row r="178" spans="2:2" ht="14.25" x14ac:dyDescent="0.2">
      <c r="B178" s="17"/>
    </row>
    <row r="179" spans="2:2" ht="14.25" x14ac:dyDescent="0.2">
      <c r="B179" s="17"/>
    </row>
    <row r="180" spans="2:2" ht="14.25" x14ac:dyDescent="0.2">
      <c r="B180" s="17"/>
    </row>
    <row r="181" spans="2:2" ht="14.25" x14ac:dyDescent="0.2">
      <c r="B181" s="17"/>
    </row>
    <row r="182" spans="2:2" ht="14.25" x14ac:dyDescent="0.2">
      <c r="B182" s="17"/>
    </row>
    <row r="183" spans="2:2" ht="14.25" x14ac:dyDescent="0.2">
      <c r="B183" s="17"/>
    </row>
    <row r="184" spans="2:2" ht="14.25" x14ac:dyDescent="0.2">
      <c r="B184" s="17"/>
    </row>
    <row r="185" spans="2:2" ht="14.25" x14ac:dyDescent="0.2">
      <c r="B185" s="17"/>
    </row>
    <row r="186" spans="2:2" ht="14.25" x14ac:dyDescent="0.2">
      <c r="B186" s="17"/>
    </row>
    <row r="187" spans="2:2" ht="14.25" x14ac:dyDescent="0.2">
      <c r="B187" s="17"/>
    </row>
    <row r="188" spans="2:2" ht="14.25" x14ac:dyDescent="0.2">
      <c r="B188" s="17"/>
    </row>
    <row r="189" spans="2:2" ht="14.25" x14ac:dyDescent="0.2">
      <c r="B189" s="17"/>
    </row>
    <row r="190" spans="2:2" ht="14.25" x14ac:dyDescent="0.2">
      <c r="B190" s="17"/>
    </row>
    <row r="191" spans="2:2" ht="14.25" x14ac:dyDescent="0.2">
      <c r="B191" s="17"/>
    </row>
    <row r="192" spans="2:2" ht="14.25" x14ac:dyDescent="0.2">
      <c r="B192" s="17"/>
    </row>
    <row r="193" spans="2:2" ht="14.25" x14ac:dyDescent="0.2">
      <c r="B193" s="17"/>
    </row>
    <row r="194" spans="2:2" ht="14.25" x14ac:dyDescent="0.2">
      <c r="B194" s="17"/>
    </row>
    <row r="195" spans="2:2" ht="14.25" x14ac:dyDescent="0.2">
      <c r="B195" s="17"/>
    </row>
    <row r="196" spans="2:2" ht="14.25" x14ac:dyDescent="0.2">
      <c r="B196" s="17"/>
    </row>
    <row r="197" spans="2:2" ht="14.25" x14ac:dyDescent="0.2">
      <c r="B197" s="17"/>
    </row>
    <row r="198" spans="2:2" ht="14.25" x14ac:dyDescent="0.2">
      <c r="B198" s="17"/>
    </row>
    <row r="199" spans="2:2" ht="14.25" x14ac:dyDescent="0.2">
      <c r="B199" s="17"/>
    </row>
    <row r="200" spans="2:2" ht="14.25" x14ac:dyDescent="0.2">
      <c r="B200" s="17"/>
    </row>
    <row r="201" spans="2:2" ht="14.25" x14ac:dyDescent="0.2">
      <c r="B201" s="17"/>
    </row>
    <row r="202" spans="2:2" ht="14.25" x14ac:dyDescent="0.2">
      <c r="B202" s="17"/>
    </row>
    <row r="203" spans="2:2" ht="14.25" x14ac:dyDescent="0.2">
      <c r="B203" s="17"/>
    </row>
    <row r="204" spans="2:2" ht="14.25" x14ac:dyDescent="0.2">
      <c r="B204" s="17"/>
    </row>
    <row r="205" spans="2:2" ht="14.25" x14ac:dyDescent="0.2">
      <c r="B205" s="17"/>
    </row>
    <row r="206" spans="2:2" ht="14.25" x14ac:dyDescent="0.2">
      <c r="B206" s="17"/>
    </row>
    <row r="207" spans="2:2" ht="14.25" x14ac:dyDescent="0.2">
      <c r="B207" s="17"/>
    </row>
    <row r="208" spans="2:2" ht="14.25" x14ac:dyDescent="0.2">
      <c r="B208" s="17"/>
    </row>
    <row r="209" spans="2:2" ht="14.25" x14ac:dyDescent="0.2">
      <c r="B209" s="17"/>
    </row>
    <row r="210" spans="2:2" ht="14.25" x14ac:dyDescent="0.2">
      <c r="B210" s="17"/>
    </row>
    <row r="211" spans="2:2" ht="14.25" x14ac:dyDescent="0.2">
      <c r="B211" s="17"/>
    </row>
    <row r="212" spans="2:2" ht="14.25" x14ac:dyDescent="0.2">
      <c r="B212" s="17"/>
    </row>
    <row r="213" spans="2:2" ht="14.25" x14ac:dyDescent="0.2">
      <c r="B213" s="17"/>
    </row>
    <row r="214" spans="2:2" ht="14.25" x14ac:dyDescent="0.2">
      <c r="B214" s="17"/>
    </row>
    <row r="215" spans="2:2" ht="14.25" x14ac:dyDescent="0.2">
      <c r="B215" s="17"/>
    </row>
    <row r="216" spans="2:2" ht="14.25" x14ac:dyDescent="0.2">
      <c r="B216" s="17"/>
    </row>
    <row r="217" spans="2:2" ht="14.25" x14ac:dyDescent="0.2">
      <c r="B217" s="17"/>
    </row>
    <row r="218" spans="2:2" ht="14.25" x14ac:dyDescent="0.2">
      <c r="B218" s="17"/>
    </row>
    <row r="219" spans="2:2" ht="14.25" x14ac:dyDescent="0.2">
      <c r="B219" s="17"/>
    </row>
    <row r="220" spans="2:2" ht="14.25" x14ac:dyDescent="0.2">
      <c r="B220" s="17"/>
    </row>
    <row r="221" spans="2:2" ht="14.25" x14ac:dyDescent="0.2">
      <c r="B221" s="17"/>
    </row>
    <row r="222" spans="2:2" ht="14.25" x14ac:dyDescent="0.2">
      <c r="B222" s="17"/>
    </row>
    <row r="223" spans="2:2" ht="14.25" x14ac:dyDescent="0.2">
      <c r="B223" s="17"/>
    </row>
    <row r="224" spans="2:2" ht="14.25" x14ac:dyDescent="0.2">
      <c r="B224" s="17"/>
    </row>
    <row r="225" spans="2:2" ht="14.25" x14ac:dyDescent="0.2">
      <c r="B225" s="17"/>
    </row>
    <row r="226" spans="2:2" ht="14.25" x14ac:dyDescent="0.2">
      <c r="B226" s="17"/>
    </row>
    <row r="227" spans="2:2" ht="14.25" x14ac:dyDescent="0.2">
      <c r="B227" s="17"/>
    </row>
    <row r="228" spans="2:2" ht="14.25" x14ac:dyDescent="0.2">
      <c r="B228" s="17"/>
    </row>
    <row r="229" spans="2:2" ht="14.25" x14ac:dyDescent="0.2">
      <c r="B229" s="17"/>
    </row>
    <row r="230" spans="2:2" ht="14.25" x14ac:dyDescent="0.2">
      <c r="B230" s="17"/>
    </row>
    <row r="231" spans="2:2" ht="14.25" x14ac:dyDescent="0.2">
      <c r="B231" s="17"/>
    </row>
    <row r="232" spans="2:2" ht="14.25" x14ac:dyDescent="0.2">
      <c r="B232" s="17"/>
    </row>
    <row r="233" spans="2:2" ht="14.25" x14ac:dyDescent="0.2">
      <c r="B233" s="17"/>
    </row>
    <row r="234" spans="2:2" ht="14.25" x14ac:dyDescent="0.2">
      <c r="B234" s="17"/>
    </row>
    <row r="235" spans="2:2" ht="14.25" x14ac:dyDescent="0.2">
      <c r="B235" s="17"/>
    </row>
    <row r="236" spans="2:2" ht="14.25" x14ac:dyDescent="0.2">
      <c r="B236" s="17"/>
    </row>
    <row r="237" spans="2:2" ht="14.25" x14ac:dyDescent="0.2">
      <c r="B237" s="17"/>
    </row>
    <row r="238" spans="2:2" ht="14.25" x14ac:dyDescent="0.2">
      <c r="B238" s="17"/>
    </row>
    <row r="239" spans="2:2" ht="14.25" x14ac:dyDescent="0.2">
      <c r="B239" s="17"/>
    </row>
    <row r="240" spans="2:2" ht="14.25" x14ac:dyDescent="0.2">
      <c r="B240" s="17"/>
    </row>
    <row r="241" spans="2:2" ht="14.25" x14ac:dyDescent="0.2">
      <c r="B241" s="17"/>
    </row>
    <row r="242" spans="2:2" ht="14.25" x14ac:dyDescent="0.2">
      <c r="B242" s="17"/>
    </row>
  </sheetData>
  <sheetProtection password="CAEF" sheet="1" objects="1" scenarios="1"/>
  <mergeCells count="3">
    <mergeCell ref="E1:H1"/>
    <mergeCell ref="K3:L3"/>
    <mergeCell ref="K4:L4"/>
  </mergeCells>
  <conditionalFormatting sqref="I1">
    <cfRule type="expression" dxfId="6" priority="2">
      <formula>$I$2=""</formula>
    </cfRule>
  </conditionalFormatting>
  <conditionalFormatting sqref="I2">
    <cfRule type="expression" dxfId="5" priority="1">
      <formula>$I$2=""</formula>
    </cfRule>
  </conditionalFormatting>
  <pageMargins left="0.7" right="0.7" top="0.78740157499999996" bottom="0.78740157499999996" header="0.3" footer="0.3"/>
  <pageSetup paperSize="9" scale="15" fitToHeight="3" orientation="portrait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92D050"/>
    <pageSetUpPr fitToPage="1"/>
  </sheetPr>
  <dimension ref="A1:P40"/>
  <sheetViews>
    <sheetView zoomScale="80" zoomScaleNormal="80" workbookViewId="0">
      <selection activeCell="A7" sqref="A7"/>
    </sheetView>
  </sheetViews>
  <sheetFormatPr baseColWidth="10" defaultRowHeight="14.25" x14ac:dyDescent="0.2"/>
  <cols>
    <col min="1" max="1" width="27.375" customWidth="1"/>
    <col min="2" max="2" width="13" customWidth="1"/>
    <col min="3" max="3" width="13.5" customWidth="1"/>
    <col min="4" max="4" width="24.75" bestFit="1" customWidth="1"/>
    <col min="5" max="5" width="24.875" bestFit="1" customWidth="1"/>
    <col min="6" max="6" width="18.875" customWidth="1"/>
    <col min="7" max="7" width="20.75" customWidth="1"/>
    <col min="8" max="8" width="19.375" customWidth="1"/>
    <col min="9" max="9" width="18.125" customWidth="1"/>
    <col min="10" max="13" width="16.625" customWidth="1"/>
    <col min="15" max="15" width="11" hidden="1" customWidth="1"/>
    <col min="16" max="16" width="11" customWidth="1"/>
  </cols>
  <sheetData>
    <row r="1" spans="1:15" ht="39" customHeight="1" thickBot="1" x14ac:dyDescent="0.25">
      <c r="A1" s="581" t="s">
        <v>428</v>
      </c>
      <c r="B1" s="582"/>
      <c r="C1" s="582"/>
      <c r="D1" s="582"/>
      <c r="E1" s="582"/>
      <c r="F1" s="582"/>
      <c r="G1" s="582"/>
      <c r="H1" s="582"/>
      <c r="I1" s="583"/>
      <c r="J1" s="622" t="s">
        <v>411</v>
      </c>
      <c r="K1" s="623"/>
      <c r="L1" s="616" t="s">
        <v>412</v>
      </c>
      <c r="M1" s="617"/>
    </row>
    <row r="2" spans="1:15" ht="15" customHeight="1" thickBot="1" x14ac:dyDescent="0.25">
      <c r="A2" s="413"/>
      <c r="B2" s="413"/>
      <c r="C2" s="413"/>
      <c r="D2" s="413"/>
      <c r="E2" s="413"/>
      <c r="F2" s="413"/>
      <c r="G2" s="413"/>
      <c r="H2" s="413"/>
      <c r="I2" s="414"/>
      <c r="J2" s="624"/>
      <c r="K2" s="625"/>
      <c r="L2" s="618"/>
      <c r="M2" s="619"/>
    </row>
    <row r="3" spans="1:15" ht="58.5" customHeight="1" thickBot="1" x14ac:dyDescent="0.25">
      <c r="A3" s="416" t="s">
        <v>306</v>
      </c>
      <c r="B3" s="416" t="s">
        <v>310</v>
      </c>
      <c r="C3" s="416" t="s">
        <v>312</v>
      </c>
      <c r="D3" s="416" t="s">
        <v>307</v>
      </c>
      <c r="E3" s="415" t="str">
        <f>CONCATENATE("Kosten in € für die Gesamtfläche von ",'Begr.-Rechner BIO'!I2," ha")</f>
        <v>Kosten in € für die Gesamtfläche von  ha</v>
      </c>
      <c r="F3" s="571" t="s">
        <v>525</v>
      </c>
      <c r="G3" s="572"/>
      <c r="H3" s="628" t="s">
        <v>886</v>
      </c>
      <c r="I3" s="629"/>
      <c r="J3" s="626"/>
      <c r="K3" s="627"/>
      <c r="L3" s="620"/>
      <c r="M3" s="621"/>
    </row>
    <row r="4" spans="1:15" ht="21.75" customHeight="1" thickBot="1" x14ac:dyDescent="0.25">
      <c r="A4" s="198" t="str">
        <f>IF('Begr.-Rechner BIO'!$I$2&lt;&gt;"",CONCATENATE('Begr.-Rechner BIO'!$I$2," ha"),"")</f>
        <v/>
      </c>
      <c r="B4" s="198" t="str">
        <f>IF('Begr.-Rechner BIO'!$J$2&gt;0,CONCATENATE('Begr.-Rechner BIO'!$J$2, " kg/ha"),"")</f>
        <v/>
      </c>
      <c r="C4" s="198" t="str">
        <f>IF('Begr.-Rechner BIO'!$K$2&gt;0,CONCATENATE('Begr.-Rechner BIO'!$K$2," €"),"")</f>
        <v/>
      </c>
      <c r="D4" s="199" t="str">
        <f>IF('Begr.-Rechner BIO'!$L$2&gt;0,'Begr.-Rechner BIO'!$L$2,"")</f>
        <v/>
      </c>
      <c r="E4" s="198" t="str">
        <f>IF(SUM(F7:F27)&gt;0,CONCATENATE(SUM(F7:F27)," €"),"")</f>
        <v/>
      </c>
      <c r="F4" s="573" t="str">
        <f>IF(AND('BIO (2)'!Z3="",'BIO (2)'!Z4="",'BIO (2)'!Z5="",'BIO (2)'!Z6="",'BIO (2)'!Z7="",'BIO (2)'!Z8="",'BIO (2)'!Z9="",'BIO (2)'!J2&gt;0),'BIO (2)'!Z10,CONCATENATE('BIO (2)'!Z3,'BIO (2)'!Z4,'BIO (2)'!Z5,'BIO (2)'!Z6,'BIO (2)'!Z7,'BIO (2)'!Z8,'BIO (2)'!Z9))</f>
        <v/>
      </c>
      <c r="G4" s="574"/>
      <c r="H4" s="630" t="str">
        <f>IF(AND($D4&gt;0,$P$40=0),$P$40,IF(AND($D4&gt;0,$P$40&gt;0),$P$40,""))</f>
        <v/>
      </c>
      <c r="I4" s="631"/>
      <c r="J4" s="575" t="str">
        <f>IF('BIO (2)'!$R$3="ja","* zulässige Begrünungskulturen gem. Variante 6 beachten:
- Grünschnittroggen nach Saatgutgesetz,
- Wintererbse lt. Saatgutgesetz,
- Pannonische Wicke, Zottelwicke, Winterackerbohne, Winterrübsen (inkl. Perko)","")</f>
        <v/>
      </c>
      <c r="K4" s="575"/>
      <c r="L4" s="575"/>
      <c r="M4" s="575"/>
    </row>
    <row r="5" spans="1:15" ht="15" customHeight="1" thickBot="1" x14ac:dyDescent="0.25">
      <c r="F5" s="557"/>
      <c r="G5" s="557"/>
      <c r="H5" s="390"/>
      <c r="I5" s="417"/>
      <c r="J5" s="576"/>
      <c r="K5" s="576"/>
      <c r="L5" s="576"/>
      <c r="M5" s="576"/>
    </row>
    <row r="6" spans="1:15" ht="29.25" customHeight="1" thickBot="1" x14ac:dyDescent="0.25">
      <c r="A6" s="415" t="s">
        <v>309</v>
      </c>
      <c r="B6" s="415" t="s">
        <v>5</v>
      </c>
      <c r="C6" s="415" t="s">
        <v>1</v>
      </c>
      <c r="D6" s="415" t="s">
        <v>308</v>
      </c>
      <c r="E6" s="415" t="s">
        <v>313</v>
      </c>
      <c r="F6" s="415" t="s">
        <v>311</v>
      </c>
      <c r="G6" s="415" t="s">
        <v>334</v>
      </c>
      <c r="H6" s="571" t="s">
        <v>882</v>
      </c>
      <c r="I6" s="635"/>
      <c r="J6" s="576"/>
      <c r="K6" s="576"/>
      <c r="L6" s="576"/>
      <c r="M6" s="576"/>
    </row>
    <row r="7" spans="1:15" ht="15.75" thickBot="1" x14ac:dyDescent="0.25">
      <c r="A7" s="285" t="str">
        <f t="array" ref="A7">IFERROR(INDEX('BIO (2)'!A:A,SMALL(IF('BIO (2)'!$E$3:$E$39&gt;0,ROW($3:$38)),ROW(A1))),"")</f>
        <v/>
      </c>
      <c r="B7" s="282" t="str">
        <f t="array" ref="B7">IFERROR(INDEX('BIO (2)'!E:E,SMALL(IF('BIO (2)'!$E$3:$E$39&gt;0,ROW($3:$38)),ROW(A1))),"")</f>
        <v/>
      </c>
      <c r="C7" s="282" t="str">
        <f t="array" ref="C7">IFERROR(INDEX('BIO (2)'!F:F,SMALL(IF('BIO (2)'!$E$3:$E$39&gt;0,ROW($3:$38)),ROW(A1))),"")</f>
        <v/>
      </c>
      <c r="D7" s="181" t="str">
        <f t="array" ref="D7">IFERROR(INDEX('BIO (2)'!G:G,SMALL(IF('BIO (2)'!$E$3:$E$39&gt;0,ROW($3:$38)),ROW(A1))),"")</f>
        <v/>
      </c>
      <c r="E7" s="282" t="str">
        <f t="array" ref="E7">IFERROR(INDEX('BIO (2)'!H:H,SMALL(IF('BIO (2)'!$E$3:$E$39&gt;0,ROW($3:$38)),ROW(A1))),"")</f>
        <v/>
      </c>
      <c r="F7" s="283" t="str">
        <f>IF(A7="","",C7*'Begr.-Rechner BIO'!$I$2)</f>
        <v/>
      </c>
      <c r="G7" s="284" t="str">
        <f>IFERROR(VLOOKUP(A7,'BIO (2)'!A3:I37,9,0),IF('BIO (2)'!I3="","",""))</f>
        <v/>
      </c>
      <c r="H7" s="584" t="s">
        <v>880</v>
      </c>
      <c r="I7" s="636" t="str">
        <f>'Begr.-Rechner BIO'!L8</f>
        <v>60 kg N ab Lager</v>
      </c>
      <c r="J7" s="588" t="str">
        <f>IF(AND(H4&gt;0.6,'Begr.-Rechner BIO'!J2&gt;0),"ACHTUNG Vorfruchtwirkung beachten: 
ungenutzte ZWF &gt; 60 % Leguminosenanteil: 20 kg
genutzte ZWF &gt; 60% Leguminosenanteil: 10 kg N
HINWEIS: es zählt Bestand am Feld, dieser Hinweis ist ausschließlich als Orientierungshilfe zu sehen.","")</f>
        <v/>
      </c>
      <c r="K7" s="589"/>
      <c r="L7" s="589"/>
      <c r="M7" s="589"/>
      <c r="O7" s="313">
        <f>IF($G7="Leguminose",D7,0)</f>
        <v>0</v>
      </c>
    </row>
    <row r="8" spans="1:15" ht="15.75" thickBot="1" x14ac:dyDescent="0.25">
      <c r="A8" s="285" t="str">
        <f t="array" ref="A8">IFERROR(INDEX('BIO (2)'!A:A,SMALL(IF('BIO (2)'!$E$3:$E$39&gt;0,ROW($3:$38)),ROW(A2))),"")</f>
        <v/>
      </c>
      <c r="B8" s="282" t="str">
        <f t="array" ref="B8">IFERROR(INDEX('BIO (2)'!E:E,SMALL(IF('BIO (2)'!$E$3:$E$39&gt;0,ROW($3:$38)),ROW(A2))),"")</f>
        <v/>
      </c>
      <c r="C8" s="282" t="str">
        <f t="array" ref="C8">IFERROR(INDEX('BIO (2)'!F:F,SMALL(IF('BIO (2)'!$E$3:$E$39&gt;0,ROW($3:$38)),ROW(A2))),"")</f>
        <v/>
      </c>
      <c r="D8" s="181" t="str">
        <f t="array" ref="D8">IFERROR(INDEX('BIO (2)'!G:G,SMALL(IF('BIO (2)'!$E$3:$E$39&gt;0,ROW($3:$38)),ROW(A2))),"")</f>
        <v/>
      </c>
      <c r="E8" s="282" t="str">
        <f t="array" ref="E8">IFERROR(INDEX('BIO (2)'!H:H,SMALL(IF('BIO (2)'!$E$3:$E$39&gt;0,ROW($3:$38)),ROW(A2))),"")</f>
        <v/>
      </c>
      <c r="F8" s="283" t="str">
        <f>IF(A8="","",C8*'Begr.-Rechner BIO'!$I$2)</f>
        <v/>
      </c>
      <c r="G8" s="284" t="str">
        <f>IFERROR(VLOOKUP(A8,'BIO (2)'!A4:I38,9,0),IF('BIO (2)'!I4="","",""))</f>
        <v/>
      </c>
      <c r="H8" s="584"/>
      <c r="I8" s="636"/>
      <c r="J8" s="588"/>
      <c r="K8" s="589"/>
      <c r="L8" s="589"/>
      <c r="M8" s="589"/>
      <c r="O8" s="313">
        <f t="shared" ref="O8:O39" si="0">IF($G8="Leguminose",D8,0)</f>
        <v>0</v>
      </c>
    </row>
    <row r="9" spans="1:15" ht="15.75" thickBot="1" x14ac:dyDescent="0.25">
      <c r="A9" s="285" t="str">
        <f t="array" ref="A9">IFERROR(INDEX('BIO (2)'!A:A,SMALL(IF('BIO (2)'!$E$3:$E$39&gt;0,ROW($3:$38)),ROW(A3))),"")</f>
        <v/>
      </c>
      <c r="B9" s="282" t="str">
        <f t="array" ref="B9">IFERROR(INDEX('BIO (2)'!E:E,SMALL(IF('BIO (2)'!$E$3:$E$39&gt;0,ROW($3:$38)),ROW(A3))),"")</f>
        <v/>
      </c>
      <c r="C9" s="282" t="str">
        <f t="array" ref="C9">IFERROR(INDEX('BIO (2)'!F:F,SMALL(IF('BIO (2)'!$E$3:$E$39&gt;0,ROW($3:$38)),ROW(A3))),"")</f>
        <v/>
      </c>
      <c r="D9" s="181" t="str">
        <f t="array" ref="D9">IFERROR(INDEX('BIO (2)'!G:G,SMALL(IF('BIO (2)'!$E$3:$E$39&gt;0,ROW($3:$38)),ROW(A3))),"")</f>
        <v/>
      </c>
      <c r="E9" s="282" t="str">
        <f t="array" ref="E9">IFERROR(INDEX('BIO (2)'!H:H,SMALL(IF('BIO (2)'!$E$3:$E$39&gt;0,ROW($3:$38)),ROW(A3))),"")</f>
        <v/>
      </c>
      <c r="F9" s="283" t="str">
        <f>IF(A9="","",C9*'Begr.-Rechner BIO'!$I$2)</f>
        <v/>
      </c>
      <c r="G9" s="284" t="str">
        <f>IFERROR(VLOOKUP(A9,'BIO (2)'!A5:I39,9,0),IF('BIO (2)'!I5="","",""))</f>
        <v/>
      </c>
      <c r="H9" s="586" t="s">
        <v>881</v>
      </c>
      <c r="I9" s="637" t="str">
        <f>'Begr.-Rechner BIO'!L10</f>
        <v>60 kg N ab Lager</v>
      </c>
      <c r="J9" s="588"/>
      <c r="K9" s="589"/>
      <c r="L9" s="589"/>
      <c r="M9" s="589"/>
      <c r="O9" s="313">
        <f t="shared" si="0"/>
        <v>0</v>
      </c>
    </row>
    <row r="10" spans="1:15" ht="15.75" thickBot="1" x14ac:dyDescent="0.25">
      <c r="A10" s="285" t="str">
        <f t="array" ref="A10">IFERROR(INDEX('BIO (2)'!A:A,SMALL(IF('BIO (2)'!$E$3:$E$39&gt;0,ROW($3:$38)),ROW(A4))),"")</f>
        <v/>
      </c>
      <c r="B10" s="282" t="str">
        <f t="array" ref="B10">IFERROR(INDEX('BIO (2)'!E:E,SMALL(IF('BIO (2)'!$E$3:$E$39&gt;0,ROW($3:$38)),ROW(A4))),"")</f>
        <v/>
      </c>
      <c r="C10" s="282" t="str">
        <f t="array" ref="C10">IFERROR(INDEX('BIO (2)'!F:F,SMALL(IF('BIO (2)'!$E$3:$E$39&gt;0,ROW($3:$38)),ROW(A4))),"")</f>
        <v/>
      </c>
      <c r="D10" s="181" t="str">
        <f t="array" ref="D10">IFERROR(INDEX('BIO (2)'!G:G,SMALL(IF('BIO (2)'!$E$3:$E$39&gt;0,ROW($3:$38)),ROW(A4))),"")</f>
        <v/>
      </c>
      <c r="E10" s="282" t="str">
        <f t="array" ref="E10">IFERROR(INDEX('BIO (2)'!H:H,SMALL(IF('BIO (2)'!$E$3:$E$39&gt;0,ROW($3:$38)),ROW(A4))),"")</f>
        <v/>
      </c>
      <c r="F10" s="283" t="str">
        <f>IF(A10="","",C10*'Begr.-Rechner BIO'!$I$2)</f>
        <v/>
      </c>
      <c r="G10" s="284" t="str">
        <f>IFERROR(VLOOKUP(A10,'BIO (2)'!A6:I40,9,0),IF('BIO (2)'!I6="","",""))</f>
        <v/>
      </c>
      <c r="H10" s="586"/>
      <c r="I10" s="637"/>
      <c r="J10" s="588"/>
      <c r="K10" s="589"/>
      <c r="L10" s="589"/>
      <c r="M10" s="589"/>
      <c r="O10" s="313">
        <f t="shared" si="0"/>
        <v>0</v>
      </c>
    </row>
    <row r="11" spans="1:15" ht="15.75" thickBot="1" x14ac:dyDescent="0.25">
      <c r="A11" s="285" t="str">
        <f t="array" ref="A11">IFERROR(INDEX('BIO (2)'!A:A,SMALL(IF('BIO (2)'!$E$3:$E$39&gt;0,ROW($3:$38)),ROW(A5))),"")</f>
        <v/>
      </c>
      <c r="B11" s="282" t="str">
        <f t="array" ref="B11">IFERROR(INDEX('BIO (2)'!E:E,SMALL(IF('BIO (2)'!$E$3:$E$39&gt;0,ROW($3:$38)),ROW(A5))),"")</f>
        <v/>
      </c>
      <c r="C11" s="282" t="str">
        <f t="array" ref="C11">IFERROR(INDEX('BIO (2)'!F:F,SMALL(IF('BIO (2)'!$E$3:$E$39&gt;0,ROW($3:$38)),ROW(A5))),"")</f>
        <v/>
      </c>
      <c r="D11" s="181" t="str">
        <f t="array" ref="D11">IFERROR(INDEX('BIO (2)'!G:G,SMALL(IF('BIO (2)'!$E$3:$E$39&gt;0,ROW($3:$38)),ROW(A5))),"")</f>
        <v/>
      </c>
      <c r="E11" s="282" t="str">
        <f t="array" ref="E11">IFERROR(INDEX('BIO (2)'!H:H,SMALL(IF('BIO (2)'!$E$3:$E$39&gt;0,ROW($3:$38)),ROW(A5))),"")</f>
        <v/>
      </c>
      <c r="F11" s="283" t="str">
        <f>IF(A11="","",C11*'Begr.-Rechner BIO'!$I$2)</f>
        <v/>
      </c>
      <c r="G11" s="284" t="str">
        <f>IFERROR(VLOOKUP(A11,'BIO (2)'!A7:I41,9,0),IF('BIO (2)'!I7="","",""))</f>
        <v/>
      </c>
      <c r="H11" s="586"/>
      <c r="I11" s="637"/>
      <c r="J11" s="588"/>
      <c r="K11" s="589"/>
      <c r="L11" s="589"/>
      <c r="M11" s="589"/>
      <c r="O11" s="313">
        <f t="shared" si="0"/>
        <v>0</v>
      </c>
    </row>
    <row r="12" spans="1:15" ht="15" x14ac:dyDescent="0.2">
      <c r="A12" s="285" t="str">
        <f t="array" ref="A12">IFERROR(INDEX('BIO (2)'!A:A,SMALL(IF('BIO (2)'!$E$3:$E$39&gt;0,ROW($3:$38)),ROW(A6))),"")</f>
        <v/>
      </c>
      <c r="B12" s="282" t="str">
        <f t="array" ref="B12">IFERROR(INDEX('BIO (2)'!E:E,SMALL(IF('BIO (2)'!$E$3:$E$39&gt;0,ROW($3:$38)),ROW(A6))),"")</f>
        <v/>
      </c>
      <c r="C12" s="282" t="str">
        <f t="array" ref="C12">IFERROR(INDEX('BIO (2)'!F:F,SMALL(IF('BIO (2)'!$E$3:$E$39&gt;0,ROW($3:$38)),ROW(A6))),"")</f>
        <v/>
      </c>
      <c r="D12" s="181" t="str">
        <f t="array" ref="D12">IFERROR(INDEX('BIO (2)'!G:G,SMALL(IF('BIO (2)'!$E$3:$E$39&gt;0,ROW($3:$38)),ROW(A6))),"")</f>
        <v/>
      </c>
      <c r="E12" s="282" t="str">
        <f t="array" ref="E12">IFERROR(INDEX('BIO (2)'!H:H,SMALL(IF('BIO (2)'!$E$3:$E$39&gt;0,ROW($3:$38)),ROW(A6))),"")</f>
        <v/>
      </c>
      <c r="F12" s="283" t="str">
        <f>IF(A12="","",C12*'Begr.-Rechner BIO'!$I$2)</f>
        <v/>
      </c>
      <c r="G12" s="284" t="str">
        <f>IFERROR(VLOOKUP(A12,'BIO (2)'!A8:I42,9,0),IF('BIO (2)'!I8="","",""))</f>
        <v/>
      </c>
      <c r="H12" s="551" t="s">
        <v>885</v>
      </c>
      <c r="I12" s="632"/>
      <c r="J12" s="411"/>
      <c r="K12" s="412"/>
      <c r="O12" s="313">
        <f t="shared" si="0"/>
        <v>0</v>
      </c>
    </row>
    <row r="13" spans="1:15" ht="15" x14ac:dyDescent="0.2">
      <c r="A13" s="285" t="str">
        <f t="array" ref="A13">IFERROR(INDEX('BIO (2)'!A:A,SMALL(IF('BIO (2)'!$E$3:$E$39&gt;0,ROW($3:$38)),ROW(A7))),"")</f>
        <v/>
      </c>
      <c r="B13" s="282" t="str">
        <f t="array" ref="B13">IFERROR(INDEX('BIO (2)'!E:E,SMALL(IF('BIO (2)'!$E$3:$E$39&gt;0,ROW($3:$38)),ROW(A7))),"")</f>
        <v/>
      </c>
      <c r="C13" s="282" t="str">
        <f t="array" ref="C13">IFERROR(INDEX('BIO (2)'!F:F,SMALL(IF('BIO (2)'!$E$3:$E$39&gt;0,ROW($3:$38)),ROW(A7))),"")</f>
        <v/>
      </c>
      <c r="D13" s="181" t="str">
        <f t="array" ref="D13">IFERROR(INDEX('BIO (2)'!G:G,SMALL(IF('BIO (2)'!$E$3:$E$39&gt;0,ROW($3:$38)),ROW(A7))),"")</f>
        <v/>
      </c>
      <c r="E13" s="282" t="str">
        <f t="array" ref="E13">IFERROR(INDEX('BIO (2)'!H:H,SMALL(IF('BIO (2)'!$E$3:$E$39&gt;0,ROW($3:$38)),ROW(A7))),"")</f>
        <v/>
      </c>
      <c r="F13" s="283" t="str">
        <f>IF(A13="","",C13*'Begr.-Rechner BIO'!$I$2)</f>
        <v/>
      </c>
      <c r="G13" s="284" t="str">
        <f>IFERROR(VLOOKUP(A13,'BIO (2)'!A9:I43,9,0),IF('BIO (2)'!I9="","",""))</f>
        <v/>
      </c>
      <c r="H13" s="553"/>
      <c r="I13" s="633"/>
      <c r="J13" s="411"/>
      <c r="K13" s="412"/>
      <c r="O13" s="313">
        <f t="shared" si="0"/>
        <v>0</v>
      </c>
    </row>
    <row r="14" spans="1:15" ht="15" x14ac:dyDescent="0.2">
      <c r="A14" s="285" t="str">
        <f t="array" ref="A14">IFERROR(INDEX('BIO (2)'!A:A,SMALL(IF('BIO (2)'!$E$3:$E$39&gt;0,ROW($3:$38)),ROW(A8))),"")</f>
        <v/>
      </c>
      <c r="B14" s="282" t="str">
        <f t="array" ref="B14">IFERROR(INDEX('BIO (2)'!E:E,SMALL(IF('BIO (2)'!$E$3:$E$39&gt;0,ROW($3:$38)),ROW(A8))),"")</f>
        <v/>
      </c>
      <c r="C14" s="282" t="str">
        <f t="array" ref="C14">IFERROR(INDEX('BIO (2)'!F:F,SMALL(IF('BIO (2)'!$E$3:$E$39&gt;0,ROW($3:$38)),ROW(A8))),"")</f>
        <v/>
      </c>
      <c r="D14" s="181" t="str">
        <f t="array" ref="D14">IFERROR(INDEX('BIO (2)'!G:G,SMALL(IF('BIO (2)'!$E$3:$E$39&gt;0,ROW($3:$38)),ROW(A8))),"")</f>
        <v/>
      </c>
      <c r="E14" s="282" t="str">
        <f t="array" ref="E14">IFERROR(INDEX('BIO (2)'!H:H,SMALL(IF('BIO (2)'!$E$3:$E$39&gt;0,ROW($3:$38)),ROW(A8))),"")</f>
        <v/>
      </c>
      <c r="F14" s="283" t="str">
        <f>IF(A14="","",C14*'Begr.-Rechner BIO'!$I$2)</f>
        <v/>
      </c>
      <c r="G14" s="284" t="str">
        <f>IFERROR(VLOOKUP(A14,'BIO (2)'!A10:I44,9,0),IF('BIO (2)'!I10="","",""))</f>
        <v/>
      </c>
      <c r="H14" s="553"/>
      <c r="I14" s="633"/>
      <c r="J14" s="411"/>
      <c r="O14" s="313">
        <f t="shared" si="0"/>
        <v>0</v>
      </c>
    </row>
    <row r="15" spans="1:15" ht="15" x14ac:dyDescent="0.2">
      <c r="A15" s="285" t="str">
        <f t="array" ref="A15">IFERROR(INDEX('BIO (2)'!A:A,SMALL(IF('BIO (2)'!$E$3:$E$39&gt;0,ROW($3:$38)),ROW(A9))),"")</f>
        <v/>
      </c>
      <c r="B15" s="282" t="str">
        <f t="array" ref="B15">IFERROR(INDEX('BIO (2)'!E:E,SMALL(IF('BIO (2)'!$E$3:$E$39&gt;0,ROW($3:$38)),ROW(A9))),"")</f>
        <v/>
      </c>
      <c r="C15" s="282" t="str">
        <f t="array" ref="C15">IFERROR(INDEX('BIO (2)'!F:F,SMALL(IF('BIO (2)'!$E$3:$E$39&gt;0,ROW($3:$38)),ROW(A9))),"")</f>
        <v/>
      </c>
      <c r="D15" s="181" t="str">
        <f t="array" ref="D15">IFERROR(INDEX('BIO (2)'!G:G,SMALL(IF('BIO (2)'!$E$3:$E$39&gt;0,ROW($3:$38)),ROW(A9))),"")</f>
        <v/>
      </c>
      <c r="E15" s="282" t="str">
        <f t="array" ref="E15">IFERROR(INDEX('BIO (2)'!H:H,SMALL(IF('BIO (2)'!$E$3:$E$39&gt;0,ROW($3:$38)),ROW(A9))),"")</f>
        <v/>
      </c>
      <c r="F15" s="283" t="str">
        <f>IF(A15="","",C15*'Begr.-Rechner BIO'!$I$2)</f>
        <v/>
      </c>
      <c r="G15" s="284" t="str">
        <f>IFERROR(VLOOKUP(A15,'BIO (2)'!A11:I45,9,0),IF('BIO (2)'!I11="","",""))</f>
        <v/>
      </c>
      <c r="H15" s="553"/>
      <c r="I15" s="633"/>
      <c r="J15" s="411"/>
      <c r="M15" s="202"/>
      <c r="O15" s="313">
        <f t="shared" si="0"/>
        <v>0</v>
      </c>
    </row>
    <row r="16" spans="1:15" ht="15.75" thickBot="1" x14ac:dyDescent="0.25">
      <c r="A16" s="285" t="str">
        <f t="array" ref="A16">IFERROR(INDEX('BIO (2)'!A:A,SMALL(IF('BIO (2)'!$E$3:$E$39&gt;0,ROW($3:$38)),ROW(A10))),"")</f>
        <v/>
      </c>
      <c r="B16" s="282" t="str">
        <f t="array" ref="B16">IFERROR(INDEX('BIO (2)'!E:E,SMALL(IF('BIO (2)'!$E$3:$E$39&gt;0,ROW($3:$38)),ROW(A10))),"")</f>
        <v/>
      </c>
      <c r="C16" s="282" t="str">
        <f t="array" ref="C16">IFERROR(INDEX('BIO (2)'!F:F,SMALL(IF('BIO (2)'!$E$3:$E$39&gt;0,ROW($3:$38)),ROW(A10))),"")</f>
        <v/>
      </c>
      <c r="D16" s="181" t="str">
        <f t="array" ref="D16">IFERROR(INDEX('BIO (2)'!G:G,SMALL(IF('BIO (2)'!$E$3:$E$39&gt;0,ROW($3:$38)),ROW(A10))),"")</f>
        <v/>
      </c>
      <c r="E16" s="282" t="str">
        <f t="array" ref="E16">IFERROR(INDEX('BIO (2)'!H:H,SMALL(IF('BIO (2)'!$E$3:$E$39&gt;0,ROW($3:$38)),ROW(A10))),"")</f>
        <v/>
      </c>
      <c r="F16" s="283" t="str">
        <f>IF(A16="","",C16*'Begr.-Rechner BIO'!$I$2)</f>
        <v/>
      </c>
      <c r="G16" s="284" t="str">
        <f>IFERROR(VLOOKUP(A16,'BIO (2)'!A12:I46,9,0),IF('BIO (2)'!I12="","",""))</f>
        <v/>
      </c>
      <c r="H16" s="555"/>
      <c r="I16" s="634"/>
      <c r="J16" s="411"/>
      <c r="O16" s="313">
        <f t="shared" si="0"/>
        <v>0</v>
      </c>
    </row>
    <row r="17" spans="1:15" ht="15" x14ac:dyDescent="0.2">
      <c r="A17" s="285" t="str">
        <f t="array" ref="A17">IFERROR(INDEX('BIO (2)'!A:A,SMALL(IF('BIO (2)'!$E$3:$E$39&gt;0,ROW($3:$38)),ROW(A11))),"")</f>
        <v/>
      </c>
      <c r="B17" s="282" t="str">
        <f t="array" ref="B17">IFERROR(INDEX('BIO (2)'!E:E,SMALL(IF('BIO (2)'!$E$3:$E$39&gt;0,ROW($3:$38)),ROW(A11))),"")</f>
        <v/>
      </c>
      <c r="C17" s="282" t="str">
        <f t="array" ref="C17">IFERROR(INDEX('BIO (2)'!F:F,SMALL(IF('BIO (2)'!$E$3:$E$39&gt;0,ROW($3:$38)),ROW(A11))),"")</f>
        <v/>
      </c>
      <c r="D17" s="181" t="str">
        <f t="array" ref="D17">IFERROR(INDEX('BIO (2)'!G:G,SMALL(IF('BIO (2)'!$E$3:$E$39&gt;0,ROW($3:$38)),ROW(A11))),"")</f>
        <v/>
      </c>
      <c r="E17" s="282" t="str">
        <f t="array" ref="E17">IFERROR(INDEX('BIO (2)'!H:H,SMALL(IF('BIO (2)'!$E$3:$E$39&gt;0,ROW($3:$38)),ROW(A11))),"")</f>
        <v/>
      </c>
      <c r="F17" s="283" t="str">
        <f>IF(A17="","",C17*'Begr.-Rechner BIO'!$I$2)</f>
        <v/>
      </c>
      <c r="G17" s="284" t="str">
        <f>IFERROR(VLOOKUP(A17,'BIO (2)'!A13:I47,9,0),IF('BIO (2)'!I13="","",""))</f>
        <v/>
      </c>
      <c r="H17" s="284"/>
      <c r="I17" s="284"/>
      <c r="O17" s="313">
        <f t="shared" si="0"/>
        <v>0</v>
      </c>
    </row>
    <row r="18" spans="1:15" ht="15" x14ac:dyDescent="0.2">
      <c r="A18" s="285" t="str">
        <f t="array" ref="A18">IFERROR(INDEX('BIO (2)'!A:A,SMALL(IF('BIO (2)'!$E$3:$E$39&gt;0,ROW($3:$38)),ROW(A12))),"")</f>
        <v/>
      </c>
      <c r="B18" s="282" t="str">
        <f t="array" ref="B18">IFERROR(INDEX('BIO (2)'!E:E,SMALL(IF('BIO (2)'!$E$3:$E$39&gt;0,ROW($3:$38)),ROW(A12))),"")</f>
        <v/>
      </c>
      <c r="C18" s="282" t="str">
        <f t="array" ref="C18">IFERROR(INDEX('BIO (2)'!F:F,SMALL(IF('BIO (2)'!$E$3:$E$39&gt;0,ROW($3:$38)),ROW(A12))),"")</f>
        <v/>
      </c>
      <c r="D18" s="181" t="str">
        <f t="array" ref="D18">IFERROR(INDEX('BIO (2)'!G:G,SMALL(IF('BIO (2)'!$E$3:$E$39&gt;0,ROW($3:$38)),ROW(A12))),"")</f>
        <v/>
      </c>
      <c r="E18" s="282" t="str">
        <f t="array" ref="E18">IFERROR(INDEX('BIO (2)'!H:H,SMALL(IF('BIO (2)'!$E$3:$E$39&gt;0,ROW($3:$38)),ROW(A12))),"")</f>
        <v/>
      </c>
      <c r="F18" s="283" t="str">
        <f>IF(A18="","",C18*'Begr.-Rechner BIO'!$I$2)</f>
        <v/>
      </c>
      <c r="G18" s="284" t="str">
        <f>IFERROR(VLOOKUP(A18,'BIO (2)'!A14:I48,9,0),IF('BIO (2)'!I14="","",""))</f>
        <v/>
      </c>
      <c r="H18" s="284"/>
      <c r="I18" s="284"/>
      <c r="O18" s="313">
        <f t="shared" si="0"/>
        <v>0</v>
      </c>
    </row>
    <row r="19" spans="1:15" ht="15" x14ac:dyDescent="0.2">
      <c r="A19" s="285" t="str">
        <f t="array" ref="A19">IFERROR(INDEX('BIO (2)'!A:A,SMALL(IF('BIO (2)'!$E$3:$E$39&gt;0,ROW($3:$38)),ROW(A13))),"")</f>
        <v/>
      </c>
      <c r="B19" s="282" t="str">
        <f t="array" ref="B19">IFERROR(INDEX('BIO (2)'!E:E,SMALL(IF('BIO (2)'!$E$3:$E$39&gt;0,ROW($3:$38)),ROW(A13))),"")</f>
        <v/>
      </c>
      <c r="C19" s="282" t="str">
        <f t="array" ref="C19">IFERROR(INDEX('BIO (2)'!F:F,SMALL(IF('BIO (2)'!$E$3:$E$39&gt;0,ROW($3:$38)),ROW(A13))),"")</f>
        <v/>
      </c>
      <c r="D19" s="181" t="str">
        <f t="array" ref="D19">IFERROR(INDEX('BIO (2)'!G:G,SMALL(IF('BIO (2)'!$E$3:$E$39&gt;0,ROW($3:$38)),ROW(A13))),"")</f>
        <v/>
      </c>
      <c r="E19" s="282" t="str">
        <f t="array" ref="E19">IFERROR(INDEX('BIO (2)'!H:H,SMALL(IF('BIO (2)'!$E$3:$E$39&gt;0,ROW($3:$38)),ROW(A13))),"")</f>
        <v/>
      </c>
      <c r="F19" s="283" t="str">
        <f>IF(A19="","",C19*'Begr.-Rechner BIO'!$I$2)</f>
        <v/>
      </c>
      <c r="G19" s="284" t="str">
        <f>IFERROR(VLOOKUP(A19,'BIO (2)'!A15:I49,9,0),IF('BIO (2)'!I15="","",""))</f>
        <v/>
      </c>
      <c r="H19" s="284"/>
      <c r="I19" s="284"/>
      <c r="O19" s="313">
        <f t="shared" si="0"/>
        <v>0</v>
      </c>
    </row>
    <row r="20" spans="1:15" ht="15" x14ac:dyDescent="0.2">
      <c r="A20" s="285" t="str">
        <f t="array" ref="A20">IFERROR(INDEX('BIO (2)'!A:A,SMALL(IF('BIO (2)'!$E$3:$E$39&gt;0,ROW($3:$38)),ROW(A14))),"")</f>
        <v/>
      </c>
      <c r="B20" s="282" t="str">
        <f t="array" ref="B20">IFERROR(INDEX('BIO (2)'!E:E,SMALL(IF('BIO (2)'!$E$3:$E$39&gt;0,ROW($3:$38)),ROW(A14))),"")</f>
        <v/>
      </c>
      <c r="C20" s="282" t="str">
        <f t="array" ref="C20">IFERROR(INDEX('BIO (2)'!F:F,SMALL(IF('BIO (2)'!$E$3:$E$39&gt;0,ROW($3:$38)),ROW(A14))),"")</f>
        <v/>
      </c>
      <c r="D20" s="181" t="str">
        <f t="array" ref="D20">IFERROR(INDEX('BIO (2)'!G:G,SMALL(IF('BIO (2)'!$E$3:$E$39&gt;0,ROW($3:$38)),ROW(A14))),"")</f>
        <v/>
      </c>
      <c r="E20" s="282" t="str">
        <f t="array" ref="E20">IFERROR(INDEX('BIO (2)'!H:H,SMALL(IF('BIO (2)'!$E$3:$E$39&gt;0,ROW($3:$38)),ROW(A14))),"")</f>
        <v/>
      </c>
      <c r="F20" s="283" t="str">
        <f>IF(A20="","",C20*'Begr.-Rechner BIO'!$I$2)</f>
        <v/>
      </c>
      <c r="G20" s="284" t="str">
        <f>IFERROR(VLOOKUP(A20,'BIO (2)'!A16:I50,9,0),IF('BIO (2)'!I16="","",""))</f>
        <v/>
      </c>
      <c r="H20" s="284"/>
      <c r="I20" s="284"/>
      <c r="O20" s="313">
        <f t="shared" si="0"/>
        <v>0</v>
      </c>
    </row>
    <row r="21" spans="1:15" ht="15" x14ac:dyDescent="0.2">
      <c r="A21" s="285" t="str">
        <f t="array" ref="A21">IFERROR(INDEX('BIO (2)'!A:A,SMALL(IF('BIO (2)'!$E$3:$E$39&gt;0,ROW($3:$38)),ROW(A15))),"")</f>
        <v/>
      </c>
      <c r="B21" s="282" t="str">
        <f t="array" ref="B21">IFERROR(INDEX('BIO (2)'!E:E,SMALL(IF('BIO (2)'!$E$3:$E$39&gt;0,ROW($3:$38)),ROW(A15))),"")</f>
        <v/>
      </c>
      <c r="C21" s="282" t="str">
        <f t="array" ref="C21">IFERROR(INDEX('BIO (2)'!F:F,SMALL(IF('BIO (2)'!$E$3:$E$39&gt;0,ROW($3:$38)),ROW(A15))),"")</f>
        <v/>
      </c>
      <c r="D21" s="181" t="str">
        <f t="array" ref="D21">IFERROR(INDEX('BIO (2)'!G:G,SMALL(IF('BIO (2)'!$E$3:$E$39&gt;0,ROW($3:$38)),ROW(A15))),"")</f>
        <v/>
      </c>
      <c r="E21" s="282" t="str">
        <f t="array" ref="E21">IFERROR(INDEX('BIO (2)'!H:H,SMALL(IF('BIO (2)'!$E$3:$E$39&gt;0,ROW($3:$38)),ROW(A15))),"")</f>
        <v/>
      </c>
      <c r="F21" s="283" t="str">
        <f>IF(A21="","",C21*'Begr.-Rechner BIO'!$I$2)</f>
        <v/>
      </c>
      <c r="G21" s="284" t="str">
        <f>IFERROR(VLOOKUP(A21,'BIO (2)'!A17:I51,9,0),IF('BIO (2)'!I17="","",""))</f>
        <v/>
      </c>
      <c r="H21" s="284"/>
      <c r="I21" s="284"/>
      <c r="O21" s="313">
        <f t="shared" si="0"/>
        <v>0</v>
      </c>
    </row>
    <row r="22" spans="1:15" ht="15" x14ac:dyDescent="0.2">
      <c r="A22" s="285" t="str">
        <f t="array" ref="A22">IFERROR(INDEX('BIO (2)'!A:A,SMALL(IF('BIO (2)'!$E$3:$E$39&gt;0,ROW($3:$38)),ROW(A16))),"")</f>
        <v/>
      </c>
      <c r="B22" s="282" t="str">
        <f t="array" ref="B22">IFERROR(INDEX('BIO (2)'!E:E,SMALL(IF('BIO (2)'!$E$3:$E$39&gt;0,ROW($3:$38)),ROW(A16))),"")</f>
        <v/>
      </c>
      <c r="C22" s="282" t="str">
        <f t="array" ref="C22">IFERROR(INDEX('BIO (2)'!F:F,SMALL(IF('BIO (2)'!$E$3:$E$39&gt;0,ROW($3:$38)),ROW(A16))),"")</f>
        <v/>
      </c>
      <c r="D22" s="181" t="str">
        <f t="array" ref="D22">IFERROR(INDEX('BIO (2)'!G:G,SMALL(IF('BIO (2)'!$E$3:$E$39&gt;0,ROW($3:$38)),ROW(A16))),"")</f>
        <v/>
      </c>
      <c r="E22" s="282" t="str">
        <f t="array" ref="E22">IFERROR(INDEX('BIO (2)'!H:H,SMALL(IF('BIO (2)'!$E$3:$E$39&gt;0,ROW($3:$38)),ROW(A16))),"")</f>
        <v/>
      </c>
      <c r="F22" s="283" t="str">
        <f>IF(A22="","",C22*'Begr.-Rechner BIO'!$I$2)</f>
        <v/>
      </c>
      <c r="G22" s="284" t="str">
        <f>IFERROR(VLOOKUP(A22,'BIO (2)'!A18:I52,9,0),IF('BIO (2)'!I18="","",""))</f>
        <v/>
      </c>
      <c r="H22" s="284"/>
      <c r="I22" s="284"/>
      <c r="O22" s="313">
        <f t="shared" si="0"/>
        <v>0</v>
      </c>
    </row>
    <row r="23" spans="1:15" ht="15" x14ac:dyDescent="0.2">
      <c r="A23" s="285" t="str">
        <f t="array" ref="A23">IFERROR(INDEX('BIO (2)'!A:A,SMALL(IF('BIO (2)'!$E$3:$E$39&gt;0,ROW($3:$38)),ROW(A17))),"")</f>
        <v/>
      </c>
      <c r="B23" s="282" t="str">
        <f t="array" ref="B23">IFERROR(INDEX('BIO (2)'!E:E,SMALL(IF('BIO (2)'!$E$3:$E$39&gt;0,ROW($3:$38)),ROW(A17))),"")</f>
        <v/>
      </c>
      <c r="C23" s="282" t="str">
        <f t="array" ref="C23">IFERROR(INDEX('BIO (2)'!F:F,SMALL(IF('BIO (2)'!$E$3:$E$39&gt;0,ROW($3:$38)),ROW(A17))),"")</f>
        <v/>
      </c>
      <c r="D23" s="181" t="str">
        <f t="array" ref="D23">IFERROR(INDEX('BIO (2)'!G:G,SMALL(IF('BIO (2)'!$E$3:$E$39&gt;0,ROW($3:$38)),ROW(A17))),"")</f>
        <v/>
      </c>
      <c r="E23" s="282" t="str">
        <f t="array" ref="E23">IFERROR(INDEX('BIO (2)'!H:H,SMALL(IF('BIO (2)'!$E$3:$E$39&gt;0,ROW($3:$38)),ROW(A17))),"")</f>
        <v/>
      </c>
      <c r="F23" s="283" t="str">
        <f>IF(A23="","",C23*'Begr.-Rechner BIO'!$I$2)</f>
        <v/>
      </c>
      <c r="G23" s="284" t="str">
        <f>IFERROR(VLOOKUP(A23,'BIO (2)'!A19:I53,9,0),IF('BIO (2)'!I19="","",""))</f>
        <v/>
      </c>
      <c r="H23" s="284"/>
      <c r="I23" s="284"/>
      <c r="O23" s="313">
        <f t="shared" si="0"/>
        <v>0</v>
      </c>
    </row>
    <row r="24" spans="1:15" ht="15" x14ac:dyDescent="0.2">
      <c r="A24" s="285" t="str">
        <f t="array" ref="A24">IFERROR(INDEX('BIO (2)'!A:A,SMALL(IF('BIO (2)'!$E$3:$E$39&gt;0,ROW($3:$38)),ROW(A18))),"")</f>
        <v/>
      </c>
      <c r="B24" s="282" t="str">
        <f t="array" ref="B24">IFERROR(INDEX('BIO (2)'!E:E,SMALL(IF('BIO (2)'!$E$3:$E$39&gt;0,ROW($3:$38)),ROW(A18))),"")</f>
        <v/>
      </c>
      <c r="C24" s="282" t="str">
        <f t="array" ref="C24">IFERROR(INDEX('BIO (2)'!F:F,SMALL(IF('BIO (2)'!$E$3:$E$39&gt;0,ROW($3:$38)),ROW(A18))),"")</f>
        <v/>
      </c>
      <c r="D24" s="181" t="str">
        <f t="array" ref="D24">IFERROR(INDEX('BIO (2)'!G:G,SMALL(IF('BIO (2)'!$E$3:$E$39&gt;0,ROW($3:$38)),ROW(A18))),"")</f>
        <v/>
      </c>
      <c r="E24" s="282" t="str">
        <f t="array" ref="E24">IFERROR(INDEX('BIO (2)'!H:H,SMALL(IF('BIO (2)'!$E$3:$E$39&gt;0,ROW($3:$38)),ROW(A18))),"")</f>
        <v/>
      </c>
      <c r="F24" s="283" t="str">
        <f>IF(A24="","",C24*'Begr.-Rechner BIO'!$I$2)</f>
        <v/>
      </c>
      <c r="G24" s="284" t="str">
        <f>IFERROR(VLOOKUP(A24,'BIO (2)'!A20:I54,9,0),IF('BIO (2)'!I20="","",""))</f>
        <v/>
      </c>
      <c r="H24" s="284"/>
      <c r="I24" s="284"/>
      <c r="O24" s="313">
        <f t="shared" si="0"/>
        <v>0</v>
      </c>
    </row>
    <row r="25" spans="1:15" ht="15" x14ac:dyDescent="0.2">
      <c r="A25" s="285" t="str">
        <f t="array" ref="A25">IFERROR(INDEX('BIO (2)'!A:A,SMALL(IF('BIO (2)'!$E$3:$E$39&gt;0,ROW($3:$38)),ROW(A19))),"")</f>
        <v/>
      </c>
      <c r="B25" s="282" t="str">
        <f t="array" ref="B25">IFERROR(INDEX('BIO (2)'!E:E,SMALL(IF('BIO (2)'!$E$3:$E$39&gt;0,ROW($3:$38)),ROW(A19))),"")</f>
        <v/>
      </c>
      <c r="C25" s="282" t="str">
        <f t="array" ref="C25">IFERROR(INDEX('BIO (2)'!F:F,SMALL(IF('BIO (2)'!$E$3:$E$39&gt;0,ROW($3:$38)),ROW(A19))),"")</f>
        <v/>
      </c>
      <c r="D25" s="181" t="str">
        <f t="array" ref="D25">IFERROR(INDEX('BIO (2)'!G:G,SMALL(IF('BIO (2)'!$E$3:$E$39&gt;0,ROW($3:$38)),ROW(A19))),"")</f>
        <v/>
      </c>
      <c r="E25" s="282" t="str">
        <f t="array" ref="E25">IFERROR(INDEX('BIO (2)'!H:H,SMALL(IF('BIO (2)'!$E$3:$E$39&gt;0,ROW($3:$38)),ROW(A19))),"")</f>
        <v/>
      </c>
      <c r="F25" s="283" t="str">
        <f>IF(A25="","",C25*'Begr.-Rechner BIO'!$I$2)</f>
        <v/>
      </c>
      <c r="G25" s="284" t="str">
        <f>IFERROR(VLOOKUP(A25,'BIO (2)'!A21:I55,9,0),IF('BIO (2)'!I21="","",""))</f>
        <v/>
      </c>
      <c r="H25" s="284"/>
      <c r="I25" s="284"/>
      <c r="O25" s="313">
        <f t="shared" si="0"/>
        <v>0</v>
      </c>
    </row>
    <row r="26" spans="1:15" ht="15" x14ac:dyDescent="0.2">
      <c r="A26" s="285" t="str">
        <f t="array" ref="A26">IFERROR(INDEX('BIO (2)'!A:A,SMALL(IF('BIO (2)'!$E$3:$E$39&gt;0,ROW($3:$38)),ROW(A20))),"")</f>
        <v/>
      </c>
      <c r="B26" s="282" t="str">
        <f t="array" ref="B26">IFERROR(INDEX('BIO (2)'!E:E,SMALL(IF('BIO (2)'!$E$3:$E$39&gt;0,ROW($3:$38)),ROW(A20))),"")</f>
        <v/>
      </c>
      <c r="C26" s="282" t="str">
        <f t="array" ref="C26">IFERROR(INDEX('BIO (2)'!F:F,SMALL(IF('BIO (2)'!$E$3:$E$39&gt;0,ROW($3:$38)),ROW(A20))),"")</f>
        <v/>
      </c>
      <c r="D26" s="181" t="str">
        <f t="array" ref="D26">IFERROR(INDEX('BIO (2)'!G:G,SMALL(IF('BIO (2)'!$E$3:$E$39&gt;0,ROW($3:$38)),ROW(A20))),"")</f>
        <v/>
      </c>
      <c r="E26" s="282" t="str">
        <f t="array" ref="E26">IFERROR(INDEX('BIO (2)'!H:H,SMALL(IF('BIO (2)'!$E$3:$E$39&gt;0,ROW($3:$38)),ROW(A20))),"")</f>
        <v/>
      </c>
      <c r="F26" s="283" t="str">
        <f>IF(A26="","",C26*'Begr.-Rechner BIO'!$I$2)</f>
        <v/>
      </c>
      <c r="G26" s="284" t="str">
        <f>IFERROR(VLOOKUP(A26,'BIO (2)'!A22:I56,9,0),IF('BIO (2)'!I22="","",""))</f>
        <v/>
      </c>
      <c r="H26" s="284"/>
      <c r="I26" s="284"/>
      <c r="O26" s="313">
        <f t="shared" si="0"/>
        <v>0</v>
      </c>
    </row>
    <row r="27" spans="1:15" ht="15" x14ac:dyDescent="0.2">
      <c r="A27" s="285" t="str">
        <f t="array" ref="A27">IFERROR(INDEX('BIO (2)'!A:A,SMALL(IF('BIO (2)'!$E$3:$E$39&gt;0,ROW($3:$38)),ROW(A21))),"")</f>
        <v/>
      </c>
      <c r="B27" s="282" t="str">
        <f t="array" ref="B27">IFERROR(INDEX('BIO (2)'!E:E,SMALL(IF('BIO (2)'!$E$3:$E$39&gt;0,ROW($3:$38)),ROW(A21))),"")</f>
        <v/>
      </c>
      <c r="C27" s="282" t="str">
        <f t="array" ref="C27">IFERROR(INDEX('BIO (2)'!F:F,SMALL(IF('BIO (2)'!$E$3:$E$39&gt;0,ROW($3:$38)),ROW(A21))),"")</f>
        <v/>
      </c>
      <c r="D27" s="181" t="str">
        <f t="array" ref="D27">IFERROR(INDEX('BIO (2)'!G:G,SMALL(IF('BIO (2)'!$E$3:$E$39&gt;0,ROW($3:$38)),ROW(A21))),"")</f>
        <v/>
      </c>
      <c r="E27" s="282" t="str">
        <f t="array" ref="E27">IFERROR(INDEX('BIO (2)'!H:H,SMALL(IF('BIO (2)'!$E$3:$E$39&gt;0,ROW($3:$38)),ROW(A21))),"")</f>
        <v/>
      </c>
      <c r="F27" s="283" t="str">
        <f>IF(A27="","",C27*'Begr.-Rechner BIO'!$I$2)</f>
        <v/>
      </c>
      <c r="G27" s="284" t="str">
        <f>IFERROR(VLOOKUP(A27,'BIO (2)'!A23:I57,9,0),IF('BIO (2)'!I23="","",""))</f>
        <v/>
      </c>
      <c r="H27" s="284"/>
      <c r="I27" s="284"/>
      <c r="O27" s="313">
        <f t="shared" si="0"/>
        <v>0</v>
      </c>
    </row>
    <row r="28" spans="1:15" ht="15" x14ac:dyDescent="0.2">
      <c r="A28" s="285" t="str">
        <f t="array" ref="A28">IFERROR(INDEX('BIO (2)'!A:A,SMALL(IF('BIO (2)'!$E$3:$E$39&gt;0,ROW($3:$38)),ROW(A22))),"")</f>
        <v/>
      </c>
      <c r="B28" s="282" t="str">
        <f t="array" ref="B28">IFERROR(INDEX('BIO (2)'!E:E,SMALL(IF('BIO (2)'!$E$3:$E$39&gt;0,ROW($3:$38)),ROW(A22))),"")</f>
        <v/>
      </c>
      <c r="C28" s="282" t="str">
        <f t="array" ref="C28">IFERROR(INDEX('BIO (2)'!F:F,SMALL(IF('BIO (2)'!$E$3:$E$39&gt;0,ROW($3:$38)),ROW(A22))),"")</f>
        <v/>
      </c>
      <c r="D28" s="181" t="str">
        <f t="array" ref="D28">IFERROR(INDEX('BIO (2)'!G:G,SMALL(IF('BIO (2)'!$E$3:$E$39&gt;0,ROW($3:$38)),ROW(A22))),"")</f>
        <v/>
      </c>
      <c r="E28" s="282" t="str">
        <f t="array" ref="E28">IFERROR(INDEX('BIO (2)'!H:H,SMALL(IF('BIO (2)'!$E$3:$E$39&gt;0,ROW($3:$38)),ROW(A22))),"")</f>
        <v/>
      </c>
      <c r="F28" s="283" t="str">
        <f>IF(A28="","",C28*'Begr.-Rechner BIO'!$I$2)</f>
        <v/>
      </c>
      <c r="G28" s="284" t="str">
        <f>IFERROR(VLOOKUP(A28,'BIO (2)'!A24:I58,9,0),IF('BIO (2)'!I24="","",""))</f>
        <v/>
      </c>
      <c r="O28" s="313">
        <f t="shared" si="0"/>
        <v>0</v>
      </c>
    </row>
    <row r="29" spans="1:15" ht="15" x14ac:dyDescent="0.2">
      <c r="A29" s="285" t="str">
        <f t="array" ref="A29">IFERROR(INDEX('BIO (2)'!A:A,SMALL(IF('BIO (2)'!$E$3:$E$39&gt;0,ROW($3:$38)),ROW(A23))),"")</f>
        <v/>
      </c>
      <c r="B29" s="282" t="str">
        <f t="array" ref="B29">IFERROR(INDEX('BIO (2)'!E:E,SMALL(IF('BIO (2)'!$E$3:$E$39&gt;0,ROW($3:$38)),ROW(A23))),"")</f>
        <v/>
      </c>
      <c r="C29" s="282" t="str">
        <f t="array" ref="C29">IFERROR(INDEX('BIO (2)'!F:F,SMALL(IF('BIO (2)'!$E$3:$E$39&gt;0,ROW($3:$38)),ROW(A23))),"")</f>
        <v/>
      </c>
      <c r="D29" s="181" t="str">
        <f t="array" ref="D29">IFERROR(INDEX('BIO (2)'!G:G,SMALL(IF('BIO (2)'!$E$3:$E$39&gt;0,ROW($3:$38)),ROW(A23))),"")</f>
        <v/>
      </c>
      <c r="E29" s="282" t="str">
        <f t="array" ref="E29">IFERROR(INDEX('BIO (2)'!H:H,SMALL(IF('BIO (2)'!$E$3:$E$39&gt;0,ROW($3:$38)),ROW(A23))),"")</f>
        <v/>
      </c>
      <c r="F29" s="283" t="str">
        <f>IF(A29="","",C29*'Begr.-Rechner BIO'!$I$2)</f>
        <v/>
      </c>
      <c r="G29" s="284" t="str">
        <f>IFERROR(VLOOKUP(A29,'BIO (2)'!A25:I59,9,0),IF('BIO (2)'!I25="","",""))</f>
        <v/>
      </c>
      <c r="O29" s="313">
        <f t="shared" si="0"/>
        <v>0</v>
      </c>
    </row>
    <row r="30" spans="1:15" ht="15" x14ac:dyDescent="0.2">
      <c r="A30" s="285" t="str">
        <f t="array" ref="A30">IFERROR(INDEX('BIO (2)'!A:A,SMALL(IF('BIO (2)'!$E$3:$E$39&gt;0,ROW($3:$38)),ROW(A24))),"")</f>
        <v/>
      </c>
      <c r="B30" s="282" t="str">
        <f t="array" ref="B30">IFERROR(INDEX('BIO (2)'!E:E,SMALL(IF('BIO (2)'!$E$3:$E$39&gt;0,ROW($3:$38)),ROW(A24))),"")</f>
        <v/>
      </c>
      <c r="C30" s="282" t="str">
        <f t="array" ref="C30">IFERROR(INDEX('BIO (2)'!F:F,SMALL(IF('BIO (2)'!$E$3:$E$39&gt;0,ROW($3:$38)),ROW(A24))),"")</f>
        <v/>
      </c>
      <c r="D30" s="181" t="str">
        <f t="array" ref="D30">IFERROR(INDEX('BIO (2)'!G:G,SMALL(IF('BIO (2)'!$E$3:$E$39&gt;0,ROW($3:$38)),ROW(A24))),"")</f>
        <v/>
      </c>
      <c r="E30" s="282" t="str">
        <f t="array" ref="E30">IFERROR(INDEX('BIO (2)'!H:H,SMALL(IF('BIO (2)'!$E$3:$E$39&gt;0,ROW($3:$38)),ROW(A24))),"")</f>
        <v/>
      </c>
      <c r="F30" s="283" t="str">
        <f>IF(A30="","",C30*'Begr.-Rechner BIO'!$I$2)</f>
        <v/>
      </c>
      <c r="G30" s="284" t="str">
        <f>IFERROR(VLOOKUP(A30,'BIO (2)'!A26:I60,9,0),IF('BIO (2)'!I26="","",""))</f>
        <v/>
      </c>
      <c r="O30" s="313">
        <f t="shared" si="0"/>
        <v>0</v>
      </c>
    </row>
    <row r="31" spans="1:15" ht="15" x14ac:dyDescent="0.2">
      <c r="A31" s="285" t="str">
        <f t="array" ref="A31">IFERROR(INDEX('BIO (2)'!A:A,SMALL(IF('BIO (2)'!$E$3:$E$39&gt;0,ROW($3:$38)),ROW(A25))),"")</f>
        <v/>
      </c>
      <c r="B31" s="282" t="str">
        <f t="array" ref="B31">IFERROR(INDEX('BIO (2)'!E:E,SMALL(IF('BIO (2)'!$E$3:$E$39&gt;0,ROW($3:$38)),ROW(A25))),"")</f>
        <v/>
      </c>
      <c r="C31" s="282" t="str">
        <f t="array" ref="C31">IFERROR(INDEX('BIO (2)'!F:F,SMALL(IF('BIO (2)'!$E$3:$E$39&gt;0,ROW($3:$38)),ROW(A25))),"")</f>
        <v/>
      </c>
      <c r="D31" s="181" t="str">
        <f t="array" ref="D31">IFERROR(INDEX('BIO (2)'!G:G,SMALL(IF('BIO (2)'!$E$3:$E$39&gt;0,ROW($3:$38)),ROW(A25))),"")</f>
        <v/>
      </c>
      <c r="E31" s="282" t="str">
        <f t="array" ref="E31">IFERROR(INDEX('BIO (2)'!H:H,SMALL(IF('BIO (2)'!$E$3:$E$39&gt;0,ROW($3:$38)),ROW(A25))),"")</f>
        <v/>
      </c>
      <c r="F31" s="283" t="str">
        <f>IF(A31="","",C31*'Begr.-Rechner BIO'!$I$2)</f>
        <v/>
      </c>
      <c r="G31" s="284" t="str">
        <f>IFERROR(VLOOKUP(A31,'BIO (2)'!A27:I61,9,0),IF('BIO (2)'!I27="","",""))</f>
        <v/>
      </c>
      <c r="O31" s="313">
        <f t="shared" si="0"/>
        <v>0</v>
      </c>
    </row>
    <row r="32" spans="1:15" ht="15" x14ac:dyDescent="0.2">
      <c r="A32" s="285" t="str">
        <f t="array" ref="A32">IFERROR(INDEX('BIO (2)'!A:A,SMALL(IF('BIO (2)'!$E$3:$E$39&gt;0,ROW($3:$38)),ROW(A26))),"")</f>
        <v/>
      </c>
      <c r="B32" s="282" t="str">
        <f t="array" ref="B32">IFERROR(INDEX('BIO (2)'!E:E,SMALL(IF('BIO (2)'!$E$3:$E$39&gt;0,ROW($3:$38)),ROW(A26))),"")</f>
        <v/>
      </c>
      <c r="C32" s="282" t="str">
        <f t="array" ref="C32">IFERROR(INDEX('BIO (2)'!F:F,SMALL(IF('BIO (2)'!$E$3:$E$39&gt;0,ROW($3:$38)),ROW(A26))),"")</f>
        <v/>
      </c>
      <c r="D32" s="181" t="str">
        <f t="array" ref="D32">IFERROR(INDEX('BIO (2)'!G:G,SMALL(IF('BIO (2)'!$E$3:$E$39&gt;0,ROW($3:$38)),ROW(A26))),"")</f>
        <v/>
      </c>
      <c r="E32" s="282" t="str">
        <f t="array" ref="E32">IFERROR(INDEX('BIO (2)'!H:H,SMALL(IF('BIO (2)'!$E$3:$E$39&gt;0,ROW($3:$38)),ROW(A26))),"")</f>
        <v/>
      </c>
      <c r="F32" s="283" t="str">
        <f>IF(A32="","",C32*'Begr.-Rechner BIO'!$I$2)</f>
        <v/>
      </c>
      <c r="G32" s="284" t="str">
        <f>IFERROR(VLOOKUP(A32,'BIO (2)'!A28:I62,9,0),IF('BIO (2)'!I28="","",""))</f>
        <v/>
      </c>
      <c r="O32" s="313">
        <f t="shared" si="0"/>
        <v>0</v>
      </c>
    </row>
    <row r="33" spans="1:16" ht="15" x14ac:dyDescent="0.2">
      <c r="A33" s="285" t="str">
        <f t="array" ref="A33">IFERROR(INDEX('BIO (2)'!A:A,SMALL(IF('BIO (2)'!$E$3:$E$39&gt;0,ROW($3:$38)),ROW(A27))),"")</f>
        <v/>
      </c>
      <c r="B33" s="282" t="str">
        <f t="array" ref="B33">IFERROR(INDEX('BIO (2)'!E:E,SMALL(IF('BIO (2)'!$E$3:$E$39&gt;0,ROW($3:$38)),ROW(A27))),"")</f>
        <v/>
      </c>
      <c r="C33" s="282" t="str">
        <f t="array" ref="C33">IFERROR(INDEX('BIO (2)'!F:F,SMALL(IF('BIO (2)'!$E$3:$E$39&gt;0,ROW($3:$38)),ROW(A27))),"")</f>
        <v/>
      </c>
      <c r="D33" s="181" t="str">
        <f t="array" ref="D33">IFERROR(INDEX('BIO (2)'!G:G,SMALL(IF('BIO (2)'!$E$3:$E$39&gt;0,ROW($3:$38)),ROW(A27))),"")</f>
        <v/>
      </c>
      <c r="E33" s="282" t="str">
        <f t="array" ref="E33">IFERROR(INDEX('BIO (2)'!H:H,SMALL(IF('BIO (2)'!$E$3:$E$39&gt;0,ROW($3:$38)),ROW(A27))),"")</f>
        <v/>
      </c>
      <c r="F33" s="283" t="str">
        <f>IF(A33="","",C33*'Begr.-Rechner BIO'!$I$2)</f>
        <v/>
      </c>
      <c r="G33" s="284" t="str">
        <f>IFERROR(VLOOKUP(A33,'BIO (2)'!A29:I63,9,0),IF('BIO (2)'!I29="","",""))</f>
        <v/>
      </c>
      <c r="O33" s="313">
        <f t="shared" si="0"/>
        <v>0</v>
      </c>
    </row>
    <row r="34" spans="1:16" ht="15" x14ac:dyDescent="0.2">
      <c r="A34" s="285" t="str">
        <f t="array" ref="A34">IFERROR(INDEX('BIO (2)'!A:A,SMALL(IF('BIO (2)'!$E$3:$E$39&gt;0,ROW($3:$38)),ROW(A28))),"")</f>
        <v/>
      </c>
      <c r="B34" s="282" t="str">
        <f t="array" ref="B34">IFERROR(INDEX('BIO (2)'!E:E,SMALL(IF('BIO (2)'!$E$3:$E$39&gt;0,ROW($3:$38)),ROW(A28))),"")</f>
        <v/>
      </c>
      <c r="C34" s="282" t="str">
        <f t="array" ref="C34">IFERROR(INDEX('BIO (2)'!F:F,SMALL(IF('BIO (2)'!$E$3:$E$39&gt;0,ROW($3:$38)),ROW(A28))),"")</f>
        <v/>
      </c>
      <c r="D34" s="181" t="str">
        <f t="array" ref="D34">IFERROR(INDEX('BIO (2)'!G:G,SMALL(IF('BIO (2)'!$E$3:$E$39&gt;0,ROW($3:$38)),ROW(A28))),"")</f>
        <v/>
      </c>
      <c r="E34" s="282" t="str">
        <f t="array" ref="E34">IFERROR(INDEX('BIO (2)'!H:H,SMALL(IF('BIO (2)'!$E$3:$E$39&gt;0,ROW($3:$38)),ROW(A28))),"")</f>
        <v/>
      </c>
      <c r="F34" s="283" t="str">
        <f>IF(A34="","",C34*'Begr.-Rechner BIO'!$I$2)</f>
        <v/>
      </c>
      <c r="G34" s="284" t="str">
        <f>IFERROR(VLOOKUP(A34,'BIO (2)'!A30:I64,9,0),IF('BIO (2)'!I30="","",""))</f>
        <v/>
      </c>
      <c r="O34" s="313">
        <f t="shared" si="0"/>
        <v>0</v>
      </c>
    </row>
    <row r="35" spans="1:16" ht="15" x14ac:dyDescent="0.2">
      <c r="A35" s="285" t="str">
        <f t="array" ref="A35">IFERROR(INDEX('BIO (2)'!A:A,SMALL(IF('BIO (2)'!$E$3:$E$39&gt;0,ROW($3:$38)),ROW(A29))),"")</f>
        <v/>
      </c>
      <c r="B35" s="282" t="str">
        <f t="array" ref="B35">IFERROR(INDEX('BIO (2)'!E:E,SMALL(IF('BIO (2)'!$E$3:$E$39&gt;0,ROW($3:$38)),ROW(A29))),"")</f>
        <v/>
      </c>
      <c r="C35" s="282" t="str">
        <f t="array" ref="C35">IFERROR(INDEX('BIO (2)'!F:F,SMALL(IF('BIO (2)'!$E$3:$E$39&gt;0,ROW($3:$38)),ROW(A29))),"")</f>
        <v/>
      </c>
      <c r="D35" s="181" t="str">
        <f t="array" ref="D35">IFERROR(INDEX('BIO (2)'!G:G,SMALL(IF('BIO (2)'!$E$3:$E$39&gt;0,ROW($3:$38)),ROW(A29))),"")</f>
        <v/>
      </c>
      <c r="E35" s="282" t="str">
        <f t="array" ref="E35">IFERROR(INDEX('BIO (2)'!H:H,SMALL(IF('BIO (2)'!$E$3:$E$39&gt;0,ROW($3:$38)),ROW(A29))),"")</f>
        <v/>
      </c>
      <c r="F35" s="283" t="str">
        <f>IF(A35="","",C35*'Begr.-Rechner BIO'!$I$2)</f>
        <v/>
      </c>
      <c r="G35" s="284" t="str">
        <f>IFERROR(VLOOKUP(A35,'BIO (2)'!A31:I65,9,0),IF('BIO (2)'!I31="","",""))</f>
        <v/>
      </c>
      <c r="O35" s="313">
        <f t="shared" si="0"/>
        <v>0</v>
      </c>
    </row>
    <row r="36" spans="1:16" ht="15" x14ac:dyDescent="0.2">
      <c r="A36" s="285" t="str">
        <f t="array" ref="A36">IFERROR(INDEX('BIO (2)'!A:A,SMALL(IF('BIO (2)'!$E$3:$E$39&gt;0,ROW($3:$38)),ROW(A30))),"")</f>
        <v/>
      </c>
      <c r="B36" s="282" t="str">
        <f t="array" ref="B36">IFERROR(INDEX('BIO (2)'!E:E,SMALL(IF('BIO (2)'!$E$3:$E$39&gt;0,ROW($3:$38)),ROW(A30))),"")</f>
        <v/>
      </c>
      <c r="C36" s="282" t="str">
        <f t="array" ref="C36">IFERROR(INDEX('BIO (2)'!F:F,SMALL(IF('BIO (2)'!$E$3:$E$39&gt;0,ROW($3:$38)),ROW(A30))),"")</f>
        <v/>
      </c>
      <c r="D36" s="181" t="str">
        <f t="array" ref="D36">IFERROR(INDEX('BIO (2)'!G:G,SMALL(IF('BIO (2)'!$E$3:$E$39&gt;0,ROW($3:$38)),ROW(A30))),"")</f>
        <v/>
      </c>
      <c r="E36" s="282" t="str">
        <f t="array" ref="E36">IFERROR(INDEX('BIO (2)'!H:H,SMALL(IF('BIO (2)'!$E$3:$E$39&gt;0,ROW($3:$38)),ROW(A30))),"")</f>
        <v/>
      </c>
      <c r="F36" s="283" t="str">
        <f>IF(A36="","",C36*'Begr.-Rechner BIO'!$I$2)</f>
        <v/>
      </c>
      <c r="G36" s="284" t="str">
        <f>IFERROR(VLOOKUP(A36,'BIO (2)'!A32:I66,9,0),IF('BIO (2)'!I32="","",""))</f>
        <v/>
      </c>
      <c r="O36" s="313">
        <f t="shared" si="0"/>
        <v>0</v>
      </c>
    </row>
    <row r="37" spans="1:16" ht="15" x14ac:dyDescent="0.2">
      <c r="A37" s="285" t="str">
        <f t="array" ref="A37">IFERROR(INDEX('BIO (2)'!A:A,SMALL(IF('BIO (2)'!$E$3:$E$39&gt;0,ROW($3:$38)),ROW(A31))),"")</f>
        <v/>
      </c>
      <c r="B37" s="282" t="str">
        <f t="array" ref="B37">IFERROR(INDEX('BIO (2)'!E:E,SMALL(IF('BIO (2)'!$E$3:$E$39&gt;0,ROW($3:$38)),ROW(A31))),"")</f>
        <v/>
      </c>
      <c r="C37" s="282" t="str">
        <f t="array" ref="C37">IFERROR(INDEX('BIO (2)'!F:F,SMALL(IF('BIO (2)'!$E$3:$E$39&gt;0,ROW($3:$38)),ROW(A31))),"")</f>
        <v/>
      </c>
      <c r="D37" s="181" t="str">
        <f t="array" ref="D37">IFERROR(INDEX('BIO (2)'!G:G,SMALL(IF('BIO (2)'!$E$3:$E$39&gt;0,ROW($3:$38)),ROW(A31))),"")</f>
        <v/>
      </c>
      <c r="E37" s="282" t="str">
        <f t="array" ref="E37">IFERROR(INDEX('BIO (2)'!H:H,SMALL(IF('BIO (2)'!$E$3:$E$39&gt;0,ROW($3:$38)),ROW(A31))),"")</f>
        <v/>
      </c>
      <c r="F37" s="283" t="str">
        <f>IF(A37="","",C37*'Begr.-Rechner BIO'!$I$2)</f>
        <v/>
      </c>
      <c r="G37" s="284" t="str">
        <f>IFERROR(VLOOKUP(A37,'BIO (2)'!A33:I67,9,0),IF('BIO (2)'!I33="","",""))</f>
        <v/>
      </c>
      <c r="O37" s="313">
        <f t="shared" si="0"/>
        <v>0</v>
      </c>
    </row>
    <row r="38" spans="1:16" ht="15" x14ac:dyDescent="0.2">
      <c r="A38" s="285" t="str">
        <f t="array" ref="A38">IFERROR(INDEX('BIO (2)'!A:A,SMALL(IF('BIO (2)'!$E$3:$E$39&gt;0,ROW($3:$38)),ROW(A32))),"")</f>
        <v/>
      </c>
      <c r="B38" s="282" t="str">
        <f t="array" ref="B38">IFERROR(INDEX('BIO (2)'!E:E,SMALL(IF('BIO (2)'!$E$3:$E$39&gt;0,ROW($3:$38)),ROW(A32))),"")</f>
        <v/>
      </c>
      <c r="C38" s="282" t="str">
        <f t="array" ref="C38">IFERROR(INDEX('BIO (2)'!F:F,SMALL(IF('BIO (2)'!$E$3:$E$39&gt;0,ROW($3:$38)),ROW(A32))),"")</f>
        <v/>
      </c>
      <c r="D38" s="181" t="str">
        <f t="array" ref="D38">IFERROR(INDEX('BIO (2)'!G:G,SMALL(IF('BIO (2)'!$E$3:$E$39&gt;0,ROW($3:$38)),ROW(A32))),"")</f>
        <v/>
      </c>
      <c r="E38" s="282" t="str">
        <f t="array" ref="E38">IFERROR(INDEX('BIO (2)'!H:H,SMALL(IF('BIO (2)'!$E$3:$E$39&gt;0,ROW($3:$38)),ROW(A32))),"")</f>
        <v/>
      </c>
      <c r="F38" s="283" t="str">
        <f>IF(A38="","",C38*'Begr.-Rechner BIO'!$I$2)</f>
        <v/>
      </c>
      <c r="G38" s="284" t="str">
        <f>IFERROR(VLOOKUP(A38,'BIO (2)'!A34:I68,9,0),IF('BIO (2)'!I34="","",""))</f>
        <v/>
      </c>
      <c r="O38" s="313">
        <f t="shared" si="0"/>
        <v>0</v>
      </c>
    </row>
    <row r="39" spans="1:16" ht="15.75" thickBot="1" x14ac:dyDescent="0.25">
      <c r="A39" s="285" t="str">
        <f t="array" ref="A39">IFERROR(INDEX('BIO (2)'!A:A,SMALL(IF('BIO (2)'!$E$3:$E$39&gt;0,ROW($3:$38)),ROW(A33))),"")</f>
        <v/>
      </c>
      <c r="B39" s="282" t="str">
        <f t="array" ref="B39">IFERROR(INDEX('BIO (2)'!E:E,SMALL(IF('BIO (2)'!$E$3:$E$39&gt;0,ROW($3:$38)),ROW(A33))),"")</f>
        <v/>
      </c>
      <c r="C39" s="282" t="str">
        <f t="array" ref="C39">IFERROR(INDEX('BIO (2)'!F:F,SMALL(IF('BIO (2)'!$E$3:$E$39&gt;0,ROW($3:$38)),ROW(A33))),"")</f>
        <v/>
      </c>
      <c r="D39" s="181" t="str">
        <f t="array" ref="D39">IFERROR(INDEX('BIO (2)'!G:G,SMALL(IF('BIO (2)'!$E$3:$E$39&gt;0,ROW($3:$38)),ROW(A33))),"")</f>
        <v/>
      </c>
      <c r="E39" s="282" t="str">
        <f t="array" ref="E39">IFERROR(INDEX('BIO (2)'!H:H,SMALL(IF('BIO (2)'!$E$3:$E$39&gt;0,ROW($3:$38)),ROW(A33))),"")</f>
        <v/>
      </c>
      <c r="F39" s="283" t="str">
        <f>IF(A39="","",C39*'Begr.-Rechner BIO'!$I$2)</f>
        <v/>
      </c>
      <c r="G39" s="284" t="str">
        <f>IFERROR(VLOOKUP(A39,'BIO (2)'!A35:I69,9,0),IF('BIO (2)'!I35="","",""))</f>
        <v/>
      </c>
      <c r="O39" s="313">
        <f t="shared" si="0"/>
        <v>0</v>
      </c>
    </row>
    <row r="40" spans="1:16" ht="15" thickBot="1" x14ac:dyDescent="0.25">
      <c r="O40" s="428">
        <f>SUM(O7:O39)</f>
        <v>0</v>
      </c>
      <c r="P40" s="428" t="str">
        <f>IF(D4&lt;&gt;"",O40/D4,"")</f>
        <v/>
      </c>
    </row>
  </sheetData>
  <sheetProtection password="CAEF" sheet="1" objects="1" scenarios="1"/>
  <mergeCells count="16">
    <mergeCell ref="H12:I16"/>
    <mergeCell ref="H6:I6"/>
    <mergeCell ref="A1:I1"/>
    <mergeCell ref="H9:H11"/>
    <mergeCell ref="I7:I8"/>
    <mergeCell ref="I9:I11"/>
    <mergeCell ref="H7:H8"/>
    <mergeCell ref="J7:M11"/>
    <mergeCell ref="L1:M3"/>
    <mergeCell ref="J1:K3"/>
    <mergeCell ref="F5:G5"/>
    <mergeCell ref="F3:G3"/>
    <mergeCell ref="F4:G4"/>
    <mergeCell ref="H3:I3"/>
    <mergeCell ref="H4:I4"/>
    <mergeCell ref="J4:M6"/>
  </mergeCells>
  <conditionalFormatting sqref="A7:E39">
    <cfRule type="expression" dxfId="4" priority="6">
      <formula>A7&lt;&gt;""</formula>
    </cfRule>
  </conditionalFormatting>
  <conditionalFormatting sqref="F7:F39">
    <cfRule type="expression" dxfId="3" priority="5">
      <formula>A7&lt;&gt;""</formula>
    </cfRule>
  </conditionalFormatting>
  <conditionalFormatting sqref="G7:G39">
    <cfRule type="expression" dxfId="2" priority="2">
      <formula>$G7&lt;&gt;""</formula>
    </cfRule>
  </conditionalFormatting>
  <hyperlinks>
    <hyperlink ref="J1:K3" location="'Begr.-Rechner BIO'!A1" display="'Begr.-Rechner BIO'!A1"/>
    <hyperlink ref="L1:M3" location="Anleitung!A1" display="Anleitung!A1"/>
  </hyperlinks>
  <pageMargins left="0.7" right="0.7" top="0.78740157499999996" bottom="0.78740157499999996" header="0.3" footer="0.3"/>
  <pageSetup paperSize="9" scale="67" orientation="landscape" r:id="rId1"/>
  <legacy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" id="{9DE10402-5294-4E19-94D1-BD3BDF89CE4B}">
            <xm:f>OR(AND('BIO (2)'!$Q$3&gt;0,'BIO (2)'!$R$3&gt;0),AND('BIO (2)'!$Q$3=0,'BIO (2)'!$R$3&gt;0))</xm:f>
            <x14:dxf>
              <border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J4</xm:sqref>
        </x14:conditionalFormatting>
        <x14:conditionalFormatting xmlns:xm="http://schemas.microsoft.com/office/excel/2006/main">
          <x14:cfRule type="expression" priority="1" id="{AB2930EB-B49D-4F82-8D28-1506C00FCFC3}">
            <xm:f>AND($H$4&gt;0.6,'Begr.-Rechner BIO'!$J$2&gt;0)</xm:f>
            <x14:dxf>
              <font>
                <b/>
                <i val="0"/>
              </font>
              <fill>
                <patternFill>
                  <bgColor rgb="FFFFC000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J7:M11</xm:sqref>
        </x14:conditionalFormatting>
      </x14:conditionalFormatting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I231"/>
  <sheetViews>
    <sheetView zoomScale="85" zoomScaleNormal="85" workbookViewId="0">
      <selection activeCell="A6" sqref="A6"/>
    </sheetView>
  </sheetViews>
  <sheetFormatPr baseColWidth="10" defaultRowHeight="14.25" x14ac:dyDescent="0.2"/>
  <cols>
    <col min="1" max="1" width="47" customWidth="1"/>
    <col min="2" max="2" width="23.875" customWidth="1"/>
    <col min="3" max="3" width="17.375" customWidth="1"/>
    <col min="4" max="4" width="16.5" customWidth="1"/>
    <col min="5" max="5" width="92.25" customWidth="1"/>
    <col min="6" max="6" width="43.125" bestFit="1" customWidth="1"/>
  </cols>
  <sheetData>
    <row r="1" spans="1:9" ht="23.25" customHeight="1" x14ac:dyDescent="0.2">
      <c r="C1" s="653" t="s">
        <v>529</v>
      </c>
      <c r="D1" s="653"/>
    </row>
    <row r="2" spans="1:9" ht="23.25" customHeight="1" thickBot="1" x14ac:dyDescent="0.25">
      <c r="C2" s="654" t="s">
        <v>528</v>
      </c>
      <c r="D2" s="654"/>
    </row>
    <row r="3" spans="1:9" ht="23.25" customHeight="1" thickBot="1" x14ac:dyDescent="0.25">
      <c r="C3" s="316" t="s">
        <v>339</v>
      </c>
      <c r="D3" s="317">
        <v>20240611</v>
      </c>
    </row>
    <row r="4" spans="1:9" ht="23.25" customHeight="1" x14ac:dyDescent="0.2"/>
    <row r="5" spans="1:9" s="324" customFormat="1" ht="36" customHeight="1" x14ac:dyDescent="0.25">
      <c r="A5" s="237" t="s">
        <v>429</v>
      </c>
      <c r="B5" s="318" t="s">
        <v>66</v>
      </c>
      <c r="C5" s="319" t="s">
        <v>530</v>
      </c>
      <c r="D5" s="320" t="s">
        <v>67</v>
      </c>
      <c r="E5" s="321" t="s">
        <v>68</v>
      </c>
      <c r="F5" s="322"/>
      <c r="G5" s="323"/>
    </row>
    <row r="6" spans="1:9" s="327" customFormat="1" ht="24.95" customHeight="1" x14ac:dyDescent="0.2">
      <c r="A6" s="42" t="s">
        <v>69</v>
      </c>
      <c r="B6" s="325">
        <v>15</v>
      </c>
      <c r="C6" s="43">
        <v>5.57</v>
      </c>
      <c r="D6" s="326">
        <v>83.6</v>
      </c>
      <c r="E6" s="238" t="s">
        <v>430</v>
      </c>
      <c r="F6" s="322"/>
    </row>
    <row r="7" spans="1:9" s="324" customFormat="1" ht="30" customHeight="1" x14ac:dyDescent="0.25">
      <c r="A7" s="299" t="s">
        <v>8</v>
      </c>
      <c r="B7" s="328" t="s">
        <v>70</v>
      </c>
      <c r="C7" s="329" t="s">
        <v>531</v>
      </c>
      <c r="D7" s="326" t="s">
        <v>532</v>
      </c>
      <c r="E7" s="651" t="s">
        <v>533</v>
      </c>
      <c r="F7" s="323"/>
      <c r="G7" s="323"/>
      <c r="H7" s="330"/>
      <c r="I7" s="330"/>
    </row>
    <row r="8" spans="1:9" s="324" customFormat="1" ht="30" customHeight="1" x14ac:dyDescent="0.25">
      <c r="A8" s="42" t="s">
        <v>9</v>
      </c>
      <c r="B8" s="325" t="s">
        <v>70</v>
      </c>
      <c r="C8" s="43" t="s">
        <v>534</v>
      </c>
      <c r="D8" s="326" t="s">
        <v>535</v>
      </c>
      <c r="E8" s="651"/>
      <c r="F8" s="323"/>
      <c r="G8" s="323"/>
      <c r="H8" s="330"/>
      <c r="I8" s="330"/>
    </row>
    <row r="9" spans="1:9" ht="24.95" customHeight="1" x14ac:dyDescent="0.2">
      <c r="A9" s="331" t="s">
        <v>71</v>
      </c>
      <c r="B9" s="332" t="s">
        <v>70</v>
      </c>
      <c r="C9" s="333" t="s">
        <v>536</v>
      </c>
      <c r="D9" s="326" t="s">
        <v>537</v>
      </c>
      <c r="E9" s="649" t="s">
        <v>365</v>
      </c>
    </row>
    <row r="10" spans="1:9" ht="24.95" customHeight="1" x14ac:dyDescent="0.2">
      <c r="A10" s="331" t="s">
        <v>538</v>
      </c>
      <c r="B10" s="332" t="s">
        <v>70</v>
      </c>
      <c r="C10" s="333">
        <v>3.67</v>
      </c>
      <c r="D10" s="326" t="s">
        <v>539</v>
      </c>
      <c r="E10" s="649"/>
    </row>
    <row r="11" spans="1:9" ht="24.95" customHeight="1" x14ac:dyDescent="0.2">
      <c r="A11" s="299" t="s">
        <v>72</v>
      </c>
      <c r="B11" s="325" t="s">
        <v>540</v>
      </c>
      <c r="C11" s="43">
        <v>1.63</v>
      </c>
      <c r="D11" s="326" t="s">
        <v>541</v>
      </c>
      <c r="E11" s="102" t="s">
        <v>431</v>
      </c>
    </row>
    <row r="12" spans="1:9" ht="24.95" customHeight="1" x14ac:dyDescent="0.2">
      <c r="A12" s="334" t="s">
        <v>542</v>
      </c>
      <c r="B12" s="335" t="s">
        <v>73</v>
      </c>
      <c r="C12" s="336" t="s">
        <v>543</v>
      </c>
      <c r="D12" s="326" t="s">
        <v>544</v>
      </c>
      <c r="E12" s="652" t="s">
        <v>366</v>
      </c>
    </row>
    <row r="13" spans="1:9" ht="24.95" customHeight="1" x14ac:dyDescent="0.2">
      <c r="A13" s="334" t="s">
        <v>545</v>
      </c>
      <c r="B13" s="335" t="s">
        <v>73</v>
      </c>
      <c r="C13" s="336" t="s">
        <v>546</v>
      </c>
      <c r="D13" s="326" t="s">
        <v>547</v>
      </c>
      <c r="E13" s="652"/>
    </row>
    <row r="14" spans="1:9" ht="24.95" customHeight="1" x14ac:dyDescent="0.2">
      <c r="A14" s="334" t="s">
        <v>548</v>
      </c>
      <c r="B14" s="335" t="s">
        <v>73</v>
      </c>
      <c r="C14" s="336" t="s">
        <v>549</v>
      </c>
      <c r="D14" s="326" t="s">
        <v>550</v>
      </c>
      <c r="E14" s="652"/>
    </row>
    <row r="15" spans="1:9" ht="24.95" customHeight="1" x14ac:dyDescent="0.2">
      <c r="A15" s="334" t="s">
        <v>551</v>
      </c>
      <c r="B15" s="335" t="s">
        <v>73</v>
      </c>
      <c r="C15" s="336" t="s">
        <v>552</v>
      </c>
      <c r="D15" s="326" t="s">
        <v>553</v>
      </c>
      <c r="E15" s="652"/>
    </row>
    <row r="16" spans="1:9" ht="24.95" customHeight="1" x14ac:dyDescent="0.2">
      <c r="A16" s="334" t="s">
        <v>11</v>
      </c>
      <c r="B16" s="335">
        <v>40</v>
      </c>
      <c r="C16" s="336" t="s">
        <v>554</v>
      </c>
      <c r="D16" s="326" t="s">
        <v>555</v>
      </c>
      <c r="E16" s="652" t="s">
        <v>433</v>
      </c>
    </row>
    <row r="17" spans="1:5" ht="24.95" customHeight="1" x14ac:dyDescent="0.2">
      <c r="A17" s="299" t="s">
        <v>106</v>
      </c>
      <c r="B17" s="335">
        <v>40</v>
      </c>
      <c r="C17" s="336">
        <v>3.74</v>
      </c>
      <c r="D17" s="326">
        <v>149.6</v>
      </c>
      <c r="E17" s="652"/>
    </row>
    <row r="18" spans="1:5" ht="24.95" customHeight="1" x14ac:dyDescent="0.2">
      <c r="A18" s="42" t="s">
        <v>434</v>
      </c>
      <c r="B18" s="335" t="s">
        <v>70</v>
      </c>
      <c r="C18" s="336" t="s">
        <v>556</v>
      </c>
      <c r="D18" s="326" t="s">
        <v>557</v>
      </c>
      <c r="E18" s="652" t="s">
        <v>435</v>
      </c>
    </row>
    <row r="19" spans="1:5" ht="24.95" customHeight="1" x14ac:dyDescent="0.2">
      <c r="A19" s="42" t="s">
        <v>12</v>
      </c>
      <c r="B19" s="335">
        <v>30</v>
      </c>
      <c r="C19" s="336">
        <v>6.26</v>
      </c>
      <c r="D19" s="326">
        <v>187.8</v>
      </c>
      <c r="E19" s="652"/>
    </row>
    <row r="20" spans="1:5" ht="24.95" customHeight="1" x14ac:dyDescent="0.2">
      <c r="A20" s="299" t="s">
        <v>74</v>
      </c>
      <c r="B20" s="325">
        <v>180</v>
      </c>
      <c r="C20" s="43">
        <v>3.65</v>
      </c>
      <c r="D20" s="326">
        <v>657</v>
      </c>
      <c r="E20" s="648" t="s">
        <v>367</v>
      </c>
    </row>
    <row r="21" spans="1:5" ht="24.95" customHeight="1" x14ac:dyDescent="0.2">
      <c r="A21" s="299" t="s">
        <v>558</v>
      </c>
      <c r="B21" s="325">
        <v>180</v>
      </c>
      <c r="C21" s="43">
        <v>7.59</v>
      </c>
      <c r="D21" s="326">
        <v>1366.2</v>
      </c>
      <c r="E21" s="648"/>
    </row>
    <row r="22" spans="1:5" ht="28.5" customHeight="1" x14ac:dyDescent="0.2">
      <c r="A22" s="299" t="s">
        <v>13</v>
      </c>
      <c r="B22" s="335" t="s">
        <v>436</v>
      </c>
      <c r="C22" s="336" t="s">
        <v>559</v>
      </c>
      <c r="D22" s="326" t="s">
        <v>560</v>
      </c>
      <c r="E22" s="652" t="s">
        <v>561</v>
      </c>
    </row>
    <row r="23" spans="1:5" ht="28.5" customHeight="1" x14ac:dyDescent="0.2">
      <c r="A23" s="299" t="s">
        <v>562</v>
      </c>
      <c r="B23" s="335" t="s">
        <v>436</v>
      </c>
      <c r="C23" s="336" t="s">
        <v>563</v>
      </c>
      <c r="D23" s="326" t="s">
        <v>564</v>
      </c>
      <c r="E23" s="652"/>
    </row>
    <row r="24" spans="1:5" ht="30.2" customHeight="1" x14ac:dyDescent="0.2">
      <c r="A24" s="299" t="s">
        <v>75</v>
      </c>
      <c r="B24" s="337" t="s">
        <v>76</v>
      </c>
      <c r="C24" s="43">
        <v>13.29</v>
      </c>
      <c r="D24" s="326" t="s">
        <v>565</v>
      </c>
      <c r="E24" s="298" t="s">
        <v>566</v>
      </c>
    </row>
    <row r="25" spans="1:5" ht="24.95" customHeight="1" x14ac:dyDescent="0.2">
      <c r="A25" s="299" t="s">
        <v>14</v>
      </c>
      <c r="B25" s="335">
        <v>30</v>
      </c>
      <c r="C25" s="336" t="s">
        <v>567</v>
      </c>
      <c r="D25" s="326" t="s">
        <v>568</v>
      </c>
      <c r="E25" s="298" t="s">
        <v>368</v>
      </c>
    </row>
    <row r="26" spans="1:5" ht="24.95" customHeight="1" x14ac:dyDescent="0.2">
      <c r="A26" s="331" t="s">
        <v>15</v>
      </c>
      <c r="B26" s="332" t="s">
        <v>77</v>
      </c>
      <c r="C26" s="333" t="s">
        <v>569</v>
      </c>
      <c r="D26" s="326" t="s">
        <v>570</v>
      </c>
      <c r="E26" s="293" t="s">
        <v>571</v>
      </c>
    </row>
    <row r="27" spans="1:5" ht="24.95" customHeight="1" x14ac:dyDescent="0.2">
      <c r="A27" s="299" t="s">
        <v>572</v>
      </c>
      <c r="B27" s="325" t="s">
        <v>91</v>
      </c>
      <c r="C27" s="43">
        <v>10.18</v>
      </c>
      <c r="D27" s="326" t="s">
        <v>573</v>
      </c>
      <c r="E27" s="648" t="s">
        <v>574</v>
      </c>
    </row>
    <row r="28" spans="1:5" ht="24.95" customHeight="1" x14ac:dyDescent="0.2">
      <c r="A28" s="299" t="s">
        <v>575</v>
      </c>
      <c r="B28" s="325" t="s">
        <v>91</v>
      </c>
      <c r="C28" s="43">
        <v>12.18</v>
      </c>
      <c r="D28" s="326" t="s">
        <v>576</v>
      </c>
      <c r="E28" s="648"/>
    </row>
    <row r="29" spans="1:5" ht="24.95" customHeight="1" x14ac:dyDescent="0.2">
      <c r="A29" s="299" t="s">
        <v>78</v>
      </c>
      <c r="B29" s="338">
        <v>2</v>
      </c>
      <c r="C29" s="43">
        <v>9.98</v>
      </c>
      <c r="D29" s="326">
        <v>39.9</v>
      </c>
      <c r="E29" s="238" t="s">
        <v>577</v>
      </c>
    </row>
    <row r="30" spans="1:5" ht="24.95" customHeight="1" x14ac:dyDescent="0.2">
      <c r="A30" s="299" t="s">
        <v>79</v>
      </c>
      <c r="B30" s="337">
        <v>15</v>
      </c>
      <c r="C30" s="43">
        <v>4.03</v>
      </c>
      <c r="D30" s="326">
        <v>60.5</v>
      </c>
      <c r="E30" s="648" t="s">
        <v>578</v>
      </c>
    </row>
    <row r="31" spans="1:5" ht="24.95" customHeight="1" x14ac:dyDescent="0.2">
      <c r="A31" s="299" t="s">
        <v>579</v>
      </c>
      <c r="B31" s="325">
        <v>15</v>
      </c>
      <c r="C31" s="43">
        <v>4.25</v>
      </c>
      <c r="D31" s="326">
        <v>63.8</v>
      </c>
      <c r="E31" s="648"/>
    </row>
    <row r="32" spans="1:5" ht="24.95" customHeight="1" x14ac:dyDescent="0.2">
      <c r="A32" s="299" t="s">
        <v>80</v>
      </c>
      <c r="B32" s="335">
        <v>20</v>
      </c>
      <c r="C32" s="336" t="s">
        <v>580</v>
      </c>
      <c r="D32" s="326" t="s">
        <v>581</v>
      </c>
      <c r="E32" s="652" t="s">
        <v>582</v>
      </c>
    </row>
    <row r="33" spans="1:5" ht="24.95" customHeight="1" x14ac:dyDescent="0.2">
      <c r="A33" s="299" t="s">
        <v>583</v>
      </c>
      <c r="B33" s="335">
        <v>20</v>
      </c>
      <c r="C33" s="43">
        <v>21.3</v>
      </c>
      <c r="D33" s="326">
        <v>426</v>
      </c>
      <c r="E33" s="652"/>
    </row>
    <row r="34" spans="1:5" ht="24.95" customHeight="1" x14ac:dyDescent="0.2">
      <c r="A34" s="299" t="s">
        <v>16</v>
      </c>
      <c r="B34" s="335">
        <v>30</v>
      </c>
      <c r="C34" s="336" t="s">
        <v>584</v>
      </c>
      <c r="D34" s="326" t="s">
        <v>585</v>
      </c>
      <c r="E34" s="652" t="s">
        <v>438</v>
      </c>
    </row>
    <row r="35" spans="1:5" ht="24.95" customHeight="1" x14ac:dyDescent="0.2">
      <c r="A35" s="299" t="s">
        <v>17</v>
      </c>
      <c r="B35" s="335">
        <v>30</v>
      </c>
      <c r="C35" s="336" t="s">
        <v>586</v>
      </c>
      <c r="D35" s="326" t="s">
        <v>587</v>
      </c>
      <c r="E35" s="652"/>
    </row>
    <row r="36" spans="1:5" ht="24.95" customHeight="1" x14ac:dyDescent="0.2">
      <c r="A36" s="299" t="s">
        <v>588</v>
      </c>
      <c r="B36" s="335">
        <v>40</v>
      </c>
      <c r="C36" s="336" t="s">
        <v>589</v>
      </c>
      <c r="D36" s="326" t="s">
        <v>590</v>
      </c>
      <c r="E36" s="652" t="s">
        <v>369</v>
      </c>
    </row>
    <row r="37" spans="1:5" ht="24.95" customHeight="1" x14ac:dyDescent="0.2">
      <c r="A37" s="299" t="s">
        <v>440</v>
      </c>
      <c r="B37" s="335">
        <v>40</v>
      </c>
      <c r="C37" s="336">
        <v>3.31</v>
      </c>
      <c r="D37" s="326">
        <v>132.4</v>
      </c>
      <c r="E37" s="652"/>
    </row>
    <row r="38" spans="1:5" ht="24.95" customHeight="1" x14ac:dyDescent="0.2">
      <c r="A38" s="299" t="s">
        <v>591</v>
      </c>
      <c r="B38" s="338">
        <v>10</v>
      </c>
      <c r="C38" s="43">
        <v>4.92</v>
      </c>
      <c r="D38" s="326">
        <v>49.2</v>
      </c>
      <c r="E38" s="648" t="s">
        <v>442</v>
      </c>
    </row>
    <row r="39" spans="1:5" ht="24.95" customHeight="1" x14ac:dyDescent="0.2">
      <c r="A39" s="299" t="s">
        <v>592</v>
      </c>
      <c r="B39" s="338">
        <v>10</v>
      </c>
      <c r="C39" s="43">
        <v>11.5</v>
      </c>
      <c r="D39" s="326">
        <v>115</v>
      </c>
      <c r="E39" s="648"/>
    </row>
    <row r="40" spans="1:5" ht="24.95" customHeight="1" x14ac:dyDescent="0.2">
      <c r="A40" s="299" t="s">
        <v>82</v>
      </c>
      <c r="B40" s="337" t="s">
        <v>145</v>
      </c>
      <c r="C40" s="43">
        <v>20.05</v>
      </c>
      <c r="D40" s="326" t="s">
        <v>593</v>
      </c>
      <c r="E40" s="238" t="s">
        <v>594</v>
      </c>
    </row>
    <row r="41" spans="1:5" ht="24.95" customHeight="1" x14ac:dyDescent="0.2">
      <c r="A41" s="299" t="s">
        <v>19</v>
      </c>
      <c r="B41" s="337" t="s">
        <v>443</v>
      </c>
      <c r="C41" s="336" t="s">
        <v>595</v>
      </c>
      <c r="D41" s="326" t="s">
        <v>596</v>
      </c>
      <c r="E41" s="652" t="s">
        <v>597</v>
      </c>
    </row>
    <row r="42" spans="1:5" ht="24.95" customHeight="1" x14ac:dyDescent="0.2">
      <c r="A42" s="299" t="s">
        <v>20</v>
      </c>
      <c r="B42" s="337" t="s">
        <v>443</v>
      </c>
      <c r="C42" s="336" t="s">
        <v>598</v>
      </c>
      <c r="D42" s="326" t="s">
        <v>599</v>
      </c>
      <c r="E42" s="652"/>
    </row>
    <row r="43" spans="1:5" ht="24.95" customHeight="1" x14ac:dyDescent="0.2">
      <c r="A43" s="299" t="s">
        <v>600</v>
      </c>
      <c r="B43" s="337" t="s">
        <v>601</v>
      </c>
      <c r="C43" s="43" t="s">
        <v>602</v>
      </c>
      <c r="D43" s="326" t="s">
        <v>603</v>
      </c>
      <c r="E43" s="648" t="s">
        <v>604</v>
      </c>
    </row>
    <row r="44" spans="1:5" ht="24.95" customHeight="1" x14ac:dyDescent="0.2">
      <c r="A44" s="299" t="s">
        <v>605</v>
      </c>
      <c r="B44" s="337" t="s">
        <v>601</v>
      </c>
      <c r="C44" s="43">
        <v>5.31</v>
      </c>
      <c r="D44" s="326" t="s">
        <v>606</v>
      </c>
      <c r="E44" s="648"/>
    </row>
    <row r="45" spans="1:5" ht="28.5" customHeight="1" x14ac:dyDescent="0.2">
      <c r="A45" s="299" t="s">
        <v>21</v>
      </c>
      <c r="B45" s="338">
        <v>25</v>
      </c>
      <c r="C45" s="336" t="s">
        <v>607</v>
      </c>
      <c r="D45" s="326" t="s">
        <v>608</v>
      </c>
      <c r="E45" s="652" t="s">
        <v>609</v>
      </c>
    </row>
    <row r="46" spans="1:5" ht="28.5" customHeight="1" x14ac:dyDescent="0.2">
      <c r="A46" s="299" t="s">
        <v>22</v>
      </c>
      <c r="B46" s="338">
        <v>25</v>
      </c>
      <c r="C46" s="336" t="s">
        <v>610</v>
      </c>
      <c r="D46" s="326" t="s">
        <v>611</v>
      </c>
      <c r="E46" s="652"/>
    </row>
    <row r="47" spans="1:5" ht="24.95" customHeight="1" x14ac:dyDescent="0.2">
      <c r="A47" s="299" t="s">
        <v>23</v>
      </c>
      <c r="B47" s="337" t="s">
        <v>370</v>
      </c>
      <c r="C47" s="336" t="s">
        <v>612</v>
      </c>
      <c r="D47" s="326" t="s">
        <v>613</v>
      </c>
      <c r="E47" s="652" t="s">
        <v>107</v>
      </c>
    </row>
    <row r="48" spans="1:5" ht="24.95" customHeight="1" x14ac:dyDescent="0.2">
      <c r="A48" s="299" t="s">
        <v>337</v>
      </c>
      <c r="B48" s="337" t="s">
        <v>370</v>
      </c>
      <c r="C48" s="336">
        <v>9.15</v>
      </c>
      <c r="D48" s="326" t="s">
        <v>614</v>
      </c>
      <c r="E48" s="652"/>
    </row>
    <row r="49" spans="1:5" ht="42.75" customHeight="1" x14ac:dyDescent="0.2">
      <c r="A49" s="299" t="s">
        <v>335</v>
      </c>
      <c r="B49" s="337" t="s">
        <v>444</v>
      </c>
      <c r="C49" s="336" t="s">
        <v>615</v>
      </c>
      <c r="D49" s="326" t="s">
        <v>616</v>
      </c>
      <c r="E49" s="298" t="s">
        <v>617</v>
      </c>
    </row>
    <row r="50" spans="1:5" ht="24.95" customHeight="1" x14ac:dyDescent="0.2">
      <c r="A50" s="42" t="s">
        <v>24</v>
      </c>
      <c r="B50" s="338">
        <v>20</v>
      </c>
      <c r="C50" s="336" t="s">
        <v>618</v>
      </c>
      <c r="D50" s="326" t="s">
        <v>619</v>
      </c>
      <c r="E50" s="652" t="s">
        <v>371</v>
      </c>
    </row>
    <row r="51" spans="1:5" ht="24.95" customHeight="1" x14ac:dyDescent="0.2">
      <c r="A51" s="42" t="s">
        <v>338</v>
      </c>
      <c r="B51" s="338">
        <v>20</v>
      </c>
      <c r="C51" s="336" t="s">
        <v>620</v>
      </c>
      <c r="D51" s="326" t="s">
        <v>621</v>
      </c>
      <c r="E51" s="652"/>
    </row>
    <row r="52" spans="1:5" ht="30.75" customHeight="1" x14ac:dyDescent="0.2">
      <c r="A52" s="42" t="s">
        <v>108</v>
      </c>
      <c r="B52" s="337" t="s">
        <v>83</v>
      </c>
      <c r="C52" s="336" t="s">
        <v>622</v>
      </c>
      <c r="D52" s="326" t="s">
        <v>623</v>
      </c>
      <c r="E52" s="298" t="s">
        <v>624</v>
      </c>
    </row>
    <row r="53" spans="1:5" ht="24.95" customHeight="1" x14ac:dyDescent="0.2">
      <c r="A53" s="42" t="s">
        <v>625</v>
      </c>
      <c r="B53" s="338">
        <v>20</v>
      </c>
      <c r="C53" s="336" t="s">
        <v>626</v>
      </c>
      <c r="D53" s="326" t="s">
        <v>627</v>
      </c>
      <c r="E53" s="652" t="s">
        <v>372</v>
      </c>
    </row>
    <row r="54" spans="1:5" ht="24.95" customHeight="1" x14ac:dyDescent="0.2">
      <c r="A54" s="42" t="s">
        <v>628</v>
      </c>
      <c r="B54" s="338">
        <v>20</v>
      </c>
      <c r="C54" s="336">
        <v>7.48</v>
      </c>
      <c r="D54" s="326">
        <v>149.6</v>
      </c>
      <c r="E54" s="652"/>
    </row>
    <row r="55" spans="1:5" ht="24.95" customHeight="1" x14ac:dyDescent="0.2">
      <c r="A55" s="299" t="s">
        <v>26</v>
      </c>
      <c r="B55" s="337" t="s">
        <v>629</v>
      </c>
      <c r="C55" s="336" t="s">
        <v>630</v>
      </c>
      <c r="D55" s="326" t="s">
        <v>631</v>
      </c>
      <c r="E55" s="649" t="s">
        <v>109</v>
      </c>
    </row>
    <row r="56" spans="1:5" ht="24.95" customHeight="1" x14ac:dyDescent="0.2">
      <c r="A56" s="299" t="s">
        <v>27</v>
      </c>
      <c r="B56" s="337" t="s">
        <v>629</v>
      </c>
      <c r="C56" s="336" t="s">
        <v>632</v>
      </c>
      <c r="D56" s="326" t="s">
        <v>633</v>
      </c>
      <c r="E56" s="649"/>
    </row>
    <row r="57" spans="1:5" ht="24.95" customHeight="1" x14ac:dyDescent="0.2">
      <c r="A57" s="299" t="s">
        <v>28</v>
      </c>
      <c r="B57" s="328" t="s">
        <v>436</v>
      </c>
      <c r="C57" s="47">
        <f>2*1.1</f>
        <v>2.2000000000000002</v>
      </c>
      <c r="D57" s="326" t="s">
        <v>445</v>
      </c>
      <c r="E57" s="650" t="s">
        <v>634</v>
      </c>
    </row>
    <row r="58" spans="1:5" ht="24.95" customHeight="1" x14ac:dyDescent="0.2">
      <c r="A58" s="299" t="s">
        <v>29</v>
      </c>
      <c r="B58" s="328" t="s">
        <v>436</v>
      </c>
      <c r="C58" s="47">
        <f>3*1.1</f>
        <v>3.3000000000000003</v>
      </c>
      <c r="D58" s="326" t="s">
        <v>446</v>
      </c>
      <c r="E58" s="650"/>
    </row>
    <row r="59" spans="1:5" ht="28.5" customHeight="1" x14ac:dyDescent="0.2">
      <c r="A59" s="299" t="s">
        <v>242</v>
      </c>
      <c r="B59" s="337" t="s">
        <v>81</v>
      </c>
      <c r="C59" s="336" t="s">
        <v>635</v>
      </c>
      <c r="D59" s="326" t="s">
        <v>636</v>
      </c>
      <c r="E59" s="102" t="s">
        <v>373</v>
      </c>
    </row>
    <row r="60" spans="1:5" ht="24.95" customHeight="1" x14ac:dyDescent="0.2">
      <c r="A60" s="299" t="s">
        <v>31</v>
      </c>
      <c r="B60" s="337" t="s">
        <v>83</v>
      </c>
      <c r="C60" s="336" t="s">
        <v>637</v>
      </c>
      <c r="D60" s="326" t="s">
        <v>638</v>
      </c>
      <c r="E60" s="652" t="s">
        <v>639</v>
      </c>
    </row>
    <row r="61" spans="1:5" ht="24.95" customHeight="1" x14ac:dyDescent="0.2">
      <c r="A61" s="299" t="s">
        <v>32</v>
      </c>
      <c r="B61" s="337" t="s">
        <v>83</v>
      </c>
      <c r="C61" s="336" t="s">
        <v>640</v>
      </c>
      <c r="D61" s="326" t="s">
        <v>641</v>
      </c>
      <c r="E61" s="652"/>
    </row>
    <row r="62" spans="1:5" ht="24.95" customHeight="1" x14ac:dyDescent="0.2">
      <c r="A62" s="299" t="s">
        <v>84</v>
      </c>
      <c r="B62" s="337" t="s">
        <v>642</v>
      </c>
      <c r="C62" s="43">
        <v>2.13</v>
      </c>
      <c r="D62" s="326" t="s">
        <v>643</v>
      </c>
      <c r="E62" s="648" t="s">
        <v>644</v>
      </c>
    </row>
    <row r="63" spans="1:5" ht="24.95" customHeight="1" x14ac:dyDescent="0.2">
      <c r="A63" s="299" t="s">
        <v>85</v>
      </c>
      <c r="B63" s="337" t="s">
        <v>642</v>
      </c>
      <c r="C63" s="43">
        <v>2.2000000000000002</v>
      </c>
      <c r="D63" s="326" t="s">
        <v>645</v>
      </c>
      <c r="E63" s="648"/>
    </row>
    <row r="64" spans="1:5" ht="28.5" customHeight="1" x14ac:dyDescent="0.2">
      <c r="A64" s="299" t="s">
        <v>887</v>
      </c>
      <c r="B64" s="337" t="s">
        <v>86</v>
      </c>
      <c r="C64" s="43">
        <f>(2.55+2.77)/2</f>
        <v>2.66</v>
      </c>
      <c r="D64" s="326" t="s">
        <v>646</v>
      </c>
      <c r="E64" s="648" t="s">
        <v>889</v>
      </c>
    </row>
    <row r="65" spans="1:5" ht="28.5" customHeight="1" x14ac:dyDescent="0.2">
      <c r="A65" s="299" t="s">
        <v>888</v>
      </c>
      <c r="B65" s="337" t="s">
        <v>86</v>
      </c>
      <c r="C65" s="43">
        <f>(3.28+3.05)/2</f>
        <v>3.165</v>
      </c>
      <c r="D65" s="326" t="s">
        <v>448</v>
      </c>
      <c r="E65" s="648"/>
    </row>
    <row r="66" spans="1:5" ht="30" customHeight="1" x14ac:dyDescent="0.2">
      <c r="A66" s="299" t="s">
        <v>110</v>
      </c>
      <c r="B66" s="338">
        <v>30</v>
      </c>
      <c r="C66" s="43" t="s">
        <v>647</v>
      </c>
      <c r="D66" s="326" t="s">
        <v>648</v>
      </c>
      <c r="E66" s="102" t="s">
        <v>649</v>
      </c>
    </row>
    <row r="67" spans="1:5" ht="71.25" customHeight="1" x14ac:dyDescent="0.2">
      <c r="A67" s="299" t="s">
        <v>650</v>
      </c>
      <c r="B67" s="337" t="s">
        <v>651</v>
      </c>
      <c r="C67" s="43">
        <v>2.52</v>
      </c>
      <c r="D67" s="326" t="s">
        <v>652</v>
      </c>
      <c r="E67" s="339" t="s">
        <v>653</v>
      </c>
    </row>
    <row r="68" spans="1:5" ht="24.95" customHeight="1" x14ac:dyDescent="0.2">
      <c r="A68" s="299" t="s">
        <v>34</v>
      </c>
      <c r="B68" s="338">
        <v>20</v>
      </c>
      <c r="C68" s="336" t="s">
        <v>654</v>
      </c>
      <c r="D68" s="326" t="s">
        <v>655</v>
      </c>
      <c r="E68" s="102" t="s">
        <v>375</v>
      </c>
    </row>
    <row r="69" spans="1:5" ht="28.5" customHeight="1" x14ac:dyDescent="0.2">
      <c r="A69" s="299" t="s">
        <v>33</v>
      </c>
      <c r="B69" s="338">
        <v>10</v>
      </c>
      <c r="C69" s="43">
        <v>5.89</v>
      </c>
      <c r="D69" s="326">
        <v>58.9</v>
      </c>
      <c r="E69" s="339" t="s">
        <v>656</v>
      </c>
    </row>
    <row r="70" spans="1:5" ht="28.5" customHeight="1" x14ac:dyDescent="0.2">
      <c r="A70" s="73"/>
      <c r="B70" s="340"/>
      <c r="C70" s="341"/>
      <c r="D70" s="342"/>
      <c r="E70" s="118"/>
    </row>
    <row r="71" spans="1:5" ht="28.5" customHeight="1" x14ac:dyDescent="0.2">
      <c r="A71" s="42" t="s">
        <v>35</v>
      </c>
      <c r="B71" s="328" t="s">
        <v>87</v>
      </c>
      <c r="C71" s="336" t="s">
        <v>657</v>
      </c>
      <c r="D71" s="326" t="s">
        <v>658</v>
      </c>
      <c r="E71" s="649" t="s">
        <v>659</v>
      </c>
    </row>
    <row r="72" spans="1:5" ht="28.5" customHeight="1" x14ac:dyDescent="0.2">
      <c r="A72" s="42" t="s">
        <v>36</v>
      </c>
      <c r="B72" s="328" t="s">
        <v>87</v>
      </c>
      <c r="C72" s="43" t="s">
        <v>660</v>
      </c>
      <c r="D72" s="326" t="s">
        <v>661</v>
      </c>
      <c r="E72" s="649"/>
    </row>
    <row r="73" spans="1:5" ht="28.5" customHeight="1" x14ac:dyDescent="0.2">
      <c r="A73" s="42" t="s">
        <v>447</v>
      </c>
      <c r="B73" s="343">
        <v>20</v>
      </c>
      <c r="C73" s="336" t="s">
        <v>662</v>
      </c>
      <c r="D73" s="326" t="s">
        <v>663</v>
      </c>
      <c r="E73" s="102" t="s">
        <v>664</v>
      </c>
    </row>
    <row r="74" spans="1:5" ht="42.75" x14ac:dyDescent="0.2">
      <c r="A74" s="42" t="s">
        <v>37</v>
      </c>
      <c r="B74" s="337" t="s">
        <v>87</v>
      </c>
      <c r="C74" s="43" t="s">
        <v>665</v>
      </c>
      <c r="D74" s="326" t="s">
        <v>666</v>
      </c>
      <c r="E74" s="238" t="s">
        <v>667</v>
      </c>
    </row>
    <row r="75" spans="1:5" ht="24.95" customHeight="1" x14ac:dyDescent="0.2">
      <c r="A75" s="299" t="s">
        <v>449</v>
      </c>
      <c r="B75" s="338">
        <v>20</v>
      </c>
      <c r="C75" s="43">
        <v>21.87</v>
      </c>
      <c r="D75" s="326">
        <v>437.4</v>
      </c>
      <c r="E75" s="238" t="s">
        <v>668</v>
      </c>
    </row>
    <row r="76" spans="1:5" ht="27.95" customHeight="1" x14ac:dyDescent="0.2">
      <c r="A76" s="42" t="s">
        <v>669</v>
      </c>
      <c r="B76" s="337" t="s">
        <v>83</v>
      </c>
      <c r="C76" s="43" t="s">
        <v>670</v>
      </c>
      <c r="D76" s="326" t="s">
        <v>671</v>
      </c>
      <c r="E76" s="650" t="s">
        <v>672</v>
      </c>
    </row>
    <row r="77" spans="1:5" ht="27.95" customHeight="1" x14ac:dyDescent="0.2">
      <c r="A77" s="42" t="s">
        <v>673</v>
      </c>
      <c r="B77" s="338">
        <v>20</v>
      </c>
      <c r="C77" s="336">
        <v>5.36</v>
      </c>
      <c r="D77" s="326">
        <v>107.2</v>
      </c>
      <c r="E77" s="650"/>
    </row>
    <row r="78" spans="1:5" ht="27.95" customHeight="1" x14ac:dyDescent="0.2">
      <c r="A78" s="299" t="s">
        <v>39</v>
      </c>
      <c r="B78" s="328" t="s">
        <v>89</v>
      </c>
      <c r="C78" s="329" t="s">
        <v>674</v>
      </c>
      <c r="D78" s="326" t="s">
        <v>675</v>
      </c>
      <c r="E78" s="650" t="s">
        <v>676</v>
      </c>
    </row>
    <row r="79" spans="1:5" ht="27.95" customHeight="1" x14ac:dyDescent="0.2">
      <c r="A79" s="299" t="s">
        <v>111</v>
      </c>
      <c r="B79" s="328" t="s">
        <v>89</v>
      </c>
      <c r="C79" s="47">
        <v>3.77</v>
      </c>
      <c r="D79" s="326" t="s">
        <v>677</v>
      </c>
      <c r="E79" s="650"/>
    </row>
    <row r="80" spans="1:5" ht="24.95" customHeight="1" x14ac:dyDescent="0.2">
      <c r="A80" s="299" t="s">
        <v>450</v>
      </c>
      <c r="B80" s="337" t="s">
        <v>678</v>
      </c>
      <c r="C80" s="43">
        <v>1.97</v>
      </c>
      <c r="D80" s="326" t="s">
        <v>679</v>
      </c>
      <c r="E80" s="651" t="s">
        <v>680</v>
      </c>
    </row>
    <row r="81" spans="1:5" ht="24.95" customHeight="1" x14ac:dyDescent="0.2">
      <c r="A81" s="299" t="s">
        <v>451</v>
      </c>
      <c r="B81" s="337" t="s">
        <v>678</v>
      </c>
      <c r="C81" s="43">
        <v>2.66</v>
      </c>
      <c r="D81" s="326" t="s">
        <v>681</v>
      </c>
      <c r="E81" s="651"/>
    </row>
    <row r="82" spans="1:5" ht="24.95" customHeight="1" x14ac:dyDescent="0.2">
      <c r="A82" s="42" t="s">
        <v>40</v>
      </c>
      <c r="B82" s="338">
        <v>12</v>
      </c>
      <c r="C82" s="336" t="s">
        <v>682</v>
      </c>
      <c r="D82" s="326" t="s">
        <v>683</v>
      </c>
      <c r="E82" s="652" t="s">
        <v>684</v>
      </c>
    </row>
    <row r="83" spans="1:5" ht="24.95" customHeight="1" x14ac:dyDescent="0.2">
      <c r="A83" s="42" t="s">
        <v>685</v>
      </c>
      <c r="B83" s="338">
        <v>12</v>
      </c>
      <c r="C83" s="336">
        <v>15.44</v>
      </c>
      <c r="D83" s="326">
        <v>185.3</v>
      </c>
      <c r="E83" s="652"/>
    </row>
    <row r="84" spans="1:5" ht="24.95" customHeight="1" x14ac:dyDescent="0.2">
      <c r="A84" s="299" t="s">
        <v>452</v>
      </c>
      <c r="B84" s="328" t="s">
        <v>453</v>
      </c>
      <c r="C84" s="47">
        <f>2.1*1.13</f>
        <v>2.3729999999999998</v>
      </c>
      <c r="D84" s="326" t="s">
        <v>686</v>
      </c>
      <c r="E84" s="650" t="s">
        <v>687</v>
      </c>
    </row>
    <row r="85" spans="1:5" ht="24.95" customHeight="1" x14ac:dyDescent="0.2">
      <c r="A85" s="299" t="s">
        <v>454</v>
      </c>
      <c r="B85" s="328" t="s">
        <v>453</v>
      </c>
      <c r="C85" s="47">
        <f>2.25*1.1</f>
        <v>2.4750000000000001</v>
      </c>
      <c r="D85" s="326" t="s">
        <v>688</v>
      </c>
      <c r="E85" s="650"/>
    </row>
    <row r="86" spans="1:5" ht="30.75" customHeight="1" x14ac:dyDescent="0.2">
      <c r="A86" s="334" t="s">
        <v>42</v>
      </c>
      <c r="B86" s="337" t="s">
        <v>81</v>
      </c>
      <c r="C86" s="336" t="s">
        <v>689</v>
      </c>
      <c r="D86" s="326" t="s">
        <v>690</v>
      </c>
      <c r="E86" s="298" t="s">
        <v>691</v>
      </c>
    </row>
    <row r="87" spans="1:5" ht="24.95" customHeight="1" x14ac:dyDescent="0.2">
      <c r="A87" s="344" t="s">
        <v>455</v>
      </c>
      <c r="B87" s="337" t="s">
        <v>81</v>
      </c>
      <c r="C87" s="336" t="s">
        <v>692</v>
      </c>
      <c r="D87" s="326" t="s">
        <v>693</v>
      </c>
      <c r="E87" s="102" t="s">
        <v>694</v>
      </c>
    </row>
    <row r="88" spans="1:5" ht="24.95" customHeight="1" x14ac:dyDescent="0.2">
      <c r="A88" s="299" t="s">
        <v>43</v>
      </c>
      <c r="B88" s="337" t="s">
        <v>695</v>
      </c>
      <c r="C88" s="336" t="s">
        <v>696</v>
      </c>
      <c r="D88" s="326" t="s">
        <v>697</v>
      </c>
      <c r="E88" s="652" t="s">
        <v>376</v>
      </c>
    </row>
    <row r="89" spans="1:5" ht="24.95" customHeight="1" x14ac:dyDescent="0.2">
      <c r="A89" s="299" t="s">
        <v>44</v>
      </c>
      <c r="B89" s="337" t="s">
        <v>695</v>
      </c>
      <c r="C89" s="336" t="s">
        <v>698</v>
      </c>
      <c r="D89" s="326" t="s">
        <v>699</v>
      </c>
      <c r="E89" s="652"/>
    </row>
    <row r="90" spans="1:5" ht="24.95" customHeight="1" x14ac:dyDescent="0.2">
      <c r="A90" s="299" t="s">
        <v>456</v>
      </c>
      <c r="B90" s="337">
        <v>15</v>
      </c>
      <c r="C90" s="43">
        <v>26.11</v>
      </c>
      <c r="D90" s="326">
        <v>391.7</v>
      </c>
      <c r="E90" s="53" t="s">
        <v>700</v>
      </c>
    </row>
    <row r="91" spans="1:5" ht="24.95" customHeight="1" x14ac:dyDescent="0.2">
      <c r="A91" s="299" t="s">
        <v>457</v>
      </c>
      <c r="B91" s="343">
        <v>15</v>
      </c>
      <c r="C91" s="47">
        <f>5.3*1.1</f>
        <v>5.83</v>
      </c>
      <c r="D91" s="326">
        <v>87.5</v>
      </c>
      <c r="E91" s="239" t="s">
        <v>458</v>
      </c>
    </row>
    <row r="92" spans="1:5" x14ac:dyDescent="0.2">
      <c r="A92" s="642" t="s">
        <v>701</v>
      </c>
      <c r="B92" s="643"/>
      <c r="C92" s="643"/>
      <c r="D92" s="643"/>
      <c r="E92" s="644"/>
    </row>
    <row r="93" spans="1:5" ht="24.95" customHeight="1" x14ac:dyDescent="0.2">
      <c r="A93" s="345"/>
      <c r="B93" s="345"/>
      <c r="C93" s="345"/>
      <c r="D93" s="345"/>
      <c r="E93" s="345"/>
    </row>
    <row r="94" spans="1:5" ht="24.95" customHeight="1" x14ac:dyDescent="0.2">
      <c r="A94" s="45" t="s">
        <v>702</v>
      </c>
      <c r="B94" s="46" t="s">
        <v>66</v>
      </c>
      <c r="C94" s="240" t="s">
        <v>459</v>
      </c>
      <c r="D94" s="241" t="s">
        <v>460</v>
      </c>
      <c r="E94" s="46" t="s">
        <v>461</v>
      </c>
    </row>
    <row r="95" spans="1:5" ht="42.75" x14ac:dyDescent="0.2">
      <c r="A95" s="299" t="s">
        <v>703</v>
      </c>
      <c r="B95" s="343">
        <v>25</v>
      </c>
      <c r="C95" s="346">
        <f>75/B95</f>
        <v>3</v>
      </c>
      <c r="D95" s="347">
        <f>C95*B95</f>
        <v>75</v>
      </c>
      <c r="E95" s="348" t="s">
        <v>704</v>
      </c>
    </row>
    <row r="96" spans="1:5" ht="42.75" x14ac:dyDescent="0.2">
      <c r="A96" s="299" t="s">
        <v>705</v>
      </c>
      <c r="B96" s="343">
        <v>20</v>
      </c>
      <c r="C96" s="346">
        <f>75/B96</f>
        <v>3.75</v>
      </c>
      <c r="D96" s="347">
        <f>C96*B96</f>
        <v>75</v>
      </c>
      <c r="E96" s="348" t="s">
        <v>706</v>
      </c>
    </row>
    <row r="97" spans="1:5" ht="14.25" customHeight="1" x14ac:dyDescent="0.2">
      <c r="A97" s="642" t="s">
        <v>707</v>
      </c>
      <c r="B97" s="643"/>
      <c r="C97" s="643"/>
      <c r="D97" s="643"/>
      <c r="E97" s="644"/>
    </row>
    <row r="98" spans="1:5" ht="24.95" customHeight="1" x14ac:dyDescent="0.2"/>
    <row r="99" spans="1:5" ht="30" customHeight="1" x14ac:dyDescent="0.2">
      <c r="A99" s="45" t="s">
        <v>90</v>
      </c>
      <c r="B99" s="46" t="s">
        <v>66</v>
      </c>
      <c r="C99" s="240" t="s">
        <v>459</v>
      </c>
      <c r="D99" s="241" t="s">
        <v>460</v>
      </c>
      <c r="E99" s="46" t="s">
        <v>461</v>
      </c>
    </row>
    <row r="100" spans="1:5" ht="24.95" customHeight="1" x14ac:dyDescent="0.2">
      <c r="A100" s="299" t="s">
        <v>379</v>
      </c>
      <c r="B100" s="343">
        <v>25</v>
      </c>
      <c r="C100" s="349">
        <v>3.65</v>
      </c>
      <c r="D100" s="350">
        <v>91.3</v>
      </c>
      <c r="E100" s="348" t="s">
        <v>708</v>
      </c>
    </row>
    <row r="101" spans="1:5" ht="28.5" x14ac:dyDescent="0.2">
      <c r="A101" s="299" t="s">
        <v>709</v>
      </c>
      <c r="B101" s="343">
        <v>28</v>
      </c>
      <c r="C101" s="349">
        <v>3.76</v>
      </c>
      <c r="D101" s="350">
        <v>105.3</v>
      </c>
      <c r="E101" s="348" t="s">
        <v>710</v>
      </c>
    </row>
    <row r="102" spans="1:5" ht="28.5" x14ac:dyDescent="0.2">
      <c r="A102" s="299" t="s">
        <v>378</v>
      </c>
      <c r="B102" s="343">
        <v>25</v>
      </c>
      <c r="C102" s="349">
        <v>3.47</v>
      </c>
      <c r="D102" s="350">
        <v>86.8</v>
      </c>
      <c r="E102" s="348" t="s">
        <v>711</v>
      </c>
    </row>
    <row r="103" spans="1:5" ht="42.75" x14ac:dyDescent="0.2">
      <c r="A103" s="299" t="s">
        <v>712</v>
      </c>
      <c r="B103" s="343">
        <v>33</v>
      </c>
      <c r="C103" s="349">
        <v>3.69</v>
      </c>
      <c r="D103" s="350">
        <v>121.8</v>
      </c>
      <c r="E103" s="348" t="s">
        <v>383</v>
      </c>
    </row>
    <row r="104" spans="1:5" ht="28.5" x14ac:dyDescent="0.2">
      <c r="A104" s="299" t="s">
        <v>381</v>
      </c>
      <c r="B104" s="343">
        <v>33</v>
      </c>
      <c r="C104" s="349">
        <v>3.83</v>
      </c>
      <c r="D104" s="350">
        <v>126.4</v>
      </c>
      <c r="E104" s="348" t="s">
        <v>382</v>
      </c>
    </row>
    <row r="105" spans="1:5" ht="24.95" customHeight="1" x14ac:dyDescent="0.2">
      <c r="A105" s="299" t="s">
        <v>713</v>
      </c>
      <c r="B105" s="343">
        <v>43</v>
      </c>
      <c r="C105" s="349">
        <v>3.3</v>
      </c>
      <c r="D105" s="350">
        <v>141.9</v>
      </c>
      <c r="E105" s="348" t="s">
        <v>384</v>
      </c>
    </row>
    <row r="106" spans="1:5" ht="28.5" x14ac:dyDescent="0.2">
      <c r="A106" s="299" t="s">
        <v>714</v>
      </c>
      <c r="B106" s="343">
        <v>45</v>
      </c>
      <c r="C106" s="349">
        <v>3.57</v>
      </c>
      <c r="D106" s="350">
        <v>160.69999999999999</v>
      </c>
      <c r="E106" s="348" t="s">
        <v>715</v>
      </c>
    </row>
    <row r="107" spans="1:5" ht="24.95" customHeight="1" x14ac:dyDescent="0.2">
      <c r="A107" s="299" t="s">
        <v>716</v>
      </c>
      <c r="B107" s="343">
        <v>28</v>
      </c>
      <c r="C107" s="349">
        <v>3.6</v>
      </c>
      <c r="D107" s="350">
        <v>100.8</v>
      </c>
      <c r="E107" s="351" t="s">
        <v>380</v>
      </c>
    </row>
    <row r="108" spans="1:5" ht="24.95" customHeight="1" x14ac:dyDescent="0.2">
      <c r="A108" s="299" t="s">
        <v>717</v>
      </c>
      <c r="B108" s="343">
        <v>55</v>
      </c>
      <c r="C108" s="349">
        <v>3.16</v>
      </c>
      <c r="D108" s="350">
        <v>173.8</v>
      </c>
      <c r="E108" s="351" t="s">
        <v>385</v>
      </c>
    </row>
    <row r="109" spans="1:5" ht="28.5" x14ac:dyDescent="0.2">
      <c r="A109" s="299" t="s">
        <v>718</v>
      </c>
      <c r="B109" s="343">
        <v>23</v>
      </c>
      <c r="C109" s="349">
        <v>3.3</v>
      </c>
      <c r="D109" s="350">
        <v>75.900000000000006</v>
      </c>
      <c r="E109" s="348" t="s">
        <v>719</v>
      </c>
    </row>
    <row r="110" spans="1:5" ht="24.95" customHeight="1" x14ac:dyDescent="0.2">
      <c r="A110" s="299" t="s">
        <v>720</v>
      </c>
      <c r="B110" s="343">
        <v>40</v>
      </c>
      <c r="C110" s="349">
        <v>4.1399999999999997</v>
      </c>
      <c r="D110" s="350">
        <v>165.6</v>
      </c>
      <c r="E110" s="348" t="s">
        <v>721</v>
      </c>
    </row>
    <row r="111" spans="1:5" ht="24.95" customHeight="1" x14ac:dyDescent="0.2">
      <c r="A111" s="299" t="s">
        <v>722</v>
      </c>
      <c r="B111" s="343">
        <v>25</v>
      </c>
      <c r="C111" s="349">
        <v>4.3</v>
      </c>
      <c r="D111" s="350">
        <v>107.5</v>
      </c>
      <c r="E111" s="351" t="s">
        <v>723</v>
      </c>
    </row>
    <row r="112" spans="1:5" ht="24.95" customHeight="1" x14ac:dyDescent="0.2">
      <c r="A112" s="299" t="s">
        <v>724</v>
      </c>
      <c r="B112" s="343">
        <v>35</v>
      </c>
      <c r="C112" s="349">
        <v>4.72</v>
      </c>
      <c r="D112" s="350">
        <v>165.2</v>
      </c>
      <c r="E112" s="351" t="s">
        <v>725</v>
      </c>
    </row>
    <row r="113" spans="1:5" ht="24.95" customHeight="1" x14ac:dyDescent="0.2">
      <c r="A113" s="299" t="s">
        <v>726</v>
      </c>
      <c r="B113" s="343">
        <v>45</v>
      </c>
      <c r="C113" s="349">
        <v>3.93</v>
      </c>
      <c r="D113" s="350">
        <v>176.9</v>
      </c>
      <c r="E113" s="351" t="s">
        <v>727</v>
      </c>
    </row>
    <row r="114" spans="1:5" ht="28.5" x14ac:dyDescent="0.2">
      <c r="A114" s="299" t="s">
        <v>728</v>
      </c>
      <c r="B114" s="343">
        <v>45</v>
      </c>
      <c r="C114" s="349">
        <v>4.08</v>
      </c>
      <c r="D114" s="350">
        <v>183.6</v>
      </c>
      <c r="E114" s="348" t="s">
        <v>729</v>
      </c>
    </row>
    <row r="115" spans="1:5" x14ac:dyDescent="0.2">
      <c r="A115" s="639" t="s">
        <v>707</v>
      </c>
      <c r="B115" s="640"/>
      <c r="C115" s="640"/>
      <c r="D115" s="640"/>
      <c r="E115" s="641"/>
    </row>
    <row r="116" spans="1:5" x14ac:dyDescent="0.2">
      <c r="A116" s="642" t="s">
        <v>730</v>
      </c>
      <c r="B116" s="643"/>
      <c r="C116" s="643"/>
      <c r="D116" s="643"/>
      <c r="E116" s="644"/>
    </row>
    <row r="117" spans="1:5" ht="24.95" customHeight="1" x14ac:dyDescent="0.2"/>
    <row r="118" spans="1:5" ht="30" customHeight="1" x14ac:dyDescent="0.2">
      <c r="A118" s="291" t="s">
        <v>113</v>
      </c>
      <c r="B118" s="51" t="s">
        <v>66</v>
      </c>
      <c r="C118" s="240" t="s">
        <v>459</v>
      </c>
      <c r="D118" s="241" t="s">
        <v>460</v>
      </c>
      <c r="E118" s="46" t="s">
        <v>461</v>
      </c>
    </row>
    <row r="119" spans="1:5" ht="24.95" customHeight="1" x14ac:dyDescent="0.2">
      <c r="A119" s="44" t="s">
        <v>462</v>
      </c>
      <c r="B119" s="292">
        <v>20</v>
      </c>
      <c r="C119" s="43">
        <v>3.32</v>
      </c>
      <c r="D119" s="326">
        <v>66.400000000000006</v>
      </c>
      <c r="E119" s="293" t="s">
        <v>463</v>
      </c>
    </row>
    <row r="120" spans="1:5" ht="24.95" customHeight="1" x14ac:dyDescent="0.2">
      <c r="A120" s="44" t="s">
        <v>386</v>
      </c>
      <c r="B120" s="292">
        <v>20</v>
      </c>
      <c r="C120" s="43">
        <v>3.47</v>
      </c>
      <c r="D120" s="326">
        <v>69.400000000000006</v>
      </c>
      <c r="E120" s="293" t="s">
        <v>464</v>
      </c>
    </row>
    <row r="121" spans="1:5" ht="24.95" customHeight="1" x14ac:dyDescent="0.2">
      <c r="A121" s="44" t="s">
        <v>387</v>
      </c>
      <c r="B121" s="292">
        <v>15</v>
      </c>
      <c r="C121" s="43">
        <v>4.68</v>
      </c>
      <c r="D121" s="326">
        <v>70.2</v>
      </c>
      <c r="E121" s="293" t="s">
        <v>465</v>
      </c>
    </row>
    <row r="122" spans="1:5" ht="30" x14ac:dyDescent="0.2">
      <c r="A122" s="44" t="s">
        <v>731</v>
      </c>
      <c r="B122" s="294" t="s">
        <v>732</v>
      </c>
      <c r="C122" s="43">
        <v>3.17</v>
      </c>
      <c r="D122" s="326">
        <v>50.7</v>
      </c>
      <c r="E122" s="293" t="s">
        <v>466</v>
      </c>
    </row>
    <row r="123" spans="1:5" ht="24.95" customHeight="1" x14ac:dyDescent="0.2">
      <c r="A123" s="44" t="s">
        <v>733</v>
      </c>
      <c r="B123" s="292">
        <v>14</v>
      </c>
      <c r="C123" s="43">
        <v>3.45</v>
      </c>
      <c r="D123" s="326">
        <v>48.3</v>
      </c>
      <c r="E123" s="293" t="s">
        <v>467</v>
      </c>
    </row>
    <row r="124" spans="1:5" ht="24.95" customHeight="1" x14ac:dyDescent="0.2">
      <c r="A124" s="44" t="s">
        <v>734</v>
      </c>
      <c r="B124" s="292">
        <v>9</v>
      </c>
      <c r="C124" s="43">
        <v>4.0999999999999996</v>
      </c>
      <c r="D124" s="326">
        <v>36.9</v>
      </c>
      <c r="E124" s="293" t="s">
        <v>468</v>
      </c>
    </row>
    <row r="125" spans="1:5" ht="24.95" customHeight="1" x14ac:dyDescent="0.2">
      <c r="A125" s="44" t="s">
        <v>735</v>
      </c>
      <c r="B125" s="292">
        <v>16</v>
      </c>
      <c r="C125" s="43">
        <v>3.07</v>
      </c>
      <c r="D125" s="326">
        <v>49.1</v>
      </c>
      <c r="E125" s="293" t="s">
        <v>469</v>
      </c>
    </row>
    <row r="126" spans="1:5" ht="24.95" customHeight="1" x14ac:dyDescent="0.2">
      <c r="A126" s="44" t="s">
        <v>736</v>
      </c>
      <c r="B126" s="294" t="s">
        <v>737</v>
      </c>
      <c r="C126" s="43">
        <v>3.96</v>
      </c>
      <c r="D126" s="326">
        <v>51.5</v>
      </c>
      <c r="E126" s="293" t="s">
        <v>470</v>
      </c>
    </row>
    <row r="127" spans="1:5" ht="24.95" customHeight="1" x14ac:dyDescent="0.2">
      <c r="A127" s="44" t="s">
        <v>471</v>
      </c>
      <c r="B127" s="294" t="s">
        <v>114</v>
      </c>
      <c r="C127" s="43">
        <v>4.1500000000000004</v>
      </c>
      <c r="D127" s="326">
        <v>49.8</v>
      </c>
      <c r="E127" s="293" t="s">
        <v>738</v>
      </c>
    </row>
    <row r="128" spans="1:5" ht="24.95" customHeight="1" x14ac:dyDescent="0.2">
      <c r="A128" s="44" t="s">
        <v>472</v>
      </c>
      <c r="B128" s="294" t="s">
        <v>732</v>
      </c>
      <c r="C128" s="43">
        <v>3.16</v>
      </c>
      <c r="D128" s="326">
        <v>50.6</v>
      </c>
      <c r="E128" s="293" t="s">
        <v>739</v>
      </c>
    </row>
    <row r="129" spans="1:5" ht="24.95" customHeight="1" x14ac:dyDescent="0.2">
      <c r="A129" s="44" t="s">
        <v>473</v>
      </c>
      <c r="B129" s="294" t="s">
        <v>740</v>
      </c>
      <c r="C129" s="43">
        <v>4.0199999999999996</v>
      </c>
      <c r="D129" s="326">
        <v>40.200000000000003</v>
      </c>
      <c r="E129" s="293" t="s">
        <v>741</v>
      </c>
    </row>
    <row r="130" spans="1:5" ht="24.95" customHeight="1" x14ac:dyDescent="0.2">
      <c r="A130" s="44" t="s">
        <v>474</v>
      </c>
      <c r="B130" s="295">
        <v>8</v>
      </c>
      <c r="C130" s="43">
        <v>3.66</v>
      </c>
      <c r="D130" s="326">
        <v>29.3</v>
      </c>
      <c r="E130" s="293" t="s">
        <v>742</v>
      </c>
    </row>
    <row r="131" spans="1:5" ht="28.5" x14ac:dyDescent="0.2">
      <c r="A131" s="44" t="s">
        <v>388</v>
      </c>
      <c r="B131" s="295">
        <v>35</v>
      </c>
      <c r="C131" s="43">
        <v>2.95</v>
      </c>
      <c r="D131" s="326">
        <v>103.3</v>
      </c>
      <c r="E131" s="293" t="s">
        <v>115</v>
      </c>
    </row>
    <row r="132" spans="1:5" ht="42.75" x14ac:dyDescent="0.2">
      <c r="A132" s="44" t="s">
        <v>743</v>
      </c>
      <c r="B132" s="294" t="s">
        <v>56</v>
      </c>
      <c r="C132" s="43">
        <v>7</v>
      </c>
      <c r="D132" s="326">
        <v>210</v>
      </c>
      <c r="E132" s="293" t="s">
        <v>475</v>
      </c>
    </row>
    <row r="133" spans="1:5" ht="42.75" x14ac:dyDescent="0.2">
      <c r="A133" s="44" t="s">
        <v>389</v>
      </c>
      <c r="B133" s="294" t="s">
        <v>744</v>
      </c>
      <c r="C133" s="43">
        <v>4.76</v>
      </c>
      <c r="D133" s="326">
        <v>95.2</v>
      </c>
      <c r="E133" s="293" t="s">
        <v>390</v>
      </c>
    </row>
    <row r="134" spans="1:5" ht="14.25" customHeight="1" x14ac:dyDescent="0.2">
      <c r="A134" s="642" t="s">
        <v>707</v>
      </c>
      <c r="B134" s="643"/>
      <c r="C134" s="643"/>
      <c r="D134" s="643"/>
      <c r="E134" s="644"/>
    </row>
    <row r="135" spans="1:5" ht="14.25" customHeight="1" x14ac:dyDescent="0.2">
      <c r="A135" s="352"/>
      <c r="B135" s="352"/>
      <c r="C135" s="352"/>
      <c r="D135" s="352"/>
      <c r="E135" s="352"/>
    </row>
    <row r="136" spans="1:5" ht="14.25" customHeight="1" x14ac:dyDescent="0.2">
      <c r="A136" s="352"/>
      <c r="B136" s="352"/>
      <c r="C136" s="352"/>
      <c r="D136" s="352"/>
      <c r="E136" s="352"/>
    </row>
    <row r="137" spans="1:5" ht="14.25" customHeight="1" x14ac:dyDescent="0.2">
      <c r="A137" s="352"/>
      <c r="B137" s="352"/>
      <c r="C137" s="352"/>
      <c r="D137" s="352"/>
      <c r="E137" s="352"/>
    </row>
    <row r="138" spans="1:5" ht="14.25" customHeight="1" x14ac:dyDescent="0.2">
      <c r="A138" s="352"/>
      <c r="B138" s="352"/>
      <c r="C138" s="352"/>
      <c r="D138" s="352"/>
      <c r="E138" s="352"/>
    </row>
    <row r="139" spans="1:5" ht="14.25" customHeight="1" x14ac:dyDescent="0.2">
      <c r="A139" s="352"/>
      <c r="B139" s="352"/>
      <c r="C139" s="352"/>
      <c r="D139" s="352"/>
      <c r="E139" s="352"/>
    </row>
    <row r="140" spans="1:5" ht="14.25" customHeight="1" x14ac:dyDescent="0.2">
      <c r="A140" s="352"/>
      <c r="B140" s="352"/>
      <c r="C140" s="352"/>
      <c r="D140" s="352"/>
      <c r="E140" s="352"/>
    </row>
    <row r="141" spans="1:5" ht="14.25" customHeight="1" x14ac:dyDescent="0.2">
      <c r="A141" s="352"/>
      <c r="B141" s="352"/>
      <c r="C141" s="352"/>
      <c r="D141" s="352"/>
      <c r="E141" s="352"/>
    </row>
    <row r="142" spans="1:5" ht="14.25" customHeight="1" x14ac:dyDescent="0.2">
      <c r="A142" s="352"/>
      <c r="B142" s="352"/>
      <c r="C142" s="352"/>
      <c r="D142" s="352"/>
      <c r="E142" s="352"/>
    </row>
    <row r="143" spans="1:5" ht="14.25" customHeight="1" x14ac:dyDescent="0.2">
      <c r="A143" s="352"/>
      <c r="B143" s="352"/>
      <c r="C143" s="352"/>
      <c r="D143" s="352"/>
      <c r="E143" s="352"/>
    </row>
    <row r="144" spans="1:5" ht="14.25" customHeight="1" x14ac:dyDescent="0.2">
      <c r="A144" s="352"/>
      <c r="B144" s="352"/>
      <c r="C144" s="352"/>
      <c r="D144" s="352"/>
      <c r="E144" s="352"/>
    </row>
    <row r="145" spans="1:5" ht="36" x14ac:dyDescent="0.2">
      <c r="A145" s="353" t="s">
        <v>745</v>
      </c>
      <c r="B145" s="45" t="s">
        <v>66</v>
      </c>
      <c r="C145" s="237" t="s">
        <v>476</v>
      </c>
      <c r="D145" s="45" t="s">
        <v>67</v>
      </c>
      <c r="E145" s="45" t="s">
        <v>461</v>
      </c>
    </row>
    <row r="146" spans="1:5" ht="28.5" x14ac:dyDescent="0.2">
      <c r="A146" s="296" t="s">
        <v>477</v>
      </c>
      <c r="B146" s="297">
        <v>15</v>
      </c>
      <c r="C146" s="43">
        <v>4.84</v>
      </c>
      <c r="D146" s="326">
        <v>72.599999999999994</v>
      </c>
      <c r="E146" s="238" t="s">
        <v>746</v>
      </c>
    </row>
    <row r="147" spans="1:5" ht="24.95" customHeight="1" x14ac:dyDescent="0.2">
      <c r="A147" s="296" t="s">
        <v>478</v>
      </c>
      <c r="B147" s="297" t="s">
        <v>51</v>
      </c>
      <c r="C147" s="43">
        <v>4.3499999999999996</v>
      </c>
      <c r="D147" s="326">
        <v>108.74999999999999</v>
      </c>
      <c r="E147" s="238" t="s">
        <v>479</v>
      </c>
    </row>
    <row r="148" spans="1:5" ht="30" x14ac:dyDescent="0.2">
      <c r="A148" s="296" t="s">
        <v>747</v>
      </c>
      <c r="B148" s="297" t="s">
        <v>744</v>
      </c>
      <c r="C148" s="43">
        <v>4.75</v>
      </c>
      <c r="D148" s="326">
        <v>95</v>
      </c>
      <c r="E148" s="238" t="s">
        <v>391</v>
      </c>
    </row>
    <row r="149" spans="1:5" ht="28.5" x14ac:dyDescent="0.2">
      <c r="A149" s="296" t="s">
        <v>480</v>
      </c>
      <c r="B149" s="297">
        <v>25</v>
      </c>
      <c r="C149" s="43">
        <v>3.9</v>
      </c>
      <c r="D149" s="326">
        <v>97.5</v>
      </c>
      <c r="E149" s="238" t="s">
        <v>748</v>
      </c>
    </row>
    <row r="150" spans="1:5" ht="42.75" x14ac:dyDescent="0.2">
      <c r="A150" s="296" t="s">
        <v>46</v>
      </c>
      <c r="B150" s="297">
        <v>25</v>
      </c>
      <c r="C150" s="43">
        <v>4.24</v>
      </c>
      <c r="D150" s="326">
        <v>106</v>
      </c>
      <c r="E150" s="238" t="s">
        <v>749</v>
      </c>
    </row>
    <row r="151" spans="1:5" ht="28.5" x14ac:dyDescent="0.2">
      <c r="A151" s="296" t="s">
        <v>47</v>
      </c>
      <c r="B151" s="297">
        <v>25</v>
      </c>
      <c r="C151" s="43">
        <v>3.4</v>
      </c>
      <c r="D151" s="326">
        <v>85</v>
      </c>
      <c r="E151" s="238" t="s">
        <v>750</v>
      </c>
    </row>
    <row r="152" spans="1:5" ht="28.5" x14ac:dyDescent="0.2">
      <c r="A152" s="296" t="s">
        <v>48</v>
      </c>
      <c r="B152" s="297" t="s">
        <v>744</v>
      </c>
      <c r="C152" s="43">
        <v>3.23</v>
      </c>
      <c r="D152" s="326">
        <v>64.599999999999994</v>
      </c>
      <c r="E152" s="238" t="s">
        <v>751</v>
      </c>
    </row>
    <row r="153" spans="1:5" ht="28.5" x14ac:dyDescent="0.2">
      <c r="A153" s="296" t="s">
        <v>481</v>
      </c>
      <c r="B153" s="297">
        <v>20</v>
      </c>
      <c r="C153" s="43">
        <v>4.54</v>
      </c>
      <c r="D153" s="326">
        <v>90.8</v>
      </c>
      <c r="E153" s="238" t="s">
        <v>482</v>
      </c>
    </row>
    <row r="154" spans="1:5" ht="28.5" x14ac:dyDescent="0.2">
      <c r="A154" s="296" t="s">
        <v>483</v>
      </c>
      <c r="B154" s="297">
        <v>20</v>
      </c>
      <c r="C154" s="43">
        <v>6.32</v>
      </c>
      <c r="D154" s="326">
        <v>126.4</v>
      </c>
      <c r="E154" s="238" t="s">
        <v>482</v>
      </c>
    </row>
    <row r="155" spans="1:5" ht="42.75" x14ac:dyDescent="0.2">
      <c r="A155" s="296" t="s">
        <v>92</v>
      </c>
      <c r="B155" s="297">
        <v>30</v>
      </c>
      <c r="C155" s="43">
        <v>6.68</v>
      </c>
      <c r="D155" s="326">
        <v>200.39999999999998</v>
      </c>
      <c r="E155" s="238" t="s">
        <v>752</v>
      </c>
    </row>
    <row r="156" spans="1:5" ht="42.75" x14ac:dyDescent="0.2">
      <c r="A156" s="296" t="s">
        <v>93</v>
      </c>
      <c r="B156" s="297">
        <v>30</v>
      </c>
      <c r="C156" s="43">
        <v>5.18</v>
      </c>
      <c r="D156" s="326">
        <v>155.39999999999998</v>
      </c>
      <c r="E156" s="238" t="s">
        <v>753</v>
      </c>
    </row>
    <row r="157" spans="1:5" ht="43.5" x14ac:dyDescent="0.2">
      <c r="A157" s="296" t="s">
        <v>484</v>
      </c>
      <c r="B157" s="297">
        <v>30</v>
      </c>
      <c r="C157" s="43">
        <v>7.93</v>
      </c>
      <c r="D157" s="326">
        <v>237.89999999999998</v>
      </c>
      <c r="E157" s="238" t="s">
        <v>754</v>
      </c>
    </row>
    <row r="158" spans="1:5" ht="28.5" x14ac:dyDescent="0.2">
      <c r="A158" s="296" t="s">
        <v>485</v>
      </c>
      <c r="B158" s="297">
        <v>30</v>
      </c>
      <c r="C158" s="43">
        <v>9.7899999999999991</v>
      </c>
      <c r="D158" s="326">
        <v>293.7</v>
      </c>
      <c r="E158" s="238" t="s">
        <v>755</v>
      </c>
    </row>
    <row r="159" spans="1:5" ht="28.5" x14ac:dyDescent="0.2">
      <c r="A159" s="296" t="s">
        <v>49</v>
      </c>
      <c r="B159" s="297">
        <v>100</v>
      </c>
      <c r="C159" s="43">
        <v>2.4300000000000002</v>
      </c>
      <c r="D159" s="326">
        <v>243.00000000000003</v>
      </c>
      <c r="E159" s="238" t="s">
        <v>756</v>
      </c>
    </row>
    <row r="160" spans="1:5" ht="28.5" x14ac:dyDescent="0.2">
      <c r="A160" s="296" t="s">
        <v>486</v>
      </c>
      <c r="B160" s="297">
        <v>100</v>
      </c>
      <c r="C160" s="43">
        <v>2.72</v>
      </c>
      <c r="D160" s="326">
        <v>272</v>
      </c>
      <c r="E160" s="238" t="s">
        <v>757</v>
      </c>
    </row>
    <row r="161" spans="1:5" ht="30" x14ac:dyDescent="0.2">
      <c r="A161" s="296" t="s">
        <v>94</v>
      </c>
      <c r="B161" s="297">
        <v>20</v>
      </c>
      <c r="C161" s="43">
        <v>9.07</v>
      </c>
      <c r="D161" s="326">
        <v>181.4</v>
      </c>
      <c r="E161" s="238" t="s">
        <v>116</v>
      </c>
    </row>
    <row r="162" spans="1:5" ht="42.75" x14ac:dyDescent="0.2">
      <c r="A162" s="296" t="s">
        <v>95</v>
      </c>
      <c r="B162" s="297">
        <v>20</v>
      </c>
      <c r="C162" s="43">
        <v>7.94</v>
      </c>
      <c r="D162" s="326">
        <v>158.80000000000001</v>
      </c>
      <c r="E162" s="238" t="s">
        <v>758</v>
      </c>
    </row>
    <row r="163" spans="1:5" ht="30" x14ac:dyDescent="0.2">
      <c r="A163" s="296" t="s">
        <v>96</v>
      </c>
      <c r="B163" s="297">
        <v>30</v>
      </c>
      <c r="C163" s="43">
        <v>8.73</v>
      </c>
      <c r="D163" s="326">
        <v>261.90000000000003</v>
      </c>
      <c r="E163" s="238" t="s">
        <v>487</v>
      </c>
    </row>
    <row r="164" spans="1:5" ht="42.75" x14ac:dyDescent="0.2">
      <c r="A164" s="296" t="s">
        <v>392</v>
      </c>
      <c r="B164" s="297">
        <v>20</v>
      </c>
      <c r="C164" s="43">
        <v>5.79</v>
      </c>
      <c r="D164" s="326">
        <v>115.8</v>
      </c>
      <c r="E164" s="238" t="s">
        <v>117</v>
      </c>
    </row>
    <row r="165" spans="1:5" ht="28.5" x14ac:dyDescent="0.2">
      <c r="A165" s="296" t="s">
        <v>97</v>
      </c>
      <c r="B165" s="297">
        <v>10</v>
      </c>
      <c r="C165" s="43">
        <v>9.11</v>
      </c>
      <c r="D165" s="326">
        <v>91.1</v>
      </c>
      <c r="E165" s="238" t="s">
        <v>759</v>
      </c>
    </row>
    <row r="166" spans="1:5" ht="24.95" customHeight="1" x14ac:dyDescent="0.2">
      <c r="A166" s="296" t="s">
        <v>98</v>
      </c>
      <c r="B166" s="297">
        <v>10</v>
      </c>
      <c r="C166" s="43">
        <v>4.29</v>
      </c>
      <c r="D166" s="326">
        <v>42.9</v>
      </c>
      <c r="E166" s="238" t="s">
        <v>760</v>
      </c>
    </row>
    <row r="167" spans="1:5" ht="24.95" customHeight="1" x14ac:dyDescent="0.2">
      <c r="A167" s="296" t="s">
        <v>488</v>
      </c>
      <c r="B167" s="297">
        <v>10</v>
      </c>
      <c r="C167" s="43">
        <v>4.21</v>
      </c>
      <c r="D167" s="326">
        <v>42.1</v>
      </c>
      <c r="E167" s="238" t="s">
        <v>761</v>
      </c>
    </row>
    <row r="168" spans="1:5" ht="24.95" customHeight="1" x14ac:dyDescent="0.2">
      <c r="A168" s="296" t="s">
        <v>489</v>
      </c>
      <c r="B168" s="297">
        <v>110</v>
      </c>
      <c r="C168" s="43">
        <v>3.01</v>
      </c>
      <c r="D168" s="326">
        <v>331.09999999999997</v>
      </c>
      <c r="E168" s="238" t="s">
        <v>762</v>
      </c>
    </row>
    <row r="169" spans="1:5" ht="24.95" customHeight="1" x14ac:dyDescent="0.2">
      <c r="A169" s="296" t="s">
        <v>490</v>
      </c>
      <c r="B169" s="297">
        <v>110</v>
      </c>
      <c r="C169" s="43">
        <v>3.55</v>
      </c>
      <c r="D169" s="326">
        <v>390.5</v>
      </c>
      <c r="E169" s="238" t="s">
        <v>763</v>
      </c>
    </row>
    <row r="170" spans="1:5" ht="24.95" customHeight="1" x14ac:dyDescent="0.2">
      <c r="A170" s="296" t="s">
        <v>491</v>
      </c>
      <c r="B170" s="297">
        <v>130</v>
      </c>
      <c r="C170" s="43">
        <v>3.47</v>
      </c>
      <c r="D170" s="326">
        <v>451.1</v>
      </c>
      <c r="E170" s="238" t="s">
        <v>764</v>
      </c>
    </row>
    <row r="171" spans="1:5" ht="24.95" customHeight="1" x14ac:dyDescent="0.2">
      <c r="A171" s="296" t="s">
        <v>492</v>
      </c>
      <c r="B171" s="297">
        <v>130</v>
      </c>
      <c r="C171" s="43">
        <v>3.7</v>
      </c>
      <c r="D171" s="326">
        <v>481</v>
      </c>
      <c r="E171" s="238" t="s">
        <v>765</v>
      </c>
    </row>
    <row r="172" spans="1:5" ht="30" x14ac:dyDescent="0.2">
      <c r="A172" s="296" t="s">
        <v>55</v>
      </c>
      <c r="B172" s="297">
        <v>25</v>
      </c>
      <c r="C172" s="43">
        <v>5.16</v>
      </c>
      <c r="D172" s="326">
        <v>129</v>
      </c>
      <c r="E172" s="238" t="s">
        <v>393</v>
      </c>
    </row>
    <row r="173" spans="1:5" ht="24.95" customHeight="1" x14ac:dyDescent="0.2">
      <c r="A173" s="296" t="s">
        <v>62</v>
      </c>
      <c r="B173" s="297">
        <v>60</v>
      </c>
      <c r="C173" s="43">
        <v>3.53</v>
      </c>
      <c r="D173" s="326">
        <v>211.79999999999998</v>
      </c>
      <c r="E173" s="645" t="s">
        <v>766</v>
      </c>
    </row>
    <row r="174" spans="1:5" ht="24.95" customHeight="1" x14ac:dyDescent="0.2">
      <c r="A174" s="296" t="s">
        <v>493</v>
      </c>
      <c r="B174" s="297">
        <v>60</v>
      </c>
      <c r="C174" s="43">
        <v>4.42</v>
      </c>
      <c r="D174" s="326">
        <v>265.2</v>
      </c>
      <c r="E174" s="646"/>
    </row>
    <row r="175" spans="1:5" ht="28.5" x14ac:dyDescent="0.2">
      <c r="A175" s="296" t="s">
        <v>494</v>
      </c>
      <c r="B175" s="297">
        <v>25</v>
      </c>
      <c r="C175" s="43">
        <v>4.6399999999999997</v>
      </c>
      <c r="D175" s="326">
        <v>115.99999999999999</v>
      </c>
      <c r="E175" s="238" t="s">
        <v>767</v>
      </c>
    </row>
    <row r="176" spans="1:5" ht="42.75" x14ac:dyDescent="0.2">
      <c r="A176" s="44" t="s">
        <v>768</v>
      </c>
      <c r="B176" s="297" t="s">
        <v>769</v>
      </c>
      <c r="C176" s="43">
        <v>11.72</v>
      </c>
      <c r="D176" s="326">
        <v>82.04</v>
      </c>
      <c r="E176" s="288" t="s">
        <v>770</v>
      </c>
    </row>
    <row r="177" spans="1:5" ht="42.75" x14ac:dyDescent="0.2">
      <c r="A177" s="44" t="s">
        <v>771</v>
      </c>
      <c r="B177" s="297" t="s">
        <v>769</v>
      </c>
      <c r="C177" s="43">
        <v>76.239999999999995</v>
      </c>
      <c r="D177" s="326">
        <v>533.67999999999995</v>
      </c>
      <c r="E177" s="239" t="s">
        <v>772</v>
      </c>
    </row>
    <row r="178" spans="1:5" ht="24.95" customHeight="1" x14ac:dyDescent="0.2">
      <c r="A178" s="44" t="s">
        <v>773</v>
      </c>
      <c r="B178" s="297" t="s">
        <v>774</v>
      </c>
      <c r="C178" s="43">
        <v>36.4</v>
      </c>
      <c r="D178" s="326">
        <v>36.4</v>
      </c>
      <c r="E178" s="239" t="s">
        <v>775</v>
      </c>
    </row>
    <row r="179" spans="1:5" ht="28.5" x14ac:dyDescent="0.2">
      <c r="A179" s="44" t="s">
        <v>99</v>
      </c>
      <c r="B179" s="297" t="s">
        <v>204</v>
      </c>
      <c r="C179" s="43">
        <v>8.48</v>
      </c>
      <c r="D179" s="326">
        <v>339.20000000000005</v>
      </c>
      <c r="E179" s="239" t="s">
        <v>776</v>
      </c>
    </row>
    <row r="180" spans="1:5" ht="28.5" x14ac:dyDescent="0.2">
      <c r="A180" s="44" t="s">
        <v>100</v>
      </c>
      <c r="B180" s="297" t="s">
        <v>204</v>
      </c>
      <c r="C180" s="43">
        <v>8.5299999999999994</v>
      </c>
      <c r="D180" s="326">
        <v>341.2</v>
      </c>
      <c r="E180" s="239" t="s">
        <v>777</v>
      </c>
    </row>
    <row r="181" spans="1:5" ht="24.95" customHeight="1" x14ac:dyDescent="0.2">
      <c r="A181" s="44" t="s">
        <v>394</v>
      </c>
      <c r="B181" s="297" t="s">
        <v>744</v>
      </c>
      <c r="C181" s="43">
        <v>72</v>
      </c>
      <c r="D181" s="326">
        <v>1440</v>
      </c>
      <c r="E181" s="239" t="s">
        <v>778</v>
      </c>
    </row>
    <row r="182" spans="1:5" ht="24.95" customHeight="1" x14ac:dyDescent="0.2">
      <c r="A182" s="44" t="s">
        <v>395</v>
      </c>
      <c r="B182" s="297" t="s">
        <v>744</v>
      </c>
      <c r="C182" s="43">
        <v>69</v>
      </c>
      <c r="D182" s="326">
        <v>1380</v>
      </c>
      <c r="E182" s="239" t="s">
        <v>778</v>
      </c>
    </row>
    <row r="183" spans="1:5" ht="24.95" customHeight="1" x14ac:dyDescent="0.2">
      <c r="A183" s="354" t="s">
        <v>779</v>
      </c>
      <c r="B183" s="355" t="s">
        <v>504</v>
      </c>
      <c r="C183" s="355" t="s">
        <v>505</v>
      </c>
      <c r="D183" s="356" t="s">
        <v>67</v>
      </c>
      <c r="E183" s="357" t="s">
        <v>506</v>
      </c>
    </row>
    <row r="184" spans="1:5" ht="30" x14ac:dyDescent="0.2">
      <c r="A184" s="44" t="s">
        <v>780</v>
      </c>
      <c r="B184" s="358" t="s">
        <v>781</v>
      </c>
      <c r="C184" s="359">
        <v>24.68</v>
      </c>
      <c r="D184" s="27" t="str">
        <f>CONCATENATE(ROUND(C184*25,1)," - ",ROUND(C184*35,1))</f>
        <v>617 - 863,8</v>
      </c>
      <c r="E184" s="96" t="s">
        <v>782</v>
      </c>
    </row>
    <row r="185" spans="1:5" x14ac:dyDescent="0.2">
      <c r="A185" s="642" t="s">
        <v>783</v>
      </c>
      <c r="B185" s="643"/>
      <c r="C185" s="643"/>
      <c r="D185" s="643"/>
      <c r="E185" s="644"/>
    </row>
    <row r="186" spans="1:5" ht="24.95" customHeight="1" x14ac:dyDescent="0.2"/>
    <row r="187" spans="1:5" ht="30" customHeight="1" x14ac:dyDescent="0.2">
      <c r="A187" s="360" t="s">
        <v>101</v>
      </c>
      <c r="B187" s="45" t="s">
        <v>66</v>
      </c>
      <c r="C187" s="361" t="s">
        <v>377</v>
      </c>
      <c r="D187" s="45" t="s">
        <v>67</v>
      </c>
      <c r="E187" s="45" t="s">
        <v>461</v>
      </c>
    </row>
    <row r="188" spans="1:5" ht="24.95" customHeight="1" x14ac:dyDescent="0.2">
      <c r="A188" s="44" t="s">
        <v>396</v>
      </c>
      <c r="B188" s="50" t="s">
        <v>495</v>
      </c>
      <c r="C188" s="47">
        <f>53*1.13/10</f>
        <v>5.988999999999999</v>
      </c>
      <c r="D188" s="290" t="s">
        <v>784</v>
      </c>
      <c r="E188" s="362" t="s">
        <v>785</v>
      </c>
    </row>
    <row r="189" spans="1:5" ht="24.95" customHeight="1" x14ac:dyDescent="0.2">
      <c r="A189" s="44" t="s">
        <v>50</v>
      </c>
      <c r="B189" s="50" t="s">
        <v>83</v>
      </c>
      <c r="C189" s="47">
        <f>74.4*1.13/10</f>
        <v>8.4071999999999996</v>
      </c>
      <c r="D189" s="290" t="s">
        <v>786</v>
      </c>
      <c r="E189" s="102" t="s">
        <v>787</v>
      </c>
    </row>
    <row r="190" spans="1:5" ht="30" customHeight="1" x14ac:dyDescent="0.2">
      <c r="A190" s="44" t="s">
        <v>52</v>
      </c>
      <c r="B190" s="363">
        <v>30</v>
      </c>
      <c r="C190" s="47">
        <f>53.7/15*1.13</f>
        <v>4.0453999999999999</v>
      </c>
      <c r="D190" s="290">
        <f t="shared" ref="D190:D205" si="0">B190*C190</f>
        <v>121.36199999999999</v>
      </c>
      <c r="E190" s="53" t="s">
        <v>788</v>
      </c>
    </row>
    <row r="191" spans="1:5" ht="24.95" customHeight="1" x14ac:dyDescent="0.2">
      <c r="A191" s="44" t="s">
        <v>54</v>
      </c>
      <c r="B191" s="50" t="s">
        <v>789</v>
      </c>
      <c r="C191" s="47">
        <f>3.6*1.13</f>
        <v>4.0679999999999996</v>
      </c>
      <c r="D191" s="290">
        <f t="shared" si="0"/>
        <v>284.76</v>
      </c>
      <c r="E191" s="53" t="s">
        <v>790</v>
      </c>
    </row>
    <row r="192" spans="1:5" ht="30" customHeight="1" x14ac:dyDescent="0.2">
      <c r="A192" s="44" t="s">
        <v>397</v>
      </c>
      <c r="B192" s="50" t="s">
        <v>744</v>
      </c>
      <c r="C192" s="47">
        <f>82.29/20*1.1</f>
        <v>4.5259500000000008</v>
      </c>
      <c r="D192" s="290">
        <f t="shared" si="0"/>
        <v>90.51900000000002</v>
      </c>
      <c r="E192" s="53" t="s">
        <v>791</v>
      </c>
    </row>
    <row r="193" spans="1:5" ht="24.95" customHeight="1" x14ac:dyDescent="0.2">
      <c r="A193" s="44" t="s">
        <v>57</v>
      </c>
      <c r="B193" s="50" t="s">
        <v>91</v>
      </c>
      <c r="C193" s="47">
        <f>3.76*1.13</f>
        <v>4.2487999999999992</v>
      </c>
      <c r="D193" s="290" t="s">
        <v>792</v>
      </c>
      <c r="E193" s="53" t="s">
        <v>793</v>
      </c>
    </row>
    <row r="194" spans="1:5" ht="24.95" customHeight="1" x14ac:dyDescent="0.2">
      <c r="A194" s="44" t="s">
        <v>496</v>
      </c>
      <c r="B194" s="50" t="s">
        <v>497</v>
      </c>
      <c r="C194" s="47">
        <f>5.63*1.13</f>
        <v>6.3618999999999994</v>
      </c>
      <c r="D194" s="290" t="s">
        <v>794</v>
      </c>
      <c r="E194" s="53" t="s">
        <v>795</v>
      </c>
    </row>
    <row r="195" spans="1:5" ht="30" customHeight="1" x14ac:dyDescent="0.2">
      <c r="A195" s="44" t="s">
        <v>58</v>
      </c>
      <c r="B195" s="50" t="s">
        <v>102</v>
      </c>
      <c r="C195" s="47">
        <f>3.19*1.13</f>
        <v>3.6046999999999998</v>
      </c>
      <c r="D195" s="290" t="s">
        <v>796</v>
      </c>
      <c r="E195" s="53" t="s">
        <v>797</v>
      </c>
    </row>
    <row r="196" spans="1:5" ht="30" customHeight="1" x14ac:dyDescent="0.2">
      <c r="A196" s="44" t="s">
        <v>59</v>
      </c>
      <c r="B196" s="50" t="s">
        <v>798</v>
      </c>
      <c r="C196" s="47">
        <f>4.5*1.13</f>
        <v>5.0849999999999991</v>
      </c>
      <c r="D196" s="290">
        <f t="shared" si="0"/>
        <v>305.09999999999997</v>
      </c>
      <c r="E196" s="53" t="s">
        <v>799</v>
      </c>
    </row>
    <row r="197" spans="1:5" ht="30" customHeight="1" x14ac:dyDescent="0.2">
      <c r="A197" s="44" t="s">
        <v>60</v>
      </c>
      <c r="B197" s="50" t="s">
        <v>800</v>
      </c>
      <c r="C197" s="47">
        <f>51.47*1.1/25</f>
        <v>2.2646800000000002</v>
      </c>
      <c r="D197" s="290">
        <f t="shared" si="0"/>
        <v>226.46800000000002</v>
      </c>
      <c r="E197" s="53" t="s">
        <v>801</v>
      </c>
    </row>
    <row r="198" spans="1:5" ht="30" customHeight="1" x14ac:dyDescent="0.2">
      <c r="A198" s="44" t="s">
        <v>118</v>
      </c>
      <c r="B198" s="50" t="s">
        <v>798</v>
      </c>
      <c r="C198" s="47">
        <f>50.35*1.1/20</f>
        <v>2.7692500000000004</v>
      </c>
      <c r="D198" s="290">
        <f t="shared" si="0"/>
        <v>166.15500000000003</v>
      </c>
      <c r="E198" s="53" t="s">
        <v>802</v>
      </c>
    </row>
    <row r="199" spans="1:5" ht="24.95" customHeight="1" x14ac:dyDescent="0.2">
      <c r="A199" s="44" t="s">
        <v>61</v>
      </c>
      <c r="B199" s="50" t="s">
        <v>498</v>
      </c>
      <c r="C199" s="47">
        <f>50.9*1.1/20</f>
        <v>2.7995000000000001</v>
      </c>
      <c r="D199" s="290" t="s">
        <v>803</v>
      </c>
      <c r="E199" s="362" t="s">
        <v>804</v>
      </c>
    </row>
    <row r="200" spans="1:5" ht="24.95" customHeight="1" x14ac:dyDescent="0.2">
      <c r="A200" s="44" t="s">
        <v>398</v>
      </c>
      <c r="B200" s="50" t="s">
        <v>744</v>
      </c>
      <c r="C200" s="47">
        <f>40*1.13/10</f>
        <v>4.5199999999999996</v>
      </c>
      <c r="D200" s="290">
        <f t="shared" si="0"/>
        <v>90.399999999999991</v>
      </c>
      <c r="E200" s="362" t="s">
        <v>805</v>
      </c>
    </row>
    <row r="201" spans="1:5" ht="24.95" customHeight="1" x14ac:dyDescent="0.2">
      <c r="A201" s="44" t="s">
        <v>499</v>
      </c>
      <c r="B201" s="50" t="s">
        <v>806</v>
      </c>
      <c r="C201" s="47">
        <f>23.3/1.13/5</f>
        <v>4.1238938053097351</v>
      </c>
      <c r="D201" s="290">
        <f t="shared" si="0"/>
        <v>185.57522123893807</v>
      </c>
      <c r="E201" s="362" t="s">
        <v>807</v>
      </c>
    </row>
    <row r="202" spans="1:5" ht="24.95" customHeight="1" x14ac:dyDescent="0.2">
      <c r="A202" s="44" t="s">
        <v>500</v>
      </c>
      <c r="B202" s="50" t="s">
        <v>744</v>
      </c>
      <c r="C202" s="47">
        <f>289*1.13/5</f>
        <v>65.313999999999993</v>
      </c>
      <c r="D202" s="290">
        <f t="shared" si="0"/>
        <v>1306.2799999999997</v>
      </c>
      <c r="E202" s="362" t="s">
        <v>808</v>
      </c>
    </row>
    <row r="203" spans="1:5" ht="24.95" customHeight="1" x14ac:dyDescent="0.2">
      <c r="A203" s="44" t="s">
        <v>501</v>
      </c>
      <c r="B203" s="50" t="s">
        <v>744</v>
      </c>
      <c r="C203" s="47">
        <f>244.6*1.13/5</f>
        <v>55.279599999999995</v>
      </c>
      <c r="D203" s="290">
        <f t="shared" si="0"/>
        <v>1105.5919999999999</v>
      </c>
      <c r="E203" s="362" t="s">
        <v>809</v>
      </c>
    </row>
    <row r="204" spans="1:5" ht="24.95" customHeight="1" x14ac:dyDescent="0.2">
      <c r="A204" s="44" t="s">
        <v>63</v>
      </c>
      <c r="B204" s="50">
        <v>15</v>
      </c>
      <c r="C204" s="47">
        <f>72.74*1.13/15</f>
        <v>5.4797466666666663</v>
      </c>
      <c r="D204" s="290">
        <f t="shared" si="0"/>
        <v>82.19619999999999</v>
      </c>
      <c r="E204" s="53" t="s">
        <v>810</v>
      </c>
    </row>
    <row r="205" spans="1:5" ht="24.95" customHeight="1" x14ac:dyDescent="0.2">
      <c r="A205" s="44" t="s">
        <v>64</v>
      </c>
      <c r="B205" s="50">
        <v>12</v>
      </c>
      <c r="C205" s="47">
        <f>60.62*1.13/12</f>
        <v>5.7083833333333329</v>
      </c>
      <c r="D205" s="290">
        <f t="shared" si="0"/>
        <v>68.500599999999991</v>
      </c>
      <c r="E205" s="53" t="s">
        <v>811</v>
      </c>
    </row>
    <row r="206" spans="1:5" ht="24.95" customHeight="1" x14ac:dyDescent="0.2">
      <c r="A206" s="44" t="s">
        <v>65</v>
      </c>
      <c r="B206" s="50" t="s">
        <v>89</v>
      </c>
      <c r="C206" s="47">
        <f>67.99*1.1/20</f>
        <v>3.7394500000000002</v>
      </c>
      <c r="D206" s="290" t="s">
        <v>812</v>
      </c>
      <c r="E206" s="53" t="s">
        <v>813</v>
      </c>
    </row>
    <row r="207" spans="1:5" ht="24.95" customHeight="1" x14ac:dyDescent="0.2">
      <c r="A207" s="364"/>
      <c r="B207" s="365"/>
      <c r="C207" s="366"/>
      <c r="D207" s="367"/>
      <c r="E207" s="368"/>
    </row>
    <row r="208" spans="1:5" ht="24.95" customHeight="1" x14ac:dyDescent="0.2">
      <c r="A208" s="223"/>
      <c r="B208" s="369"/>
      <c r="C208" s="370"/>
      <c r="D208" s="33"/>
      <c r="E208" s="371"/>
    </row>
    <row r="209" spans="1:8" ht="24.95" customHeight="1" x14ac:dyDescent="0.2">
      <c r="A209" s="372"/>
      <c r="B209" s="373"/>
      <c r="C209" s="374"/>
      <c r="D209" s="375"/>
      <c r="E209" s="376"/>
    </row>
    <row r="210" spans="1:8" ht="35.1" customHeight="1" x14ac:dyDescent="0.2">
      <c r="A210" s="377" t="s">
        <v>814</v>
      </c>
      <c r="B210" s="356" t="s">
        <v>66</v>
      </c>
      <c r="C210" s="378" t="s">
        <v>377</v>
      </c>
      <c r="D210" s="356" t="s">
        <v>67</v>
      </c>
      <c r="E210" s="356" t="s">
        <v>461</v>
      </c>
      <c r="F210" s="379"/>
      <c r="G210" s="379"/>
      <c r="H210" s="380"/>
    </row>
    <row r="211" spans="1:8" ht="24.95" customHeight="1" x14ac:dyDescent="0.2">
      <c r="A211" s="44" t="s">
        <v>104</v>
      </c>
      <c r="B211" s="50" t="s">
        <v>114</v>
      </c>
      <c r="C211" s="47">
        <f>73.04*1.13/12</f>
        <v>6.8779333333333339</v>
      </c>
      <c r="D211" s="290">
        <f t="shared" ref="D211:D218" si="1">B211*C211</f>
        <v>82.535200000000003</v>
      </c>
      <c r="E211" s="53" t="s">
        <v>815</v>
      </c>
      <c r="F211" s="381"/>
      <c r="G211" s="382"/>
    </row>
    <row r="212" spans="1:8" ht="30" customHeight="1" x14ac:dyDescent="0.2">
      <c r="A212" s="44" t="s">
        <v>399</v>
      </c>
      <c r="B212" s="50" t="s">
        <v>56</v>
      </c>
      <c r="C212" s="47">
        <f>60.53*1.13/15</f>
        <v>4.5599266666666667</v>
      </c>
      <c r="D212" s="290">
        <f t="shared" si="1"/>
        <v>136.7978</v>
      </c>
      <c r="E212" s="53" t="s">
        <v>788</v>
      </c>
      <c r="F212" s="381"/>
      <c r="G212" s="382"/>
    </row>
    <row r="213" spans="1:8" ht="24.95" customHeight="1" x14ac:dyDescent="0.2">
      <c r="A213" s="44" t="s">
        <v>502</v>
      </c>
      <c r="B213" s="50" t="s">
        <v>495</v>
      </c>
      <c r="C213" s="47">
        <f>67.8*1.13/10</f>
        <v>7.6613999999999987</v>
      </c>
      <c r="D213" s="290" t="s">
        <v>816</v>
      </c>
      <c r="E213" s="362" t="s">
        <v>817</v>
      </c>
      <c r="F213" s="381"/>
      <c r="G213" s="382"/>
    </row>
    <row r="214" spans="1:8" ht="30" customHeight="1" x14ac:dyDescent="0.2">
      <c r="A214" s="44" t="s">
        <v>503</v>
      </c>
      <c r="B214" s="50" t="s">
        <v>744</v>
      </c>
      <c r="C214" s="47">
        <f>96.5*1.1/20</f>
        <v>5.3075000000000001</v>
      </c>
      <c r="D214" s="290">
        <f t="shared" si="1"/>
        <v>106.15</v>
      </c>
      <c r="E214" s="53" t="s">
        <v>791</v>
      </c>
      <c r="F214" s="381"/>
      <c r="G214" s="382"/>
    </row>
    <row r="215" spans="1:8" ht="24.95" customHeight="1" x14ac:dyDescent="0.2">
      <c r="A215" s="44" t="s">
        <v>400</v>
      </c>
      <c r="B215" s="50" t="s">
        <v>91</v>
      </c>
      <c r="C215" s="47">
        <f>46.1*1.13/10</f>
        <v>5.2092999999999998</v>
      </c>
      <c r="D215" s="290" t="s">
        <v>818</v>
      </c>
      <c r="E215" s="53" t="s">
        <v>793</v>
      </c>
      <c r="F215" s="381"/>
      <c r="G215" s="382"/>
    </row>
    <row r="216" spans="1:8" ht="30" customHeight="1" x14ac:dyDescent="0.2">
      <c r="A216" s="44" t="s">
        <v>401</v>
      </c>
      <c r="B216" s="50" t="s">
        <v>744</v>
      </c>
      <c r="C216" s="47">
        <f>73.84*1.1/20</f>
        <v>4.0612000000000004</v>
      </c>
      <c r="D216" s="290">
        <f t="shared" si="1"/>
        <v>81.224000000000004</v>
      </c>
      <c r="E216" s="362" t="s">
        <v>819</v>
      </c>
      <c r="F216" s="381"/>
      <c r="G216" s="382"/>
    </row>
    <row r="217" spans="1:8" ht="30" customHeight="1" x14ac:dyDescent="0.2">
      <c r="A217" s="44" t="s">
        <v>402</v>
      </c>
      <c r="B217" s="50" t="s">
        <v>798</v>
      </c>
      <c r="C217" s="47">
        <f>54.86*1.1/20</f>
        <v>3.0173000000000001</v>
      </c>
      <c r="D217" s="290">
        <f t="shared" si="1"/>
        <v>181.03800000000001</v>
      </c>
      <c r="E217" s="53" t="s">
        <v>802</v>
      </c>
      <c r="F217" s="381"/>
      <c r="G217" s="382"/>
    </row>
    <row r="218" spans="1:8" ht="30" customHeight="1" x14ac:dyDescent="0.2">
      <c r="A218" s="44" t="s">
        <v>403</v>
      </c>
      <c r="B218" s="50" t="s">
        <v>800</v>
      </c>
      <c r="C218" s="47">
        <f>48.3*1.1/30</f>
        <v>1.7710000000000001</v>
      </c>
      <c r="D218" s="290">
        <f t="shared" si="1"/>
        <v>177.10000000000002</v>
      </c>
      <c r="E218" s="53" t="s">
        <v>820</v>
      </c>
      <c r="F218" s="381"/>
      <c r="G218" s="382"/>
    </row>
    <row r="219" spans="1:8" ht="15.75" customHeight="1" x14ac:dyDescent="0.2">
      <c r="A219" s="354" t="s">
        <v>779</v>
      </c>
      <c r="B219" s="355" t="s">
        <v>504</v>
      </c>
      <c r="C219" s="355" t="s">
        <v>505</v>
      </c>
      <c r="D219" s="356" t="s">
        <v>67</v>
      </c>
      <c r="E219" s="357" t="s">
        <v>506</v>
      </c>
      <c r="F219" s="382"/>
      <c r="G219" s="382"/>
    </row>
    <row r="220" spans="1:8" ht="30" customHeight="1" x14ac:dyDescent="0.2">
      <c r="A220" s="44" t="s">
        <v>507</v>
      </c>
      <c r="B220" s="358" t="s">
        <v>508</v>
      </c>
      <c r="C220" s="329">
        <f>23*1.2</f>
        <v>27.599999999999998</v>
      </c>
      <c r="D220" s="383">
        <v>27.6</v>
      </c>
      <c r="E220" s="362" t="s">
        <v>821</v>
      </c>
      <c r="F220" s="384"/>
      <c r="G220" s="385"/>
    </row>
    <row r="221" spans="1:8" ht="24.95" customHeight="1" x14ac:dyDescent="0.2"/>
    <row r="222" spans="1:8" ht="30" customHeight="1" x14ac:dyDescent="0.2">
      <c r="A222" s="45" t="s">
        <v>418</v>
      </c>
      <c r="B222" s="46" t="s">
        <v>66</v>
      </c>
      <c r="C222" s="240" t="s">
        <v>377</v>
      </c>
      <c r="D222" s="241" t="s">
        <v>67</v>
      </c>
      <c r="E222" s="46" t="s">
        <v>822</v>
      </c>
    </row>
    <row r="223" spans="1:8" ht="87" x14ac:dyDescent="0.2">
      <c r="A223" s="299" t="s">
        <v>509</v>
      </c>
      <c r="B223" s="300">
        <v>20</v>
      </c>
      <c r="C223" s="386">
        <v>43</v>
      </c>
      <c r="D223" s="387">
        <v>860</v>
      </c>
      <c r="E223" s="102" t="s">
        <v>823</v>
      </c>
    </row>
    <row r="224" spans="1:8" ht="158.25" x14ac:dyDescent="0.2">
      <c r="A224" s="299" t="s">
        <v>510</v>
      </c>
      <c r="B224" s="300">
        <v>20</v>
      </c>
      <c r="C224" s="386">
        <v>59</v>
      </c>
      <c r="D224" s="387">
        <v>1180</v>
      </c>
      <c r="E224" s="102" t="s">
        <v>824</v>
      </c>
    </row>
    <row r="225" spans="1:5" ht="144" x14ac:dyDescent="0.2">
      <c r="A225" s="299" t="s">
        <v>511</v>
      </c>
      <c r="B225" s="300">
        <v>20</v>
      </c>
      <c r="C225" s="386">
        <v>69</v>
      </c>
      <c r="D225" s="387">
        <v>1380</v>
      </c>
      <c r="E225" s="102" t="s">
        <v>825</v>
      </c>
    </row>
    <row r="227" spans="1:5" x14ac:dyDescent="0.2">
      <c r="A227" s="647" t="s">
        <v>512</v>
      </c>
      <c r="B227" s="647"/>
      <c r="C227" s="647"/>
      <c r="D227" s="647"/>
      <c r="E227" s="647"/>
    </row>
    <row r="228" spans="1:5" ht="15.75" x14ac:dyDescent="0.25">
      <c r="A228" s="38" t="s">
        <v>513</v>
      </c>
      <c r="B228" s="48"/>
      <c r="C228" s="38"/>
      <c r="D228" s="54"/>
      <c r="E228" s="38"/>
    </row>
    <row r="229" spans="1:5" ht="15" x14ac:dyDescent="0.2">
      <c r="A229" s="38" t="s">
        <v>826</v>
      </c>
      <c r="B229" s="48"/>
      <c r="C229" s="38"/>
      <c r="D229" s="54"/>
      <c r="E229" s="38"/>
    </row>
    <row r="230" spans="1:5" x14ac:dyDescent="0.2">
      <c r="A230" s="638" t="s">
        <v>105</v>
      </c>
      <c r="B230" s="638"/>
      <c r="C230" s="638"/>
      <c r="D230" s="638"/>
      <c r="E230" s="638"/>
    </row>
    <row r="231" spans="1:5" ht="15.75" x14ac:dyDescent="0.25">
      <c r="A231" s="39" t="s">
        <v>827</v>
      </c>
      <c r="B231" s="48"/>
      <c r="C231" s="49"/>
      <c r="D231" s="55"/>
      <c r="E231" s="38"/>
    </row>
  </sheetData>
  <sheetProtection password="CAEF" sheet="1" objects="1" scenarios="1"/>
  <mergeCells count="42">
    <mergeCell ref="E32:E33"/>
    <mergeCell ref="C1:D1"/>
    <mergeCell ref="C2:D2"/>
    <mergeCell ref="E7:E8"/>
    <mergeCell ref="E9:E10"/>
    <mergeCell ref="E12:E15"/>
    <mergeCell ref="E16:E17"/>
    <mergeCell ref="E18:E19"/>
    <mergeCell ref="E20:E21"/>
    <mergeCell ref="E22:E23"/>
    <mergeCell ref="E27:E28"/>
    <mergeCell ref="E30:E31"/>
    <mergeCell ref="E60:E61"/>
    <mergeCell ref="E34:E35"/>
    <mergeCell ref="E36:E37"/>
    <mergeCell ref="E38:E39"/>
    <mergeCell ref="E41:E42"/>
    <mergeCell ref="E43:E44"/>
    <mergeCell ref="E45:E46"/>
    <mergeCell ref="E47:E48"/>
    <mergeCell ref="E50:E51"/>
    <mergeCell ref="E53:E54"/>
    <mergeCell ref="E55:E56"/>
    <mergeCell ref="E57:E58"/>
    <mergeCell ref="A97:E97"/>
    <mergeCell ref="E62:E63"/>
    <mergeCell ref="E64:E65"/>
    <mergeCell ref="E71:E72"/>
    <mergeCell ref="E76:E77"/>
    <mergeCell ref="E78:E79"/>
    <mergeCell ref="E80:E81"/>
    <mergeCell ref="E82:E83"/>
    <mergeCell ref="E84:E85"/>
    <mergeCell ref="E88:E89"/>
    <mergeCell ref="A92:E92"/>
    <mergeCell ref="A230:E230"/>
    <mergeCell ref="A115:E115"/>
    <mergeCell ref="A116:E116"/>
    <mergeCell ref="A134:E134"/>
    <mergeCell ref="E173:E174"/>
    <mergeCell ref="A185:E185"/>
    <mergeCell ref="A227:E227"/>
  </mergeCells>
  <pageMargins left="0.7" right="0.7" top="0.78740157499999996" bottom="0.78740157499999996" header="0.3" footer="0.3"/>
  <pageSetup paperSize="9" scale="40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L77"/>
  <sheetViews>
    <sheetView zoomScale="84" zoomScaleNormal="84" workbookViewId="0">
      <selection activeCell="A3" sqref="A3"/>
    </sheetView>
  </sheetViews>
  <sheetFormatPr baseColWidth="10" defaultColWidth="10.125" defaultRowHeight="12.75" x14ac:dyDescent="0.2"/>
  <cols>
    <col min="1" max="1" width="23.875" style="103" customWidth="1"/>
    <col min="2" max="2" width="13.375" style="144" customWidth="1"/>
    <col min="3" max="3" width="10.75" style="103" customWidth="1"/>
    <col min="4" max="4" width="10.375" style="103" customWidth="1"/>
    <col min="5" max="5" width="10.5" style="103" customWidth="1"/>
    <col min="6" max="6" width="18.875" style="140" customWidth="1"/>
    <col min="7" max="7" width="71.125" style="140" customWidth="1"/>
    <col min="8" max="9" width="10.125" style="103"/>
    <col min="10" max="10" width="6" style="103" customWidth="1"/>
    <col min="11" max="11" width="10.125" style="103"/>
    <col min="12" max="12" width="1.75" style="103" customWidth="1"/>
    <col min="13" max="16384" width="10.125" style="103"/>
  </cols>
  <sheetData>
    <row r="1" spans="1:12" s="87" customFormat="1" ht="28.5" thickBot="1" x14ac:dyDescent="0.4">
      <c r="A1" s="662" t="s">
        <v>133</v>
      </c>
      <c r="B1" s="662"/>
      <c r="C1" s="662"/>
      <c r="D1" s="662"/>
      <c r="E1" s="662"/>
      <c r="F1" s="662"/>
      <c r="G1" s="662"/>
    </row>
    <row r="2" spans="1:12" s="91" customFormat="1" ht="47.25" x14ac:dyDescent="0.2">
      <c r="A2" s="88" t="s">
        <v>134</v>
      </c>
      <c r="B2" s="89" t="s">
        <v>135</v>
      </c>
      <c r="C2" s="41" t="s">
        <v>136</v>
      </c>
      <c r="D2" s="41" t="s">
        <v>137</v>
      </c>
      <c r="E2" s="41" t="s">
        <v>138</v>
      </c>
      <c r="F2" s="90" t="s">
        <v>139</v>
      </c>
      <c r="G2" s="90" t="s">
        <v>68</v>
      </c>
      <c r="H2" s="655" t="s">
        <v>333</v>
      </c>
      <c r="I2" s="656"/>
      <c r="J2" s="656"/>
      <c r="K2" s="656"/>
      <c r="L2" s="657"/>
    </row>
    <row r="3" spans="1:12" s="98" customFormat="1" ht="17.25" customHeight="1" thickBot="1" x14ac:dyDescent="0.25">
      <c r="A3" s="92" t="s">
        <v>140</v>
      </c>
      <c r="B3" s="93"/>
      <c r="C3" s="94"/>
      <c r="D3" s="94"/>
      <c r="E3" s="95"/>
      <c r="F3" s="96"/>
      <c r="G3" s="97"/>
      <c r="H3" s="658"/>
      <c r="I3" s="659"/>
      <c r="J3" s="659"/>
      <c r="K3" s="659"/>
      <c r="L3" s="660"/>
    </row>
    <row r="4" spans="1:12" ht="17.25" customHeight="1" x14ac:dyDescent="0.2">
      <c r="A4" s="99" t="s">
        <v>141</v>
      </c>
      <c r="B4" s="99" t="s">
        <v>142</v>
      </c>
      <c r="C4" s="100" t="s">
        <v>143</v>
      </c>
      <c r="D4" s="100" t="s">
        <v>144</v>
      </c>
      <c r="E4" s="101" t="s">
        <v>145</v>
      </c>
      <c r="F4" s="52" t="s">
        <v>146</v>
      </c>
      <c r="G4" s="102" t="s">
        <v>147</v>
      </c>
    </row>
    <row r="5" spans="1:12" ht="17.25" customHeight="1" x14ac:dyDescent="0.2">
      <c r="A5" s="99" t="s">
        <v>42</v>
      </c>
      <c r="B5" s="99" t="s">
        <v>148</v>
      </c>
      <c r="C5" s="100" t="s">
        <v>149</v>
      </c>
      <c r="D5" s="100" t="s">
        <v>144</v>
      </c>
      <c r="E5" s="104" t="s">
        <v>145</v>
      </c>
      <c r="F5" s="52" t="s">
        <v>150</v>
      </c>
      <c r="G5" s="102" t="s">
        <v>151</v>
      </c>
    </row>
    <row r="6" spans="1:12" s="98" customFormat="1" ht="17.25" customHeight="1" x14ac:dyDescent="0.25">
      <c r="A6" s="105" t="s">
        <v>152</v>
      </c>
      <c r="B6" s="106"/>
      <c r="C6" s="107"/>
      <c r="D6" s="107"/>
      <c r="E6" s="108"/>
      <c r="F6" s="109"/>
      <c r="G6" s="110" t="s">
        <v>153</v>
      </c>
    </row>
    <row r="7" spans="1:12" ht="17.25" customHeight="1" x14ac:dyDescent="0.2">
      <c r="A7" s="99" t="s">
        <v>154</v>
      </c>
      <c r="B7" s="99" t="s">
        <v>142</v>
      </c>
      <c r="C7" s="100" t="s">
        <v>149</v>
      </c>
      <c r="D7" s="100" t="s">
        <v>155</v>
      </c>
      <c r="E7" s="101" t="s">
        <v>156</v>
      </c>
      <c r="F7" s="661" t="s">
        <v>157</v>
      </c>
      <c r="G7" s="102" t="s">
        <v>158</v>
      </c>
    </row>
    <row r="8" spans="1:12" ht="17.25" customHeight="1" x14ac:dyDescent="0.2">
      <c r="A8" s="99" t="s">
        <v>40</v>
      </c>
      <c r="B8" s="99" t="s">
        <v>159</v>
      </c>
      <c r="C8" s="100" t="s">
        <v>160</v>
      </c>
      <c r="D8" s="100" t="s">
        <v>161</v>
      </c>
      <c r="E8" s="101" t="s">
        <v>162</v>
      </c>
      <c r="F8" s="661"/>
      <c r="G8" s="102" t="s">
        <v>163</v>
      </c>
    </row>
    <row r="9" spans="1:12" ht="17.25" customHeight="1" x14ac:dyDescent="0.2">
      <c r="A9" s="99" t="s">
        <v>31</v>
      </c>
      <c r="B9" s="99" t="s">
        <v>164</v>
      </c>
      <c r="C9" s="100" t="s">
        <v>160</v>
      </c>
      <c r="D9" s="100" t="s">
        <v>155</v>
      </c>
      <c r="E9" s="101" t="s">
        <v>119</v>
      </c>
      <c r="F9" s="52" t="s">
        <v>146</v>
      </c>
      <c r="G9" s="102" t="s">
        <v>165</v>
      </c>
    </row>
    <row r="10" spans="1:12" ht="17.25" customHeight="1" x14ac:dyDescent="0.2">
      <c r="A10" s="99" t="s">
        <v>21</v>
      </c>
      <c r="B10" s="99" t="s">
        <v>164</v>
      </c>
      <c r="C10" s="100" t="s">
        <v>160</v>
      </c>
      <c r="D10" s="100" t="s">
        <v>155</v>
      </c>
      <c r="E10" s="101" t="s">
        <v>51</v>
      </c>
      <c r="F10" s="52" t="s">
        <v>146</v>
      </c>
      <c r="G10" s="102" t="s">
        <v>166</v>
      </c>
    </row>
    <row r="11" spans="1:12" ht="17.25" customHeight="1" x14ac:dyDescent="0.2">
      <c r="A11" s="99" t="s">
        <v>16</v>
      </c>
      <c r="B11" s="99" t="s">
        <v>142</v>
      </c>
      <c r="C11" s="100" t="s">
        <v>160</v>
      </c>
      <c r="D11" s="100" t="s">
        <v>161</v>
      </c>
      <c r="E11" s="101" t="s">
        <v>167</v>
      </c>
      <c r="F11" s="52" t="s">
        <v>168</v>
      </c>
      <c r="G11" s="102" t="s">
        <v>169</v>
      </c>
    </row>
    <row r="12" spans="1:12" ht="17.25" customHeight="1" x14ac:dyDescent="0.2">
      <c r="A12" s="99" t="s">
        <v>80</v>
      </c>
      <c r="B12" s="99" t="s">
        <v>164</v>
      </c>
      <c r="C12" s="100" t="s">
        <v>160</v>
      </c>
      <c r="D12" s="100" t="s">
        <v>170</v>
      </c>
      <c r="E12" s="101" t="s">
        <v>171</v>
      </c>
      <c r="F12" s="661" t="s">
        <v>172</v>
      </c>
      <c r="G12" s="102" t="s">
        <v>173</v>
      </c>
    </row>
    <row r="13" spans="1:12" ht="17.25" customHeight="1" x14ac:dyDescent="0.2">
      <c r="A13" s="99" t="s">
        <v>174</v>
      </c>
      <c r="B13" s="99" t="s">
        <v>164</v>
      </c>
      <c r="C13" s="100" t="s">
        <v>160</v>
      </c>
      <c r="D13" s="100" t="s">
        <v>170</v>
      </c>
      <c r="E13" s="101" t="s">
        <v>119</v>
      </c>
      <c r="F13" s="661"/>
      <c r="G13" s="102" t="s">
        <v>175</v>
      </c>
    </row>
    <row r="14" spans="1:12" ht="17.25" customHeight="1" x14ac:dyDescent="0.2">
      <c r="A14" s="99" t="s">
        <v>34</v>
      </c>
      <c r="B14" s="99" t="s">
        <v>164</v>
      </c>
      <c r="C14" s="100" t="s">
        <v>160</v>
      </c>
      <c r="D14" s="100" t="s">
        <v>161</v>
      </c>
      <c r="E14" s="101" t="s">
        <v>176</v>
      </c>
      <c r="F14" s="661" t="s">
        <v>168</v>
      </c>
      <c r="G14" s="102" t="s">
        <v>177</v>
      </c>
    </row>
    <row r="15" spans="1:12" ht="17.25" customHeight="1" x14ac:dyDescent="0.2">
      <c r="A15" s="111" t="s">
        <v>178</v>
      </c>
      <c r="B15" s="111" t="s">
        <v>179</v>
      </c>
      <c r="C15" s="112" t="s">
        <v>160</v>
      </c>
      <c r="D15" s="112" t="s">
        <v>170</v>
      </c>
      <c r="E15" s="113" t="s">
        <v>167</v>
      </c>
      <c r="F15" s="663"/>
      <c r="G15" s="114" t="s">
        <v>180</v>
      </c>
    </row>
    <row r="16" spans="1:12" s="98" customFormat="1" ht="17.25" customHeight="1" x14ac:dyDescent="0.25">
      <c r="A16" s="105" t="s">
        <v>182</v>
      </c>
      <c r="B16" s="115"/>
      <c r="C16" s="116"/>
      <c r="D16" s="116"/>
      <c r="E16" s="117"/>
      <c r="F16" s="73"/>
      <c r="G16" s="118"/>
    </row>
    <row r="17" spans="1:7" ht="17.25" customHeight="1" x14ac:dyDescent="0.2">
      <c r="A17" s="119" t="s">
        <v>183</v>
      </c>
      <c r="B17" s="119" t="s">
        <v>184</v>
      </c>
      <c r="C17" s="120" t="s">
        <v>161</v>
      </c>
      <c r="D17" s="120" t="s">
        <v>155</v>
      </c>
      <c r="E17" s="121" t="s">
        <v>56</v>
      </c>
      <c r="F17" s="664" t="s">
        <v>172</v>
      </c>
      <c r="G17" s="122" t="s">
        <v>185</v>
      </c>
    </row>
    <row r="18" spans="1:7" ht="17.25" customHeight="1" x14ac:dyDescent="0.2">
      <c r="A18" s="99" t="s">
        <v>186</v>
      </c>
      <c r="B18" s="99" t="s">
        <v>184</v>
      </c>
      <c r="C18" s="100" t="s">
        <v>149</v>
      </c>
      <c r="D18" s="100" t="s">
        <v>144</v>
      </c>
      <c r="E18" s="101" t="s">
        <v>56</v>
      </c>
      <c r="F18" s="665"/>
      <c r="G18" s="102" t="s">
        <v>187</v>
      </c>
    </row>
    <row r="19" spans="1:7" ht="17.25" customHeight="1" x14ac:dyDescent="0.2">
      <c r="A19" s="99" t="s">
        <v>188</v>
      </c>
      <c r="B19" s="99" t="s">
        <v>159</v>
      </c>
      <c r="C19" s="100" t="s">
        <v>161</v>
      </c>
      <c r="D19" s="100" t="s">
        <v>161</v>
      </c>
      <c r="E19" s="101" t="s">
        <v>189</v>
      </c>
      <c r="F19" s="665"/>
      <c r="G19" s="102" t="s">
        <v>190</v>
      </c>
    </row>
    <row r="20" spans="1:7" ht="17.25" customHeight="1" x14ac:dyDescent="0.2">
      <c r="A20" s="99" t="s">
        <v>191</v>
      </c>
      <c r="B20" s="99" t="s">
        <v>159</v>
      </c>
      <c r="C20" s="100" t="s">
        <v>161</v>
      </c>
      <c r="D20" s="100" t="s">
        <v>155</v>
      </c>
      <c r="E20" s="101" t="s">
        <v>56</v>
      </c>
      <c r="F20" s="665"/>
      <c r="G20" s="102" t="s">
        <v>192</v>
      </c>
    </row>
    <row r="21" spans="1:7" ht="17.25" customHeight="1" x14ac:dyDescent="0.2">
      <c r="A21" s="99" t="s">
        <v>193</v>
      </c>
      <c r="B21" s="99" t="s">
        <v>159</v>
      </c>
      <c r="C21" s="100" t="s">
        <v>160</v>
      </c>
      <c r="D21" s="100" t="s">
        <v>181</v>
      </c>
      <c r="E21" s="101" t="s">
        <v>194</v>
      </c>
      <c r="F21" s="665"/>
      <c r="G21" s="102" t="s">
        <v>195</v>
      </c>
    </row>
    <row r="22" spans="1:7" ht="17.25" customHeight="1" x14ac:dyDescent="0.2">
      <c r="A22" s="99" t="s">
        <v>196</v>
      </c>
      <c r="B22" s="99" t="s">
        <v>179</v>
      </c>
      <c r="C22" s="100" t="s">
        <v>160</v>
      </c>
      <c r="D22" s="100" t="s">
        <v>181</v>
      </c>
      <c r="E22" s="101" t="s">
        <v>114</v>
      </c>
      <c r="F22" s="665"/>
      <c r="G22" s="102" t="s">
        <v>197</v>
      </c>
    </row>
    <row r="23" spans="1:7" ht="17.25" customHeight="1" x14ac:dyDescent="0.2">
      <c r="A23" s="99" t="s">
        <v>198</v>
      </c>
      <c r="B23" s="99" t="s">
        <v>159</v>
      </c>
      <c r="C23" s="100" t="s">
        <v>160</v>
      </c>
      <c r="D23" s="100" t="s">
        <v>144</v>
      </c>
      <c r="E23" s="101">
        <v>20</v>
      </c>
      <c r="F23" s="665"/>
      <c r="G23" s="102" t="s">
        <v>199</v>
      </c>
    </row>
    <row r="24" spans="1:7" ht="17.25" customHeight="1" x14ac:dyDescent="0.2">
      <c r="A24" s="99" t="s">
        <v>200</v>
      </c>
      <c r="B24" s="99" t="s">
        <v>159</v>
      </c>
      <c r="C24" s="100" t="s">
        <v>161</v>
      </c>
      <c r="D24" s="100" t="s">
        <v>161</v>
      </c>
      <c r="E24" s="101" t="s">
        <v>201</v>
      </c>
      <c r="F24" s="665"/>
      <c r="G24" s="102" t="s">
        <v>202</v>
      </c>
    </row>
    <row r="25" spans="1:7" ht="17.25" customHeight="1" x14ac:dyDescent="0.2">
      <c r="A25" s="99" t="s">
        <v>203</v>
      </c>
      <c r="B25" s="99" t="s">
        <v>159</v>
      </c>
      <c r="C25" s="100" t="s">
        <v>149</v>
      </c>
      <c r="D25" s="100" t="s">
        <v>161</v>
      </c>
      <c r="E25" s="101" t="s">
        <v>204</v>
      </c>
      <c r="F25" s="665"/>
      <c r="G25" s="102" t="s">
        <v>205</v>
      </c>
    </row>
    <row r="26" spans="1:7" ht="17.25" customHeight="1" x14ac:dyDescent="0.2">
      <c r="A26" s="99" t="s">
        <v>206</v>
      </c>
      <c r="B26" s="99" t="s">
        <v>179</v>
      </c>
      <c r="C26" s="100" t="s">
        <v>160</v>
      </c>
      <c r="D26" s="100" t="s">
        <v>155</v>
      </c>
      <c r="E26" s="101">
        <v>20</v>
      </c>
      <c r="F26" s="665"/>
      <c r="G26" s="102" t="s">
        <v>207</v>
      </c>
    </row>
    <row r="27" spans="1:7" ht="17.25" customHeight="1" x14ac:dyDescent="0.2">
      <c r="A27" s="99" t="s">
        <v>208</v>
      </c>
      <c r="B27" s="99" t="s">
        <v>159</v>
      </c>
      <c r="C27" s="100" t="s">
        <v>149</v>
      </c>
      <c r="D27" s="100" t="s">
        <v>155</v>
      </c>
      <c r="E27" s="101" t="s">
        <v>209</v>
      </c>
      <c r="F27" s="52" t="s">
        <v>146</v>
      </c>
      <c r="G27" s="102" t="s">
        <v>210</v>
      </c>
    </row>
    <row r="28" spans="1:7" ht="17.25" customHeight="1" x14ac:dyDescent="0.2">
      <c r="A28" s="111" t="s">
        <v>71</v>
      </c>
      <c r="B28" s="111" t="s">
        <v>159</v>
      </c>
      <c r="C28" s="112" t="s">
        <v>149</v>
      </c>
      <c r="D28" s="112" t="s">
        <v>155</v>
      </c>
      <c r="E28" s="113" t="s">
        <v>211</v>
      </c>
      <c r="F28" s="123" t="s">
        <v>146</v>
      </c>
      <c r="G28" s="102" t="s">
        <v>212</v>
      </c>
    </row>
    <row r="29" spans="1:7" s="98" customFormat="1" ht="17.25" customHeight="1" x14ac:dyDescent="0.25">
      <c r="A29" s="105" t="s">
        <v>45</v>
      </c>
      <c r="B29" s="106"/>
      <c r="C29" s="107"/>
      <c r="D29" s="107"/>
      <c r="E29" s="108"/>
      <c r="F29" s="109"/>
      <c r="G29" s="666" t="s">
        <v>213</v>
      </c>
    </row>
    <row r="30" spans="1:7" ht="17.25" customHeight="1" x14ac:dyDescent="0.2">
      <c r="A30" s="124" t="s">
        <v>214</v>
      </c>
      <c r="B30" s="119" t="s">
        <v>215</v>
      </c>
      <c r="C30" s="120" t="s">
        <v>149</v>
      </c>
      <c r="D30" s="120" t="s">
        <v>144</v>
      </c>
      <c r="E30" s="125" t="s">
        <v>216</v>
      </c>
      <c r="F30" s="126"/>
      <c r="G30" s="667"/>
    </row>
    <row r="31" spans="1:7" ht="17.25" customHeight="1" x14ac:dyDescent="0.2">
      <c r="A31" s="127" t="s">
        <v>217</v>
      </c>
      <c r="B31" s="99" t="s">
        <v>159</v>
      </c>
      <c r="C31" s="100" t="s">
        <v>149</v>
      </c>
      <c r="D31" s="100" t="s">
        <v>144</v>
      </c>
      <c r="E31" s="104" t="s">
        <v>121</v>
      </c>
      <c r="F31" s="52"/>
      <c r="G31" s="128" t="s">
        <v>218</v>
      </c>
    </row>
    <row r="32" spans="1:7" ht="17.25" customHeight="1" x14ac:dyDescent="0.2">
      <c r="A32" s="127" t="s">
        <v>219</v>
      </c>
      <c r="B32" s="99" t="s">
        <v>220</v>
      </c>
      <c r="C32" s="100" t="s">
        <v>149</v>
      </c>
      <c r="D32" s="100" t="s">
        <v>144</v>
      </c>
      <c r="E32" s="101" t="s">
        <v>53</v>
      </c>
      <c r="F32" s="52"/>
      <c r="G32" s="102" t="s">
        <v>221</v>
      </c>
    </row>
    <row r="33" spans="1:7" ht="17.25" customHeight="1" x14ac:dyDescent="0.2">
      <c r="A33" s="127" t="s">
        <v>222</v>
      </c>
      <c r="B33" s="99" t="s">
        <v>164</v>
      </c>
      <c r="C33" s="100" t="s">
        <v>160</v>
      </c>
      <c r="D33" s="100" t="s">
        <v>144</v>
      </c>
      <c r="E33" s="101" t="s">
        <v>201</v>
      </c>
      <c r="F33" s="52"/>
      <c r="G33" s="102" t="s">
        <v>223</v>
      </c>
    </row>
    <row r="34" spans="1:7" ht="17.25" customHeight="1" x14ac:dyDescent="0.2">
      <c r="A34" s="127" t="s">
        <v>64</v>
      </c>
      <c r="B34" s="99" t="s">
        <v>164</v>
      </c>
      <c r="C34" s="100"/>
      <c r="D34" s="100"/>
      <c r="E34" s="101"/>
      <c r="F34" s="52"/>
      <c r="G34" s="129" t="s">
        <v>224</v>
      </c>
    </row>
    <row r="35" spans="1:7" ht="17.25" customHeight="1" x14ac:dyDescent="0.2">
      <c r="A35" s="127" t="s">
        <v>65</v>
      </c>
      <c r="B35" s="99" t="s">
        <v>225</v>
      </c>
      <c r="C35" s="100"/>
      <c r="D35" s="100"/>
      <c r="E35" s="101"/>
      <c r="F35" s="52"/>
      <c r="G35" s="129" t="s">
        <v>103</v>
      </c>
    </row>
    <row r="36" spans="1:7" ht="17.25" customHeight="1" x14ac:dyDescent="0.25">
      <c r="A36" s="105" t="s">
        <v>226</v>
      </c>
      <c r="B36" s="106"/>
      <c r="C36" s="107"/>
      <c r="D36" s="107"/>
      <c r="E36" s="108"/>
      <c r="F36" s="109"/>
      <c r="G36" s="668" t="s">
        <v>227</v>
      </c>
    </row>
    <row r="37" spans="1:7" ht="17.25" customHeight="1" x14ac:dyDescent="0.2">
      <c r="A37" s="130" t="s">
        <v>228</v>
      </c>
      <c r="B37" s="131" t="s">
        <v>229</v>
      </c>
      <c r="C37" s="132" t="s">
        <v>160</v>
      </c>
      <c r="D37" s="132" t="s">
        <v>144</v>
      </c>
      <c r="E37" s="133" t="s">
        <v>230</v>
      </c>
      <c r="F37" s="134" t="s">
        <v>150</v>
      </c>
      <c r="G37" s="669"/>
    </row>
    <row r="38" spans="1:7" ht="17.25" customHeight="1" x14ac:dyDescent="0.2">
      <c r="A38" s="130" t="s">
        <v>15</v>
      </c>
      <c r="B38" s="131" t="s">
        <v>229</v>
      </c>
      <c r="C38" s="132" t="s">
        <v>160</v>
      </c>
      <c r="D38" s="132" t="s">
        <v>144</v>
      </c>
      <c r="E38" s="133" t="s">
        <v>231</v>
      </c>
      <c r="F38" s="134" t="s">
        <v>150</v>
      </c>
      <c r="G38" s="135" t="s">
        <v>232</v>
      </c>
    </row>
    <row r="39" spans="1:7" ht="19.5" customHeight="1" x14ac:dyDescent="0.2">
      <c r="A39" s="136" t="s">
        <v>233</v>
      </c>
      <c r="B39" s="137"/>
      <c r="C39" s="136"/>
      <c r="D39" s="136"/>
      <c r="E39" s="136"/>
      <c r="F39" s="138"/>
      <c r="G39" s="138"/>
    </row>
    <row r="40" spans="1:7" ht="14.25" x14ac:dyDescent="0.2">
      <c r="A40" s="136" t="s">
        <v>234</v>
      </c>
      <c r="B40" s="137"/>
      <c r="C40" s="136"/>
      <c r="D40" s="136"/>
      <c r="E40" s="136"/>
      <c r="F40" s="138"/>
      <c r="G40" s="138"/>
    </row>
    <row r="41" spans="1:7" x14ac:dyDescent="0.2">
      <c r="A41" s="98"/>
      <c r="B41" s="139"/>
      <c r="C41" s="98"/>
      <c r="D41" s="98"/>
    </row>
    <row r="42" spans="1:7" ht="18" x14ac:dyDescent="0.25">
      <c r="A42" s="141"/>
      <c r="B42" s="142"/>
      <c r="C42" s="98"/>
      <c r="D42" s="98"/>
      <c r="G42" s="143"/>
    </row>
    <row r="43" spans="1:7" ht="27.75" x14ac:dyDescent="0.2">
      <c r="A43" s="662" t="s">
        <v>235</v>
      </c>
      <c r="B43" s="662"/>
      <c r="C43" s="662"/>
      <c r="D43" s="662"/>
      <c r="E43" s="662"/>
      <c r="F43" s="662"/>
      <c r="G43" s="662"/>
    </row>
    <row r="44" spans="1:7" ht="49.5" x14ac:dyDescent="0.2">
      <c r="A44" s="88" t="s">
        <v>134</v>
      </c>
      <c r="B44" s="89" t="s">
        <v>135</v>
      </c>
      <c r="C44" s="41" t="s">
        <v>136</v>
      </c>
      <c r="D44" s="90" t="s">
        <v>137</v>
      </c>
      <c r="E44" s="90" t="s">
        <v>138</v>
      </c>
      <c r="F44" s="90" t="s">
        <v>139</v>
      </c>
      <c r="G44" s="90" t="s">
        <v>68</v>
      </c>
    </row>
    <row r="45" spans="1:7" ht="15.75" x14ac:dyDescent="0.2">
      <c r="A45" s="145" t="s">
        <v>236</v>
      </c>
      <c r="B45" s="146"/>
      <c r="C45" s="116"/>
      <c r="D45" s="116"/>
      <c r="E45" s="116"/>
      <c r="F45" s="73"/>
      <c r="G45" s="118"/>
    </row>
    <row r="46" spans="1:7" ht="28.5" x14ac:dyDescent="0.2">
      <c r="A46" s="99" t="s">
        <v>237</v>
      </c>
      <c r="B46" s="147" t="s">
        <v>179</v>
      </c>
      <c r="C46" s="100" t="s">
        <v>161</v>
      </c>
      <c r="D46" s="100" t="s">
        <v>161</v>
      </c>
      <c r="E46" s="101" t="s">
        <v>201</v>
      </c>
      <c r="F46" s="661" t="s">
        <v>168</v>
      </c>
      <c r="G46" s="102" t="s">
        <v>238</v>
      </c>
    </row>
    <row r="47" spans="1:7" ht="28.5" x14ac:dyDescent="0.2">
      <c r="A47" s="99" t="s">
        <v>239</v>
      </c>
      <c r="B47" s="147" t="s">
        <v>164</v>
      </c>
      <c r="C47" s="100" t="s">
        <v>149</v>
      </c>
      <c r="D47" s="100" t="s">
        <v>240</v>
      </c>
      <c r="E47" s="101">
        <v>10</v>
      </c>
      <c r="F47" s="661"/>
      <c r="G47" s="102" t="s">
        <v>241</v>
      </c>
    </row>
    <row r="48" spans="1:7" ht="28.5" x14ac:dyDescent="0.2">
      <c r="A48" s="99" t="s">
        <v>242</v>
      </c>
      <c r="B48" s="147" t="s">
        <v>164</v>
      </c>
      <c r="C48" s="100" t="s">
        <v>161</v>
      </c>
      <c r="D48" s="100" t="s">
        <v>161</v>
      </c>
      <c r="E48" s="101">
        <v>15</v>
      </c>
      <c r="F48" s="661"/>
      <c r="G48" s="102" t="s">
        <v>243</v>
      </c>
    </row>
    <row r="49" spans="1:7" ht="28.5" x14ac:dyDescent="0.2">
      <c r="A49" s="99" t="s">
        <v>244</v>
      </c>
      <c r="B49" s="147" t="s">
        <v>184</v>
      </c>
      <c r="C49" s="100" t="s">
        <v>161</v>
      </c>
      <c r="D49" s="100" t="s">
        <v>155</v>
      </c>
      <c r="E49" s="101" t="s">
        <v>245</v>
      </c>
      <c r="F49" s="52" t="s">
        <v>146</v>
      </c>
      <c r="G49" s="102" t="s">
        <v>246</v>
      </c>
    </row>
    <row r="50" spans="1:7" ht="28.5" x14ac:dyDescent="0.2">
      <c r="A50" s="99" t="s">
        <v>10</v>
      </c>
      <c r="B50" s="147" t="s">
        <v>184</v>
      </c>
      <c r="C50" s="100" t="s">
        <v>143</v>
      </c>
      <c r="D50" s="100" t="s">
        <v>248</v>
      </c>
      <c r="E50" s="101" t="s">
        <v>249</v>
      </c>
      <c r="F50" s="52" t="s">
        <v>250</v>
      </c>
      <c r="G50" s="102" t="s">
        <v>251</v>
      </c>
    </row>
    <row r="51" spans="1:7" ht="15.75" x14ac:dyDescent="0.2">
      <c r="A51" s="145" t="s">
        <v>140</v>
      </c>
      <c r="B51" s="146"/>
      <c r="C51" s="116"/>
      <c r="D51" s="116"/>
      <c r="E51" s="116"/>
      <c r="F51" s="73"/>
      <c r="G51" s="118"/>
    </row>
    <row r="52" spans="1:7" ht="15" x14ac:dyDescent="0.2">
      <c r="A52" s="99" t="s">
        <v>35</v>
      </c>
      <c r="B52" s="147" t="s">
        <v>215</v>
      </c>
      <c r="C52" s="100" t="s">
        <v>149</v>
      </c>
      <c r="D52" s="100" t="s">
        <v>144</v>
      </c>
      <c r="E52" s="101" t="s">
        <v>145</v>
      </c>
      <c r="F52" s="52" t="s">
        <v>146</v>
      </c>
      <c r="G52" s="102" t="s">
        <v>252</v>
      </c>
    </row>
    <row r="53" spans="1:7" ht="28.5" x14ac:dyDescent="0.2">
      <c r="A53" s="99" t="s">
        <v>253</v>
      </c>
      <c r="B53" s="147" t="s">
        <v>179</v>
      </c>
      <c r="C53" s="100" t="s">
        <v>149</v>
      </c>
      <c r="D53" s="100" t="s">
        <v>144</v>
      </c>
      <c r="E53" s="100" t="s">
        <v>201</v>
      </c>
      <c r="F53" s="52" t="s">
        <v>146</v>
      </c>
      <c r="G53" s="102" t="s">
        <v>254</v>
      </c>
    </row>
    <row r="54" spans="1:7" ht="28.5" x14ac:dyDescent="0.2">
      <c r="A54" s="99" t="s">
        <v>255</v>
      </c>
      <c r="B54" s="147" t="s">
        <v>256</v>
      </c>
      <c r="C54" s="148" t="s">
        <v>149</v>
      </c>
      <c r="D54" s="100" t="s">
        <v>144</v>
      </c>
      <c r="E54" s="100">
        <v>5</v>
      </c>
      <c r="F54" s="52" t="s">
        <v>150</v>
      </c>
      <c r="G54" s="102" t="s">
        <v>257</v>
      </c>
    </row>
    <row r="55" spans="1:7" ht="28.5" x14ac:dyDescent="0.2">
      <c r="A55" s="99" t="s">
        <v>23</v>
      </c>
      <c r="B55" s="147" t="s">
        <v>164</v>
      </c>
      <c r="C55" s="148" t="s">
        <v>149</v>
      </c>
      <c r="D55" s="100" t="s">
        <v>161</v>
      </c>
      <c r="E55" s="100" t="s">
        <v>258</v>
      </c>
      <c r="F55" s="52" t="s">
        <v>250</v>
      </c>
      <c r="G55" s="102" t="s">
        <v>259</v>
      </c>
    </row>
    <row r="56" spans="1:7" ht="42.75" x14ac:dyDescent="0.2">
      <c r="A56" s="52" t="s">
        <v>260</v>
      </c>
      <c r="B56" s="147" t="s">
        <v>164</v>
      </c>
      <c r="C56" s="148" t="s">
        <v>149</v>
      </c>
      <c r="D56" s="100" t="s">
        <v>144</v>
      </c>
      <c r="E56" s="100" t="s">
        <v>119</v>
      </c>
      <c r="F56" s="52" t="s">
        <v>146</v>
      </c>
      <c r="G56" s="102" t="s">
        <v>261</v>
      </c>
    </row>
    <row r="57" spans="1:7" ht="28.5" x14ac:dyDescent="0.2">
      <c r="A57" s="52" t="s">
        <v>262</v>
      </c>
      <c r="B57" s="147" t="s">
        <v>179</v>
      </c>
      <c r="C57" s="148" t="s">
        <v>149</v>
      </c>
      <c r="D57" s="100" t="s">
        <v>144</v>
      </c>
      <c r="E57" s="100" t="s">
        <v>167</v>
      </c>
      <c r="F57" s="52" t="s">
        <v>146</v>
      </c>
      <c r="G57" s="102" t="s">
        <v>254</v>
      </c>
    </row>
    <row r="58" spans="1:7" ht="28.5" x14ac:dyDescent="0.2">
      <c r="A58" s="99" t="s">
        <v>37</v>
      </c>
      <c r="B58" s="147" t="s">
        <v>142</v>
      </c>
      <c r="C58" s="100" t="s">
        <v>149</v>
      </c>
      <c r="D58" s="100" t="s">
        <v>144</v>
      </c>
      <c r="E58" s="149" t="s">
        <v>145</v>
      </c>
      <c r="F58" s="52" t="s">
        <v>150</v>
      </c>
      <c r="G58" s="102" t="s">
        <v>263</v>
      </c>
    </row>
    <row r="59" spans="1:7" ht="28.5" x14ac:dyDescent="0.2">
      <c r="A59" s="99" t="s">
        <v>264</v>
      </c>
      <c r="B59" s="147" t="s">
        <v>159</v>
      </c>
      <c r="C59" s="100" t="s">
        <v>149</v>
      </c>
      <c r="D59" s="100" t="s">
        <v>144</v>
      </c>
      <c r="E59" s="100" t="s">
        <v>201</v>
      </c>
      <c r="F59" s="52" t="s">
        <v>265</v>
      </c>
      <c r="G59" s="102" t="s">
        <v>266</v>
      </c>
    </row>
    <row r="60" spans="1:7" ht="28.5" x14ac:dyDescent="0.2">
      <c r="A60" s="99" t="s">
        <v>267</v>
      </c>
      <c r="B60" s="147" t="s">
        <v>268</v>
      </c>
      <c r="C60" s="100" t="s">
        <v>149</v>
      </c>
      <c r="D60" s="100" t="s">
        <v>155</v>
      </c>
      <c r="E60" s="149" t="s">
        <v>269</v>
      </c>
      <c r="F60" s="52" t="s">
        <v>150</v>
      </c>
      <c r="G60" s="102" t="s">
        <v>270</v>
      </c>
    </row>
    <row r="61" spans="1:7" ht="28.5" x14ac:dyDescent="0.2">
      <c r="A61" s="150" t="s">
        <v>19</v>
      </c>
      <c r="B61" s="151" t="s">
        <v>184</v>
      </c>
      <c r="C61" s="148" t="s">
        <v>160</v>
      </c>
      <c r="D61" s="148" t="s">
        <v>161</v>
      </c>
      <c r="E61" s="152" t="s">
        <v>271</v>
      </c>
      <c r="F61" s="72" t="s">
        <v>272</v>
      </c>
      <c r="G61" s="53" t="s">
        <v>273</v>
      </c>
    </row>
    <row r="62" spans="1:7" ht="15.75" x14ac:dyDescent="0.2">
      <c r="A62" s="145" t="s">
        <v>182</v>
      </c>
      <c r="B62" s="146"/>
      <c r="C62" s="116"/>
      <c r="D62" s="116"/>
      <c r="E62" s="116"/>
      <c r="F62" s="73"/>
      <c r="G62" s="118"/>
    </row>
    <row r="63" spans="1:7" ht="28.5" x14ac:dyDescent="0.2">
      <c r="A63" s="99" t="s">
        <v>39</v>
      </c>
      <c r="B63" s="147" t="s">
        <v>274</v>
      </c>
      <c r="C63" s="100" t="s">
        <v>149</v>
      </c>
      <c r="D63" s="100" t="s">
        <v>181</v>
      </c>
      <c r="E63" s="101" t="s">
        <v>275</v>
      </c>
      <c r="F63" s="52" t="s">
        <v>265</v>
      </c>
      <c r="G63" s="102" t="s">
        <v>276</v>
      </c>
    </row>
    <row r="64" spans="1:7" ht="42.75" x14ac:dyDescent="0.2">
      <c r="A64" s="99" t="s">
        <v>277</v>
      </c>
      <c r="B64" s="147" t="s">
        <v>184</v>
      </c>
      <c r="C64" s="100" t="s">
        <v>149</v>
      </c>
      <c r="D64" s="100" t="s">
        <v>144</v>
      </c>
      <c r="E64" s="100" t="s">
        <v>278</v>
      </c>
      <c r="F64" s="52" t="s">
        <v>146</v>
      </c>
      <c r="G64" s="102" t="s">
        <v>279</v>
      </c>
    </row>
    <row r="65" spans="1:7" ht="28.5" x14ac:dyDescent="0.2">
      <c r="A65" s="123" t="s">
        <v>280</v>
      </c>
      <c r="B65" s="153" t="s">
        <v>184</v>
      </c>
      <c r="C65" s="112" t="s">
        <v>149</v>
      </c>
      <c r="D65" s="112" t="s">
        <v>144</v>
      </c>
      <c r="E65" s="112">
        <v>40</v>
      </c>
      <c r="F65" s="123" t="s">
        <v>146</v>
      </c>
      <c r="G65" s="154" t="s">
        <v>281</v>
      </c>
    </row>
    <row r="66" spans="1:7" ht="15.75" x14ac:dyDescent="0.2">
      <c r="A66" s="145" t="s">
        <v>152</v>
      </c>
      <c r="B66" s="146"/>
      <c r="C66" s="116"/>
      <c r="D66" s="116"/>
      <c r="E66" s="116"/>
      <c r="F66" s="73"/>
      <c r="G66" s="118"/>
    </row>
    <row r="67" spans="1:7" ht="30" x14ac:dyDescent="0.2">
      <c r="A67" s="126" t="s">
        <v>282</v>
      </c>
      <c r="B67" s="155" t="s">
        <v>164</v>
      </c>
      <c r="C67" s="120" t="s">
        <v>160</v>
      </c>
      <c r="D67" s="120" t="s">
        <v>161</v>
      </c>
      <c r="E67" s="120" t="s">
        <v>167</v>
      </c>
      <c r="F67" s="670" t="s">
        <v>168</v>
      </c>
      <c r="G67" s="122" t="s">
        <v>283</v>
      </c>
    </row>
    <row r="68" spans="1:7" ht="28.5" x14ac:dyDescent="0.2">
      <c r="A68" s="99" t="s">
        <v>25</v>
      </c>
      <c r="B68" s="147" t="s">
        <v>179</v>
      </c>
      <c r="C68" s="100" t="s">
        <v>160</v>
      </c>
      <c r="D68" s="100" t="s">
        <v>161</v>
      </c>
      <c r="E68" s="100" t="s">
        <v>119</v>
      </c>
      <c r="F68" s="661"/>
      <c r="G68" s="102" t="s">
        <v>283</v>
      </c>
    </row>
    <row r="69" spans="1:7" ht="15" x14ac:dyDescent="0.2">
      <c r="A69" s="99" t="s">
        <v>284</v>
      </c>
      <c r="B69" s="147" t="s">
        <v>179</v>
      </c>
      <c r="C69" s="100" t="s">
        <v>149</v>
      </c>
      <c r="D69" s="100" t="s">
        <v>155</v>
      </c>
      <c r="E69" s="100" t="s">
        <v>285</v>
      </c>
      <c r="F69" s="661" t="s">
        <v>286</v>
      </c>
      <c r="G69" s="102" t="s">
        <v>287</v>
      </c>
    </row>
    <row r="70" spans="1:7" ht="28.5" x14ac:dyDescent="0.2">
      <c r="A70" s="99" t="s">
        <v>13</v>
      </c>
      <c r="B70" s="147" t="s">
        <v>164</v>
      </c>
      <c r="C70" s="100" t="s">
        <v>149</v>
      </c>
      <c r="D70" s="100" t="s">
        <v>161</v>
      </c>
      <c r="E70" s="100" t="s">
        <v>288</v>
      </c>
      <c r="F70" s="661"/>
      <c r="G70" s="102" t="s">
        <v>289</v>
      </c>
    </row>
    <row r="71" spans="1:7" ht="28.5" x14ac:dyDescent="0.2">
      <c r="A71" s="150" t="s">
        <v>88</v>
      </c>
      <c r="B71" s="151" t="s">
        <v>164</v>
      </c>
      <c r="C71" s="148" t="s">
        <v>160</v>
      </c>
      <c r="D71" s="148" t="s">
        <v>161</v>
      </c>
      <c r="E71" s="148" t="s">
        <v>209</v>
      </c>
      <c r="F71" s="661"/>
      <c r="G71" s="53" t="s">
        <v>290</v>
      </c>
    </row>
    <row r="72" spans="1:7" ht="15" x14ac:dyDescent="0.2">
      <c r="A72" s="99" t="s">
        <v>291</v>
      </c>
      <c r="B72" s="147" t="s">
        <v>164</v>
      </c>
      <c r="C72" s="100" t="s">
        <v>149</v>
      </c>
      <c r="D72" s="100" t="s">
        <v>181</v>
      </c>
      <c r="E72" s="100" t="s">
        <v>292</v>
      </c>
      <c r="F72" s="661" t="s">
        <v>168</v>
      </c>
      <c r="G72" s="102" t="s">
        <v>293</v>
      </c>
    </row>
    <row r="73" spans="1:7" ht="28.5" x14ac:dyDescent="0.2">
      <c r="A73" s="99" t="s">
        <v>84</v>
      </c>
      <c r="B73" s="147" t="s">
        <v>179</v>
      </c>
      <c r="C73" s="100" t="s">
        <v>161</v>
      </c>
      <c r="D73" s="100" t="s">
        <v>161</v>
      </c>
      <c r="E73" s="100" t="s">
        <v>294</v>
      </c>
      <c r="F73" s="661"/>
      <c r="G73" s="102" t="s">
        <v>295</v>
      </c>
    </row>
    <row r="74" spans="1:7" ht="28.5" x14ac:dyDescent="0.2">
      <c r="A74" s="99" t="s">
        <v>296</v>
      </c>
      <c r="B74" s="147" t="s">
        <v>297</v>
      </c>
      <c r="C74" s="100" t="s">
        <v>149</v>
      </c>
      <c r="D74" s="100" t="s">
        <v>161</v>
      </c>
      <c r="E74" s="100" t="s">
        <v>298</v>
      </c>
      <c r="F74" s="661"/>
      <c r="G74" s="102" t="s">
        <v>299</v>
      </c>
    </row>
    <row r="75" spans="1:7" ht="15" x14ac:dyDescent="0.2">
      <c r="A75" s="99" t="s">
        <v>120</v>
      </c>
      <c r="B75" s="147" t="s">
        <v>297</v>
      </c>
      <c r="C75" s="100" t="s">
        <v>149</v>
      </c>
      <c r="D75" s="100" t="s">
        <v>161</v>
      </c>
      <c r="E75" s="100" t="s">
        <v>300</v>
      </c>
      <c r="F75" s="661"/>
      <c r="G75" s="102" t="s">
        <v>301</v>
      </c>
    </row>
    <row r="76" spans="1:7" ht="14.25" x14ac:dyDescent="0.2">
      <c r="A76" s="136" t="s">
        <v>302</v>
      </c>
      <c r="B76" s="156"/>
      <c r="C76" s="136"/>
      <c r="D76" s="157"/>
      <c r="E76" s="157"/>
      <c r="F76" s="138"/>
    </row>
    <row r="77" spans="1:7" ht="14.25" x14ac:dyDescent="0.2">
      <c r="A77" s="136" t="s">
        <v>303</v>
      </c>
      <c r="B77" s="158"/>
      <c r="D77" s="159"/>
      <c r="E77" s="159"/>
      <c r="F77" s="138"/>
    </row>
  </sheetData>
  <sheetProtection password="CAEF" sheet="1" objects="1" scenarios="1"/>
  <mergeCells count="13">
    <mergeCell ref="H2:L3"/>
    <mergeCell ref="F72:F75"/>
    <mergeCell ref="A1:G1"/>
    <mergeCell ref="F7:F8"/>
    <mergeCell ref="F12:F13"/>
    <mergeCell ref="F14:F15"/>
    <mergeCell ref="F17:F26"/>
    <mergeCell ref="G29:G30"/>
    <mergeCell ref="G36:G37"/>
    <mergeCell ref="A43:G43"/>
    <mergeCell ref="F46:F48"/>
    <mergeCell ref="F67:F68"/>
    <mergeCell ref="F69:F71"/>
  </mergeCells>
  <hyperlinks>
    <hyperlink ref="H2:L3" location="Anleitung!A1" display="◄ ZURÜCK ZUR STARTSEITE / BEDIENUNGSANLEITUNG"/>
  </hyperlinks>
  <pageMargins left="0.23622047244094491" right="0.15748031496062992" top="0.19685039370078741" bottom="0.19685039370078741" header="0.15748031496062992" footer="0.15748031496062992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9</vt:i4>
      </vt:variant>
      <vt:variant>
        <vt:lpstr>Benannte Bereiche</vt:lpstr>
      </vt:variant>
      <vt:variant>
        <vt:i4>8</vt:i4>
      </vt:variant>
    </vt:vector>
  </HeadingPairs>
  <TitlesOfParts>
    <vt:vector size="17" baseType="lpstr">
      <vt:lpstr>Anleitung</vt:lpstr>
      <vt:lpstr>Begr.-Rechner int. Prod.</vt:lpstr>
      <vt:lpstr>Zusammenfassung int. Prod.</vt:lpstr>
      <vt:lpstr>Konventionell (2)</vt:lpstr>
      <vt:lpstr>Begr.-Rechner BIO</vt:lpstr>
      <vt:lpstr>BIO (2)</vt:lpstr>
      <vt:lpstr>Zusammenfassung BIO</vt:lpstr>
      <vt:lpstr>Begrünungsliste 2024</vt:lpstr>
      <vt:lpstr>Anbauzeitpunkte</vt:lpstr>
      <vt:lpstr>Anbauzeitpunkte!Druckbereich</vt:lpstr>
      <vt:lpstr>'Begr.-Rechner int. Prod.'!Druckbereich</vt:lpstr>
      <vt:lpstr>'Begrünungsliste 2024'!Druckbereich</vt:lpstr>
      <vt:lpstr>'Konventionell (2)'!Druckbereich</vt:lpstr>
      <vt:lpstr>'Zusammenfassung BIO'!Druckbereich</vt:lpstr>
      <vt:lpstr>'Zusammenfassung int. Prod.'!Druckbereich</vt:lpstr>
      <vt:lpstr>'Konventionell (2)'!Einzelkulturen</vt:lpstr>
      <vt:lpstr>Einzelkulturen</vt:lpstr>
    </vt:vector>
  </TitlesOfParts>
  <Company>Landwirtschaftskammer OÖ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Kriegner-Schramml Simon</dc:creator>
  <cp:lastModifiedBy>Kriegner-Schramml Simon</cp:lastModifiedBy>
  <cp:lastPrinted>2024-07-29T14:30:08Z</cp:lastPrinted>
  <dcterms:created xsi:type="dcterms:W3CDTF">2020-06-12T08:42:07Z</dcterms:created>
  <dcterms:modified xsi:type="dcterms:W3CDTF">2024-07-29T14:32:26Z</dcterms:modified>
</cp:coreProperties>
</file>