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comments1.xml" ContentType="application/vnd.openxmlformats-officedocument.spreadsheetml.comments+xml"/>
  <Override PartName="/xl/tables/table3.xml" ContentType="application/vnd.openxmlformats-officedocument.spreadsheetml.table+xml"/>
  <Override PartName="/xl/tables/table4.xml" ContentType="application/vnd.openxmlformats-officedocument.spreadsheetml.table+xml"/>
  <Override PartName="/xl/comments2.xml" ContentType="application/vnd.openxmlformats-officedocument.spreadsheetml.comments+xml"/>
  <Override PartName="/xl/comments3.xml" ContentType="application/vnd.openxmlformats-officedocument.spreadsheetml.comments+xml"/>
  <Override PartName="/xl/tables/table5.xml" ContentType="application/vnd.openxmlformats-officedocument.spreadsheetml.table+xml"/>
  <Override PartName="/xl/comments4.xml" ContentType="application/vnd.openxmlformats-officedocument.spreadsheetml.comments+xml"/>
  <Override PartName="/xl/drawings/drawing3.xml" ContentType="application/vnd.openxmlformats-officedocument.drawing+xml"/>
  <Override PartName="/xl/drawings/drawing4.xml" ContentType="application/vnd.openxmlformats-officedocument.drawing+xml"/>
  <Override PartName="/xl/comments5.xml" ContentType="application/vnd.openxmlformats-officedocument.spreadsheetml.comments+xml"/>
  <Override PartName="/xl/comments6.xml" ContentType="application/vnd.openxmlformats-officedocument.spreadsheetml.comments+xml"/>
  <Override PartName="/xl/tables/table6.xml" ContentType="application/vnd.openxmlformats-officedocument.spreadsheetml.table+xml"/>
  <Override PartName="/xl/comments7.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saveExternalLinkValues="0" codeName="DieseArbeitsmappe" hidePivotFieldList="1" autoCompressPictures="0"/>
  <mc:AlternateContent xmlns:mc="http://schemas.openxmlformats.org/markup-compatibility/2006">
    <mc:Choice Requires="x15">
      <x15ac:absPath xmlns:x15ac="http://schemas.microsoft.com/office/spreadsheetml/2010/11/ac" url="C:\Users\eva.lechner\Downloads\"/>
    </mc:Choice>
  </mc:AlternateContent>
  <bookViews>
    <workbookView xWindow="936" yWindow="0" windowWidth="24276" windowHeight="13452" tabRatio="871" activeTab="3"/>
  </bookViews>
  <sheets>
    <sheet name="Info" sheetId="2" r:id="rId1"/>
    <sheet name="Betrieb" sheetId="3" r:id="rId2"/>
    <sheet name="N_Bedarf" sheetId="9" r:id="rId3"/>
    <sheet name="Tiere" sheetId="4" r:id="rId4"/>
    <sheet name="Hofdung" sheetId="6" r:id="rId5"/>
    <sheet name="Tabelle1" sheetId="1" state="hidden" r:id="rId6"/>
    <sheet name="Organ__Dü" sheetId="5" r:id="rId7"/>
    <sheet name="Mineral" sheetId="7" r:id="rId8"/>
    <sheet name="Ergebnis" sheetId="10" r:id="rId9"/>
    <sheet name="Ertragsermittlung" sheetId="26" r:id="rId10"/>
    <sheet name="WD-Vertrag" sheetId="25" r:id="rId11"/>
    <sheet name="System I" sheetId="11" r:id="rId12"/>
    <sheet name="Weideblatt" sheetId="24" r:id="rId13"/>
    <sheet name="Bodennah" sheetId="22" r:id="rId14"/>
    <sheet name="N_Berechnung" sheetId="8" r:id="rId15"/>
    <sheet name="Düngeplanung" sheetId="18" r:id="rId16"/>
    <sheet name="Schw_Geflügel" sheetId="15" r:id="rId17"/>
    <sheet name="Pfl_Schutz" sheetId="28" r:id="rId18"/>
    <sheet name="PSM_Bestände" sheetId="29" r:id="rId19"/>
    <sheet name="Kali u Kosten" sheetId="21" r:id="rId20"/>
    <sheet name="Tierzahlen" sheetId="16" r:id="rId21"/>
  </sheets>
  <definedNames>
    <definedName name="__xlnm.Print_Area" localSheetId="1">Betrieb!$A$1:$D$20</definedName>
    <definedName name="__xlnm.Print_Area" localSheetId="8">Ergebnis!$A$1:$F$55</definedName>
    <definedName name="__xlnm.Print_Area" localSheetId="4">Hofdung!$A$1:$P$34</definedName>
    <definedName name="__xlnm.Print_Area" localSheetId="0">Info!$A$1:$C$37</definedName>
    <definedName name="__xlnm.Print_Area" localSheetId="7">Mineral!$A$1:$J$28</definedName>
    <definedName name="__xlnm.Print_Area" localSheetId="2">N_Bedarf!$C$1:$S$31</definedName>
    <definedName name="__xlnm.Print_Area" localSheetId="6">Organ__Dü!$B$1:$N$27</definedName>
    <definedName name="__xlnm.Print_Area" localSheetId="17">Pfl_Schutz!$A$1:$F$36</definedName>
    <definedName name="__xlnm.Print_Area" localSheetId="18">PSM_Bestände!#REF!</definedName>
    <definedName name="__xlnm.Print_Area" localSheetId="16">Schw_Geflügel!$A$1:$D$103</definedName>
    <definedName name="__xlnm.Print_Area" localSheetId="11">'System I'!$A$1:$U$22</definedName>
    <definedName name="__xlnm.Print_Area" localSheetId="3">Tiere!$B$1:$X$35</definedName>
    <definedName name="__xlnm.Print_Area">Betrieb!$A$1:$D$19</definedName>
    <definedName name="__xlnm.Print_Area_3">Ergebnis!$B$1:$F$51</definedName>
    <definedName name="__xlnm.Print_Area_5">Hofdung!$A$1:$P$34</definedName>
    <definedName name="__xlnm.Print_Area_6">Info!$A$1:$C$37</definedName>
    <definedName name="__xlnm.Print_Area_8">Mineral!$A$1:$J$28</definedName>
    <definedName name="__xlnm.Print_Area_9">N_Bedarf!$C$1:$S$32</definedName>
    <definedName name="_19" localSheetId="18">INDEX(PSM_Bestände!$Z$4:INDIRECT("Z"&amp;COUNTA(PFL_Schutz_Drop_Down56[19])-COUNTBLANK(PFL_Schutz_Drop_Down56[19])+3),0,1)</definedName>
    <definedName name="_21" localSheetId="18">INDEX(PSM_Bestände!$Y$4:INDIRECT("Y"&amp;COUNTA(PFL_Schutz_Drop_Down56[21])-COUNTBLANK(PFL_Schutz_Drop_Down56[21])+3),0,1)</definedName>
    <definedName name="_23" localSheetId="18">INDEX(PSM_Bestände!$Z$4:INDIRECT("Z"&amp;COUNTA(PFL_Schutz_Drop_Down56[23])-COUNTBLANK(PFL_Schutz_Drop_Down56[23])+1),0,1)</definedName>
    <definedName name="_25" localSheetId="18">INDEX(PSM_Bestände!$AA$4:INDIRECT("AA"&amp;COUNTA(PFL_Schutz_Drop_Down56[25])-COUNTBLANK(PFL_Schutz_Drop_Down56[25])+3),0,1)</definedName>
    <definedName name="_27" localSheetId="18">INDEX(PSM_Bestände!$AB$4:INDIRECT("AB"&amp;COUNTA(PFL_Schutz_Drop_Down56[27])-COUNTBLANK(PFL_Schutz_Drop_Down56[27])+3),0,1)</definedName>
    <definedName name="_29" localSheetId="18">INDEX(PSM_Bestände!$AC$4:INDIRECT("AC"&amp;COUNTA(PFL_Schutz_Drop_Down56[29])-COUNTBLANK(PFL_Schutz_Drop_Down56[29])+3),0,1)</definedName>
    <definedName name="_31" localSheetId="18">INDEX(PSM_Bestände!$AD$4:INDIRECT("AD"&amp;COUNTA(PFL_Schutz_Drop_Down56[31])-COUNTBLANK(PFL_Schutz_Drop_Down56[31])+3),0,1)</definedName>
    <definedName name="_33" localSheetId="18">INDEX(PSM_Bestände!$AE$4:INDIRECT("AE"&amp;COUNTA(PFL_Schutz_Drop_Down56[33])-COUNTBLANK(PFL_Schutz_Drop_Down56[33])+3),0,1)</definedName>
    <definedName name="_35" localSheetId="18">INDEX(PSM_Bestände!$AF$4:INDIRECT("AF"&amp;COUNTA(PFL_Schutz_Drop_Down56[35])-COUNTBLANK(PFL_Schutz_Drop_Down56[35])+3),0,1)</definedName>
    <definedName name="_37" localSheetId="18">INDEX(PSM_Bestände!$AG$4:INDIRECT("AG"&amp;COUNTA(PFL_Schutz_Drop_Down56[37])-COUNTBLANK(PFL_Schutz_Drop_Down56[37])+3),0,1)</definedName>
    <definedName name="_39" localSheetId="18">INDEX(PSM_Bestände!$AH$4:INDIRECT("AH"&amp;COUNTA(PFL_Schutz_Drop_Down56[39])-COUNTBLANK(PFL_Schutz_Drop_Down56[39])+3),0,1)</definedName>
    <definedName name="_41" localSheetId="18">INDEX(PSM_Bestände!$AI$4:INDIRECT("AI"&amp;COUNTA(PFL_Schutz_Drop_Down56[41])-COUNTBLANK(PFL_Schutz_Drop_Down56[41])+3),0,1)</definedName>
    <definedName name="_43" localSheetId="18">INDEX(PSM_Bestände!$AJ$4:INDIRECT("AJ"&amp;COUNTA(PFL_Schutz_Drop_Down56[43])-COUNTBLANK(PFL_Schutz_Drop_Down56[43])+3),0,1)</definedName>
    <definedName name="_45" localSheetId="18">INDEX(PSM_Bestände!$AK$4:INDIRECT("AK"&amp;COUNTA(PFL_Schutz_Drop_Down56[45])-COUNTBLANK(PFL_Schutz_Drop_Down56[45])+3),0,1)</definedName>
    <definedName name="_47" localSheetId="18">INDEX(PSM_Bestände!$AL$4:INDIRECT("AL"&amp;COUNTA(PFL_Schutz_Drop_Down56[47])-COUNTBLANK(PFL_Schutz_Drop_Down56[47])+3),0,1)</definedName>
    <definedName name="_49" localSheetId="18">INDEX(PSM_Bestände!$AM$4:INDIRECT("AM"&amp;COUNTA(PFL_Schutz_Drop_Down56[49])-COUNTBLANK(PFL_Schutz_Drop_Down56[49])+3),0,1)</definedName>
    <definedName name="_51" localSheetId="18">INDEX(PSM_Bestände!$AN$4:INDIRECT("AN"&amp;COUNTA(PFL_Schutz_Drop_Down56[51])-COUNTBLANK(PFL_Schutz_Drop_Down56[51])+3),0,1)</definedName>
    <definedName name="_53" localSheetId="18">INDEX(PSM_Bestände!$AO$4:INDIRECT("AO"&amp;COUNTA(PFL_Schutz_Drop_Down56[53])-COUNTBLANK(PFL_Schutz_Drop_Down56[53])+3),0,1)</definedName>
    <definedName name="_55" localSheetId="18">INDEX(PSM_Bestände!$AP$4:INDIRECT("AP"&amp;COUNTA(PFL_Schutz_Drop_Down56[55])-COUNTBLANK(PFL_Schutz_Drop_Down56[55])+3),0,1)</definedName>
    <definedName name="_57" localSheetId="18">INDEX(PSM_Bestände!$AQ$4:INDIRECT("AQ"&amp;COUNTA(PFL_Schutz_Drop_Down56[57])-COUNTBLANK(PFL_Schutz_Drop_Down56[57])+3),0,1)</definedName>
    <definedName name="_59" localSheetId="18">INDEX(PSM_Bestände!$AR$4:INDIRECT("AR"&amp;COUNTA(PFL_Schutz_Drop_Down56[59])-COUNTBLANK(PFL_Schutz_Drop_Down56[59])+3),0,1)</definedName>
    <definedName name="_61" localSheetId="18">INDEX(PSM_Bestände!$AS$4:INDIRECT("AS"&amp;COUNTA(PFL_Schutz_Drop_Down56[61])-COUNTBLANK(PFL_Schutz_Drop_Down56[61])+3),0,1)</definedName>
    <definedName name="_63" localSheetId="18">INDEX(PSM_Bestände!$AT$4:INDIRECT("AT"&amp;COUNTA(PFL_Schutz_Drop_Down56[63])-COUNTBLANK(PFL_Schutz_Drop_Down56[63])+3),0,1)</definedName>
    <definedName name="_65" localSheetId="18">INDEX(PSM_Bestände!$AU$4:INDIRECT("AU"&amp;COUNTA(PFL_Schutz_Drop_Down56[65])-COUNTBLANK(PFL_Schutz_Drop_Down56[65])+3),0,1)</definedName>
    <definedName name="_67" localSheetId="18">INDEX(PSM_Bestände!$AV$4:INDIRECT("AV"&amp;COUNTA(PFL_Schutz_Drop_Down56[67])-COUNTBLANK(PFL_Schutz_Drop_Down56[67])+3),0,1)</definedName>
    <definedName name="_69" localSheetId="18">INDEX(PSM_Bestände!$AW$4:INDIRECT("AW"&amp;COUNTA(PFL_Schutz_Drop_Down56[69])-COUNTBLANK(PFL_Schutz_Drop_Down56[69])+3),0,1)</definedName>
    <definedName name="_71" localSheetId="18">INDEX(PSM_Bestände!$AX$4:INDIRECT("AX"&amp;COUNTA(PFL_Schutz_Drop_Down56[71])-COUNTBLANK(PFL_Schutz_Drop_Down56[71])+3),0,1)</definedName>
    <definedName name="_73" localSheetId="18">INDEX(PSM_Bestände!$AY$4:INDIRECT("AY"&amp;COUNTA(PFL_Schutz_Drop_Down56[73])-COUNTBLANK(PFL_Schutz_Drop_Down56[73])+3),0,1)</definedName>
    <definedName name="_75" localSheetId="18">INDEX(PSM_Bestände!$AZ$4:INDIRECT("AZ"&amp;COUNTA(PFL_Schutz_Drop_Down56[75])-COUNTBLANK(PFL_Schutz_Drop_Down56[75])+3),0,1)</definedName>
    <definedName name="_xlnm._FilterDatabase" localSheetId="17" hidden="1">Pfl_Schutz!#REF!</definedName>
    <definedName name="_xlnm._FilterDatabase" localSheetId="18" hidden="1">PSM_Bestände!#REF!</definedName>
    <definedName name="Auswahl_Kulturen">Ertragsermittlung!$R$3:$R$15</definedName>
    <definedName name="Betriebskulturen">N_Bedarf!$B$5:$B$25</definedName>
    <definedName name="_xlnm.Print_Area" localSheetId="1">Betrieb!$A$1:$D$20</definedName>
    <definedName name="_xlnm.Print_Area" localSheetId="13">Bodennah!$A$1:$J$65</definedName>
    <definedName name="_xlnm.Print_Area" localSheetId="15">Düngeplanung!$A$1:$AJ$28</definedName>
    <definedName name="_xlnm.Print_Area" localSheetId="8">Ergebnis!$A$1:$F$55</definedName>
    <definedName name="_xlnm.Print_Area" localSheetId="9">Ertragsermittlung!$A$1:$G$51</definedName>
    <definedName name="_xlnm.Print_Area" localSheetId="4">Hofdung!$A$1:$P$34</definedName>
    <definedName name="_xlnm.Print_Area" localSheetId="0">Info!$A$1:$C$37</definedName>
    <definedName name="_xlnm.Print_Area" localSheetId="7">Mineral!$A$1:$J$28</definedName>
    <definedName name="_xlnm.Print_Area" localSheetId="2">N_Bedarf!$C$1:$S$29</definedName>
    <definedName name="_xlnm.Print_Area" localSheetId="6">Organ__Dü!$B$1:$N$27</definedName>
    <definedName name="_xlnm.Print_Area" localSheetId="17">Pfl_Schutz!$A$1:$F$77</definedName>
    <definedName name="_xlnm.Print_Area" localSheetId="18">PSM_Bestände!$A$3:$E$76</definedName>
    <definedName name="_xlnm.Print_Area" localSheetId="16">Schw_Geflügel!$A$1:$D$103</definedName>
    <definedName name="_xlnm.Print_Area" localSheetId="11">'System I'!$A$1:$Z$52</definedName>
    <definedName name="_xlnm.Print_Area" localSheetId="3">Tiere!$A$1:$X$35</definedName>
    <definedName name="_xlnm.Print_Area" localSheetId="20">Tierzahlen!$A$1:$G$60</definedName>
    <definedName name="_xlnm.Print_Area" localSheetId="10">'WD-Vertrag'!$A$1:$L$42</definedName>
    <definedName name="_xlnm.Print_Area" localSheetId="12">Weideblatt!$B$1:$J$31</definedName>
    <definedName name="Liste_BIO_WD_Auswahl">INDEX(#REF!:INDIRECT("T"&amp;COUNTA(#REF!)-COUNTBLANK(#REF!)+3),0,1)</definedName>
    <definedName name="Liste_Ertrag">N_Bedarf!$AJ$29:$AJ$35</definedName>
    <definedName name="Liste_GL_Kulturen">N_Bedarf!$AM$268:$AM$285</definedName>
    <definedName name="Liste_Grünland">N_Bedarf!$AK$29:$AK$31</definedName>
    <definedName name="Liste_Handelsdünger_A10">INDEX(Mineral!$AS$2:INDIRECT("AS"&amp;COUNTA(Liste_Handelsünger[A10])-COUNTBLANK(Liste_Handelsünger[A10])+2),0,1)</definedName>
    <definedName name="Liste_Handelsdünger_A11">INDEX(Mineral!$AU$2:INDIRECT("AU"&amp;COUNTA(Liste_Handelsünger[A11])-COUNTBLANK(Liste_Handelsünger[A11])+2),0,1)</definedName>
    <definedName name="Liste_Handelsdünger_A12">INDEX(Mineral!$AW$2:INDIRECT("AW"&amp;COUNTA(Liste_Handelsünger[A12])-COUNTBLANK(Liste_Handelsünger[A12])+2),0,1)</definedName>
    <definedName name="Liste_Handelsdünger_A13">INDEX(Mineral!$AY$2:INDIRECT("AY"&amp;COUNTA(Liste_Handelsünger[A13])-COUNTBLANK(Liste_Handelsünger[A13])+2),0,1)</definedName>
    <definedName name="Liste_Handelsdünger_A14">INDEX(Mineral!$BA$2:INDIRECT("BA"&amp;COUNTA(Liste_Handelsünger[A14])-COUNTBLANK(Liste_Handelsünger[A14])+2),0,1)</definedName>
    <definedName name="Liste_Handelsdünger_A15">INDEX(Mineral!$BC$2:INDIRECT("BC"&amp;COUNTA(Liste_Handelsünger[A15])-COUNTBLANK(Liste_Handelsünger[A15])+2),0,1)</definedName>
    <definedName name="Liste_Handelsdünger_A16">INDEX(Mineral!$BE$2:INDIRECT("BE"&amp;COUNTA(Liste_Handelsünger[A16])-COUNTBLANK(Liste_Handelsünger[A16])+2),0,1)</definedName>
    <definedName name="Liste_Handelsdünger_A17">INDEX(Mineral!$BG$2:INDIRECT("BG"&amp;COUNTA(Liste_Handelsünger[A17])-COUNTBLANK(Liste_Handelsünger[A17])+2),0,1)</definedName>
    <definedName name="Liste_Handelsdünger_A3">INDEX(Mineral!$AE$2:INDIRECT("AE"&amp;COUNTA(Liste_Handelsünger[A3])-COUNTBLANK(Liste_Handelsünger[A3])+2),0,1)</definedName>
    <definedName name="Liste_Handelsdünger_A4">INDEX(Mineral!$AG$2:INDIRECT("AG"&amp;COUNTA(Liste_Handelsünger[A4])-COUNTBLANK(Liste_Handelsünger[A4])+2),0,1)</definedName>
    <definedName name="Liste_Handelsdünger_A5">INDEX(Mineral!$AI$2:INDIRECT("AI"&amp;COUNTA(Liste_Handelsünger[A5])-COUNTBLANK(Liste_Handelsünger[A5])+2),0,1)</definedName>
    <definedName name="Liste_Handelsdünger_A6">INDEX(Mineral!$AK$2:INDIRECT("AK"&amp;COUNTA(Liste_Handelsünger[A6])-COUNTBLANK(Liste_Handelsünger[A6])+2),0,1)</definedName>
    <definedName name="Liste_Handelsdünger_A7">INDEX(Mineral!$AM$2:INDIRECT("AM"&amp;COUNTA(Liste_Handelsünger[A7])-COUNTBLANK(Liste_Handelsünger[A7])+2),0,1)</definedName>
    <definedName name="Liste_Handelsdünger_A8">INDEX(Mineral!$AO$2:INDIRECT("AO"&amp;COUNTA(Liste_Handelsünger[A7])-COUNTBLANK(Liste_Handelsünger[A7])+2),0,1)</definedName>
    <definedName name="Liste_Handelsdünger_A9">INDEX(Mineral!$AQ$2:INDIRECT("AQ"&amp;COUNTA(Liste_Handelsünger[A9])-COUNTBLANK(Liste_Handelsünger[A9])+2),0,1)</definedName>
    <definedName name="Liste_ja">Tabelle1!$AN$5:$AN$6</definedName>
    <definedName name="Liste_K_Bedarf">N_Bedarf!$BJ$5:$BO$285</definedName>
    <definedName name="Liste_Kulturen">N_Bedarf!$AM$4:$AM$262</definedName>
    <definedName name="Liste_MD">Tabelle1!$C$179:$C$211</definedName>
    <definedName name="Liste_N_Bedarf">N_Bedarf!$AM$5:$BC$262</definedName>
    <definedName name="Liste_N_GL">N_Bedarf!$AM$268:$AV$285</definedName>
    <definedName name="Liste_OD">Tabelle1!$C$165:$C$178</definedName>
    <definedName name="Liste_P_Bedarf">N_Bedarf!$BE$3:$BH$285</definedName>
    <definedName name="Liste_Tiere_BIO">INDEX(#REF!:INDIRECT("U"&amp;COUNTA(#REF!)-COUNTBLANK(#REF!)+1),0,1)</definedName>
    <definedName name="Liste_WD">Tabelle1!$C$159:$C$164</definedName>
    <definedName name="N_Bedarf_C10">INDEX(N_Bedarf!$CD$2:INDIRECT("CD"&amp;COUNTA(Liste_Ackerkulturen_Gemüse_DropDown[C10])-COUNTBLANK(Liste_Ackerkulturen_Gemüse_DropDown[C10])+2),0,1)</definedName>
    <definedName name="N_Bedarf_C11">INDEX(N_Bedarf!$CF$2:INDIRECT("CF"&amp;COUNTA(Liste_Ackerkulturen_Gemüse_DropDown[C11])-COUNTBLANK(Liste_Ackerkulturen_Gemüse_DropDown[C11])+2),0,1)</definedName>
    <definedName name="N_Bedarf_C12">INDEX(N_Bedarf!$CH$2:INDIRECT("CH"&amp;COUNTA(Liste_Ackerkulturen_Gemüse_DropDown[C12])-COUNTBLANK(Liste_Ackerkulturen_Gemüse_DropDown[C12])+2),0,1)</definedName>
    <definedName name="N_Bedarf_C13">INDEX(N_Bedarf!$CJ$2:INDIRECT("CJ"&amp;COUNTA(Liste_Ackerkulturen_Gemüse_DropDown[C13])-COUNTBLANK(Liste_Ackerkulturen_Gemüse_DropDown[C13])+2),0,1)</definedName>
    <definedName name="N_Bedarf_C14">INDEX(N_Bedarf!$CL$2:INDIRECT("CL"&amp;COUNTA(Liste_Ackerkulturen_Gemüse_DropDown[C14])-COUNTBLANK(Liste_Ackerkulturen_Gemüse_DropDown[C14])+2),0,1)</definedName>
    <definedName name="N_Bedarf_C15">INDEX(N_Bedarf!$CN$2:INDIRECT("CN"&amp;COUNTA(Liste_Ackerkulturen_Gemüse_DropDown[C15])-COUNTBLANK(Liste_Ackerkulturen_Gemüse_DropDown[C15])+2),0,1)</definedName>
    <definedName name="N_Bedarf_C16">INDEX(N_Bedarf!$CP$2:INDIRECT("CP"&amp;COUNTA(Liste_Ackerkulturen_Gemüse_DropDown[C16])-COUNTBLANK(Liste_Ackerkulturen_Gemüse_DropDown[C16])+2),0,1)</definedName>
    <definedName name="N_Bedarf_C17">INDEX(N_Bedarf!$CR$2:INDIRECT("CR"&amp;COUNTA(Liste_Ackerkulturen_Gemüse_DropDown[C17])-COUNTBLANK(Liste_Ackerkulturen_Gemüse_DropDown[C17])+2),0,1)</definedName>
    <definedName name="N_Bedarf_C20">INDEX(N_Bedarf!$CW$2:INDIRECT("CW"&amp;COUNTA(Liste_Grünland_DropDown[C20])-COUNTBLANK(Liste_Grünland_DropDown[C20])+2),0,1)</definedName>
    <definedName name="N_Bedarf_C21">INDEX(N_Bedarf!$CY$2:INDIRECT("CY"&amp;COUNTA(Liste_Grünland_DropDown[C21])-COUNTBLANK(Liste_Grünland_DropDown[C21])+2),0,1)</definedName>
    <definedName name="N_Bedarf_C22">INDEX(N_Bedarf!$DA$2:INDIRECT("DA"&amp;COUNTA(Liste_Grünland_DropDown[C22])-COUNTBLANK(Liste_Grünland_DropDown[C22])+2),0,1)</definedName>
    <definedName name="N_Bedarf_C23">INDEX(N_Bedarf!$DC$2:INDIRECT("DC"&amp;COUNTA(Liste_Grünland_DropDown[C23])-COUNTBLANK(Liste_Grünland_DropDown[C23])+2),0,1)</definedName>
    <definedName name="N_Bedarf_C24">INDEX(N_Bedarf!$DE$2:INDIRECT("DE"&amp;COUNTA(Liste_Grünland_DropDown[C24])-COUNTBLANK(Liste_Grünland_DropDown[C24])+2),0,1)</definedName>
    <definedName name="N_Bedarf_C25">INDEX(N_Bedarf!$DG$2:INDIRECT("DG"&amp;COUNTA(Liste_Grünland_DropDown[C25])-COUNTBLANK(Liste_Grünland_DropDown[C25])+2),0,1)</definedName>
    <definedName name="N_Bedarf_C5">INDEX(N_Bedarf!$BT$2:INDIRECT("BT"&amp;COUNTA(Liste_Ackerkulturen_Gemüse_DropDown[C5])-COUNTBLANK(Liste_Ackerkulturen_Gemüse_DropDown[C5])+2),0,1)</definedName>
    <definedName name="N_Bedarf_C6">INDEX(N_Bedarf!$BV$2:INDIRECT("BV"&amp;COUNTA(Liste_Ackerkulturen_Gemüse_DropDown[C6])-COUNTBLANK(Liste_Ackerkulturen_Gemüse_DropDown[C6])+2),0,1)</definedName>
    <definedName name="N_Bedarf_C7">INDEX(N_Bedarf!$BX$2:INDIRECT("BX"&amp;COUNTA(Liste_Ackerkulturen_Gemüse_DropDown[C7])-COUNTBLANK(Liste_Ackerkulturen_Gemüse_DropDown[C7])+2),0,1)</definedName>
    <definedName name="N_Bedarf_C8">INDEX(N_Bedarf!$BZ$2:INDIRECT("BZ"&amp;COUNTA(Liste_Ackerkulturen_Gemüse_DropDown[C8])-COUNTBLANK(Liste_Ackerkulturen_Gemüse_DropDown[C8])+2),0,1)</definedName>
    <definedName name="N_Bedarf_C9">INDEX(N_Bedarf!$CB$2:INDIRECT("CB"&amp;COUNTA(Liste_Ackerkulturen_Gemüse_DropDown[C9])-COUNTBLANK(Liste_Ackerkulturen_Gemüse_DropDown[C9])+2),0,1)</definedName>
    <definedName name="TiereB10">INDEX(Tiere!$AT$2:INDIRECT("AU"&amp;COUNTA(TiereDropDown[B10])-COUNTBLANK(TiereDropDown[B10])+2),0,1)</definedName>
    <definedName name="TiereB11">INDEX(Tiere!$AV$2:INDIRECT("AW"&amp;COUNTA(TiereDropDown[B11])-COUNTBLANK(TiereDropDown[B11])+2),0,1)</definedName>
    <definedName name="TiereB12">INDEX(Tiere!$AX$2:INDIRECT("AY"&amp;COUNTA(TiereDropDown[B12])-COUNTBLANK(TiereDropDown[B12])+2),0,1)</definedName>
    <definedName name="TiereB13">INDEX(Tiere!$AZ$2:INDIRECT("BA"&amp;COUNTA(TiereDropDown[B13])-COUNTBLANK(TiereDropDown[B13])+2),0,1)</definedName>
    <definedName name="TiereB14">INDEX(Tiere!$BB$2:INDIRECT("BC"&amp;COUNTA(TiereDropDown[B14])-COUNTBLANK(TiereDropDown[B14])+2),0,1)</definedName>
    <definedName name="TiereB15">INDEX(Tiere!$BD$2:INDIRECT("BE"&amp;COUNTA(TiereDropDown[B15])-COUNTBLANK(TiereDropDown[B15])+2),0,1)</definedName>
    <definedName name="TiereB16">INDEX(Tiere!$BF$2:INDIRECT("BG"&amp;COUNTA(TiereDropDown[B16])-COUNTBLANK(TiereDropDown[B16])+2),0,1)</definedName>
    <definedName name="TiereB17">INDEX(Tiere!$BH$2:INDIRECT("BI"&amp;COUNTA(TiereDropDown[B17])-COUNTBLANK(TiereDropDown[B17])+2),0,1)</definedName>
    <definedName name="TiereB18">INDEX(Tiere!$BJ$2:INDIRECT("BK"&amp;COUNTA(TiereDropDown[B18])-COUNTBLANK(TiereDropDown[B18])+2),0,1)</definedName>
    <definedName name="TiereB19">INDEX(Tiere!$BL$2:INDIRECT("BM"&amp;COUNTA(TiereDropDown[B19])-COUNTBLANK(TiereDropDown[B19])+2),0,1)</definedName>
    <definedName name="TiereB5">INDEX(Tiere!$AJ$2:INDIRECT("AK"&amp;COUNTA(TiereDropDown[B5])-COUNTBLANK(TiereDropDown[B5])+2),0,1)</definedName>
    <definedName name="TiereB6">INDEX(Tiere!$AL$2:INDIRECT("AM"&amp;COUNTA(TiereDropDown[B6])-COUNTBLANK(TiereDropDown[B6])+2),0,1)</definedName>
    <definedName name="TiereB7">INDEX(Tiere!$AN$2:INDIRECT("AO"&amp;COUNTA(TiereDropDown[B7])-COUNTBLANK(TiereDropDown[B7])+2),0,1)</definedName>
    <definedName name="TiereB8">INDEX(Tiere!$AP$2:INDIRECT("AQ"&amp;COUNTA(TiereDropDown[B8])-COUNTBLANK(TiereDropDown[B8])+2),0,1)</definedName>
    <definedName name="TiereB9">INDEX(Tiere!$AR$2:INDIRECT("AS"&amp;COUNTA(TiereDropDown[B9])-COUNTBLANK(TiereDropDown[B9])+2),0,1)</definedName>
    <definedName name="Tierliste_neu">Tabelle1!$B$5:$B$153</definedName>
    <definedName name="ZEILE_17">INDEX(PSM_Bestände!$W$4:INDIRECT("W"&amp;COUNTA(PFL_Schutz_Drop_Down56[ZEILE 17])-COUNTBLANK(PFL_Schutz_Drop_Down56[ZEILE 17])+3),0,1)</definedName>
  </definedNames>
  <calcPr calcId="162913"/>
</workbook>
</file>

<file path=xl/calcChain.xml><?xml version="1.0" encoding="utf-8"?>
<calcChain xmlns="http://schemas.openxmlformats.org/spreadsheetml/2006/main">
  <c r="A5" i="18" l="1"/>
  <c r="A4" i="18"/>
  <c r="A3" i="18"/>
  <c r="A4" i="22"/>
  <c r="A3" i="22"/>
  <c r="A2" i="22"/>
  <c r="B3" i="24"/>
  <c r="B2" i="24"/>
  <c r="A2" i="11"/>
  <c r="C5" i="25"/>
  <c r="C3" i="25"/>
  <c r="B4" i="10"/>
  <c r="B3" i="10"/>
  <c r="B2" i="10"/>
  <c r="AF3" i="4" l="1"/>
  <c r="AF4" i="4"/>
  <c r="AF5" i="4"/>
  <c r="AF6" i="4"/>
  <c r="AF7" i="4"/>
  <c r="AF8" i="4"/>
  <c r="AF9" i="4"/>
  <c r="AF10" i="4"/>
  <c r="AF11" i="4"/>
  <c r="AF12" i="4"/>
  <c r="AF13" i="4"/>
  <c r="AF14" i="4"/>
  <c r="AF15" i="4"/>
  <c r="AF16" i="4"/>
  <c r="AF2" i="4"/>
  <c r="AD39" i="7" l="1"/>
  <c r="AD2" i="7"/>
  <c r="CV21" i="9"/>
  <c r="CV2" i="9"/>
  <c r="BQ19" i="9" s="1"/>
  <c r="BS261" i="9"/>
  <c r="BS2" i="9"/>
  <c r="CI262" i="9" s="1"/>
  <c r="CM261" i="9" l="1"/>
  <c r="BQ21" i="9"/>
  <c r="CX22" i="9"/>
  <c r="BQ11" i="9"/>
  <c r="BQ7" i="9"/>
  <c r="BQ5" i="9"/>
  <c r="BQ4" i="9"/>
  <c r="BQ18" i="9"/>
  <c r="BQ8" i="9"/>
  <c r="BQ10" i="9"/>
  <c r="BQ9" i="9"/>
  <c r="BQ3" i="9"/>
  <c r="BQ12" i="9"/>
  <c r="BQ6" i="9"/>
  <c r="BK4" i="7"/>
  <c r="BK5" i="7"/>
  <c r="BK6" i="7"/>
  <c r="BK7" i="7"/>
  <c r="BK8" i="7"/>
  <c r="BK9" i="7"/>
  <c r="BK10" i="7"/>
  <c r="BK11" i="7"/>
  <c r="BK14" i="7"/>
  <c r="BK15" i="7"/>
  <c r="BK18" i="7"/>
  <c r="BK3" i="7"/>
  <c r="BQ20" i="9"/>
  <c r="CX21" i="9"/>
  <c r="CX20" i="9"/>
  <c r="BK17" i="7"/>
  <c r="BK16" i="7"/>
  <c r="BK13" i="7"/>
  <c r="BK12" i="7"/>
  <c r="BQ17" i="9"/>
  <c r="BQ22" i="9"/>
  <c r="BQ14" i="9"/>
  <c r="BQ15" i="9"/>
  <c r="BQ13" i="9"/>
  <c r="CS261" i="9"/>
  <c r="CO261" i="9"/>
  <c r="CI261" i="9"/>
  <c r="CK262" i="9"/>
  <c r="BW2" i="9"/>
  <c r="CQ261" i="9"/>
  <c r="CK261" i="9"/>
  <c r="CS262" i="9"/>
  <c r="CQ262" i="9"/>
  <c r="CO262" i="9"/>
  <c r="CM262" i="9"/>
  <c r="AH16" i="4"/>
  <c r="AH15" i="4"/>
  <c r="AH14" i="4"/>
  <c r="AH13" i="4"/>
  <c r="AH12" i="4"/>
  <c r="AH11" i="4"/>
  <c r="AH10" i="4"/>
  <c r="AH9" i="4"/>
  <c r="AH8" i="4"/>
  <c r="AH7" i="4"/>
  <c r="AH5" i="4"/>
  <c r="AK2" i="4"/>
  <c r="AJ42" i="4" l="1"/>
  <c r="AJ40" i="4"/>
  <c r="AJ39" i="4"/>
  <c r="AJ38" i="4"/>
  <c r="AJ37" i="4"/>
  <c r="AJ36" i="4"/>
  <c r="AJ35" i="4"/>
  <c r="AJ34" i="4"/>
  <c r="AJ33" i="4"/>
  <c r="AJ41" i="4"/>
  <c r="AJ69" i="4"/>
  <c r="AJ101" i="4"/>
  <c r="AJ133" i="4"/>
  <c r="AJ58" i="4"/>
  <c r="AJ16" i="4"/>
  <c r="AJ134" i="4"/>
  <c r="AJ15" i="4"/>
  <c r="AJ103" i="4"/>
  <c r="AJ135" i="4"/>
  <c r="AJ56" i="4"/>
  <c r="AJ14" i="4"/>
  <c r="AJ13" i="4"/>
  <c r="AJ73" i="4"/>
  <c r="AJ105" i="4"/>
  <c r="AJ137" i="4"/>
  <c r="AJ54" i="4"/>
  <c r="AJ12" i="4"/>
  <c r="AJ74" i="4"/>
  <c r="AJ106" i="4"/>
  <c r="AJ138" i="4"/>
  <c r="AJ53" i="4"/>
  <c r="AJ11" i="4"/>
  <c r="AJ75" i="4"/>
  <c r="AJ52" i="4"/>
  <c r="AJ10" i="4"/>
  <c r="AJ76" i="4"/>
  <c r="AJ51" i="4"/>
  <c r="AJ109" i="4"/>
  <c r="AJ78" i="4"/>
  <c r="AJ7" i="4"/>
  <c r="AJ6" i="4"/>
  <c r="AJ80" i="4"/>
  <c r="AJ47" i="4"/>
  <c r="AJ4" i="4"/>
  <c r="AJ114" i="4"/>
  <c r="AJ83" i="4"/>
  <c r="AJ117" i="4"/>
  <c r="AJ87" i="4"/>
  <c r="AJ119" i="4"/>
  <c r="AJ30" i="4"/>
  <c r="AJ89" i="4"/>
  <c r="AJ28" i="4"/>
  <c r="AJ91" i="4"/>
  <c r="AJ125" i="4"/>
  <c r="AJ23" i="4"/>
  <c r="AJ97" i="4"/>
  <c r="AJ60" i="4"/>
  <c r="AJ70" i="4"/>
  <c r="AJ102" i="4"/>
  <c r="AJ57" i="4"/>
  <c r="AJ107" i="4"/>
  <c r="AJ140" i="4"/>
  <c r="AJ9" i="4"/>
  <c r="AJ141" i="4"/>
  <c r="AJ8" i="4"/>
  <c r="AJ110" i="4"/>
  <c r="AJ143" i="4"/>
  <c r="AJ144" i="4"/>
  <c r="AJ5" i="4"/>
  <c r="AJ84" i="4"/>
  <c r="AJ32" i="4"/>
  <c r="AJ120" i="4"/>
  <c r="AJ121" i="4"/>
  <c r="AJ123" i="4"/>
  <c r="AJ25" i="4"/>
  <c r="AJ94" i="4"/>
  <c r="AJ96" i="4"/>
  <c r="AJ62" i="4"/>
  <c r="AJ131" i="4"/>
  <c r="AJ71" i="4"/>
  <c r="AJ79" i="4"/>
  <c r="AJ113" i="4"/>
  <c r="AJ82" i="4"/>
  <c r="AJ3" i="4"/>
  <c r="AJ44" i="4"/>
  <c r="AJ85" i="4"/>
  <c r="AJ86" i="4"/>
  <c r="AJ90" i="4"/>
  <c r="AJ26" i="4"/>
  <c r="AJ93" i="4"/>
  <c r="AJ24" i="4"/>
  <c r="AJ95" i="4"/>
  <c r="AJ21" i="4"/>
  <c r="AJ98" i="4"/>
  <c r="AJ132" i="4"/>
  <c r="AJ17" i="4"/>
  <c r="AJ72" i="4"/>
  <c r="AJ104" i="4"/>
  <c r="AJ136" i="4"/>
  <c r="AJ55" i="4"/>
  <c r="AJ139" i="4"/>
  <c r="AJ108" i="4"/>
  <c r="AJ77" i="4"/>
  <c r="AJ50" i="4"/>
  <c r="AJ142" i="4"/>
  <c r="AJ49" i="4"/>
  <c r="AJ48" i="4"/>
  <c r="AJ112" i="4"/>
  <c r="AJ81" i="4"/>
  <c r="AJ46" i="4"/>
  <c r="AJ45" i="4"/>
  <c r="AJ115" i="4"/>
  <c r="AJ116" i="4"/>
  <c r="AJ31" i="4"/>
  <c r="AJ88" i="4"/>
  <c r="AJ27" i="4"/>
  <c r="AJ67" i="4"/>
  <c r="AJ126" i="4"/>
  <c r="AJ22" i="4"/>
  <c r="AJ129" i="4"/>
  <c r="AJ99" i="4"/>
  <c r="AJ111" i="4"/>
  <c r="AJ2" i="4"/>
  <c r="AJ43" i="4"/>
  <c r="AJ118" i="4"/>
  <c r="AJ29" i="4"/>
  <c r="AJ122" i="4"/>
  <c r="AJ92" i="4"/>
  <c r="AJ66" i="4"/>
  <c r="AJ128" i="4"/>
  <c r="AJ61" i="4"/>
  <c r="AJ100" i="4"/>
  <c r="AJ124" i="4"/>
  <c r="AJ65" i="4"/>
  <c r="AJ64" i="4"/>
  <c r="AJ20" i="4"/>
  <c r="AJ59" i="4"/>
  <c r="AJ68" i="4"/>
  <c r="AJ127" i="4"/>
  <c r="AJ63" i="4"/>
  <c r="AJ130" i="4"/>
  <c r="AJ18" i="4"/>
  <c r="AJ19" i="4"/>
  <c r="BV27" i="9"/>
  <c r="BV59" i="9"/>
  <c r="BV91" i="9"/>
  <c r="BV123" i="9"/>
  <c r="BV155" i="9"/>
  <c r="BV187" i="9"/>
  <c r="BV219" i="9"/>
  <c r="BV251" i="9"/>
  <c r="BV61" i="9"/>
  <c r="BV125" i="9"/>
  <c r="BV189" i="9"/>
  <c r="BV253" i="9"/>
  <c r="BV62" i="9"/>
  <c r="BV126" i="9"/>
  <c r="BV190" i="9"/>
  <c r="BV254" i="9"/>
  <c r="BV2" i="9"/>
  <c r="BV34" i="9"/>
  <c r="BV66" i="9"/>
  <c r="BV98" i="9"/>
  <c r="BV28" i="9"/>
  <c r="BV60" i="9"/>
  <c r="BV92" i="9"/>
  <c r="BV124" i="9"/>
  <c r="BV156" i="9"/>
  <c r="BV188" i="9"/>
  <c r="BV220" i="9"/>
  <c r="BV252" i="9"/>
  <c r="BV29" i="9"/>
  <c r="BV93" i="9"/>
  <c r="BV157" i="9"/>
  <c r="BV221" i="9"/>
  <c r="BV30" i="9"/>
  <c r="BV94" i="9"/>
  <c r="BV158" i="9"/>
  <c r="BV222" i="9"/>
  <c r="BV31" i="9"/>
  <c r="BV63" i="9"/>
  <c r="BV95" i="9"/>
  <c r="BV127" i="9"/>
  <c r="BV159" i="9"/>
  <c r="BV191" i="9"/>
  <c r="BV223" i="9"/>
  <c r="BV255" i="9"/>
  <c r="BV32" i="9"/>
  <c r="BV64" i="9"/>
  <c r="BV96" i="9"/>
  <c r="BV128" i="9"/>
  <c r="BV160" i="9"/>
  <c r="BV192" i="9"/>
  <c r="BV224" i="9"/>
  <c r="BV256" i="9"/>
  <c r="BV33" i="9"/>
  <c r="BV65" i="9"/>
  <c r="BV97" i="9"/>
  <c r="BV129" i="9"/>
  <c r="BV161" i="9"/>
  <c r="BV193" i="9"/>
  <c r="BV225" i="9"/>
  <c r="BV257" i="9"/>
  <c r="BV5" i="9"/>
  <c r="BV37" i="9"/>
  <c r="BV69" i="9"/>
  <c r="BV101" i="9"/>
  <c r="BV133" i="9"/>
  <c r="BV165" i="9"/>
  <c r="BV197" i="9"/>
  <c r="BV229" i="9"/>
  <c r="BV261" i="9"/>
  <c r="BV10" i="9"/>
  <c r="BV42" i="9"/>
  <c r="BV74" i="9"/>
  <c r="BV106" i="9"/>
  <c r="BV138" i="9"/>
  <c r="BV170" i="9"/>
  <c r="BV202" i="9"/>
  <c r="BV234" i="9"/>
  <c r="BV11" i="9"/>
  <c r="BV43" i="9"/>
  <c r="BV75" i="9"/>
  <c r="BV107" i="9"/>
  <c r="BV139" i="9"/>
  <c r="BV171" i="9"/>
  <c r="BV203" i="9"/>
  <c r="BV235" i="9"/>
  <c r="BV13" i="9"/>
  <c r="BV45" i="9"/>
  <c r="BV77" i="9"/>
  <c r="BV109" i="9"/>
  <c r="BV141" i="9"/>
  <c r="BV173" i="9"/>
  <c r="BV205" i="9"/>
  <c r="BV237" i="9"/>
  <c r="BV48" i="9"/>
  <c r="BV80" i="9"/>
  <c r="BV144" i="9"/>
  <c r="BV176" i="9"/>
  <c r="BV208" i="9"/>
  <c r="BV240" i="9"/>
  <c r="BV19" i="9"/>
  <c r="BV83" i="9"/>
  <c r="BV179" i="9"/>
  <c r="BV14" i="9"/>
  <c r="BV46" i="9"/>
  <c r="BV78" i="9"/>
  <c r="BV110" i="9"/>
  <c r="BV142" i="9"/>
  <c r="BV174" i="9"/>
  <c r="BV206" i="9"/>
  <c r="BV238" i="9"/>
  <c r="BV112" i="9"/>
  <c r="BV51" i="9"/>
  <c r="BV147" i="9"/>
  <c r="BV211" i="9"/>
  <c r="BV15" i="9"/>
  <c r="BV47" i="9"/>
  <c r="BV79" i="9"/>
  <c r="BV111" i="9"/>
  <c r="BV143" i="9"/>
  <c r="BV175" i="9"/>
  <c r="BV207" i="9"/>
  <c r="BV239" i="9"/>
  <c r="BV16" i="9"/>
  <c r="BV115" i="9"/>
  <c r="BV243" i="9"/>
  <c r="BV17" i="9"/>
  <c r="BV49" i="9"/>
  <c r="BV81" i="9"/>
  <c r="BV113" i="9"/>
  <c r="BV145" i="9"/>
  <c r="BV177" i="9"/>
  <c r="BV209" i="9"/>
  <c r="BV241" i="9"/>
  <c r="BV18" i="9"/>
  <c r="BV50" i="9"/>
  <c r="BV82" i="9"/>
  <c r="BV114" i="9"/>
  <c r="BV146" i="9"/>
  <c r="BV178" i="9"/>
  <c r="BV210" i="9"/>
  <c r="BV242" i="9"/>
  <c r="BV3" i="9"/>
  <c r="BV72" i="9"/>
  <c r="BV148" i="9"/>
  <c r="BV214" i="9"/>
  <c r="BV4" i="9"/>
  <c r="BV73" i="9"/>
  <c r="BV149" i="9"/>
  <c r="BV215" i="9"/>
  <c r="BV6" i="9"/>
  <c r="BV76" i="9"/>
  <c r="BV150" i="9"/>
  <c r="BV216" i="9"/>
  <c r="BV12" i="9"/>
  <c r="BV87" i="9"/>
  <c r="BV154" i="9"/>
  <c r="BV227" i="9"/>
  <c r="BV162" i="9"/>
  <c r="BV228" i="9"/>
  <c r="BV89" i="9"/>
  <c r="BV163" i="9"/>
  <c r="BV230" i="9"/>
  <c r="BV90" i="9"/>
  <c r="BV231" i="9"/>
  <c r="BV24" i="9"/>
  <c r="BV233" i="9"/>
  <c r="BV168" i="9"/>
  <c r="BV26" i="9"/>
  <c r="BV36" i="9"/>
  <c r="BV246" i="9"/>
  <c r="BV108" i="9"/>
  <c r="BV248" i="9"/>
  <c r="BV68" i="9"/>
  <c r="BV140" i="9"/>
  <c r="BV217" i="9"/>
  <c r="BV20" i="9"/>
  <c r="BV88" i="9"/>
  <c r="BV21" i="9"/>
  <c r="BV22" i="9"/>
  <c r="BV164" i="9"/>
  <c r="BV100" i="9"/>
  <c r="BV102" i="9"/>
  <c r="BV103" i="9"/>
  <c r="BV244" i="9"/>
  <c r="BV105" i="9"/>
  <c r="BV181" i="9"/>
  <c r="BV182" i="9"/>
  <c r="BV204" i="9"/>
  <c r="BV212" i="9"/>
  <c r="BV226" i="9"/>
  <c r="BV23" i="9"/>
  <c r="BV99" i="9"/>
  <c r="BV166" i="9"/>
  <c r="BV232" i="9"/>
  <c r="BV167" i="9"/>
  <c r="BV25" i="9"/>
  <c r="BV236" i="9"/>
  <c r="BV169" i="9"/>
  <c r="BV180" i="9"/>
  <c r="BV38" i="9"/>
  <c r="BV247" i="9"/>
  <c r="BV116" i="9"/>
  <c r="BV136" i="9"/>
  <c r="BV137" i="9"/>
  <c r="BV85" i="9"/>
  <c r="BV153" i="9"/>
  <c r="BV35" i="9"/>
  <c r="BV104" i="9"/>
  <c r="BV172" i="9"/>
  <c r="BV245" i="9"/>
  <c r="BV39" i="9"/>
  <c r="BV70" i="9"/>
  <c r="BV71" i="9"/>
  <c r="BV7" i="9"/>
  <c r="BV218" i="9"/>
  <c r="BV86" i="9"/>
  <c r="BV40" i="9"/>
  <c r="BV117" i="9"/>
  <c r="BV183" i="9"/>
  <c r="BV249" i="9"/>
  <c r="BV41" i="9"/>
  <c r="BV118" i="9"/>
  <c r="BV184" i="9"/>
  <c r="BV250" i="9"/>
  <c r="BV185" i="9"/>
  <c r="BV258" i="9"/>
  <c r="BV52" i="9"/>
  <c r="BV120" i="9"/>
  <c r="BV186" i="9"/>
  <c r="BV259" i="9"/>
  <c r="BV195" i="9"/>
  <c r="BV130" i="9"/>
  <c r="BV56" i="9"/>
  <c r="BV198" i="9"/>
  <c r="BV57" i="9"/>
  <c r="BV199" i="9"/>
  <c r="BV134" i="9"/>
  <c r="BV200" i="9"/>
  <c r="BV67" i="9"/>
  <c r="BV135" i="9"/>
  <c r="BV201" i="9"/>
  <c r="BV58" i="9"/>
  <c r="BV44" i="9"/>
  <c r="BV119" i="9"/>
  <c r="BV132" i="9"/>
  <c r="BV8" i="9"/>
  <c r="BV9" i="9"/>
  <c r="BV53" i="9"/>
  <c r="BV121" i="9"/>
  <c r="BV194" i="9"/>
  <c r="BV260" i="9"/>
  <c r="BV54" i="9"/>
  <c r="BV122" i="9"/>
  <c r="BV262" i="9"/>
  <c r="BV55" i="9"/>
  <c r="BV196" i="9"/>
  <c r="BV131" i="9"/>
  <c r="BV151" i="9"/>
  <c r="BV152" i="9"/>
  <c r="BV213" i="9"/>
  <c r="BV84" i="9"/>
  <c r="AG9" i="4" l="1"/>
  <c r="A12" i="4"/>
  <c r="AG7" i="4"/>
  <c r="A10" i="4"/>
  <c r="A11" i="4"/>
  <c r="AG8" i="4"/>
  <c r="A13" i="4"/>
  <c r="AG10" i="4"/>
  <c r="A14" i="4"/>
  <c r="AG11" i="4"/>
  <c r="A15" i="4"/>
  <c r="AG12" i="4"/>
  <c r="A16" i="4"/>
  <c r="AG13" i="4"/>
  <c r="A17" i="4"/>
  <c r="AG14" i="4"/>
  <c r="A18" i="4"/>
  <c r="AG15" i="4"/>
  <c r="AG16" i="4"/>
  <c r="A19" i="4"/>
  <c r="BM2" i="4"/>
  <c r="BK2" i="4"/>
  <c r="BI2" i="4"/>
  <c r="BG2" i="4"/>
  <c r="BE2" i="4"/>
  <c r="BC2" i="4"/>
  <c r="BA2" i="4"/>
  <c r="AY2" i="4"/>
  <c r="AW2" i="4"/>
  <c r="AU2" i="4"/>
  <c r="AS2" i="4"/>
  <c r="AQ2" i="4"/>
  <c r="AO2" i="4"/>
  <c r="AM2" i="4"/>
  <c r="AV136" i="4" l="1"/>
  <c r="AV104" i="4"/>
  <c r="AV72" i="4"/>
  <c r="AV40" i="4"/>
  <c r="AV8" i="4"/>
  <c r="AV135" i="4"/>
  <c r="AV103" i="4"/>
  <c r="AV71" i="4"/>
  <c r="AV39" i="4"/>
  <c r="AV7" i="4"/>
  <c r="AV37" i="4"/>
  <c r="AV134" i="4"/>
  <c r="AV102" i="4"/>
  <c r="AV70" i="4"/>
  <c r="AV38" i="4"/>
  <c r="AV6" i="4"/>
  <c r="AV122" i="4"/>
  <c r="AV133" i="4"/>
  <c r="AV101" i="4"/>
  <c r="AV69" i="4"/>
  <c r="AV5" i="4"/>
  <c r="AV59" i="4"/>
  <c r="AV89" i="4"/>
  <c r="AV132" i="4"/>
  <c r="AV100" i="4"/>
  <c r="AV68" i="4"/>
  <c r="AV36" i="4"/>
  <c r="AV4" i="4"/>
  <c r="AV91" i="4"/>
  <c r="AV131" i="4"/>
  <c r="AV99" i="4"/>
  <c r="AV67" i="4"/>
  <c r="AV35" i="4"/>
  <c r="AV3" i="4"/>
  <c r="AV61" i="4"/>
  <c r="AV130" i="4"/>
  <c r="AV98" i="4"/>
  <c r="AV66" i="4"/>
  <c r="AV34" i="4"/>
  <c r="AV2" i="4"/>
  <c r="AV29" i="4"/>
  <c r="AV26" i="4"/>
  <c r="AV129" i="4"/>
  <c r="AV97" i="4"/>
  <c r="AV65" i="4"/>
  <c r="AV33" i="4"/>
  <c r="AV123" i="4"/>
  <c r="AV57" i="4"/>
  <c r="AV128" i="4"/>
  <c r="AV96" i="4"/>
  <c r="AV64" i="4"/>
  <c r="AV32" i="4"/>
  <c r="AV27" i="4"/>
  <c r="AV127" i="4"/>
  <c r="AV95" i="4"/>
  <c r="AV63" i="4"/>
  <c r="AV31" i="4"/>
  <c r="AV93" i="4"/>
  <c r="AV126" i="4"/>
  <c r="AV94" i="4"/>
  <c r="AV62" i="4"/>
  <c r="AV30" i="4"/>
  <c r="AV125" i="4"/>
  <c r="AV90" i="4"/>
  <c r="AV124" i="4"/>
  <c r="AV92" i="4"/>
  <c r="AV60" i="4"/>
  <c r="AV28" i="4"/>
  <c r="AV58" i="4"/>
  <c r="AV121" i="4"/>
  <c r="AV25" i="4"/>
  <c r="AV108" i="4"/>
  <c r="AV44" i="4"/>
  <c r="AV107" i="4"/>
  <c r="AV106" i="4"/>
  <c r="AV42" i="4"/>
  <c r="AV88" i="4"/>
  <c r="AV24" i="4"/>
  <c r="AV19" i="4"/>
  <c r="AV77" i="4"/>
  <c r="AV52" i="4"/>
  <c r="AV43" i="4"/>
  <c r="AV85" i="4"/>
  <c r="AV18" i="4"/>
  <c r="AV80" i="4"/>
  <c r="AV75" i="4"/>
  <c r="AV118" i="4"/>
  <c r="AV117" i="4"/>
  <c r="AV46" i="4"/>
  <c r="AV16" i="4"/>
  <c r="AV15" i="4"/>
  <c r="AV9" i="4"/>
  <c r="AV105" i="4"/>
  <c r="AV41" i="4"/>
  <c r="AV21" i="4"/>
  <c r="AV20" i="4"/>
  <c r="AV82" i="4"/>
  <c r="AV144" i="4"/>
  <c r="AV74" i="4"/>
  <c r="AV119" i="4"/>
  <c r="AV83" i="4"/>
  <c r="AV112" i="4"/>
  <c r="AV110" i="4"/>
  <c r="AV87" i="4"/>
  <c r="AV23" i="4"/>
  <c r="AV142" i="4"/>
  <c r="AV13" i="4"/>
  <c r="AV76" i="4"/>
  <c r="AV55" i="4"/>
  <c r="AV115" i="4"/>
  <c r="AV86" i="4"/>
  <c r="AV22" i="4"/>
  <c r="AV84" i="4"/>
  <c r="AV143" i="4"/>
  <c r="AV12" i="4"/>
  <c r="AV139" i="4"/>
  <c r="AV51" i="4"/>
  <c r="AV48" i="4"/>
  <c r="AV14" i="4"/>
  <c r="AV137" i="4"/>
  <c r="AV47" i="4"/>
  <c r="AV17" i="4"/>
  <c r="AV79" i="4"/>
  <c r="AV141" i="4"/>
  <c r="AV138" i="4"/>
  <c r="AV116" i="4"/>
  <c r="AV11" i="4"/>
  <c r="AV114" i="4"/>
  <c r="AV81" i="4"/>
  <c r="AV78" i="4"/>
  <c r="AV140" i="4"/>
  <c r="AV111" i="4"/>
  <c r="AV120" i="4"/>
  <c r="AV53" i="4"/>
  <c r="AV10" i="4"/>
  <c r="AV73" i="4"/>
  <c r="AV56" i="4"/>
  <c r="AV54" i="4"/>
  <c r="AV50" i="4"/>
  <c r="AV113" i="4"/>
  <c r="AV49" i="4"/>
  <c r="AV109" i="4"/>
  <c r="AV45" i="4"/>
  <c r="AT119" i="4"/>
  <c r="AT87" i="4"/>
  <c r="AT55" i="4"/>
  <c r="AT23" i="4"/>
  <c r="AT52" i="4"/>
  <c r="AT20" i="4"/>
  <c r="AT114" i="4"/>
  <c r="AT50" i="4"/>
  <c r="AT18" i="4"/>
  <c r="AT118" i="4"/>
  <c r="AT86" i="4"/>
  <c r="AT54" i="4"/>
  <c r="AT22" i="4"/>
  <c r="AT117" i="4"/>
  <c r="AT85" i="4"/>
  <c r="AT53" i="4"/>
  <c r="AT21" i="4"/>
  <c r="AT44" i="4"/>
  <c r="AT106" i="4"/>
  <c r="AT104" i="4"/>
  <c r="AT116" i="4"/>
  <c r="AT84" i="4"/>
  <c r="AT140" i="4"/>
  <c r="AT41" i="4"/>
  <c r="AT115" i="4"/>
  <c r="AT83" i="4"/>
  <c r="AT51" i="4"/>
  <c r="AT19" i="4"/>
  <c r="AT76" i="4"/>
  <c r="AT73" i="4"/>
  <c r="AT136" i="4"/>
  <c r="AT82" i="4"/>
  <c r="AT107" i="4"/>
  <c r="AT10" i="4"/>
  <c r="AT137" i="4"/>
  <c r="AT113" i="4"/>
  <c r="AT81" i="4"/>
  <c r="AT49" i="4"/>
  <c r="AT17" i="4"/>
  <c r="AT75" i="4"/>
  <c r="AT42" i="4"/>
  <c r="AT8" i="4"/>
  <c r="AT144" i="4"/>
  <c r="AT112" i="4"/>
  <c r="AT80" i="4"/>
  <c r="AT48" i="4"/>
  <c r="AT16" i="4"/>
  <c r="AT108" i="4"/>
  <c r="AT143" i="4"/>
  <c r="AT111" i="4"/>
  <c r="AT79" i="4"/>
  <c r="AT47" i="4"/>
  <c r="AT15" i="4"/>
  <c r="AT12" i="4"/>
  <c r="AT11" i="4"/>
  <c r="AT40" i="4"/>
  <c r="AT142" i="4"/>
  <c r="AT110" i="4"/>
  <c r="AT78" i="4"/>
  <c r="AT46" i="4"/>
  <c r="AT14" i="4"/>
  <c r="AT139" i="4"/>
  <c r="AT105" i="4"/>
  <c r="AT141" i="4"/>
  <c r="AT109" i="4"/>
  <c r="AT77" i="4"/>
  <c r="AT45" i="4"/>
  <c r="AT13" i="4"/>
  <c r="AT43" i="4"/>
  <c r="AT138" i="4"/>
  <c r="AT72" i="4"/>
  <c r="AT74" i="4"/>
  <c r="AT9" i="4"/>
  <c r="AT123" i="4"/>
  <c r="AT59" i="4"/>
  <c r="AT122" i="4"/>
  <c r="AT58" i="4"/>
  <c r="AT121" i="4"/>
  <c r="AT57" i="4"/>
  <c r="AT56" i="4"/>
  <c r="AT39" i="4"/>
  <c r="AT38" i="4"/>
  <c r="AT100" i="4"/>
  <c r="AT35" i="4"/>
  <c r="AT97" i="4"/>
  <c r="AT26" i="4"/>
  <c r="AT88" i="4"/>
  <c r="AT36" i="4"/>
  <c r="AT98" i="4"/>
  <c r="AT32" i="4"/>
  <c r="AT93" i="4"/>
  <c r="AT7" i="4"/>
  <c r="AT6" i="4"/>
  <c r="AT68" i="4"/>
  <c r="AT129" i="4"/>
  <c r="AT120" i="4"/>
  <c r="AT34" i="4"/>
  <c r="AT96" i="4"/>
  <c r="AT31" i="4"/>
  <c r="AT24" i="4"/>
  <c r="AT103" i="4"/>
  <c r="AT91" i="4"/>
  <c r="AT70" i="4"/>
  <c r="AT133" i="4"/>
  <c r="AT4" i="4"/>
  <c r="AT130" i="4"/>
  <c r="AT65" i="4"/>
  <c r="AT102" i="4"/>
  <c r="AT101" i="4"/>
  <c r="AT37" i="4"/>
  <c r="AT33" i="4"/>
  <c r="AT134" i="4"/>
  <c r="AT69" i="4"/>
  <c r="AT30" i="4"/>
  <c r="AT28" i="4"/>
  <c r="AT25" i="4"/>
  <c r="AT135" i="4"/>
  <c r="AT3" i="4"/>
  <c r="AT63" i="4"/>
  <c r="AT99" i="4"/>
  <c r="AT95" i="4"/>
  <c r="AT29" i="4"/>
  <c r="AT27" i="4"/>
  <c r="AT132" i="4"/>
  <c r="AT127" i="4"/>
  <c r="AT94" i="4"/>
  <c r="AT89" i="4"/>
  <c r="AT71" i="4"/>
  <c r="AT5" i="4"/>
  <c r="AT67" i="4"/>
  <c r="AT2" i="4"/>
  <c r="AT90" i="4"/>
  <c r="AT92" i="4"/>
  <c r="AT131" i="4"/>
  <c r="AT66" i="4"/>
  <c r="AT61" i="4"/>
  <c r="AT125" i="4"/>
  <c r="AT128" i="4"/>
  <c r="AT64" i="4"/>
  <c r="AT126" i="4"/>
  <c r="AT62" i="4"/>
  <c r="AT124" i="4"/>
  <c r="AT60" i="4"/>
  <c r="AP134" i="4"/>
  <c r="AP102" i="4"/>
  <c r="AP70" i="4"/>
  <c r="AP38" i="4"/>
  <c r="AP6" i="4"/>
  <c r="AP68" i="4"/>
  <c r="AP36" i="4"/>
  <c r="AP131" i="4"/>
  <c r="AP99" i="4"/>
  <c r="AP67" i="4"/>
  <c r="AP35" i="4"/>
  <c r="AP3" i="4"/>
  <c r="AP130" i="4"/>
  <c r="AP66" i="4"/>
  <c r="AP34" i="4"/>
  <c r="AP2" i="4"/>
  <c r="AP129" i="4"/>
  <c r="AP97" i="4"/>
  <c r="AP33" i="4"/>
  <c r="AP133" i="4"/>
  <c r="AP101" i="4"/>
  <c r="AP69" i="4"/>
  <c r="AP37" i="4"/>
  <c r="AP5" i="4"/>
  <c r="AP100" i="4"/>
  <c r="AP4" i="4"/>
  <c r="AP132" i="4"/>
  <c r="AP64" i="4"/>
  <c r="AP32" i="4"/>
  <c r="AP122" i="4"/>
  <c r="AP24" i="4"/>
  <c r="AP58" i="4"/>
  <c r="AP25" i="4"/>
  <c r="AP98" i="4"/>
  <c r="AP26" i="4"/>
  <c r="AP57" i="4"/>
  <c r="AP65" i="4"/>
  <c r="AP27" i="4"/>
  <c r="AP88" i="4"/>
  <c r="AP119" i="4"/>
  <c r="AP128" i="4"/>
  <c r="AP96" i="4"/>
  <c r="AP120" i="4"/>
  <c r="AP127" i="4"/>
  <c r="AP95" i="4"/>
  <c r="AP63" i="4"/>
  <c r="AP31" i="4"/>
  <c r="AP89" i="4"/>
  <c r="AP23" i="4"/>
  <c r="AP126" i="4"/>
  <c r="AP94" i="4"/>
  <c r="AP62" i="4"/>
  <c r="AP30" i="4"/>
  <c r="AP124" i="4"/>
  <c r="AP28" i="4"/>
  <c r="AP125" i="4"/>
  <c r="AP93" i="4"/>
  <c r="AP61" i="4"/>
  <c r="AP29" i="4"/>
  <c r="AP60" i="4"/>
  <c r="AP91" i="4"/>
  <c r="AP121" i="4"/>
  <c r="AP55" i="4"/>
  <c r="AP92" i="4"/>
  <c r="AP123" i="4"/>
  <c r="AP56" i="4"/>
  <c r="AP90" i="4"/>
  <c r="AP87" i="4"/>
  <c r="AP138" i="4"/>
  <c r="AP74" i="4"/>
  <c r="AP11" i="4"/>
  <c r="AP137" i="4"/>
  <c r="AP73" i="4"/>
  <c r="AP10" i="4"/>
  <c r="AP136" i="4"/>
  <c r="AP72" i="4"/>
  <c r="AP9" i="4"/>
  <c r="AP71" i="4"/>
  <c r="AP8" i="4"/>
  <c r="AP118" i="4"/>
  <c r="AP59" i="4"/>
  <c r="AP7" i="4"/>
  <c r="AP54" i="4"/>
  <c r="AP115" i="4"/>
  <c r="AP48" i="4"/>
  <c r="AP45" i="4"/>
  <c r="AP43" i="4"/>
  <c r="AP104" i="4"/>
  <c r="AP85" i="4"/>
  <c r="AP17" i="4"/>
  <c r="AP15" i="4"/>
  <c r="AP114" i="4"/>
  <c r="AP46" i="4"/>
  <c r="AP107" i="4"/>
  <c r="AP41" i="4"/>
  <c r="AP111" i="4"/>
  <c r="AP105" i="4"/>
  <c r="AP135" i="4"/>
  <c r="AP53" i="4"/>
  <c r="AP52" i="4"/>
  <c r="AP49" i="4"/>
  <c r="AP109" i="4"/>
  <c r="AP108" i="4"/>
  <c r="AP106" i="4"/>
  <c r="AP83" i="4"/>
  <c r="AP77" i="4"/>
  <c r="AP51" i="4"/>
  <c r="AP112" i="4"/>
  <c r="AP47" i="4"/>
  <c r="AP39" i="4"/>
  <c r="AP82" i="4"/>
  <c r="AP117" i="4"/>
  <c r="AP110" i="4"/>
  <c r="AP19" i="4"/>
  <c r="AP80" i="4"/>
  <c r="AP14" i="4"/>
  <c r="AP116" i="4"/>
  <c r="AP50" i="4"/>
  <c r="AP44" i="4"/>
  <c r="AP144" i="4"/>
  <c r="AP84" i="4"/>
  <c r="AP81" i="4"/>
  <c r="AP76" i="4"/>
  <c r="AP113" i="4"/>
  <c r="AP103" i="4"/>
  <c r="AP141" i="4"/>
  <c r="AP18" i="4"/>
  <c r="AP42" i="4"/>
  <c r="AP142" i="4"/>
  <c r="AP140" i="4"/>
  <c r="AP22" i="4"/>
  <c r="AP21" i="4"/>
  <c r="AP78" i="4"/>
  <c r="AP86" i="4"/>
  <c r="AP40" i="4"/>
  <c r="AP20" i="4"/>
  <c r="AP143" i="4"/>
  <c r="AP79" i="4"/>
  <c r="AP16" i="4"/>
  <c r="AP13" i="4"/>
  <c r="AP139" i="4"/>
  <c r="AP75" i="4"/>
  <c r="AP12" i="4"/>
  <c r="AX121" i="4"/>
  <c r="AX89" i="4"/>
  <c r="AX57" i="4"/>
  <c r="AX25" i="4"/>
  <c r="AX120" i="4"/>
  <c r="AX88" i="4"/>
  <c r="AX56" i="4"/>
  <c r="AX24" i="4"/>
  <c r="AX119" i="4"/>
  <c r="AX87" i="4"/>
  <c r="AX55" i="4"/>
  <c r="AX23" i="4"/>
  <c r="AX46" i="4"/>
  <c r="AX118" i="4"/>
  <c r="AX86" i="4"/>
  <c r="AX54" i="4"/>
  <c r="AX22" i="4"/>
  <c r="AX75" i="4"/>
  <c r="AX117" i="4"/>
  <c r="AX85" i="4"/>
  <c r="AX53" i="4"/>
  <c r="AX21" i="4"/>
  <c r="AX78" i="4"/>
  <c r="AX116" i="4"/>
  <c r="AX84" i="4"/>
  <c r="AX52" i="4"/>
  <c r="AX20" i="4"/>
  <c r="AX10" i="4"/>
  <c r="AX115" i="4"/>
  <c r="AX83" i="4"/>
  <c r="AX51" i="4"/>
  <c r="AX19" i="4"/>
  <c r="AX42" i="4"/>
  <c r="AX114" i="4"/>
  <c r="AX82" i="4"/>
  <c r="AX50" i="4"/>
  <c r="AX18" i="4"/>
  <c r="AX142" i="4"/>
  <c r="AX43" i="4"/>
  <c r="AX113" i="4"/>
  <c r="AX81" i="4"/>
  <c r="AX49" i="4"/>
  <c r="AX17" i="4"/>
  <c r="AX14" i="4"/>
  <c r="AX11" i="4"/>
  <c r="AX106" i="4"/>
  <c r="AX144" i="4"/>
  <c r="AX112" i="4"/>
  <c r="AX80" i="4"/>
  <c r="AX48" i="4"/>
  <c r="AX16" i="4"/>
  <c r="AX110" i="4"/>
  <c r="AX107" i="4"/>
  <c r="AX74" i="4"/>
  <c r="AX143" i="4"/>
  <c r="AX111" i="4"/>
  <c r="AX79" i="4"/>
  <c r="AX47" i="4"/>
  <c r="AX15" i="4"/>
  <c r="AX138" i="4"/>
  <c r="AX141" i="4"/>
  <c r="AX109" i="4"/>
  <c r="AX77" i="4"/>
  <c r="AX45" i="4"/>
  <c r="AX13" i="4"/>
  <c r="AX140" i="4"/>
  <c r="AX108" i="4"/>
  <c r="AX76" i="4"/>
  <c r="AX44" i="4"/>
  <c r="AX12" i="4"/>
  <c r="AX139" i="4"/>
  <c r="AX93" i="4"/>
  <c r="AX29" i="4"/>
  <c r="AX92" i="4"/>
  <c r="AX28" i="4"/>
  <c r="AX91" i="4"/>
  <c r="AX73" i="4"/>
  <c r="AX9" i="4"/>
  <c r="AX134" i="4"/>
  <c r="AX6" i="4"/>
  <c r="AX130" i="4"/>
  <c r="AX128" i="4"/>
  <c r="AX63" i="4"/>
  <c r="AX132" i="4"/>
  <c r="AX126" i="4"/>
  <c r="AX40" i="4"/>
  <c r="AX36" i="4"/>
  <c r="AX27" i="4"/>
  <c r="AX68" i="4"/>
  <c r="AX59" i="4"/>
  <c r="AX97" i="4"/>
  <c r="AX90" i="4"/>
  <c r="AX26" i="4"/>
  <c r="AX70" i="4"/>
  <c r="AX127" i="4"/>
  <c r="AX62" i="4"/>
  <c r="AX137" i="4"/>
  <c r="AX5" i="4"/>
  <c r="AX131" i="4"/>
  <c r="AX2" i="4"/>
  <c r="AX65" i="4"/>
  <c r="AX104" i="4"/>
  <c r="AX136" i="4"/>
  <c r="AX72" i="4"/>
  <c r="AX8" i="4"/>
  <c r="AX69" i="4"/>
  <c r="AX64" i="4"/>
  <c r="AX122" i="4"/>
  <c r="AX41" i="4"/>
  <c r="AX33" i="4"/>
  <c r="AX135" i="4"/>
  <c r="AX71" i="4"/>
  <c r="AX7" i="4"/>
  <c r="AX4" i="4"/>
  <c r="AX67" i="4"/>
  <c r="AX66" i="4"/>
  <c r="AX129" i="4"/>
  <c r="AX123" i="4"/>
  <c r="AX58" i="4"/>
  <c r="AX61" i="4"/>
  <c r="AX124" i="4"/>
  <c r="AX133" i="4"/>
  <c r="AX3" i="4"/>
  <c r="AX99" i="4"/>
  <c r="AX96" i="4"/>
  <c r="AX103" i="4"/>
  <c r="AX39" i="4"/>
  <c r="AX105" i="4"/>
  <c r="AX101" i="4"/>
  <c r="AX60" i="4"/>
  <c r="AX102" i="4"/>
  <c r="AX32" i="4"/>
  <c r="AX125" i="4"/>
  <c r="AX38" i="4"/>
  <c r="AX100" i="4"/>
  <c r="AX37" i="4"/>
  <c r="AX35" i="4"/>
  <c r="AX95" i="4"/>
  <c r="AX31" i="4"/>
  <c r="AX98" i="4"/>
  <c r="AX34" i="4"/>
  <c r="AX94" i="4"/>
  <c r="AX30" i="4"/>
  <c r="BD140" i="4"/>
  <c r="BD108" i="4"/>
  <c r="BD76" i="4"/>
  <c r="BD44" i="4"/>
  <c r="BD12" i="4"/>
  <c r="BD139" i="4"/>
  <c r="BD107" i="4"/>
  <c r="BD75" i="4"/>
  <c r="BD43" i="4"/>
  <c r="BD11" i="4"/>
  <c r="BD29" i="4"/>
  <c r="BD138" i="4"/>
  <c r="BD106" i="4"/>
  <c r="BD74" i="4"/>
  <c r="BD42" i="4"/>
  <c r="BD10" i="4"/>
  <c r="BD97" i="4"/>
  <c r="BD94" i="4"/>
  <c r="BD137" i="4"/>
  <c r="BD105" i="4"/>
  <c r="BD73" i="4"/>
  <c r="BD41" i="4"/>
  <c r="BD9" i="4"/>
  <c r="BD33" i="4"/>
  <c r="BD136" i="4"/>
  <c r="BD104" i="4"/>
  <c r="BD72" i="4"/>
  <c r="BD40" i="4"/>
  <c r="BD8" i="4"/>
  <c r="BD135" i="4"/>
  <c r="BD103" i="4"/>
  <c r="BD71" i="4"/>
  <c r="BD39" i="4"/>
  <c r="BD7" i="4"/>
  <c r="BD134" i="4"/>
  <c r="BD102" i="4"/>
  <c r="BD70" i="4"/>
  <c r="BD38" i="4"/>
  <c r="BD6" i="4"/>
  <c r="BD133" i="4"/>
  <c r="BD101" i="4"/>
  <c r="BD69" i="4"/>
  <c r="BD37" i="4"/>
  <c r="BD5" i="4"/>
  <c r="BD30" i="4"/>
  <c r="BD61" i="4"/>
  <c r="BD132" i="4"/>
  <c r="BD100" i="4"/>
  <c r="BD68" i="4"/>
  <c r="BD36" i="4"/>
  <c r="BD4" i="4"/>
  <c r="BD65" i="4"/>
  <c r="BD126" i="4"/>
  <c r="BD125" i="4"/>
  <c r="BD131" i="4"/>
  <c r="BD99" i="4"/>
  <c r="BD67" i="4"/>
  <c r="BD35" i="4"/>
  <c r="BD3" i="4"/>
  <c r="BD130" i="4"/>
  <c r="BD98" i="4"/>
  <c r="BD66" i="4"/>
  <c r="BD34" i="4"/>
  <c r="BD2" i="4"/>
  <c r="BD129" i="4"/>
  <c r="BD62" i="4"/>
  <c r="BD128" i="4"/>
  <c r="BD96" i="4"/>
  <c r="BD64" i="4"/>
  <c r="BD32" i="4"/>
  <c r="BD93" i="4"/>
  <c r="BD127" i="4"/>
  <c r="BD95" i="4"/>
  <c r="BD63" i="4"/>
  <c r="BD31" i="4"/>
  <c r="BD112" i="4"/>
  <c r="BD48" i="4"/>
  <c r="BD25" i="4"/>
  <c r="BD86" i="4"/>
  <c r="BD83" i="4"/>
  <c r="BD143" i="4"/>
  <c r="BD51" i="4"/>
  <c r="BD111" i="4"/>
  <c r="BD47" i="4"/>
  <c r="BD84" i="4"/>
  <c r="BD19" i="4"/>
  <c r="BD16" i="4"/>
  <c r="BD79" i="4"/>
  <c r="BD110" i="4"/>
  <c r="BD46" i="4"/>
  <c r="BD87" i="4"/>
  <c r="BD14" i="4"/>
  <c r="BD120" i="4"/>
  <c r="BD109" i="4"/>
  <c r="BD45" i="4"/>
  <c r="BD89" i="4"/>
  <c r="BD22" i="4"/>
  <c r="BD21" i="4"/>
  <c r="BD18" i="4"/>
  <c r="BD92" i="4"/>
  <c r="BD28" i="4"/>
  <c r="BD23" i="4"/>
  <c r="BD78" i="4"/>
  <c r="BD91" i="4"/>
  <c r="BD27" i="4"/>
  <c r="BD20" i="4"/>
  <c r="BD80" i="4"/>
  <c r="BD123" i="4"/>
  <c r="BD58" i="4"/>
  <c r="BD57" i="4"/>
  <c r="BD56" i="4"/>
  <c r="BD54" i="4"/>
  <c r="BD90" i="4"/>
  <c r="BD26" i="4"/>
  <c r="BD144" i="4"/>
  <c r="BD142" i="4"/>
  <c r="BD59" i="4"/>
  <c r="BD122" i="4"/>
  <c r="BD121" i="4"/>
  <c r="BD124" i="4"/>
  <c r="BD88" i="4"/>
  <c r="BD24" i="4"/>
  <c r="BD82" i="4"/>
  <c r="BD60" i="4"/>
  <c r="BD114" i="4"/>
  <c r="BD85" i="4"/>
  <c r="BD119" i="4"/>
  <c r="BD15" i="4"/>
  <c r="BD50" i="4"/>
  <c r="BD81" i="4"/>
  <c r="BD17" i="4"/>
  <c r="BD55" i="4"/>
  <c r="BD118" i="4"/>
  <c r="BD141" i="4"/>
  <c r="BD77" i="4"/>
  <c r="BD13" i="4"/>
  <c r="BD117" i="4"/>
  <c r="BD53" i="4"/>
  <c r="BD116" i="4"/>
  <c r="BD52" i="4"/>
  <c r="BD113" i="4"/>
  <c r="BD49" i="4"/>
  <c r="BD115" i="4"/>
  <c r="BB123" i="4"/>
  <c r="BB91" i="4"/>
  <c r="BB59" i="4"/>
  <c r="BB27" i="4"/>
  <c r="BB76" i="4"/>
  <c r="BB122" i="4"/>
  <c r="BB90" i="4"/>
  <c r="BB58" i="4"/>
  <c r="BB26" i="4"/>
  <c r="BB121" i="4"/>
  <c r="BB89" i="4"/>
  <c r="BB57" i="4"/>
  <c r="BB25" i="4"/>
  <c r="BB120" i="4"/>
  <c r="BB88" i="4"/>
  <c r="BB56" i="4"/>
  <c r="BB24" i="4"/>
  <c r="BB109" i="4"/>
  <c r="BB12" i="4"/>
  <c r="BB119" i="4"/>
  <c r="BB87" i="4"/>
  <c r="BB55" i="4"/>
  <c r="BB23" i="4"/>
  <c r="BB80" i="4"/>
  <c r="BB77" i="4"/>
  <c r="BB118" i="4"/>
  <c r="BB86" i="4"/>
  <c r="BB54" i="4"/>
  <c r="BB22" i="4"/>
  <c r="BB140" i="4"/>
  <c r="BB117" i="4"/>
  <c r="BB85" i="4"/>
  <c r="BB53" i="4"/>
  <c r="BB21" i="4"/>
  <c r="BB108" i="4"/>
  <c r="BB116" i="4"/>
  <c r="BB84" i="4"/>
  <c r="BB52" i="4"/>
  <c r="BB20" i="4"/>
  <c r="BB112" i="4"/>
  <c r="BB115" i="4"/>
  <c r="BB83" i="4"/>
  <c r="BB51" i="4"/>
  <c r="BB19" i="4"/>
  <c r="BB16" i="4"/>
  <c r="BB13" i="4"/>
  <c r="BB114" i="4"/>
  <c r="BB82" i="4"/>
  <c r="BB50" i="4"/>
  <c r="BB18" i="4"/>
  <c r="BB144" i="4"/>
  <c r="BB141" i="4"/>
  <c r="BB113" i="4"/>
  <c r="BB81" i="4"/>
  <c r="BB49" i="4"/>
  <c r="BB17" i="4"/>
  <c r="BB48" i="4"/>
  <c r="BB143" i="4"/>
  <c r="BB111" i="4"/>
  <c r="BB79" i="4"/>
  <c r="BB47" i="4"/>
  <c r="BB15" i="4"/>
  <c r="BB45" i="4"/>
  <c r="BB44" i="4"/>
  <c r="BB142" i="4"/>
  <c r="BB110" i="4"/>
  <c r="BB78" i="4"/>
  <c r="BB46" i="4"/>
  <c r="BB14" i="4"/>
  <c r="BB127" i="4"/>
  <c r="BB63" i="4"/>
  <c r="BB43" i="4"/>
  <c r="BB40" i="4"/>
  <c r="BB97" i="4"/>
  <c r="BB11" i="4"/>
  <c r="BB73" i="4"/>
  <c r="BB8" i="4"/>
  <c r="BB126" i="4"/>
  <c r="BB62" i="4"/>
  <c r="BB102" i="4"/>
  <c r="BB125" i="4"/>
  <c r="BB61" i="4"/>
  <c r="BB35" i="4"/>
  <c r="BB98" i="4"/>
  <c r="BB30" i="4"/>
  <c r="BB5" i="4"/>
  <c r="BB130" i="4"/>
  <c r="BB124" i="4"/>
  <c r="BB60" i="4"/>
  <c r="BB104" i="4"/>
  <c r="BB34" i="4"/>
  <c r="BB31" i="4"/>
  <c r="BB139" i="4"/>
  <c r="BB6" i="4"/>
  <c r="BB107" i="4"/>
  <c r="BB36" i="4"/>
  <c r="BB71" i="4"/>
  <c r="BB69" i="4"/>
  <c r="BB106" i="4"/>
  <c r="BB42" i="4"/>
  <c r="BB33" i="4"/>
  <c r="BB70" i="4"/>
  <c r="BB129" i="4"/>
  <c r="BB105" i="4"/>
  <c r="BB41" i="4"/>
  <c r="BB38" i="4"/>
  <c r="BB37" i="4"/>
  <c r="BB135" i="4"/>
  <c r="BB134" i="4"/>
  <c r="BB133" i="4"/>
  <c r="BB65" i="4"/>
  <c r="BB93" i="4"/>
  <c r="BB74" i="4"/>
  <c r="BB103" i="4"/>
  <c r="BB39" i="4"/>
  <c r="BB100" i="4"/>
  <c r="BB95" i="4"/>
  <c r="BB7" i="4"/>
  <c r="BB72" i="4"/>
  <c r="BB3" i="4"/>
  <c r="BB66" i="4"/>
  <c r="BB101" i="4"/>
  <c r="BB94" i="4"/>
  <c r="BB10" i="4"/>
  <c r="BB99" i="4"/>
  <c r="BB138" i="4"/>
  <c r="BB136" i="4"/>
  <c r="BB67" i="4"/>
  <c r="BB2" i="4"/>
  <c r="BB96" i="4"/>
  <c r="BB32" i="4"/>
  <c r="BB29" i="4"/>
  <c r="BB75" i="4"/>
  <c r="BB137" i="4"/>
  <c r="BB92" i="4"/>
  <c r="BB28" i="4"/>
  <c r="BB9" i="4"/>
  <c r="BB131" i="4"/>
  <c r="BB132" i="4"/>
  <c r="BB68" i="4"/>
  <c r="BB4" i="4"/>
  <c r="BB128" i="4"/>
  <c r="BB64" i="4"/>
  <c r="AZ138" i="4"/>
  <c r="AZ106" i="4"/>
  <c r="AZ74" i="4"/>
  <c r="AZ42" i="4"/>
  <c r="AZ10" i="4"/>
  <c r="AZ137" i="4"/>
  <c r="AZ105" i="4"/>
  <c r="AZ73" i="4"/>
  <c r="AZ41" i="4"/>
  <c r="AZ9" i="4"/>
  <c r="AZ136" i="4"/>
  <c r="AZ104" i="4"/>
  <c r="AZ72" i="4"/>
  <c r="AZ40" i="4"/>
  <c r="AZ8" i="4"/>
  <c r="AZ127" i="4"/>
  <c r="AZ124" i="4"/>
  <c r="AZ27" i="4"/>
  <c r="AZ135" i="4"/>
  <c r="AZ103" i="4"/>
  <c r="AZ71" i="4"/>
  <c r="AZ39" i="4"/>
  <c r="AZ7" i="4"/>
  <c r="AZ134" i="4"/>
  <c r="AZ102" i="4"/>
  <c r="AZ70" i="4"/>
  <c r="AZ38" i="4"/>
  <c r="AZ6" i="4"/>
  <c r="AZ123" i="4"/>
  <c r="AZ133" i="4"/>
  <c r="AZ101" i="4"/>
  <c r="AZ69" i="4"/>
  <c r="AZ37" i="4"/>
  <c r="AZ5" i="4"/>
  <c r="AZ60" i="4"/>
  <c r="AZ132" i="4"/>
  <c r="AZ100" i="4"/>
  <c r="AZ68" i="4"/>
  <c r="AZ36" i="4"/>
  <c r="AZ4" i="4"/>
  <c r="AZ28" i="4"/>
  <c r="AZ131" i="4"/>
  <c r="AZ99" i="4"/>
  <c r="AZ67" i="4"/>
  <c r="AZ35" i="4"/>
  <c r="AZ3" i="4"/>
  <c r="AZ59" i="4"/>
  <c r="AZ130" i="4"/>
  <c r="AZ98" i="4"/>
  <c r="AZ66" i="4"/>
  <c r="AZ34" i="4"/>
  <c r="AZ2" i="4"/>
  <c r="AZ63" i="4"/>
  <c r="AZ129" i="4"/>
  <c r="AZ97" i="4"/>
  <c r="AZ65" i="4"/>
  <c r="AZ33" i="4"/>
  <c r="AZ95" i="4"/>
  <c r="AZ128" i="4"/>
  <c r="AZ96" i="4"/>
  <c r="AZ64" i="4"/>
  <c r="AZ32" i="4"/>
  <c r="AZ31" i="4"/>
  <c r="AZ92" i="4"/>
  <c r="AZ126" i="4"/>
  <c r="AZ94" i="4"/>
  <c r="AZ62" i="4"/>
  <c r="AZ30" i="4"/>
  <c r="AZ125" i="4"/>
  <c r="AZ93" i="4"/>
  <c r="AZ61" i="4"/>
  <c r="AZ29" i="4"/>
  <c r="AZ91" i="4"/>
  <c r="AZ142" i="4"/>
  <c r="AZ78" i="4"/>
  <c r="AZ14" i="4"/>
  <c r="AZ77" i="4"/>
  <c r="AZ12" i="4"/>
  <c r="AZ58" i="4"/>
  <c r="AZ116" i="4"/>
  <c r="AZ50" i="4"/>
  <c r="AZ108" i="4"/>
  <c r="AZ85" i="4"/>
  <c r="AZ80" i="4"/>
  <c r="AZ141" i="4"/>
  <c r="AZ13" i="4"/>
  <c r="AZ119" i="4"/>
  <c r="AZ115" i="4"/>
  <c r="AZ49" i="4"/>
  <c r="AZ112" i="4"/>
  <c r="AZ140" i="4"/>
  <c r="AZ76" i="4"/>
  <c r="AZ52" i="4"/>
  <c r="AZ51" i="4"/>
  <c r="AZ25" i="4"/>
  <c r="AZ144" i="4"/>
  <c r="AZ139" i="4"/>
  <c r="AZ75" i="4"/>
  <c r="AZ11" i="4"/>
  <c r="AZ55" i="4"/>
  <c r="AZ45" i="4"/>
  <c r="AZ81" i="4"/>
  <c r="AZ122" i="4"/>
  <c r="AZ53" i="4"/>
  <c r="AZ121" i="4"/>
  <c r="AZ57" i="4"/>
  <c r="AZ44" i="4"/>
  <c r="AZ120" i="4"/>
  <c r="AZ56" i="4"/>
  <c r="AZ87" i="4"/>
  <c r="AZ118" i="4"/>
  <c r="AZ54" i="4"/>
  <c r="AZ117" i="4"/>
  <c r="AZ114" i="4"/>
  <c r="AZ48" i="4"/>
  <c r="AZ109" i="4"/>
  <c r="AZ88" i="4"/>
  <c r="AZ18" i="4"/>
  <c r="AZ26" i="4"/>
  <c r="AZ22" i="4"/>
  <c r="AZ20" i="4"/>
  <c r="AZ46" i="4"/>
  <c r="AZ107" i="4"/>
  <c r="AZ90" i="4"/>
  <c r="AZ86" i="4"/>
  <c r="AZ23" i="4"/>
  <c r="AZ110" i="4"/>
  <c r="AZ21" i="4"/>
  <c r="AZ113" i="4"/>
  <c r="AZ24" i="4"/>
  <c r="AZ84" i="4"/>
  <c r="AZ111" i="4"/>
  <c r="AZ47" i="4"/>
  <c r="AZ89" i="4"/>
  <c r="AZ43" i="4"/>
  <c r="AZ17" i="4"/>
  <c r="AZ83" i="4"/>
  <c r="AZ19" i="4"/>
  <c r="AZ82" i="4"/>
  <c r="AZ143" i="4"/>
  <c r="AZ79" i="4"/>
  <c r="AZ15" i="4"/>
  <c r="AZ16" i="4"/>
  <c r="BH142" i="4"/>
  <c r="BH110" i="4"/>
  <c r="BH78" i="4"/>
  <c r="BH46" i="4"/>
  <c r="BH14" i="4"/>
  <c r="BH141" i="4"/>
  <c r="BH109" i="4"/>
  <c r="BH77" i="4"/>
  <c r="BH45" i="4"/>
  <c r="BH13" i="4"/>
  <c r="BH140" i="4"/>
  <c r="BH108" i="4"/>
  <c r="BH76" i="4"/>
  <c r="BH44" i="4"/>
  <c r="BH12" i="4"/>
  <c r="BH139" i="4"/>
  <c r="BH107" i="4"/>
  <c r="BH75" i="4"/>
  <c r="BH43" i="4"/>
  <c r="BH11" i="4"/>
  <c r="BH31" i="4"/>
  <c r="BH94" i="4"/>
  <c r="BH138" i="4"/>
  <c r="BH106" i="4"/>
  <c r="BH74" i="4"/>
  <c r="BH42" i="4"/>
  <c r="BH10" i="4"/>
  <c r="BH131" i="4"/>
  <c r="BH137" i="4"/>
  <c r="BH105" i="4"/>
  <c r="BH73" i="4"/>
  <c r="BH41" i="4"/>
  <c r="BH9" i="4"/>
  <c r="BH127" i="4"/>
  <c r="BH136" i="4"/>
  <c r="BH104" i="4"/>
  <c r="BH72" i="4"/>
  <c r="BH40" i="4"/>
  <c r="BH8" i="4"/>
  <c r="BH95" i="4"/>
  <c r="BH135" i="4"/>
  <c r="BH103" i="4"/>
  <c r="BH71" i="4"/>
  <c r="BH39" i="4"/>
  <c r="BH7" i="4"/>
  <c r="BH134" i="4"/>
  <c r="BH102" i="4"/>
  <c r="BH70" i="4"/>
  <c r="BH38" i="4"/>
  <c r="BH6" i="4"/>
  <c r="BH35" i="4"/>
  <c r="BH133" i="4"/>
  <c r="BH101" i="4"/>
  <c r="BH69" i="4"/>
  <c r="BH37" i="4"/>
  <c r="BH5" i="4"/>
  <c r="BH67" i="4"/>
  <c r="BH64" i="4"/>
  <c r="BH126" i="4"/>
  <c r="BH132" i="4"/>
  <c r="BH100" i="4"/>
  <c r="BH68" i="4"/>
  <c r="BH36" i="4"/>
  <c r="BH4" i="4"/>
  <c r="BH99" i="4"/>
  <c r="BH3" i="4"/>
  <c r="BH32" i="4"/>
  <c r="BH130" i="4"/>
  <c r="BH98" i="4"/>
  <c r="BH66" i="4"/>
  <c r="BH34" i="4"/>
  <c r="BH2" i="4"/>
  <c r="BH128" i="4"/>
  <c r="BH129" i="4"/>
  <c r="BH97" i="4"/>
  <c r="BH65" i="4"/>
  <c r="BH33" i="4"/>
  <c r="BH96" i="4"/>
  <c r="BH63" i="4"/>
  <c r="BH83" i="4"/>
  <c r="BH19" i="4"/>
  <c r="BH123" i="4"/>
  <c r="BH111" i="4"/>
  <c r="BH25" i="4"/>
  <c r="BH82" i="4"/>
  <c r="BH18" i="4"/>
  <c r="BH60" i="4"/>
  <c r="BH58" i="4"/>
  <c r="BH122" i="4"/>
  <c r="BH81" i="4"/>
  <c r="BH17" i="4"/>
  <c r="BH51" i="4"/>
  <c r="BH80" i="4"/>
  <c r="BH16" i="4"/>
  <c r="BH118" i="4"/>
  <c r="BH50" i="4"/>
  <c r="BH49" i="4"/>
  <c r="BH91" i="4"/>
  <c r="BH85" i="4"/>
  <c r="BH79" i="4"/>
  <c r="BH15" i="4"/>
  <c r="BH26" i="4"/>
  <c r="BH86" i="4"/>
  <c r="BH144" i="4"/>
  <c r="BH62" i="4"/>
  <c r="BH47" i="4"/>
  <c r="BH22" i="4"/>
  <c r="BH143" i="4"/>
  <c r="BH61" i="4"/>
  <c r="BH115" i="4"/>
  <c r="BH112" i="4"/>
  <c r="BH125" i="4"/>
  <c r="BH124" i="4"/>
  <c r="BH59" i="4"/>
  <c r="BH57" i="4"/>
  <c r="BH119" i="4"/>
  <c r="BH53" i="4"/>
  <c r="BH114" i="4"/>
  <c r="BH21" i="4"/>
  <c r="BH90" i="4"/>
  <c r="BH28" i="4"/>
  <c r="BH121" i="4"/>
  <c r="BH56" i="4"/>
  <c r="BH120" i="4"/>
  <c r="BH55" i="4"/>
  <c r="BH93" i="4"/>
  <c r="BH54" i="4"/>
  <c r="BH117" i="4"/>
  <c r="BH52" i="4"/>
  <c r="BH29" i="4"/>
  <c r="BH27" i="4"/>
  <c r="BH116" i="4"/>
  <c r="BH89" i="4"/>
  <c r="BH113" i="4"/>
  <c r="BH48" i="4"/>
  <c r="BH30" i="4"/>
  <c r="BH92" i="4"/>
  <c r="BH88" i="4"/>
  <c r="BH24" i="4"/>
  <c r="BH87" i="4"/>
  <c r="BH23" i="4"/>
  <c r="BH84" i="4"/>
  <c r="BH20" i="4"/>
  <c r="BL144" i="4"/>
  <c r="BL112" i="4"/>
  <c r="BL80" i="4"/>
  <c r="BL48" i="4"/>
  <c r="BL16" i="4"/>
  <c r="BL143" i="4"/>
  <c r="BL111" i="4"/>
  <c r="BL79" i="4"/>
  <c r="BL47" i="4"/>
  <c r="BL15" i="4"/>
  <c r="BL142" i="4"/>
  <c r="BL110" i="4"/>
  <c r="BL78" i="4"/>
  <c r="BL46" i="4"/>
  <c r="BL14" i="4"/>
  <c r="BL141" i="4"/>
  <c r="BL109" i="4"/>
  <c r="BL77" i="4"/>
  <c r="BL45" i="4"/>
  <c r="BL13" i="4"/>
  <c r="BL140" i="4"/>
  <c r="BL108" i="4"/>
  <c r="BL76" i="4"/>
  <c r="BL44" i="4"/>
  <c r="BL12" i="4"/>
  <c r="BL130" i="4"/>
  <c r="BL139" i="4"/>
  <c r="BL107" i="4"/>
  <c r="BL75" i="4"/>
  <c r="BL43" i="4"/>
  <c r="BL11" i="4"/>
  <c r="BL34" i="4"/>
  <c r="BL128" i="4"/>
  <c r="BL138" i="4"/>
  <c r="BL106" i="4"/>
  <c r="BL74" i="4"/>
  <c r="BL42" i="4"/>
  <c r="BL10" i="4"/>
  <c r="BL2" i="4"/>
  <c r="BL96" i="4"/>
  <c r="BL137" i="4"/>
  <c r="BL105" i="4"/>
  <c r="BL73" i="4"/>
  <c r="BL41" i="4"/>
  <c r="BL9" i="4"/>
  <c r="BL98" i="4"/>
  <c r="BL136" i="4"/>
  <c r="BL104" i="4"/>
  <c r="BL72" i="4"/>
  <c r="BL40" i="4"/>
  <c r="BL8" i="4"/>
  <c r="BL37" i="4"/>
  <c r="BL64" i="4"/>
  <c r="BL135" i="4"/>
  <c r="BL103" i="4"/>
  <c r="BL71" i="4"/>
  <c r="BL39" i="4"/>
  <c r="BL7" i="4"/>
  <c r="BL5" i="4"/>
  <c r="BL66" i="4"/>
  <c r="BL134" i="4"/>
  <c r="BL102" i="4"/>
  <c r="BL70" i="4"/>
  <c r="BL38" i="4"/>
  <c r="BL6" i="4"/>
  <c r="BL133" i="4"/>
  <c r="BL101" i="4"/>
  <c r="BL69" i="4"/>
  <c r="BL132" i="4"/>
  <c r="BL100" i="4"/>
  <c r="BL68" i="4"/>
  <c r="BL36" i="4"/>
  <c r="BL4" i="4"/>
  <c r="BL131" i="4"/>
  <c r="BL99" i="4"/>
  <c r="BL67" i="4"/>
  <c r="BL35" i="4"/>
  <c r="BL3" i="4"/>
  <c r="BL32" i="4"/>
  <c r="BL129" i="4"/>
  <c r="BL97" i="4"/>
  <c r="BL65" i="4"/>
  <c r="BL33" i="4"/>
  <c r="BL127" i="4"/>
  <c r="BL61" i="4"/>
  <c r="BL126" i="4"/>
  <c r="BL60" i="4"/>
  <c r="BL90" i="4"/>
  <c r="BL88" i="4"/>
  <c r="BL20" i="4"/>
  <c r="BL125" i="4"/>
  <c r="BL59" i="4"/>
  <c r="BL124" i="4"/>
  <c r="BL58" i="4"/>
  <c r="BL18" i="4"/>
  <c r="BL123" i="4"/>
  <c r="BL57" i="4"/>
  <c r="BL24" i="4"/>
  <c r="BL22" i="4"/>
  <c r="BL122" i="4"/>
  <c r="BL56" i="4"/>
  <c r="BL121" i="4"/>
  <c r="BL55" i="4"/>
  <c r="BL120" i="4"/>
  <c r="BL54" i="4"/>
  <c r="BL113" i="4"/>
  <c r="BL63" i="4"/>
  <c r="BL119" i="4"/>
  <c r="BL53" i="4"/>
  <c r="BL23" i="4"/>
  <c r="BL19" i="4"/>
  <c r="BL118" i="4"/>
  <c r="BL52" i="4"/>
  <c r="BL26" i="4"/>
  <c r="BL117" i="4"/>
  <c r="BL51" i="4"/>
  <c r="BL27" i="4"/>
  <c r="BL89" i="4"/>
  <c r="BL85" i="4"/>
  <c r="BL116" i="4"/>
  <c r="BL50" i="4"/>
  <c r="BL30" i="4"/>
  <c r="BL115" i="4"/>
  <c r="BL49" i="4"/>
  <c r="BL86" i="4"/>
  <c r="BL114" i="4"/>
  <c r="BL31" i="4"/>
  <c r="BL92" i="4"/>
  <c r="BL95" i="4"/>
  <c r="BL29" i="4"/>
  <c r="BL93" i="4"/>
  <c r="BL94" i="4"/>
  <c r="BL28" i="4"/>
  <c r="BL91" i="4"/>
  <c r="BL25" i="4"/>
  <c r="BL87" i="4"/>
  <c r="BL21" i="4"/>
  <c r="BL84" i="4"/>
  <c r="BL81" i="4"/>
  <c r="BL83" i="4"/>
  <c r="BL17" i="4"/>
  <c r="BL82" i="4"/>
  <c r="BL62" i="4"/>
  <c r="BJ127" i="4"/>
  <c r="BJ95" i="4"/>
  <c r="BJ63" i="4"/>
  <c r="BJ31" i="4"/>
  <c r="BJ126" i="4"/>
  <c r="BJ94" i="4"/>
  <c r="BJ62" i="4"/>
  <c r="BJ30" i="4"/>
  <c r="BJ125" i="4"/>
  <c r="BJ93" i="4"/>
  <c r="BJ61" i="4"/>
  <c r="BJ29" i="4"/>
  <c r="BJ52" i="4"/>
  <c r="BJ113" i="4"/>
  <c r="BJ79" i="4"/>
  <c r="BJ124" i="4"/>
  <c r="BJ92" i="4"/>
  <c r="BJ60" i="4"/>
  <c r="BJ28" i="4"/>
  <c r="BJ49" i="4"/>
  <c r="BJ123" i="4"/>
  <c r="BJ91" i="4"/>
  <c r="BJ59" i="4"/>
  <c r="BJ27" i="4"/>
  <c r="BJ15" i="4"/>
  <c r="BJ122" i="4"/>
  <c r="BJ90" i="4"/>
  <c r="BJ58" i="4"/>
  <c r="BJ26" i="4"/>
  <c r="BJ121" i="4"/>
  <c r="BJ89" i="4"/>
  <c r="BJ57" i="4"/>
  <c r="BJ25" i="4"/>
  <c r="BJ120" i="4"/>
  <c r="BJ88" i="4"/>
  <c r="BJ56" i="4"/>
  <c r="BJ24" i="4"/>
  <c r="BJ20" i="4"/>
  <c r="BJ47" i="4"/>
  <c r="BJ119" i="4"/>
  <c r="BJ87" i="4"/>
  <c r="BJ55" i="4"/>
  <c r="BJ23" i="4"/>
  <c r="BJ17" i="4"/>
  <c r="BJ118" i="4"/>
  <c r="BJ86" i="4"/>
  <c r="BJ54" i="4"/>
  <c r="BJ22" i="4"/>
  <c r="BJ117" i="4"/>
  <c r="BJ85" i="4"/>
  <c r="BJ53" i="4"/>
  <c r="BJ21" i="4"/>
  <c r="BJ116" i="4"/>
  <c r="BJ81" i="4"/>
  <c r="BJ111" i="4"/>
  <c r="BJ84" i="4"/>
  <c r="BJ115" i="4"/>
  <c r="BJ83" i="4"/>
  <c r="BJ51" i="4"/>
  <c r="BJ19" i="4"/>
  <c r="BJ143" i="4"/>
  <c r="BJ114" i="4"/>
  <c r="BJ82" i="4"/>
  <c r="BJ50" i="4"/>
  <c r="BJ18" i="4"/>
  <c r="BJ144" i="4"/>
  <c r="BJ112" i="4"/>
  <c r="BJ80" i="4"/>
  <c r="BJ48" i="4"/>
  <c r="BJ16" i="4"/>
  <c r="BJ138" i="4"/>
  <c r="BJ72" i="4"/>
  <c r="BJ6" i="4"/>
  <c r="BJ14" i="4"/>
  <c r="BJ137" i="4"/>
  <c r="BJ71" i="4"/>
  <c r="BJ5" i="4"/>
  <c r="BJ12" i="4"/>
  <c r="BJ75" i="4"/>
  <c r="BJ136" i="4"/>
  <c r="BJ70" i="4"/>
  <c r="BJ4" i="4"/>
  <c r="BJ41" i="4"/>
  <c r="BJ33" i="4"/>
  <c r="BJ135" i="4"/>
  <c r="BJ69" i="4"/>
  <c r="BJ3" i="4"/>
  <c r="BJ46" i="4"/>
  <c r="BJ99" i="4"/>
  <c r="BJ134" i="4"/>
  <c r="BJ68" i="4"/>
  <c r="BJ2" i="4"/>
  <c r="BJ104" i="4"/>
  <c r="BJ133" i="4"/>
  <c r="BJ67" i="4"/>
  <c r="BJ38" i="4"/>
  <c r="BJ132" i="4"/>
  <c r="BJ66" i="4"/>
  <c r="BJ107" i="4"/>
  <c r="BJ9" i="4"/>
  <c r="BJ131" i="4"/>
  <c r="BJ65" i="4"/>
  <c r="BJ130" i="4"/>
  <c r="BJ64" i="4"/>
  <c r="BJ129" i="4"/>
  <c r="BJ34" i="4"/>
  <c r="BJ128" i="4"/>
  <c r="BJ45" i="4"/>
  <c r="BJ110" i="4"/>
  <c r="BJ44" i="4"/>
  <c r="BJ39" i="4"/>
  <c r="BJ103" i="4"/>
  <c r="BJ101" i="4"/>
  <c r="BJ140" i="4"/>
  <c r="BJ109" i="4"/>
  <c r="BJ43" i="4"/>
  <c r="BJ37" i="4"/>
  <c r="BJ78" i="4"/>
  <c r="BJ108" i="4"/>
  <c r="BJ42" i="4"/>
  <c r="BJ100" i="4"/>
  <c r="BJ13" i="4"/>
  <c r="BJ106" i="4"/>
  <c r="BJ40" i="4"/>
  <c r="BJ35" i="4"/>
  <c r="BJ74" i="4"/>
  <c r="BJ105" i="4"/>
  <c r="BJ97" i="4"/>
  <c r="BJ141" i="4"/>
  <c r="BJ102" i="4"/>
  <c r="BJ36" i="4"/>
  <c r="BJ96" i="4"/>
  <c r="BJ98" i="4"/>
  <c r="BJ32" i="4"/>
  <c r="BJ77" i="4"/>
  <c r="BJ11" i="4"/>
  <c r="BJ142" i="4"/>
  <c r="BJ76" i="4"/>
  <c r="BJ10" i="4"/>
  <c r="BJ8" i="4"/>
  <c r="BJ139" i="4"/>
  <c r="BJ73" i="4"/>
  <c r="BJ7" i="4"/>
  <c r="BF125" i="4"/>
  <c r="BF93" i="4"/>
  <c r="BF61" i="4"/>
  <c r="BF29" i="4"/>
  <c r="BF124" i="4"/>
  <c r="BF92" i="4"/>
  <c r="BF60" i="4"/>
  <c r="BF28" i="4"/>
  <c r="BF123" i="4"/>
  <c r="BF91" i="4"/>
  <c r="BF59" i="4"/>
  <c r="BF27" i="4"/>
  <c r="BF143" i="4"/>
  <c r="BF46" i="4"/>
  <c r="BF122" i="4"/>
  <c r="BF90" i="4"/>
  <c r="BF58" i="4"/>
  <c r="BF26" i="4"/>
  <c r="BF79" i="4"/>
  <c r="BF121" i="4"/>
  <c r="BF89" i="4"/>
  <c r="BF57" i="4"/>
  <c r="BF25" i="4"/>
  <c r="BF78" i="4"/>
  <c r="BF141" i="4"/>
  <c r="BF120" i="4"/>
  <c r="BF88" i="4"/>
  <c r="BF56" i="4"/>
  <c r="BF24" i="4"/>
  <c r="BF47" i="4"/>
  <c r="BF119" i="4"/>
  <c r="BF87" i="4"/>
  <c r="BF55" i="4"/>
  <c r="BF23" i="4"/>
  <c r="BF15" i="4"/>
  <c r="BF118" i="4"/>
  <c r="BF86" i="4"/>
  <c r="BF54" i="4"/>
  <c r="BF22" i="4"/>
  <c r="BF117" i="4"/>
  <c r="BF85" i="4"/>
  <c r="BF53" i="4"/>
  <c r="BF21" i="4"/>
  <c r="BF18" i="4"/>
  <c r="BF111" i="4"/>
  <c r="BF116" i="4"/>
  <c r="BF84" i="4"/>
  <c r="BF52" i="4"/>
  <c r="BF20" i="4"/>
  <c r="BF82" i="4"/>
  <c r="BF142" i="4"/>
  <c r="BF115" i="4"/>
  <c r="BF83" i="4"/>
  <c r="BF51" i="4"/>
  <c r="BF19" i="4"/>
  <c r="BF114" i="4"/>
  <c r="BF50" i="4"/>
  <c r="BF14" i="4"/>
  <c r="BF113" i="4"/>
  <c r="BF81" i="4"/>
  <c r="BF49" i="4"/>
  <c r="BF17" i="4"/>
  <c r="BF144" i="4"/>
  <c r="BF112" i="4"/>
  <c r="BF80" i="4"/>
  <c r="BF48" i="4"/>
  <c r="BF16" i="4"/>
  <c r="BF110" i="4"/>
  <c r="BF97" i="4"/>
  <c r="BF33" i="4"/>
  <c r="BF138" i="4"/>
  <c r="BF6" i="4"/>
  <c r="BF67" i="4"/>
  <c r="BF65" i="4"/>
  <c r="BF96" i="4"/>
  <c r="BF32" i="4"/>
  <c r="BF131" i="4"/>
  <c r="BF127" i="4"/>
  <c r="BF95" i="4"/>
  <c r="BF31" i="4"/>
  <c r="BF7" i="4"/>
  <c r="BF109" i="4"/>
  <c r="BF104" i="4"/>
  <c r="BF94" i="4"/>
  <c r="BF30" i="4"/>
  <c r="BF74" i="4"/>
  <c r="BF5" i="4"/>
  <c r="BF132" i="4"/>
  <c r="BF108" i="4"/>
  <c r="BF77" i="4"/>
  <c r="BF13" i="4"/>
  <c r="BF72" i="4"/>
  <c r="BF135" i="4"/>
  <c r="BF140" i="4"/>
  <c r="BF76" i="4"/>
  <c r="BF12" i="4"/>
  <c r="BF4" i="4"/>
  <c r="BF3" i="4"/>
  <c r="BF139" i="4"/>
  <c r="BF75" i="4"/>
  <c r="BF11" i="4"/>
  <c r="BF136" i="4"/>
  <c r="BF71" i="4"/>
  <c r="BF70" i="4"/>
  <c r="BF68" i="4"/>
  <c r="BF10" i="4"/>
  <c r="BF129" i="4"/>
  <c r="BF64" i="4"/>
  <c r="BF43" i="4"/>
  <c r="BF41" i="4"/>
  <c r="BF40" i="4"/>
  <c r="BF103" i="4"/>
  <c r="BF137" i="4"/>
  <c r="BF73" i="4"/>
  <c r="BF9" i="4"/>
  <c r="BF128" i="4"/>
  <c r="BF42" i="4"/>
  <c r="BF8" i="4"/>
  <c r="BF35" i="4"/>
  <c r="BF36" i="4"/>
  <c r="BF134" i="4"/>
  <c r="BF107" i="4"/>
  <c r="BF105" i="4"/>
  <c r="BF39" i="4"/>
  <c r="BF133" i="4"/>
  <c r="BF69" i="4"/>
  <c r="BF45" i="4"/>
  <c r="BF100" i="4"/>
  <c r="BF99" i="4"/>
  <c r="BF130" i="4"/>
  <c r="BF66" i="4"/>
  <c r="BF2" i="4"/>
  <c r="BF63" i="4"/>
  <c r="BF44" i="4"/>
  <c r="BF126" i="4"/>
  <c r="BF62" i="4"/>
  <c r="BF106" i="4"/>
  <c r="BF102" i="4"/>
  <c r="BF38" i="4"/>
  <c r="BF101" i="4"/>
  <c r="BF37" i="4"/>
  <c r="BF98" i="4"/>
  <c r="BF34" i="4"/>
  <c r="AN117" i="4"/>
  <c r="AN85" i="4"/>
  <c r="AN53" i="4"/>
  <c r="AN21" i="4"/>
  <c r="AN115" i="4"/>
  <c r="AN19" i="4"/>
  <c r="AN114" i="4"/>
  <c r="AN82" i="4"/>
  <c r="AN50" i="4"/>
  <c r="AN18" i="4"/>
  <c r="AN113" i="4"/>
  <c r="AN81" i="4"/>
  <c r="AN17" i="4"/>
  <c r="AN144" i="4"/>
  <c r="AN112" i="4"/>
  <c r="AN116" i="4"/>
  <c r="AN84" i="4"/>
  <c r="AN52" i="4"/>
  <c r="AN20" i="4"/>
  <c r="AN83" i="4"/>
  <c r="AN143" i="4"/>
  <c r="AN79" i="4"/>
  <c r="AN51" i="4"/>
  <c r="AN80" i="4"/>
  <c r="AN48" i="4"/>
  <c r="AN16" i="4"/>
  <c r="AN111" i="4"/>
  <c r="AN15" i="4"/>
  <c r="AN46" i="4"/>
  <c r="AN14" i="4"/>
  <c r="AN9" i="4"/>
  <c r="AN104" i="4"/>
  <c r="AN38" i="4"/>
  <c r="AN42" i="4"/>
  <c r="AN70" i="4"/>
  <c r="AN49" i="4"/>
  <c r="AN106" i="4"/>
  <c r="AN134" i="4"/>
  <c r="AN105" i="4"/>
  <c r="AN8" i="4"/>
  <c r="AN47" i="4"/>
  <c r="AN138" i="4"/>
  <c r="AN73" i="4"/>
  <c r="AN40" i="4"/>
  <c r="AN7" i="4"/>
  <c r="AN142" i="4"/>
  <c r="AN110" i="4"/>
  <c r="AN78" i="4"/>
  <c r="AN74" i="4"/>
  <c r="AN137" i="4"/>
  <c r="AN39" i="4"/>
  <c r="AN141" i="4"/>
  <c r="AN109" i="4"/>
  <c r="AN77" i="4"/>
  <c r="AN45" i="4"/>
  <c r="AN13" i="4"/>
  <c r="AN76" i="4"/>
  <c r="AN12" i="4"/>
  <c r="AN75" i="4"/>
  <c r="AN11" i="4"/>
  <c r="AN10" i="4"/>
  <c r="AN136" i="4"/>
  <c r="AN135" i="4"/>
  <c r="AN140" i="4"/>
  <c r="AN108" i="4"/>
  <c r="AN44" i="4"/>
  <c r="AN107" i="4"/>
  <c r="AN43" i="4"/>
  <c r="AN41" i="4"/>
  <c r="AN71" i="4"/>
  <c r="AN139" i="4"/>
  <c r="AN72" i="4"/>
  <c r="AN6" i="4"/>
  <c r="AN103" i="4"/>
  <c r="AN102" i="4"/>
  <c r="AN90" i="4"/>
  <c r="AN26" i="4"/>
  <c r="AN89" i="4"/>
  <c r="AN25" i="4"/>
  <c r="AN88" i="4"/>
  <c r="AN24" i="4"/>
  <c r="AN87" i="4"/>
  <c r="AN86" i="4"/>
  <c r="AN22" i="4"/>
  <c r="AN69" i="4"/>
  <c r="AN68" i="4"/>
  <c r="AN131" i="4"/>
  <c r="AN2" i="4"/>
  <c r="AN62" i="4"/>
  <c r="AN125" i="4"/>
  <c r="AN92" i="4"/>
  <c r="AN133" i="4"/>
  <c r="AN132" i="4"/>
  <c r="AN67" i="4"/>
  <c r="AN122" i="4"/>
  <c r="AN65" i="4"/>
  <c r="AN64" i="4"/>
  <c r="AN124" i="4"/>
  <c r="AN33" i="4"/>
  <c r="AN29" i="4"/>
  <c r="AN23" i="4"/>
  <c r="AN5" i="4"/>
  <c r="AN4" i="4"/>
  <c r="AN123" i="4"/>
  <c r="AN54" i="4"/>
  <c r="AN100" i="4"/>
  <c r="AN129" i="4"/>
  <c r="AN63" i="4"/>
  <c r="AN56" i="4"/>
  <c r="AN130" i="4"/>
  <c r="AN61" i="4"/>
  <c r="AN60" i="4"/>
  <c r="AN57" i="4"/>
  <c r="AN35" i="4"/>
  <c r="AN3" i="4"/>
  <c r="AN66" i="4"/>
  <c r="AN127" i="4"/>
  <c r="AN126" i="4"/>
  <c r="AN118" i="4"/>
  <c r="AN99" i="4"/>
  <c r="AN98" i="4"/>
  <c r="AN93" i="4"/>
  <c r="AN121" i="4"/>
  <c r="AN128" i="4"/>
  <c r="AN59" i="4"/>
  <c r="AN36" i="4"/>
  <c r="AN37" i="4"/>
  <c r="AN119" i="4"/>
  <c r="AN101" i="4"/>
  <c r="AN32" i="4"/>
  <c r="AN58" i="4"/>
  <c r="AN34" i="4"/>
  <c r="AN97" i="4"/>
  <c r="AN96" i="4"/>
  <c r="AN120" i="4"/>
  <c r="AN55" i="4"/>
  <c r="AN30" i="4"/>
  <c r="AN95" i="4"/>
  <c r="AN31" i="4"/>
  <c r="AN94" i="4"/>
  <c r="AN91" i="4"/>
  <c r="AN27" i="4"/>
  <c r="AN28" i="4"/>
  <c r="AL132" i="4"/>
  <c r="AL100" i="4"/>
  <c r="AL68" i="4"/>
  <c r="AL36" i="4"/>
  <c r="AL4" i="4"/>
  <c r="AL131" i="4"/>
  <c r="AL99" i="4"/>
  <c r="AL35" i="4"/>
  <c r="AL3" i="4"/>
  <c r="AL130" i="4"/>
  <c r="AL98" i="4"/>
  <c r="AL66" i="4"/>
  <c r="AL34" i="4"/>
  <c r="AL2" i="4"/>
  <c r="AL92" i="4"/>
  <c r="AL123" i="4"/>
  <c r="AL88" i="4"/>
  <c r="AL67" i="4"/>
  <c r="AL122" i="4"/>
  <c r="AL25" i="4"/>
  <c r="AL24" i="4"/>
  <c r="AL87" i="4"/>
  <c r="AL118" i="4"/>
  <c r="AL129" i="4"/>
  <c r="AL97" i="4"/>
  <c r="AL65" i="4"/>
  <c r="AL33" i="4"/>
  <c r="AL96" i="4"/>
  <c r="AL64" i="4"/>
  <c r="AL32" i="4"/>
  <c r="AL127" i="4"/>
  <c r="AL95" i="4"/>
  <c r="AL63" i="4"/>
  <c r="AL31" i="4"/>
  <c r="AL126" i="4"/>
  <c r="AL94" i="4"/>
  <c r="AL62" i="4"/>
  <c r="AL30" i="4"/>
  <c r="AL125" i="4"/>
  <c r="AL93" i="4"/>
  <c r="AL61" i="4"/>
  <c r="AL29" i="4"/>
  <c r="AL124" i="4"/>
  <c r="AL60" i="4"/>
  <c r="AL28" i="4"/>
  <c r="AL91" i="4"/>
  <c r="AL120" i="4"/>
  <c r="AL128" i="4"/>
  <c r="AL59" i="4"/>
  <c r="AL121" i="4"/>
  <c r="AL90" i="4"/>
  <c r="AL55" i="4"/>
  <c r="AL86" i="4"/>
  <c r="AL58" i="4"/>
  <c r="AL57" i="4"/>
  <c r="AL56" i="4"/>
  <c r="AL27" i="4"/>
  <c r="AL26" i="4"/>
  <c r="AL89" i="4"/>
  <c r="AL119" i="4"/>
  <c r="AL117" i="4"/>
  <c r="AL85" i="4"/>
  <c r="AL53" i="4"/>
  <c r="AL21" i="4"/>
  <c r="AL116" i="4"/>
  <c r="AL84" i="4"/>
  <c r="AL52" i="4"/>
  <c r="AL20" i="4"/>
  <c r="AL115" i="4"/>
  <c r="AL83" i="4"/>
  <c r="AL51" i="4"/>
  <c r="AL19" i="4"/>
  <c r="AL82" i="4"/>
  <c r="AL50" i="4"/>
  <c r="AL18" i="4"/>
  <c r="AL81" i="4"/>
  <c r="AL49" i="4"/>
  <c r="AL17" i="4"/>
  <c r="AL5" i="4"/>
  <c r="AL114" i="4"/>
  <c r="AL113" i="4"/>
  <c r="AL37" i="4"/>
  <c r="AL144" i="4"/>
  <c r="AL112" i="4"/>
  <c r="AL80" i="4"/>
  <c r="AL48" i="4"/>
  <c r="AL16" i="4"/>
  <c r="AL143" i="4"/>
  <c r="AL111" i="4"/>
  <c r="AL79" i="4"/>
  <c r="AL47" i="4"/>
  <c r="AL15" i="4"/>
  <c r="AL142" i="4"/>
  <c r="AL110" i="4"/>
  <c r="AL78" i="4"/>
  <c r="AL46" i="4"/>
  <c r="AL14" i="4"/>
  <c r="AL141" i="4"/>
  <c r="AL109" i="4"/>
  <c r="AL77" i="4"/>
  <c r="AL45" i="4"/>
  <c r="AL13" i="4"/>
  <c r="AL43" i="4"/>
  <c r="AL106" i="4"/>
  <c r="AL74" i="4"/>
  <c r="AL70" i="4"/>
  <c r="AL133" i="4"/>
  <c r="AL22" i="4"/>
  <c r="AL54" i="4"/>
  <c r="AL140" i="4"/>
  <c r="AL108" i="4"/>
  <c r="AL76" i="4"/>
  <c r="AL44" i="4"/>
  <c r="AL12" i="4"/>
  <c r="AL139" i="4"/>
  <c r="AL107" i="4"/>
  <c r="AL75" i="4"/>
  <c r="AL138" i="4"/>
  <c r="AL10" i="4"/>
  <c r="AL102" i="4"/>
  <c r="AL11" i="4"/>
  <c r="AL42" i="4"/>
  <c r="AL38" i="4"/>
  <c r="AL101" i="4"/>
  <c r="AL137" i="4"/>
  <c r="AL105" i="4"/>
  <c r="AL73" i="4"/>
  <c r="AL41" i="4"/>
  <c r="AL9" i="4"/>
  <c r="AL7" i="4"/>
  <c r="AL6" i="4"/>
  <c r="AL136" i="4"/>
  <c r="AL104" i="4"/>
  <c r="AL72" i="4"/>
  <c r="AL40" i="4"/>
  <c r="AL8" i="4"/>
  <c r="AL135" i="4"/>
  <c r="AL71" i="4"/>
  <c r="AL39" i="4"/>
  <c r="AL134" i="4"/>
  <c r="AL69" i="4"/>
  <c r="AL23" i="4"/>
  <c r="AL103" i="4"/>
  <c r="AR134" i="4"/>
  <c r="AR102" i="4"/>
  <c r="AR70" i="4"/>
  <c r="AR38" i="4"/>
  <c r="AR6" i="4"/>
  <c r="AR60" i="4"/>
  <c r="AR89" i="4"/>
  <c r="AR24" i="4"/>
  <c r="AR133" i="4"/>
  <c r="AR101" i="4"/>
  <c r="AR69" i="4"/>
  <c r="AR37" i="4"/>
  <c r="AR5" i="4"/>
  <c r="AR4" i="4"/>
  <c r="AR32" i="4"/>
  <c r="AR121" i="4"/>
  <c r="AR56" i="4"/>
  <c r="AR132" i="4"/>
  <c r="AR100" i="4"/>
  <c r="AR68" i="4"/>
  <c r="AR36" i="4"/>
  <c r="AR26" i="4"/>
  <c r="AR144" i="4"/>
  <c r="AR131" i="4"/>
  <c r="AR99" i="4"/>
  <c r="AR67" i="4"/>
  <c r="AR35" i="4"/>
  <c r="AR3" i="4"/>
  <c r="AR64" i="4"/>
  <c r="AR28" i="4"/>
  <c r="AR122" i="4"/>
  <c r="AR130" i="4"/>
  <c r="AR98" i="4"/>
  <c r="AR66" i="4"/>
  <c r="AR34" i="4"/>
  <c r="AR2" i="4"/>
  <c r="AR128" i="4"/>
  <c r="AR93" i="4"/>
  <c r="AR92" i="4"/>
  <c r="AR120" i="4"/>
  <c r="AR48" i="4"/>
  <c r="AR129" i="4"/>
  <c r="AR97" i="4"/>
  <c r="AR65" i="4"/>
  <c r="AR33" i="4"/>
  <c r="AR96" i="4"/>
  <c r="AR125" i="4"/>
  <c r="AR61" i="4"/>
  <c r="AR29" i="4"/>
  <c r="AR124" i="4"/>
  <c r="AR88" i="4"/>
  <c r="AR16" i="4"/>
  <c r="AR127" i="4"/>
  <c r="AR95" i="4"/>
  <c r="AR63" i="4"/>
  <c r="AR31" i="4"/>
  <c r="AR90" i="4"/>
  <c r="AR57" i="4"/>
  <c r="AR126" i="4"/>
  <c r="AR94" i="4"/>
  <c r="AR62" i="4"/>
  <c r="AR30" i="4"/>
  <c r="AR58" i="4"/>
  <c r="AR25" i="4"/>
  <c r="AR123" i="4"/>
  <c r="AR91" i="4"/>
  <c r="AR59" i="4"/>
  <c r="AR27" i="4"/>
  <c r="AR119" i="4"/>
  <c r="AR87" i="4"/>
  <c r="AR55" i="4"/>
  <c r="AR23" i="4"/>
  <c r="AR81" i="4"/>
  <c r="AR118" i="4"/>
  <c r="AR86" i="4"/>
  <c r="AR54" i="4"/>
  <c r="AR22" i="4"/>
  <c r="AR19" i="4"/>
  <c r="AR82" i="4"/>
  <c r="AR113" i="4"/>
  <c r="AR17" i="4"/>
  <c r="AR112" i="4"/>
  <c r="AR117" i="4"/>
  <c r="AR85" i="4"/>
  <c r="AR53" i="4"/>
  <c r="AR21" i="4"/>
  <c r="AR116" i="4"/>
  <c r="AR84" i="4"/>
  <c r="AR52" i="4"/>
  <c r="AR20" i="4"/>
  <c r="AR115" i="4"/>
  <c r="AR83" i="4"/>
  <c r="AR51" i="4"/>
  <c r="AR50" i="4"/>
  <c r="AR18" i="4"/>
  <c r="AR49" i="4"/>
  <c r="AR80" i="4"/>
  <c r="AR114" i="4"/>
  <c r="AR143" i="4"/>
  <c r="AR111" i="4"/>
  <c r="AR79" i="4"/>
  <c r="AR47" i="4"/>
  <c r="AR15" i="4"/>
  <c r="AR141" i="4"/>
  <c r="AR109" i="4"/>
  <c r="AR77" i="4"/>
  <c r="AR45" i="4"/>
  <c r="AR140" i="4"/>
  <c r="AR76" i="4"/>
  <c r="AR12" i="4"/>
  <c r="AR142" i="4"/>
  <c r="AR110" i="4"/>
  <c r="AR78" i="4"/>
  <c r="AR46" i="4"/>
  <c r="AR14" i="4"/>
  <c r="AR13" i="4"/>
  <c r="AR108" i="4"/>
  <c r="AR44" i="4"/>
  <c r="AR139" i="4"/>
  <c r="AR107" i="4"/>
  <c r="AR75" i="4"/>
  <c r="AR43" i="4"/>
  <c r="AR11" i="4"/>
  <c r="AR138" i="4"/>
  <c r="AR106" i="4"/>
  <c r="AR74" i="4"/>
  <c r="AR42" i="4"/>
  <c r="AR10" i="4"/>
  <c r="AR137" i="4"/>
  <c r="AR105" i="4"/>
  <c r="AR73" i="4"/>
  <c r="AR41" i="4"/>
  <c r="AR9" i="4"/>
  <c r="AR136" i="4"/>
  <c r="AR104" i="4"/>
  <c r="AR72" i="4"/>
  <c r="AR40" i="4"/>
  <c r="AR8" i="4"/>
  <c r="AR135" i="4"/>
  <c r="AR103" i="4"/>
  <c r="AR71" i="4"/>
  <c r="AR39" i="4"/>
  <c r="AR7" i="4"/>
  <c r="A8" i="4"/>
  <c r="AG5" i="4"/>
  <c r="AH4" i="4" l="1"/>
  <c r="AH3" i="4"/>
  <c r="A6" i="4" s="1"/>
  <c r="AH6" i="4"/>
  <c r="CX2" i="9"/>
  <c r="CW22" i="9" s="1"/>
  <c r="CZ2" i="9"/>
  <c r="CY22" i="9" s="1"/>
  <c r="DB2" i="9"/>
  <c r="DA22" i="9" s="1"/>
  <c r="DD2" i="9"/>
  <c r="DC22" i="9" s="1"/>
  <c r="DF2" i="9"/>
  <c r="DE22" i="9" s="1"/>
  <c r="DH2" i="9"/>
  <c r="DG22" i="9" s="1"/>
  <c r="CS2" i="9"/>
  <c r="CR262" i="9" s="1"/>
  <c r="CQ2" i="9"/>
  <c r="CP262" i="9" s="1"/>
  <c r="CO2" i="9"/>
  <c r="CN262" i="9" s="1"/>
  <c r="CM2" i="9"/>
  <c r="CL262" i="9" s="1"/>
  <c r="CK2" i="9"/>
  <c r="CJ262" i="9" s="1"/>
  <c r="CI2" i="9"/>
  <c r="CH262" i="9" s="1"/>
  <c r="CG2" i="9"/>
  <c r="CF262" i="9" s="1"/>
  <c r="CE2" i="9"/>
  <c r="CD262" i="9" s="1"/>
  <c r="CC2" i="9"/>
  <c r="CB262" i="9" s="1"/>
  <c r="CA2" i="9"/>
  <c r="BZ262" i="9" s="1"/>
  <c r="BY2" i="9"/>
  <c r="BX262" i="9" s="1"/>
  <c r="BU2" i="9"/>
  <c r="AH2" i="7"/>
  <c r="AJ2" i="7"/>
  <c r="AL2" i="7"/>
  <c r="AN2" i="7"/>
  <c r="AP2" i="7"/>
  <c r="AR2" i="7"/>
  <c r="AT2" i="7"/>
  <c r="AV2" i="7"/>
  <c r="AX2" i="7"/>
  <c r="AZ2" i="7"/>
  <c r="BB2" i="7"/>
  <c r="BD2" i="7"/>
  <c r="BF2" i="7"/>
  <c r="BH2" i="7"/>
  <c r="AF2" i="7"/>
  <c r="A7" i="4" l="1"/>
  <c r="AG4" i="4"/>
  <c r="BC47" i="7"/>
  <c r="BC31" i="7"/>
  <c r="BC6" i="7"/>
  <c r="BC38" i="7"/>
  <c r="BC48" i="7"/>
  <c r="BC32" i="7"/>
  <c r="BC49" i="7"/>
  <c r="BC33" i="7"/>
  <c r="BC2" i="7"/>
  <c r="BC34" i="7"/>
  <c r="BC3" i="7"/>
  <c r="BC35" i="7"/>
  <c r="BC4" i="7"/>
  <c r="BC36" i="7"/>
  <c r="BC5" i="7"/>
  <c r="BC37" i="7"/>
  <c r="BC9" i="7"/>
  <c r="BC10" i="7"/>
  <c r="BC13" i="7"/>
  <c r="BC14" i="7"/>
  <c r="BC15" i="7"/>
  <c r="BC17" i="7"/>
  <c r="BC20" i="7"/>
  <c r="BC18" i="7"/>
  <c r="BC23" i="7"/>
  <c r="BC19" i="7"/>
  <c r="BC21" i="7"/>
  <c r="BC22" i="7"/>
  <c r="BC42" i="7"/>
  <c r="BC43" i="7"/>
  <c r="BC44" i="7"/>
  <c r="BC7" i="7"/>
  <c r="BC11" i="7"/>
  <c r="BC26" i="7"/>
  <c r="BC27" i="7"/>
  <c r="BC41" i="7"/>
  <c r="BC16" i="7"/>
  <c r="BC25" i="7"/>
  <c r="BC8" i="7"/>
  <c r="BC12" i="7"/>
  <c r="BC45" i="7"/>
  <c r="BC46" i="7"/>
  <c r="BC24" i="7"/>
  <c r="BC28" i="7"/>
  <c r="BC29" i="7"/>
  <c r="BC30" i="7"/>
  <c r="BC39" i="7"/>
  <c r="BC40" i="7"/>
  <c r="BA24" i="7"/>
  <c r="BA26" i="7"/>
  <c r="BA31" i="7"/>
  <c r="BA25" i="7"/>
  <c r="BA27" i="7"/>
  <c r="BA28" i="7"/>
  <c r="BA29" i="7"/>
  <c r="BA30" i="7"/>
  <c r="BA2" i="7"/>
  <c r="BA34" i="7"/>
  <c r="BA3" i="7"/>
  <c r="BA6" i="7"/>
  <c r="BA38" i="7"/>
  <c r="BA7" i="7"/>
  <c r="BA39" i="7"/>
  <c r="BA8" i="7"/>
  <c r="BA40" i="7"/>
  <c r="BA42" i="7"/>
  <c r="BA10" i="7"/>
  <c r="BA45" i="7"/>
  <c r="BA13" i="7"/>
  <c r="BA16" i="7"/>
  <c r="BA43" i="7"/>
  <c r="BA11" i="7"/>
  <c r="BA48" i="7"/>
  <c r="BA44" i="7"/>
  <c r="BA12" i="7"/>
  <c r="BA46" i="7"/>
  <c r="BA14" i="7"/>
  <c r="BA47" i="7"/>
  <c r="BA15" i="7"/>
  <c r="BA23" i="7"/>
  <c r="BA32" i="7"/>
  <c r="BA33" i="7"/>
  <c r="BA22" i="7"/>
  <c r="BA20" i="7"/>
  <c r="BA21" i="7"/>
  <c r="BA49" i="7"/>
  <c r="BA35" i="7"/>
  <c r="BA36" i="7"/>
  <c r="BA18" i="7"/>
  <c r="BA19" i="7"/>
  <c r="BA41" i="7"/>
  <c r="BA4" i="7"/>
  <c r="BA9" i="7"/>
  <c r="BA37" i="7"/>
  <c r="BA5" i="7"/>
  <c r="BA17" i="7"/>
  <c r="AY17" i="7"/>
  <c r="AY24" i="7"/>
  <c r="AY18" i="7"/>
  <c r="AY19" i="7"/>
  <c r="AY20" i="7"/>
  <c r="AY21" i="7"/>
  <c r="AY22" i="7"/>
  <c r="AY23" i="7"/>
  <c r="AY43" i="7"/>
  <c r="AY27" i="7"/>
  <c r="AY44" i="7"/>
  <c r="AY47" i="7"/>
  <c r="AY31" i="7"/>
  <c r="AY48" i="7"/>
  <c r="AY32" i="7"/>
  <c r="AY49" i="7"/>
  <c r="AY33" i="7"/>
  <c r="AY3" i="7"/>
  <c r="AY35" i="7"/>
  <c r="AY6" i="7"/>
  <c r="AY38" i="7"/>
  <c r="AY4" i="7"/>
  <c r="AY36" i="7"/>
  <c r="AY9" i="7"/>
  <c r="AY5" i="7"/>
  <c r="AY37" i="7"/>
  <c r="AY7" i="7"/>
  <c r="AY39" i="7"/>
  <c r="AY8" i="7"/>
  <c r="AY40" i="7"/>
  <c r="AY2" i="7"/>
  <c r="AY11" i="7"/>
  <c r="AY12" i="7"/>
  <c r="AY15" i="7"/>
  <c r="AY16" i="7"/>
  <c r="AY10" i="7"/>
  <c r="AY26" i="7"/>
  <c r="AY13" i="7"/>
  <c r="AY14" i="7"/>
  <c r="AY28" i="7"/>
  <c r="AY25" i="7"/>
  <c r="AY29" i="7"/>
  <c r="AY30" i="7"/>
  <c r="AY45" i="7"/>
  <c r="AY46" i="7"/>
  <c r="AY34" i="7"/>
  <c r="AY41" i="7"/>
  <c r="AY42" i="7"/>
  <c r="AW42" i="7"/>
  <c r="AW10" i="7"/>
  <c r="AW12" i="7"/>
  <c r="AW49" i="7"/>
  <c r="AW17" i="7"/>
  <c r="AW43" i="7"/>
  <c r="AW11" i="7"/>
  <c r="AW44" i="7"/>
  <c r="AW45" i="7"/>
  <c r="AW13" i="7"/>
  <c r="AW46" i="7"/>
  <c r="AW14" i="7"/>
  <c r="AW47" i="7"/>
  <c r="AW15" i="7"/>
  <c r="AW48" i="7"/>
  <c r="AW16" i="7"/>
  <c r="AW20" i="7"/>
  <c r="AW24" i="7"/>
  <c r="AW25" i="7"/>
  <c r="AW26" i="7"/>
  <c r="AW28" i="7"/>
  <c r="AW31" i="7"/>
  <c r="AW2" i="7"/>
  <c r="AW29" i="7"/>
  <c r="AW34" i="7"/>
  <c r="AW30" i="7"/>
  <c r="AW32" i="7"/>
  <c r="AW33" i="7"/>
  <c r="AW27" i="7"/>
  <c r="AW35" i="7"/>
  <c r="AW36" i="7"/>
  <c r="AW40" i="7"/>
  <c r="AW21" i="7"/>
  <c r="AW38" i="7"/>
  <c r="AW22" i="7"/>
  <c r="AW23" i="7"/>
  <c r="AW18" i="7"/>
  <c r="AW19" i="7"/>
  <c r="AW3" i="7"/>
  <c r="AW4" i="7"/>
  <c r="AW39" i="7"/>
  <c r="AW5" i="7"/>
  <c r="AW6" i="7"/>
  <c r="AW8" i="7"/>
  <c r="AW41" i="7"/>
  <c r="AW7" i="7"/>
  <c r="AW37" i="7"/>
  <c r="AW9" i="7"/>
  <c r="AU3" i="7"/>
  <c r="AU35" i="7"/>
  <c r="AU10" i="7"/>
  <c r="AU4" i="7"/>
  <c r="AU36" i="7"/>
  <c r="AU5" i="7"/>
  <c r="AU37" i="7"/>
  <c r="AU6" i="7"/>
  <c r="AU38" i="7"/>
  <c r="AU7" i="7"/>
  <c r="AU39" i="7"/>
  <c r="AU8" i="7"/>
  <c r="AU40" i="7"/>
  <c r="AU9" i="7"/>
  <c r="AU13" i="7"/>
  <c r="AU17" i="7"/>
  <c r="AU18" i="7"/>
  <c r="AU19" i="7"/>
  <c r="AU21" i="7"/>
  <c r="AU24" i="7"/>
  <c r="AU22" i="7"/>
  <c r="AU43" i="7"/>
  <c r="AU23" i="7"/>
  <c r="AU27" i="7"/>
  <c r="AU41" i="7"/>
  <c r="AU25" i="7"/>
  <c r="AU42" i="7"/>
  <c r="AU26" i="7"/>
  <c r="AU11" i="7"/>
  <c r="AU12" i="7"/>
  <c r="AU2" i="7"/>
  <c r="AU15" i="7"/>
  <c r="AU14" i="7"/>
  <c r="AU16" i="7"/>
  <c r="AU20" i="7"/>
  <c r="AU29" i="7"/>
  <c r="AU31" i="7"/>
  <c r="AU28" i="7"/>
  <c r="AU30" i="7"/>
  <c r="AU44" i="7"/>
  <c r="AU32" i="7"/>
  <c r="AU45" i="7"/>
  <c r="AU33" i="7"/>
  <c r="AU46" i="7"/>
  <c r="AU34" i="7"/>
  <c r="AU47" i="7"/>
  <c r="AU48" i="7"/>
  <c r="AU49" i="7"/>
  <c r="AS28" i="7"/>
  <c r="AS30" i="7"/>
  <c r="AS3" i="7"/>
  <c r="AS35" i="7"/>
  <c r="AS29" i="7"/>
  <c r="AS31" i="7"/>
  <c r="AS32" i="7"/>
  <c r="AS33" i="7"/>
  <c r="AS2" i="7"/>
  <c r="AS34" i="7"/>
  <c r="AS6" i="7"/>
  <c r="AS38" i="7"/>
  <c r="AS42" i="7"/>
  <c r="AS10" i="7"/>
  <c r="AS43" i="7"/>
  <c r="AS11" i="7"/>
  <c r="AS44" i="7"/>
  <c r="AS12" i="7"/>
  <c r="AS46" i="7"/>
  <c r="AS14" i="7"/>
  <c r="AS17" i="7"/>
  <c r="AS20" i="7"/>
  <c r="AS47" i="7"/>
  <c r="AS15" i="7"/>
  <c r="AS48" i="7"/>
  <c r="AS16" i="7"/>
  <c r="AS49" i="7"/>
  <c r="AS18" i="7"/>
  <c r="AS19" i="7"/>
  <c r="AS26" i="7"/>
  <c r="AS27" i="7"/>
  <c r="AS36" i="7"/>
  <c r="AS23" i="7"/>
  <c r="AS41" i="7"/>
  <c r="AS45" i="7"/>
  <c r="AS40" i="7"/>
  <c r="AS37" i="7"/>
  <c r="AS21" i="7"/>
  <c r="AS22" i="7"/>
  <c r="AS4" i="7"/>
  <c r="AS5" i="7"/>
  <c r="AS7" i="7"/>
  <c r="AS9" i="7"/>
  <c r="AS8" i="7"/>
  <c r="AS25" i="7"/>
  <c r="AS39" i="7"/>
  <c r="AS13" i="7"/>
  <c r="AS24" i="7"/>
  <c r="BT32" i="9"/>
  <c r="BT64" i="9"/>
  <c r="BT96" i="9"/>
  <c r="BT128" i="9"/>
  <c r="BT160" i="9"/>
  <c r="BT192" i="9"/>
  <c r="BT224" i="9"/>
  <c r="BT256" i="9"/>
  <c r="BT34" i="9"/>
  <c r="BT66" i="9"/>
  <c r="BT130" i="9"/>
  <c r="BT194" i="9"/>
  <c r="BT258" i="9"/>
  <c r="BT227" i="9"/>
  <c r="BT7" i="9"/>
  <c r="BT39" i="9"/>
  <c r="BT71" i="9"/>
  <c r="BT103" i="9"/>
  <c r="BT135" i="9"/>
  <c r="BT167" i="9"/>
  <c r="BT199" i="9"/>
  <c r="BT231" i="9"/>
  <c r="BT33" i="9"/>
  <c r="BT65" i="9"/>
  <c r="BT97" i="9"/>
  <c r="BT129" i="9"/>
  <c r="BT161" i="9"/>
  <c r="BT193" i="9"/>
  <c r="BT225" i="9"/>
  <c r="BT257" i="9"/>
  <c r="BT2" i="9"/>
  <c r="BT98" i="9"/>
  <c r="BT162" i="9"/>
  <c r="BT226" i="9"/>
  <c r="BT195" i="9"/>
  <c r="BT259" i="9"/>
  <c r="BT3" i="9"/>
  <c r="BT35" i="9"/>
  <c r="BT67" i="9"/>
  <c r="BT99" i="9"/>
  <c r="BT131" i="9"/>
  <c r="BT4" i="9"/>
  <c r="BT36" i="9"/>
  <c r="BT68" i="9"/>
  <c r="BT100" i="9"/>
  <c r="BT132" i="9"/>
  <c r="BT164" i="9"/>
  <c r="BT196" i="9"/>
  <c r="BT228" i="9"/>
  <c r="BT260" i="9"/>
  <c r="BT5" i="9"/>
  <c r="BT37" i="9"/>
  <c r="BT69" i="9"/>
  <c r="BT101" i="9"/>
  <c r="BT133" i="9"/>
  <c r="BT165" i="9"/>
  <c r="BT197" i="9"/>
  <c r="BT229" i="9"/>
  <c r="BT261" i="9"/>
  <c r="BT6" i="9"/>
  <c r="BT38" i="9"/>
  <c r="BT70" i="9"/>
  <c r="BT102" i="9"/>
  <c r="BT134" i="9"/>
  <c r="BT166" i="9"/>
  <c r="BT198" i="9"/>
  <c r="BT230" i="9"/>
  <c r="BT262" i="9"/>
  <c r="BT10" i="9"/>
  <c r="BT42" i="9"/>
  <c r="BT74" i="9"/>
  <c r="BT106" i="9"/>
  <c r="BT138" i="9"/>
  <c r="BT170" i="9"/>
  <c r="BT202" i="9"/>
  <c r="BT234" i="9"/>
  <c r="BT14" i="9"/>
  <c r="BT46" i="9"/>
  <c r="BT78" i="9"/>
  <c r="BT110" i="9"/>
  <c r="BT142" i="9"/>
  <c r="BT174" i="9"/>
  <c r="BT206" i="9"/>
  <c r="BT15" i="9"/>
  <c r="BT47" i="9"/>
  <c r="BT79" i="9"/>
  <c r="BT111" i="9"/>
  <c r="BT143" i="9"/>
  <c r="BT175" i="9"/>
  <c r="BT207" i="9"/>
  <c r="BT239" i="9"/>
  <c r="BT16" i="9"/>
  <c r="BT48" i="9"/>
  <c r="BT80" i="9"/>
  <c r="BT112" i="9"/>
  <c r="BT144" i="9"/>
  <c r="BT176" i="9"/>
  <c r="BT208" i="9"/>
  <c r="BT240" i="9"/>
  <c r="BT18" i="9"/>
  <c r="BT50" i="9"/>
  <c r="BT82" i="9"/>
  <c r="BT114" i="9"/>
  <c r="BT146" i="9"/>
  <c r="BT178" i="9"/>
  <c r="BT210" i="9"/>
  <c r="BT242" i="9"/>
  <c r="BT53" i="9"/>
  <c r="BT85" i="9"/>
  <c r="BT117" i="9"/>
  <c r="BT149" i="9"/>
  <c r="BT181" i="9"/>
  <c r="BT213" i="9"/>
  <c r="BT245" i="9"/>
  <c r="BT88" i="9"/>
  <c r="BT184" i="9"/>
  <c r="BT19" i="9"/>
  <c r="BT51" i="9"/>
  <c r="BT83" i="9"/>
  <c r="BT115" i="9"/>
  <c r="BT147" i="9"/>
  <c r="BT179" i="9"/>
  <c r="BT211" i="9"/>
  <c r="BT243" i="9"/>
  <c r="BT21" i="9"/>
  <c r="BT24" i="9"/>
  <c r="BT56" i="9"/>
  <c r="BT120" i="9"/>
  <c r="BT216" i="9"/>
  <c r="BT20" i="9"/>
  <c r="BT52" i="9"/>
  <c r="BT84" i="9"/>
  <c r="BT116" i="9"/>
  <c r="BT148" i="9"/>
  <c r="BT180" i="9"/>
  <c r="BT212" i="9"/>
  <c r="BT244" i="9"/>
  <c r="BT152" i="9"/>
  <c r="BT248" i="9"/>
  <c r="BT22" i="9"/>
  <c r="BT54" i="9"/>
  <c r="BT86" i="9"/>
  <c r="BT118" i="9"/>
  <c r="BT150" i="9"/>
  <c r="BT182" i="9"/>
  <c r="BT214" i="9"/>
  <c r="BT246" i="9"/>
  <c r="BT23" i="9"/>
  <c r="BT55" i="9"/>
  <c r="BT87" i="9"/>
  <c r="BT119" i="9"/>
  <c r="BT151" i="9"/>
  <c r="BT183" i="9"/>
  <c r="BT215" i="9"/>
  <c r="BT247" i="9"/>
  <c r="BT29" i="9"/>
  <c r="BT108" i="9"/>
  <c r="BT187" i="9"/>
  <c r="BT30" i="9"/>
  <c r="BT109" i="9"/>
  <c r="BT188" i="9"/>
  <c r="BT31" i="9"/>
  <c r="BT113" i="9"/>
  <c r="BT189" i="9"/>
  <c r="BT44" i="9"/>
  <c r="BT124" i="9"/>
  <c r="BT201" i="9"/>
  <c r="BT49" i="9"/>
  <c r="BT126" i="9"/>
  <c r="BT204" i="9"/>
  <c r="BT57" i="9"/>
  <c r="BT127" i="9"/>
  <c r="BT205" i="9"/>
  <c r="BT59" i="9"/>
  <c r="BT218" i="9"/>
  <c r="BT153" i="9"/>
  <c r="BT223" i="9"/>
  <c r="BT104" i="9"/>
  <c r="BT27" i="9"/>
  <c r="BT254" i="9"/>
  <c r="BT121" i="9"/>
  <c r="BT122" i="9"/>
  <c r="BT45" i="9"/>
  <c r="BT125" i="9"/>
  <c r="BT203" i="9"/>
  <c r="BT137" i="9"/>
  <c r="BT60" i="9"/>
  <c r="BT140" i="9"/>
  <c r="BT145" i="9"/>
  <c r="BT222" i="9"/>
  <c r="BT73" i="9"/>
  <c r="BT26" i="9"/>
  <c r="BT253" i="9"/>
  <c r="BT185" i="9"/>
  <c r="BT255" i="9"/>
  <c r="BT58" i="9"/>
  <c r="BT136" i="9"/>
  <c r="BT209" i="9"/>
  <c r="BT217" i="9"/>
  <c r="BT139" i="9"/>
  <c r="BT61" i="9"/>
  <c r="BT219" i="9"/>
  <c r="BT63" i="9"/>
  <c r="BT221" i="9"/>
  <c r="BT72" i="9"/>
  <c r="BT154" i="9"/>
  <c r="BT177" i="9"/>
  <c r="BT105" i="9"/>
  <c r="BT186" i="9"/>
  <c r="BT190" i="9"/>
  <c r="BT200" i="9"/>
  <c r="BT62" i="9"/>
  <c r="BT141" i="9"/>
  <c r="BT220" i="9"/>
  <c r="BT40" i="9"/>
  <c r="BT41" i="9"/>
  <c r="BT43" i="9"/>
  <c r="BT28" i="9"/>
  <c r="BT75" i="9"/>
  <c r="BT155" i="9"/>
  <c r="BT232" i="9"/>
  <c r="BT76" i="9"/>
  <c r="BT233" i="9"/>
  <c r="BT158" i="9"/>
  <c r="BT238" i="9"/>
  <c r="BT241" i="9"/>
  <c r="BT12" i="9"/>
  <c r="BT169" i="9"/>
  <c r="BT93" i="9"/>
  <c r="BT17" i="9"/>
  <c r="BT94" i="9"/>
  <c r="BT172" i="9"/>
  <c r="BT251" i="9"/>
  <c r="BT25" i="9"/>
  <c r="BT95" i="9"/>
  <c r="BT173" i="9"/>
  <c r="BT252" i="9"/>
  <c r="BT156" i="9"/>
  <c r="BT77" i="9"/>
  <c r="BT157" i="9"/>
  <c r="BT235" i="9"/>
  <c r="BT171" i="9"/>
  <c r="BT81" i="9"/>
  <c r="BT236" i="9"/>
  <c r="BT8" i="9"/>
  <c r="BT89" i="9"/>
  <c r="BT159" i="9"/>
  <c r="BT237" i="9"/>
  <c r="BT9" i="9"/>
  <c r="BT90" i="9"/>
  <c r="BT163" i="9"/>
  <c r="BT11" i="9"/>
  <c r="BT168" i="9"/>
  <c r="BT92" i="9"/>
  <c r="BT249" i="9"/>
  <c r="BT91" i="9"/>
  <c r="BT191" i="9"/>
  <c r="BT13" i="9"/>
  <c r="BT250" i="9"/>
  <c r="BT107" i="9"/>
  <c r="BT123" i="9"/>
  <c r="AK7" i="7"/>
  <c r="AK39" i="7"/>
  <c r="AK9" i="7"/>
  <c r="AK14" i="7"/>
  <c r="AK8" i="7"/>
  <c r="AK40" i="7"/>
  <c r="AK10" i="7"/>
  <c r="AK11" i="7"/>
  <c r="AK12" i="7"/>
  <c r="AK13" i="7"/>
  <c r="AK17" i="7"/>
  <c r="AK21" i="7"/>
  <c r="AK22" i="7"/>
  <c r="AK23" i="7"/>
  <c r="AK41" i="7"/>
  <c r="AK25" i="7"/>
  <c r="AK44" i="7"/>
  <c r="AK28" i="7"/>
  <c r="AK47" i="7"/>
  <c r="AK31" i="7"/>
  <c r="AK42" i="7"/>
  <c r="AK26" i="7"/>
  <c r="AK43" i="7"/>
  <c r="AK27" i="7"/>
  <c r="AK45" i="7"/>
  <c r="AK29" i="7"/>
  <c r="AK46" i="7"/>
  <c r="AK30" i="7"/>
  <c r="AK48" i="7"/>
  <c r="AK4" i="7"/>
  <c r="AK6" i="7"/>
  <c r="AK15" i="7"/>
  <c r="AK19" i="7"/>
  <c r="AK20" i="7"/>
  <c r="AK49" i="7"/>
  <c r="AK5" i="7"/>
  <c r="AK32" i="7"/>
  <c r="AK33" i="7"/>
  <c r="AK16" i="7"/>
  <c r="AK18" i="7"/>
  <c r="AK2" i="7"/>
  <c r="AK24" i="7"/>
  <c r="AK34" i="7"/>
  <c r="AK35" i="7"/>
  <c r="AK36" i="7"/>
  <c r="AK37" i="7"/>
  <c r="AK38" i="7"/>
  <c r="AK3" i="7"/>
  <c r="AQ21" i="7"/>
  <c r="AQ23" i="7"/>
  <c r="AQ44" i="7"/>
  <c r="AQ28" i="7"/>
  <c r="AQ22" i="7"/>
  <c r="AQ24" i="7"/>
  <c r="AQ41" i="7"/>
  <c r="AQ25" i="7"/>
  <c r="AQ42" i="7"/>
  <c r="AQ26" i="7"/>
  <c r="AQ43" i="7"/>
  <c r="AQ27" i="7"/>
  <c r="AQ47" i="7"/>
  <c r="AQ31" i="7"/>
  <c r="AQ48" i="7"/>
  <c r="AQ3" i="7"/>
  <c r="AQ35" i="7"/>
  <c r="AQ4" i="7"/>
  <c r="AQ36" i="7"/>
  <c r="AQ5" i="7"/>
  <c r="AQ37" i="7"/>
  <c r="AQ7" i="7"/>
  <c r="AQ39" i="7"/>
  <c r="AQ8" i="7"/>
  <c r="AQ40" i="7"/>
  <c r="AQ13" i="7"/>
  <c r="AQ9" i="7"/>
  <c r="AQ10" i="7"/>
  <c r="AQ11" i="7"/>
  <c r="AQ12" i="7"/>
  <c r="AQ2" i="7"/>
  <c r="AQ14" i="7"/>
  <c r="AQ15" i="7"/>
  <c r="AQ18" i="7"/>
  <c r="AQ45" i="7"/>
  <c r="AQ29" i="7"/>
  <c r="AQ30" i="7"/>
  <c r="AQ32" i="7"/>
  <c r="AQ6" i="7"/>
  <c r="AQ19" i="7"/>
  <c r="AQ49" i="7"/>
  <c r="AQ16" i="7"/>
  <c r="AQ17" i="7"/>
  <c r="AQ46" i="7"/>
  <c r="AQ20" i="7"/>
  <c r="AQ33" i="7"/>
  <c r="AQ34" i="7"/>
  <c r="AQ38" i="7"/>
  <c r="AM46" i="7"/>
  <c r="AM14" i="7"/>
  <c r="AM48" i="7"/>
  <c r="AM21" i="7"/>
  <c r="AM47" i="7"/>
  <c r="AM15" i="7"/>
  <c r="AM16" i="7"/>
  <c r="AM49" i="7"/>
  <c r="AM17" i="7"/>
  <c r="AM18" i="7"/>
  <c r="AM19" i="7"/>
  <c r="AM20" i="7"/>
  <c r="AM24" i="7"/>
  <c r="AM28" i="7"/>
  <c r="AM29" i="7"/>
  <c r="AM30" i="7"/>
  <c r="AM32" i="7"/>
  <c r="AM3" i="7"/>
  <c r="AM35" i="7"/>
  <c r="AM6" i="7"/>
  <c r="AM33" i="7"/>
  <c r="AM38" i="7"/>
  <c r="AM2" i="7"/>
  <c r="AM34" i="7"/>
  <c r="AM4" i="7"/>
  <c r="AM36" i="7"/>
  <c r="AM5" i="7"/>
  <c r="AM37" i="7"/>
  <c r="AM27" i="7"/>
  <c r="AM31" i="7"/>
  <c r="AM39" i="7"/>
  <c r="AM41" i="7"/>
  <c r="AM26" i="7"/>
  <c r="AM42" i="7"/>
  <c r="AM43" i="7"/>
  <c r="AM44" i="7"/>
  <c r="AM45" i="7"/>
  <c r="AM23" i="7"/>
  <c r="AM40" i="7"/>
  <c r="AM10" i="7"/>
  <c r="AM11" i="7"/>
  <c r="AM13" i="7"/>
  <c r="AM22" i="7"/>
  <c r="AM7" i="7"/>
  <c r="AM8" i="7"/>
  <c r="AM9" i="7"/>
  <c r="AM25" i="7"/>
  <c r="AM12" i="7"/>
  <c r="BG13" i="7"/>
  <c r="BG20" i="7"/>
  <c r="BG14" i="7"/>
  <c r="BG15" i="7"/>
  <c r="BG16" i="7"/>
  <c r="BG17" i="7"/>
  <c r="BG18" i="7"/>
  <c r="BG19" i="7"/>
  <c r="BG23" i="7"/>
  <c r="BG24" i="7"/>
  <c r="BG43" i="7"/>
  <c r="BG27" i="7"/>
  <c r="BG44" i="7"/>
  <c r="BG28" i="7"/>
  <c r="BG45" i="7"/>
  <c r="BG29" i="7"/>
  <c r="BG47" i="7"/>
  <c r="BG31" i="7"/>
  <c r="BG2" i="7"/>
  <c r="BG34" i="7"/>
  <c r="BG5" i="7"/>
  <c r="BG48" i="7"/>
  <c r="BG32" i="7"/>
  <c r="BG37" i="7"/>
  <c r="BG49" i="7"/>
  <c r="BG33" i="7"/>
  <c r="BG3" i="7"/>
  <c r="BG35" i="7"/>
  <c r="BG4" i="7"/>
  <c r="BG36" i="7"/>
  <c r="BG42" i="7"/>
  <c r="BG46" i="7"/>
  <c r="BG8" i="7"/>
  <c r="BG41" i="7"/>
  <c r="BG12" i="7"/>
  <c r="BG21" i="7"/>
  <c r="BG6" i="7"/>
  <c r="BG7" i="7"/>
  <c r="BG9" i="7"/>
  <c r="BG11" i="7"/>
  <c r="BG10" i="7"/>
  <c r="BG22" i="7"/>
  <c r="BG25" i="7"/>
  <c r="BG26" i="7"/>
  <c r="BG30" i="7"/>
  <c r="BG38" i="7"/>
  <c r="BG39" i="7"/>
  <c r="BG40" i="7"/>
  <c r="BE6" i="7"/>
  <c r="BE38" i="7"/>
  <c r="BE8" i="7"/>
  <c r="BE45" i="7"/>
  <c r="BE13" i="7"/>
  <c r="BE7" i="7"/>
  <c r="BE39" i="7"/>
  <c r="BE40" i="7"/>
  <c r="BE41" i="7"/>
  <c r="BE9" i="7"/>
  <c r="BE42" i="7"/>
  <c r="BE10" i="7"/>
  <c r="BE43" i="7"/>
  <c r="BE11" i="7"/>
  <c r="BE44" i="7"/>
  <c r="BE12" i="7"/>
  <c r="BE48" i="7"/>
  <c r="BE16" i="7"/>
  <c r="BE49" i="7"/>
  <c r="BE17" i="7"/>
  <c r="BE20" i="7"/>
  <c r="BE21" i="7"/>
  <c r="BE22" i="7"/>
  <c r="BE24" i="7"/>
  <c r="BE27" i="7"/>
  <c r="BE30" i="7"/>
  <c r="BE25" i="7"/>
  <c r="BE26" i="7"/>
  <c r="BE28" i="7"/>
  <c r="BE29" i="7"/>
  <c r="BE19" i="7"/>
  <c r="BE23" i="7"/>
  <c r="BE31" i="7"/>
  <c r="BE47" i="7"/>
  <c r="BE35" i="7"/>
  <c r="BE37" i="7"/>
  <c r="BE15" i="7"/>
  <c r="BE32" i="7"/>
  <c r="BE36" i="7"/>
  <c r="BE14" i="7"/>
  <c r="BE18" i="7"/>
  <c r="BE46" i="7"/>
  <c r="BE34" i="7"/>
  <c r="BE2" i="7"/>
  <c r="BE5" i="7"/>
  <c r="BE4" i="7"/>
  <c r="BE33" i="7"/>
  <c r="BE3" i="7"/>
  <c r="AO5" i="7"/>
  <c r="AO37" i="7"/>
  <c r="AO6" i="7"/>
  <c r="AO38" i="7"/>
  <c r="AO41" i="7"/>
  <c r="AO9" i="7"/>
  <c r="AO25" i="7"/>
  <c r="AO7" i="7"/>
  <c r="AO39" i="7"/>
  <c r="AO8" i="7"/>
  <c r="AO40" i="7"/>
  <c r="AO42" i="7"/>
  <c r="AO10" i="7"/>
  <c r="AO22" i="7"/>
  <c r="AO43" i="7"/>
  <c r="AO11" i="7"/>
  <c r="AO45" i="7"/>
  <c r="AO44" i="7"/>
  <c r="AO12" i="7"/>
  <c r="AO13" i="7"/>
  <c r="AO21" i="7"/>
  <c r="AO46" i="7"/>
  <c r="AO14" i="7"/>
  <c r="AO23" i="7"/>
  <c r="AO24" i="7"/>
  <c r="AO47" i="7"/>
  <c r="AO15" i="7"/>
  <c r="AO48" i="7"/>
  <c r="AO16" i="7"/>
  <c r="AO49" i="7"/>
  <c r="AO17" i="7"/>
  <c r="AO18" i="7"/>
  <c r="AO19" i="7"/>
  <c r="AO20" i="7"/>
  <c r="AO30" i="7"/>
  <c r="AO33" i="7"/>
  <c r="AO26" i="7"/>
  <c r="AO27" i="7"/>
  <c r="AO28" i="7"/>
  <c r="AO29" i="7"/>
  <c r="AO31" i="7"/>
  <c r="AO32" i="7"/>
  <c r="AO2" i="7"/>
  <c r="AO34" i="7"/>
  <c r="AO3" i="7"/>
  <c r="AO35" i="7"/>
  <c r="AO4" i="7"/>
  <c r="AO36" i="7"/>
  <c r="AI7" i="7"/>
  <c r="AI39" i="7"/>
  <c r="AI40" i="7"/>
  <c r="AI46" i="7"/>
  <c r="AI8" i="7"/>
  <c r="AI30" i="7"/>
  <c r="AI9" i="7"/>
  <c r="AI26" i="7"/>
  <c r="AI31" i="7"/>
  <c r="AI10" i="7"/>
  <c r="AI23" i="7"/>
  <c r="AI42" i="7"/>
  <c r="AI45" i="7"/>
  <c r="AI11" i="7"/>
  <c r="AI41" i="7"/>
  <c r="AI12" i="7"/>
  <c r="AI22" i="7"/>
  <c r="AI13" i="7"/>
  <c r="AI24" i="7"/>
  <c r="AI14" i="7"/>
  <c r="AI25" i="7"/>
  <c r="AI15" i="7"/>
  <c r="AI43" i="7"/>
  <c r="AI16" i="7"/>
  <c r="AI21" i="7"/>
  <c r="AI28" i="7"/>
  <c r="AI17" i="7"/>
  <c r="AI44" i="7"/>
  <c r="AI18" i="7"/>
  <c r="AI27" i="7"/>
  <c r="AI19" i="7"/>
  <c r="AI20" i="7"/>
  <c r="AI29" i="7"/>
  <c r="AI48" i="7"/>
  <c r="AI32" i="7"/>
  <c r="AI49" i="7"/>
  <c r="AI33" i="7"/>
  <c r="AI2" i="7"/>
  <c r="AI34" i="7"/>
  <c r="AI3" i="7"/>
  <c r="AI35" i="7"/>
  <c r="AI4" i="7"/>
  <c r="AI36" i="7"/>
  <c r="AI5" i="7"/>
  <c r="AI37" i="7"/>
  <c r="AI6" i="7"/>
  <c r="AI38" i="7"/>
  <c r="AI47" i="7"/>
  <c r="AG23" i="7"/>
  <c r="AG2" i="7"/>
  <c r="AG24" i="7"/>
  <c r="AG6" i="7"/>
  <c r="AG8" i="7"/>
  <c r="AG10" i="7"/>
  <c r="AG25" i="7"/>
  <c r="AG3" i="7"/>
  <c r="AG41" i="7"/>
  <c r="AG11" i="7"/>
  <c r="AG26" i="7"/>
  <c r="AG27" i="7"/>
  <c r="AG34" i="7"/>
  <c r="AG35" i="7"/>
  <c r="AG28" i="7"/>
  <c r="AG38" i="7"/>
  <c r="AG29" i="7"/>
  <c r="AG39" i="7"/>
  <c r="AG43" i="7"/>
  <c r="AG30" i="7"/>
  <c r="AG37" i="7"/>
  <c r="AG31" i="7"/>
  <c r="AG36" i="7"/>
  <c r="AG9" i="7"/>
  <c r="AG32" i="7"/>
  <c r="AG5" i="7"/>
  <c r="AG7" i="7"/>
  <c r="AG40" i="7"/>
  <c r="AG33" i="7"/>
  <c r="AG4" i="7"/>
  <c r="AG44" i="7"/>
  <c r="AG12" i="7"/>
  <c r="AG45" i="7"/>
  <c r="AG13" i="7"/>
  <c r="AG46" i="7"/>
  <c r="AG14" i="7"/>
  <c r="AG47" i="7"/>
  <c r="AG15" i="7"/>
  <c r="AG48" i="7"/>
  <c r="AG16" i="7"/>
  <c r="AG49" i="7"/>
  <c r="AG17" i="7"/>
  <c r="AG18" i="7"/>
  <c r="AG19" i="7"/>
  <c r="AG20" i="7"/>
  <c r="AG21" i="7"/>
  <c r="AG22" i="7"/>
  <c r="AG42" i="7"/>
  <c r="AE24" i="7"/>
  <c r="AE30" i="7"/>
  <c r="AE34" i="7"/>
  <c r="AE37" i="7"/>
  <c r="AE38" i="7"/>
  <c r="AE41" i="7"/>
  <c r="AE25" i="7"/>
  <c r="AE35" i="7"/>
  <c r="AE4" i="7"/>
  <c r="AE9" i="7"/>
  <c r="AE11" i="7"/>
  <c r="AE42" i="7"/>
  <c r="AE26" i="7"/>
  <c r="AE43" i="7"/>
  <c r="AE27" i="7"/>
  <c r="AE5" i="7"/>
  <c r="AE39" i="7"/>
  <c r="AE40" i="7"/>
  <c r="AE12" i="7"/>
  <c r="AE44" i="7"/>
  <c r="AE28" i="7"/>
  <c r="AE45" i="7"/>
  <c r="AE29" i="7"/>
  <c r="AE31" i="7"/>
  <c r="AE7" i="7"/>
  <c r="AE8" i="7"/>
  <c r="AE10" i="7"/>
  <c r="AE46" i="7"/>
  <c r="AE47" i="7"/>
  <c r="AE48" i="7"/>
  <c r="AE32" i="7"/>
  <c r="AE6" i="7"/>
  <c r="AE49" i="7"/>
  <c r="AE33" i="7"/>
  <c r="AE2" i="7"/>
  <c r="AE3" i="7"/>
  <c r="AE36" i="7"/>
  <c r="AE13" i="7"/>
  <c r="AE15" i="7"/>
  <c r="AE16" i="7"/>
  <c r="AE14" i="7"/>
  <c r="AE17" i="7"/>
  <c r="AE19" i="7"/>
  <c r="AE20" i="7"/>
  <c r="AE21" i="7"/>
  <c r="AE22" i="7"/>
  <c r="AE23" i="7"/>
  <c r="AE18" i="7"/>
  <c r="DC17" i="9"/>
  <c r="DC5" i="9"/>
  <c r="DC14" i="9"/>
  <c r="DC4" i="9"/>
  <c r="DC6" i="9"/>
  <c r="DC9" i="9"/>
  <c r="DC12" i="9"/>
  <c r="DC21" i="9"/>
  <c r="DC11" i="9"/>
  <c r="DC15" i="9"/>
  <c r="DC19" i="9"/>
  <c r="DC8" i="9"/>
  <c r="DC16" i="9"/>
  <c r="DC3" i="9"/>
  <c r="DC7" i="9"/>
  <c r="DC13" i="9"/>
  <c r="DC2" i="9"/>
  <c r="DC10" i="9"/>
  <c r="DC18" i="9"/>
  <c r="DC20" i="9"/>
  <c r="CY15" i="9"/>
  <c r="CY8" i="9"/>
  <c r="CY21" i="9"/>
  <c r="CY16" i="9"/>
  <c r="CY19" i="9"/>
  <c r="CY5" i="9"/>
  <c r="CY6" i="9"/>
  <c r="CY17" i="9"/>
  <c r="CY18" i="9"/>
  <c r="CY20" i="9"/>
  <c r="CY10" i="9"/>
  <c r="CY12" i="9"/>
  <c r="CY14" i="9"/>
  <c r="CY3" i="9"/>
  <c r="CY4" i="9"/>
  <c r="CY11" i="9"/>
  <c r="CY13" i="9"/>
  <c r="CY2" i="9"/>
  <c r="CY7" i="9"/>
  <c r="CY9" i="9"/>
  <c r="DG3" i="9"/>
  <c r="DG6" i="9"/>
  <c r="DG7" i="9"/>
  <c r="DG8" i="9"/>
  <c r="DG16" i="9"/>
  <c r="DG4" i="9"/>
  <c r="DG5" i="9"/>
  <c r="DG9" i="9"/>
  <c r="DG20" i="9"/>
  <c r="DG12" i="9"/>
  <c r="DG14" i="9"/>
  <c r="DG19" i="9"/>
  <c r="DG10" i="9"/>
  <c r="DG11" i="9"/>
  <c r="DG18" i="9"/>
  <c r="DG21" i="9"/>
  <c r="DG15" i="9"/>
  <c r="DG17" i="9"/>
  <c r="DG2" i="9"/>
  <c r="DG13" i="9"/>
  <c r="DE8" i="9"/>
  <c r="DE3" i="9"/>
  <c r="DE6" i="9"/>
  <c r="DE9" i="9"/>
  <c r="DE10" i="9"/>
  <c r="DE16" i="9"/>
  <c r="DE19" i="9"/>
  <c r="DE11" i="9"/>
  <c r="DE17" i="9"/>
  <c r="DE4" i="9"/>
  <c r="DE21" i="9"/>
  <c r="DE12" i="9"/>
  <c r="DE5" i="9"/>
  <c r="DE7" i="9"/>
  <c r="DE13" i="9"/>
  <c r="DE2" i="9"/>
  <c r="DE14" i="9"/>
  <c r="DE15" i="9"/>
  <c r="DE18" i="9"/>
  <c r="DE20" i="9"/>
  <c r="DA2" i="9"/>
  <c r="DA3" i="9"/>
  <c r="DA9" i="9"/>
  <c r="DA12" i="9"/>
  <c r="DA16" i="9"/>
  <c r="DA17" i="9"/>
  <c r="DA19" i="9"/>
  <c r="DA20" i="9"/>
  <c r="DA21" i="9"/>
  <c r="DA4" i="9"/>
  <c r="DA5" i="9"/>
  <c r="DA6" i="9"/>
  <c r="DA7" i="9"/>
  <c r="DA14" i="9"/>
  <c r="DA15" i="9"/>
  <c r="DA8" i="9"/>
  <c r="DA10" i="9"/>
  <c r="DA11" i="9"/>
  <c r="DA13" i="9"/>
  <c r="DA18" i="9"/>
  <c r="CW19" i="9"/>
  <c r="CW4" i="9"/>
  <c r="CW5" i="9"/>
  <c r="CW15" i="9"/>
  <c r="CW8" i="9"/>
  <c r="CW14" i="9"/>
  <c r="CW17" i="9"/>
  <c r="CW6" i="9"/>
  <c r="CW9" i="9"/>
  <c r="CW11" i="9"/>
  <c r="CW16" i="9"/>
  <c r="CW7" i="9"/>
  <c r="CW13" i="9"/>
  <c r="CW20" i="9"/>
  <c r="CW12" i="9"/>
  <c r="CW21" i="9"/>
  <c r="CW2" i="9"/>
  <c r="CW3" i="9"/>
  <c r="CW10" i="9"/>
  <c r="CW18" i="9"/>
  <c r="CP6" i="9"/>
  <c r="CP38" i="9"/>
  <c r="CP70" i="9"/>
  <c r="CP102" i="9"/>
  <c r="CP134" i="9"/>
  <c r="CP166" i="9"/>
  <c r="CP198" i="9"/>
  <c r="CP230" i="9"/>
  <c r="CP7" i="9"/>
  <c r="CP39" i="9"/>
  <c r="CP71" i="9"/>
  <c r="CP103" i="9"/>
  <c r="CP135" i="9"/>
  <c r="CP167" i="9"/>
  <c r="CP199" i="9"/>
  <c r="CP231" i="9"/>
  <c r="CP8" i="9"/>
  <c r="CP40" i="9"/>
  <c r="CP72" i="9"/>
  <c r="CP104" i="9"/>
  <c r="CP136" i="9"/>
  <c r="CP168" i="9"/>
  <c r="CP200" i="9"/>
  <c r="CP232" i="9"/>
  <c r="CP9" i="9"/>
  <c r="CP41" i="9"/>
  <c r="CP73" i="9"/>
  <c r="CP105" i="9"/>
  <c r="CP137" i="9"/>
  <c r="CP169" i="9"/>
  <c r="CP201" i="9"/>
  <c r="CP233" i="9"/>
  <c r="CP10" i="9"/>
  <c r="CP42" i="9"/>
  <c r="CP74" i="9"/>
  <c r="CP106" i="9"/>
  <c r="CP138" i="9"/>
  <c r="CP170" i="9"/>
  <c r="CP202" i="9"/>
  <c r="CP234" i="9"/>
  <c r="CP11" i="9"/>
  <c r="CP43" i="9"/>
  <c r="CP75" i="9"/>
  <c r="CP107" i="9"/>
  <c r="CP139" i="9"/>
  <c r="CP171" i="9"/>
  <c r="CP203" i="9"/>
  <c r="CP235" i="9"/>
  <c r="CP12" i="9"/>
  <c r="CP44" i="9"/>
  <c r="CP76" i="9"/>
  <c r="CP108" i="9"/>
  <c r="CP140" i="9"/>
  <c r="CP172" i="9"/>
  <c r="CP204" i="9"/>
  <c r="CP236" i="9"/>
  <c r="CP13" i="9"/>
  <c r="CP45" i="9"/>
  <c r="CP77" i="9"/>
  <c r="CP109" i="9"/>
  <c r="CP141" i="9"/>
  <c r="CP173" i="9"/>
  <c r="CP205" i="9"/>
  <c r="CP237" i="9"/>
  <c r="CP14" i="9"/>
  <c r="CP46" i="9"/>
  <c r="CP78" i="9"/>
  <c r="CP110" i="9"/>
  <c r="CP142" i="9"/>
  <c r="CP174" i="9"/>
  <c r="CP206" i="9"/>
  <c r="CP238" i="9"/>
  <c r="CP15" i="9"/>
  <c r="CP47" i="9"/>
  <c r="CP79" i="9"/>
  <c r="CP111" i="9"/>
  <c r="CP143" i="9"/>
  <c r="CP175" i="9"/>
  <c r="CP207" i="9"/>
  <c r="CP239" i="9"/>
  <c r="CP261" i="9"/>
  <c r="CP27" i="9"/>
  <c r="CP59" i="9"/>
  <c r="CP91" i="9"/>
  <c r="CP123" i="9"/>
  <c r="CP155" i="9"/>
  <c r="CP187" i="9"/>
  <c r="CP219" i="9"/>
  <c r="CP251" i="9"/>
  <c r="CP31" i="9"/>
  <c r="CP63" i="9"/>
  <c r="CP95" i="9"/>
  <c r="CP127" i="9"/>
  <c r="CP159" i="9"/>
  <c r="CP191" i="9"/>
  <c r="CP223" i="9"/>
  <c r="CP255" i="9"/>
  <c r="CP32" i="9"/>
  <c r="CP64" i="9"/>
  <c r="CP96" i="9"/>
  <c r="CP128" i="9"/>
  <c r="CP160" i="9"/>
  <c r="CP192" i="9"/>
  <c r="CP224" i="9"/>
  <c r="CP256" i="9"/>
  <c r="CP33" i="9"/>
  <c r="CP65" i="9"/>
  <c r="CP97" i="9"/>
  <c r="CP129" i="9"/>
  <c r="CP161" i="9"/>
  <c r="CP193" i="9"/>
  <c r="CP225" i="9"/>
  <c r="CP257" i="9"/>
  <c r="CP3" i="9"/>
  <c r="CP35" i="9"/>
  <c r="CP67" i="9"/>
  <c r="CP99" i="9"/>
  <c r="CP131" i="9"/>
  <c r="CP163" i="9"/>
  <c r="CP195" i="9"/>
  <c r="CP227" i="9"/>
  <c r="CP259" i="9"/>
  <c r="CP18" i="9"/>
  <c r="CP80" i="9"/>
  <c r="CP132" i="9"/>
  <c r="CP190" i="9"/>
  <c r="CP252" i="9"/>
  <c r="CP152" i="9"/>
  <c r="CP19" i="9"/>
  <c r="CP81" i="9"/>
  <c r="CP133" i="9"/>
  <c r="CP194" i="9"/>
  <c r="CP253" i="9"/>
  <c r="CP89" i="9"/>
  <c r="CP90" i="9"/>
  <c r="CP153" i="9"/>
  <c r="CP20" i="9"/>
  <c r="CP82" i="9"/>
  <c r="CP144" i="9"/>
  <c r="CP196" i="9"/>
  <c r="CP254" i="9"/>
  <c r="CP30" i="9"/>
  <c r="CP216" i="9"/>
  <c r="CP21" i="9"/>
  <c r="CP83" i="9"/>
  <c r="CP145" i="9"/>
  <c r="CP197" i="9"/>
  <c r="CP258" i="9"/>
  <c r="CP28" i="9"/>
  <c r="CP22" i="9"/>
  <c r="CP84" i="9"/>
  <c r="CP146" i="9"/>
  <c r="CP208" i="9"/>
  <c r="CP260" i="9"/>
  <c r="CP151" i="9"/>
  <c r="CP215" i="9"/>
  <c r="CP23" i="9"/>
  <c r="CP85" i="9"/>
  <c r="CP147" i="9"/>
  <c r="CP209" i="9"/>
  <c r="CP214" i="9"/>
  <c r="CP24" i="9"/>
  <c r="CP86" i="9"/>
  <c r="CP148" i="9"/>
  <c r="CP210" i="9"/>
  <c r="CP25" i="9"/>
  <c r="CP87" i="9"/>
  <c r="CP149" i="9"/>
  <c r="CP211" i="9"/>
  <c r="CP213" i="9"/>
  <c r="CP29" i="9"/>
  <c r="CP34" i="9"/>
  <c r="CP26" i="9"/>
  <c r="CP88" i="9"/>
  <c r="CP150" i="9"/>
  <c r="CP212" i="9"/>
  <c r="CP92" i="9"/>
  <c r="CP58" i="9"/>
  <c r="CP120" i="9"/>
  <c r="CP182" i="9"/>
  <c r="CP244" i="9"/>
  <c r="CP249" i="9"/>
  <c r="CP17" i="9"/>
  <c r="CP189" i="9"/>
  <c r="CP60" i="9"/>
  <c r="CP121" i="9"/>
  <c r="CP183" i="9"/>
  <c r="CP245" i="9"/>
  <c r="CP16" i="9"/>
  <c r="CP130" i="9"/>
  <c r="CP154" i="9"/>
  <c r="CP2" i="9"/>
  <c r="CP61" i="9"/>
  <c r="CP122" i="9"/>
  <c r="CP184" i="9"/>
  <c r="CP246" i="9"/>
  <c r="CP68" i="9"/>
  <c r="CP69" i="9"/>
  <c r="CP250" i="9"/>
  <c r="CP4" i="9"/>
  <c r="CP62" i="9"/>
  <c r="CP124" i="9"/>
  <c r="CP185" i="9"/>
  <c r="CP247" i="9"/>
  <c r="CP188" i="9"/>
  <c r="CP93" i="9"/>
  <c r="CP5" i="9"/>
  <c r="CP66" i="9"/>
  <c r="CP125" i="9"/>
  <c r="CP186" i="9"/>
  <c r="CP248" i="9"/>
  <c r="CP126" i="9"/>
  <c r="CP162" i="9"/>
  <c r="CP164" i="9"/>
  <c r="CP165" i="9"/>
  <c r="CP178" i="9"/>
  <c r="CP179" i="9"/>
  <c r="CP217" i="9"/>
  <c r="CP229" i="9"/>
  <c r="CP98" i="9"/>
  <c r="CP176" i="9"/>
  <c r="CP37" i="9"/>
  <c r="CP48" i="9"/>
  <c r="CP50" i="9"/>
  <c r="CP55" i="9"/>
  <c r="CP94" i="9"/>
  <c r="CP112" i="9"/>
  <c r="CP177" i="9"/>
  <c r="CP36" i="9"/>
  <c r="CP180" i="9"/>
  <c r="CP218" i="9"/>
  <c r="CP241" i="9"/>
  <c r="CP53" i="9"/>
  <c r="CP221" i="9"/>
  <c r="CP54" i="9"/>
  <c r="CP222" i="9"/>
  <c r="CP101" i="9"/>
  <c r="CP115" i="9"/>
  <c r="CP243" i="9"/>
  <c r="CP116" i="9"/>
  <c r="CP157" i="9"/>
  <c r="CP220" i="9"/>
  <c r="CP226" i="9"/>
  <c r="CP56" i="9"/>
  <c r="CP113" i="9"/>
  <c r="CP117" i="9"/>
  <c r="CP181" i="9"/>
  <c r="CP100" i="9"/>
  <c r="CP118" i="9"/>
  <c r="CP119" i="9"/>
  <c r="CP49" i="9"/>
  <c r="CP228" i="9"/>
  <c r="CP57" i="9"/>
  <c r="CP114" i="9"/>
  <c r="CP156" i="9"/>
  <c r="CP158" i="9"/>
  <c r="CP51" i="9"/>
  <c r="CP52" i="9"/>
  <c r="CP240" i="9"/>
  <c r="CP242" i="9"/>
  <c r="CR9" i="9"/>
  <c r="CR41" i="9"/>
  <c r="CR73" i="9"/>
  <c r="CR105" i="9"/>
  <c r="CR137" i="9"/>
  <c r="CR169" i="9"/>
  <c r="CR201" i="9"/>
  <c r="CR233" i="9"/>
  <c r="CR10" i="9"/>
  <c r="CR42" i="9"/>
  <c r="CR74" i="9"/>
  <c r="CR106" i="9"/>
  <c r="CR138" i="9"/>
  <c r="CR170" i="9"/>
  <c r="CR202" i="9"/>
  <c r="CR234" i="9"/>
  <c r="CR11" i="9"/>
  <c r="CR43" i="9"/>
  <c r="CR75" i="9"/>
  <c r="CR107" i="9"/>
  <c r="CR139" i="9"/>
  <c r="CR171" i="9"/>
  <c r="CR203" i="9"/>
  <c r="CR235" i="9"/>
  <c r="CR12" i="9"/>
  <c r="CR44" i="9"/>
  <c r="CR76" i="9"/>
  <c r="CR108" i="9"/>
  <c r="CR140" i="9"/>
  <c r="CR172" i="9"/>
  <c r="CR204" i="9"/>
  <c r="CR236" i="9"/>
  <c r="CR13" i="9"/>
  <c r="CR45" i="9"/>
  <c r="CR77" i="9"/>
  <c r="CR109" i="9"/>
  <c r="CR141" i="9"/>
  <c r="CR173" i="9"/>
  <c r="CR205" i="9"/>
  <c r="CR237" i="9"/>
  <c r="CR14" i="9"/>
  <c r="CR46" i="9"/>
  <c r="CR78" i="9"/>
  <c r="CR110" i="9"/>
  <c r="CR142" i="9"/>
  <c r="CR174" i="9"/>
  <c r="CR206" i="9"/>
  <c r="CR238" i="9"/>
  <c r="CR15" i="9"/>
  <c r="CR47" i="9"/>
  <c r="CR79" i="9"/>
  <c r="CR111" i="9"/>
  <c r="CR143" i="9"/>
  <c r="CR175" i="9"/>
  <c r="CR207" i="9"/>
  <c r="CR239" i="9"/>
  <c r="CR16" i="9"/>
  <c r="CR48" i="9"/>
  <c r="CR80" i="9"/>
  <c r="CR112" i="9"/>
  <c r="CR144" i="9"/>
  <c r="CR176" i="9"/>
  <c r="CR208" i="9"/>
  <c r="CR240" i="9"/>
  <c r="CR17" i="9"/>
  <c r="CR49" i="9"/>
  <c r="CR81" i="9"/>
  <c r="CR113" i="9"/>
  <c r="CR145" i="9"/>
  <c r="CR177" i="9"/>
  <c r="CR209" i="9"/>
  <c r="CR241" i="9"/>
  <c r="CR18" i="9"/>
  <c r="CR50" i="9"/>
  <c r="CR82" i="9"/>
  <c r="CR114" i="9"/>
  <c r="CR146" i="9"/>
  <c r="CR178" i="9"/>
  <c r="CR210" i="9"/>
  <c r="CR242" i="9"/>
  <c r="CR30" i="9"/>
  <c r="CR62" i="9"/>
  <c r="CR94" i="9"/>
  <c r="CR126" i="9"/>
  <c r="CR158" i="9"/>
  <c r="CR190" i="9"/>
  <c r="CR222" i="9"/>
  <c r="CR254" i="9"/>
  <c r="CR2" i="9"/>
  <c r="CR34" i="9"/>
  <c r="CR66" i="9"/>
  <c r="CR98" i="9"/>
  <c r="CR130" i="9"/>
  <c r="CR162" i="9"/>
  <c r="CR194" i="9"/>
  <c r="CR226" i="9"/>
  <c r="CR258" i="9"/>
  <c r="CR3" i="9"/>
  <c r="CR35" i="9"/>
  <c r="CR67" i="9"/>
  <c r="CR99" i="9"/>
  <c r="CR131" i="9"/>
  <c r="CR163" i="9"/>
  <c r="CR195" i="9"/>
  <c r="CR227" i="9"/>
  <c r="CR259" i="9"/>
  <c r="CR4" i="9"/>
  <c r="CR36" i="9"/>
  <c r="CR68" i="9"/>
  <c r="CR100" i="9"/>
  <c r="CR132" i="9"/>
  <c r="CR164" i="9"/>
  <c r="CR196" i="9"/>
  <c r="CR228" i="9"/>
  <c r="CR260" i="9"/>
  <c r="CR6" i="9"/>
  <c r="CR38" i="9"/>
  <c r="CR70" i="9"/>
  <c r="CR102" i="9"/>
  <c r="CR134" i="9"/>
  <c r="CR166" i="9"/>
  <c r="CR198" i="9"/>
  <c r="CR230" i="9"/>
  <c r="CR29" i="9"/>
  <c r="CR91" i="9"/>
  <c r="CR153" i="9"/>
  <c r="CR215" i="9"/>
  <c r="CR167" i="9"/>
  <c r="CR31" i="9"/>
  <c r="CR92" i="9"/>
  <c r="CR154" i="9"/>
  <c r="CR216" i="9"/>
  <c r="CR179" i="9"/>
  <c r="CR56" i="9"/>
  <c r="CR32" i="9"/>
  <c r="CR93" i="9"/>
  <c r="CR155" i="9"/>
  <c r="CR217" i="9"/>
  <c r="CR53" i="9"/>
  <c r="CR229" i="9"/>
  <c r="CR33" i="9"/>
  <c r="CR95" i="9"/>
  <c r="CR156" i="9"/>
  <c r="CR218" i="9"/>
  <c r="CR54" i="9"/>
  <c r="CR37" i="9"/>
  <c r="CR96" i="9"/>
  <c r="CR157" i="9"/>
  <c r="CR219" i="9"/>
  <c r="CR168" i="9"/>
  <c r="CR231" i="9"/>
  <c r="CR39" i="9"/>
  <c r="CR97" i="9"/>
  <c r="CR159" i="9"/>
  <c r="CR220" i="9"/>
  <c r="CR225" i="9"/>
  <c r="CR40" i="9"/>
  <c r="CR101" i="9"/>
  <c r="CR160" i="9"/>
  <c r="CR221" i="9"/>
  <c r="CR115" i="9"/>
  <c r="CR116" i="9"/>
  <c r="CR232" i="9"/>
  <c r="CR51" i="9"/>
  <c r="CR103" i="9"/>
  <c r="CR161" i="9"/>
  <c r="CR223" i="9"/>
  <c r="CR117" i="9"/>
  <c r="CR52" i="9"/>
  <c r="CR104" i="9"/>
  <c r="CR165" i="9"/>
  <c r="CR224" i="9"/>
  <c r="CR55" i="9"/>
  <c r="CR22" i="9"/>
  <c r="CR84" i="9"/>
  <c r="CR136" i="9"/>
  <c r="CR197" i="9"/>
  <c r="CR256" i="9"/>
  <c r="CR213" i="9"/>
  <c r="CR118" i="9"/>
  <c r="CR23" i="9"/>
  <c r="CR85" i="9"/>
  <c r="CR147" i="9"/>
  <c r="CR199" i="9"/>
  <c r="CR257" i="9"/>
  <c r="CR152" i="9"/>
  <c r="CR24" i="9"/>
  <c r="CR86" i="9"/>
  <c r="CR148" i="9"/>
  <c r="CR200" i="9"/>
  <c r="CR28" i="9"/>
  <c r="CR180" i="9"/>
  <c r="CR25" i="9"/>
  <c r="CR87" i="9"/>
  <c r="CR149" i="9"/>
  <c r="CR211" i="9"/>
  <c r="CR90" i="9"/>
  <c r="CR26" i="9"/>
  <c r="CR88" i="9"/>
  <c r="CR150" i="9"/>
  <c r="CR212" i="9"/>
  <c r="CR27" i="9"/>
  <c r="CR89" i="9"/>
  <c r="CR151" i="9"/>
  <c r="CR214" i="9"/>
  <c r="CR83" i="9"/>
  <c r="CR250" i="9"/>
  <c r="CR251" i="9"/>
  <c r="CR133" i="9"/>
  <c r="CR185" i="9"/>
  <c r="CR188" i="9"/>
  <c r="CR119" i="9"/>
  <c r="CR120" i="9"/>
  <c r="CR252" i="9"/>
  <c r="CR125" i="9"/>
  <c r="CR121" i="9"/>
  <c r="CR253" i="9"/>
  <c r="CR123" i="9"/>
  <c r="CR127" i="9"/>
  <c r="CR183" i="9"/>
  <c r="CR58" i="9"/>
  <c r="CR122" i="9"/>
  <c r="CR255" i="9"/>
  <c r="CR124" i="9"/>
  <c r="CR7" i="9"/>
  <c r="CR20" i="9"/>
  <c r="CR135" i="9"/>
  <c r="CR261" i="9"/>
  <c r="CR181" i="9"/>
  <c r="CR184" i="9"/>
  <c r="CR59" i="9"/>
  <c r="CR60" i="9"/>
  <c r="CR193" i="9"/>
  <c r="CR57" i="9"/>
  <c r="CR191" i="9"/>
  <c r="CR61" i="9"/>
  <c r="CR243" i="9"/>
  <c r="CR249" i="9"/>
  <c r="CR129" i="9"/>
  <c r="CR63" i="9"/>
  <c r="CR244" i="9"/>
  <c r="CR248" i="9"/>
  <c r="CR72" i="9"/>
  <c r="CR64" i="9"/>
  <c r="CR245" i="9"/>
  <c r="CR71" i="9"/>
  <c r="CR187" i="9"/>
  <c r="CR65" i="9"/>
  <c r="CR246" i="9"/>
  <c r="CR128" i="9"/>
  <c r="CR189" i="9"/>
  <c r="CR69" i="9"/>
  <c r="CR247" i="9"/>
  <c r="CR182" i="9"/>
  <c r="CR5" i="9"/>
  <c r="CR186" i="9"/>
  <c r="CR21" i="9"/>
  <c r="CR8" i="9"/>
  <c r="CR19" i="9"/>
  <c r="CR192" i="9"/>
  <c r="CJ29" i="9"/>
  <c r="CJ61" i="9"/>
  <c r="CJ93" i="9"/>
  <c r="CJ125" i="9"/>
  <c r="CJ157" i="9"/>
  <c r="CJ189" i="9"/>
  <c r="CJ221" i="9"/>
  <c r="CJ253" i="9"/>
  <c r="CJ30" i="9"/>
  <c r="CJ62" i="9"/>
  <c r="CJ94" i="9"/>
  <c r="CJ126" i="9"/>
  <c r="CJ158" i="9"/>
  <c r="CJ190" i="9"/>
  <c r="CJ222" i="9"/>
  <c r="CJ254" i="9"/>
  <c r="CJ31" i="9"/>
  <c r="CJ63" i="9"/>
  <c r="CJ95" i="9"/>
  <c r="CJ127" i="9"/>
  <c r="CJ159" i="9"/>
  <c r="CJ191" i="9"/>
  <c r="CJ223" i="9"/>
  <c r="CJ255" i="9"/>
  <c r="CJ32" i="9"/>
  <c r="CJ64" i="9"/>
  <c r="CJ96" i="9"/>
  <c r="CJ128" i="9"/>
  <c r="CJ160" i="9"/>
  <c r="CJ192" i="9"/>
  <c r="CJ224" i="9"/>
  <c r="CJ256" i="9"/>
  <c r="CJ33" i="9"/>
  <c r="CJ65" i="9"/>
  <c r="CJ97" i="9"/>
  <c r="CJ129" i="9"/>
  <c r="CJ161" i="9"/>
  <c r="CJ193" i="9"/>
  <c r="CJ225" i="9"/>
  <c r="CJ257" i="9"/>
  <c r="CJ2" i="9"/>
  <c r="CJ34" i="9"/>
  <c r="CJ66" i="9"/>
  <c r="CJ98" i="9"/>
  <c r="CJ130" i="9"/>
  <c r="CJ162" i="9"/>
  <c r="CJ194" i="9"/>
  <c r="CJ226" i="9"/>
  <c r="CJ258" i="9"/>
  <c r="CJ3" i="9"/>
  <c r="CJ35" i="9"/>
  <c r="CJ67" i="9"/>
  <c r="CJ99" i="9"/>
  <c r="CJ131" i="9"/>
  <c r="CJ163" i="9"/>
  <c r="CJ195" i="9"/>
  <c r="CJ227" i="9"/>
  <c r="CJ259" i="9"/>
  <c r="CJ4" i="9"/>
  <c r="CJ36" i="9"/>
  <c r="CJ68" i="9"/>
  <c r="CJ100" i="9"/>
  <c r="CJ132" i="9"/>
  <c r="CJ164" i="9"/>
  <c r="CJ196" i="9"/>
  <c r="CJ228" i="9"/>
  <c r="CJ260" i="9"/>
  <c r="CJ5" i="9"/>
  <c r="CJ37" i="9"/>
  <c r="CJ69" i="9"/>
  <c r="CJ101" i="9"/>
  <c r="CJ133" i="9"/>
  <c r="CJ165" i="9"/>
  <c r="CJ197" i="9"/>
  <c r="CJ229" i="9"/>
  <c r="CJ6" i="9"/>
  <c r="CJ38" i="9"/>
  <c r="CJ70" i="9"/>
  <c r="CJ102" i="9"/>
  <c r="CJ134" i="9"/>
  <c r="CJ166" i="9"/>
  <c r="CJ198" i="9"/>
  <c r="CJ230" i="9"/>
  <c r="CJ18" i="9"/>
  <c r="CJ50" i="9"/>
  <c r="CJ82" i="9"/>
  <c r="CJ114" i="9"/>
  <c r="CJ146" i="9"/>
  <c r="CJ178" i="9"/>
  <c r="CJ210" i="9"/>
  <c r="CJ242" i="9"/>
  <c r="CJ22" i="9"/>
  <c r="CJ54" i="9"/>
  <c r="CJ86" i="9"/>
  <c r="CJ118" i="9"/>
  <c r="CJ150" i="9"/>
  <c r="CJ182" i="9"/>
  <c r="CJ214" i="9"/>
  <c r="CJ246" i="9"/>
  <c r="CJ23" i="9"/>
  <c r="CJ55" i="9"/>
  <c r="CJ87" i="9"/>
  <c r="CJ119" i="9"/>
  <c r="CJ151" i="9"/>
  <c r="CJ183" i="9"/>
  <c r="CJ215" i="9"/>
  <c r="CJ247" i="9"/>
  <c r="CJ24" i="9"/>
  <c r="CJ56" i="9"/>
  <c r="CJ88" i="9"/>
  <c r="CJ120" i="9"/>
  <c r="CJ152" i="9"/>
  <c r="CJ184" i="9"/>
  <c r="CJ216" i="9"/>
  <c r="CJ248" i="9"/>
  <c r="CJ26" i="9"/>
  <c r="CJ58" i="9"/>
  <c r="CJ90" i="9"/>
  <c r="CJ122" i="9"/>
  <c r="CJ154" i="9"/>
  <c r="CJ186" i="9"/>
  <c r="CJ218" i="9"/>
  <c r="CJ250" i="9"/>
  <c r="CJ17" i="9"/>
  <c r="CJ79" i="9"/>
  <c r="CJ141" i="9"/>
  <c r="CJ203" i="9"/>
  <c r="CJ19" i="9"/>
  <c r="CJ80" i="9"/>
  <c r="CJ142" i="9"/>
  <c r="CJ204" i="9"/>
  <c r="CJ261" i="9"/>
  <c r="CJ104" i="9"/>
  <c r="CJ105" i="9"/>
  <c r="CJ20" i="9"/>
  <c r="CJ81" i="9"/>
  <c r="CJ143" i="9"/>
  <c r="CJ205" i="9"/>
  <c r="CJ155" i="9"/>
  <c r="CJ219" i="9"/>
  <c r="CJ220" i="9"/>
  <c r="CJ21" i="9"/>
  <c r="CJ83" i="9"/>
  <c r="CJ144" i="9"/>
  <c r="CJ206" i="9"/>
  <c r="CJ213" i="9"/>
  <c r="CJ156" i="9"/>
  <c r="CJ25" i="9"/>
  <c r="CJ84" i="9"/>
  <c r="CJ145" i="9"/>
  <c r="CJ207" i="9"/>
  <c r="CJ106" i="9"/>
  <c r="CJ27" i="9"/>
  <c r="CJ85" i="9"/>
  <c r="CJ147" i="9"/>
  <c r="CJ208" i="9"/>
  <c r="CJ103" i="9"/>
  <c r="CJ28" i="9"/>
  <c r="CJ89" i="9"/>
  <c r="CJ148" i="9"/>
  <c r="CJ209" i="9"/>
  <c r="CJ41" i="9"/>
  <c r="CJ217" i="9"/>
  <c r="CJ43" i="9"/>
  <c r="CJ39" i="9"/>
  <c r="CJ91" i="9"/>
  <c r="CJ149" i="9"/>
  <c r="CJ211" i="9"/>
  <c r="CJ167" i="9"/>
  <c r="CJ40" i="9"/>
  <c r="CJ92" i="9"/>
  <c r="CJ153" i="9"/>
  <c r="CJ212" i="9"/>
  <c r="CJ42" i="9"/>
  <c r="CJ10" i="9"/>
  <c r="CJ72" i="9"/>
  <c r="CJ124" i="9"/>
  <c r="CJ185" i="9"/>
  <c r="CJ244" i="9"/>
  <c r="CJ77" i="9"/>
  <c r="CJ11" i="9"/>
  <c r="CJ73" i="9"/>
  <c r="CJ135" i="9"/>
  <c r="CJ187" i="9"/>
  <c r="CJ245" i="9"/>
  <c r="CJ202" i="9"/>
  <c r="CJ12" i="9"/>
  <c r="CJ74" i="9"/>
  <c r="CJ136" i="9"/>
  <c r="CJ188" i="9"/>
  <c r="CJ249" i="9"/>
  <c r="CJ201" i="9"/>
  <c r="CJ16" i="9"/>
  <c r="CJ13" i="9"/>
  <c r="CJ75" i="9"/>
  <c r="CJ137" i="9"/>
  <c r="CJ199" i="9"/>
  <c r="CJ251" i="9"/>
  <c r="CJ15" i="9"/>
  <c r="CJ78" i="9"/>
  <c r="CJ168" i="9"/>
  <c r="CJ14" i="9"/>
  <c r="CJ76" i="9"/>
  <c r="CJ138" i="9"/>
  <c r="CJ200" i="9"/>
  <c r="CJ252" i="9"/>
  <c r="CJ139" i="9"/>
  <c r="CJ140" i="9"/>
  <c r="CJ44" i="9"/>
  <c r="CJ9" i="9"/>
  <c r="CJ176" i="9"/>
  <c r="CJ45" i="9"/>
  <c r="CJ177" i="9"/>
  <c r="CJ237" i="9"/>
  <c r="CJ112" i="9"/>
  <c r="CJ116" i="9"/>
  <c r="CJ46" i="9"/>
  <c r="CJ179" i="9"/>
  <c r="CJ49" i="9"/>
  <c r="CJ115" i="9"/>
  <c r="CJ47" i="9"/>
  <c r="CJ180" i="9"/>
  <c r="CJ231" i="9"/>
  <c r="CJ232" i="9"/>
  <c r="CJ240" i="9"/>
  <c r="CJ109" i="9"/>
  <c r="CJ48" i="9"/>
  <c r="CJ181" i="9"/>
  <c r="CJ51" i="9"/>
  <c r="CJ236" i="9"/>
  <c r="CJ117" i="9"/>
  <c r="CJ71" i="9"/>
  <c r="CJ238" i="9"/>
  <c r="CJ107" i="9"/>
  <c r="CJ239" i="9"/>
  <c r="CJ123" i="9"/>
  <c r="CJ233" i="9"/>
  <c r="CJ53" i="9"/>
  <c r="CJ113" i="9"/>
  <c r="CJ169" i="9"/>
  <c r="CJ174" i="9"/>
  <c r="CJ8" i="9"/>
  <c r="CJ52" i="9"/>
  <c r="CJ234" i="9"/>
  <c r="CJ57" i="9"/>
  <c r="CJ170" i="9"/>
  <c r="CJ7" i="9"/>
  <c r="CJ111" i="9"/>
  <c r="CJ171" i="9"/>
  <c r="CJ59" i="9"/>
  <c r="CJ60" i="9"/>
  <c r="CJ172" i="9"/>
  <c r="CJ241" i="9"/>
  <c r="CJ173" i="9"/>
  <c r="CJ175" i="9"/>
  <c r="CJ235" i="9"/>
  <c r="CJ108" i="9"/>
  <c r="CJ110" i="9"/>
  <c r="CJ121" i="9"/>
  <c r="CJ243" i="9"/>
  <c r="CB17" i="9"/>
  <c r="CB49" i="9"/>
  <c r="CB81" i="9"/>
  <c r="CB113" i="9"/>
  <c r="CB145" i="9"/>
  <c r="CB177" i="9"/>
  <c r="CB209" i="9"/>
  <c r="CB241" i="9"/>
  <c r="CB18" i="9"/>
  <c r="CB50" i="9"/>
  <c r="CB82" i="9"/>
  <c r="CB114" i="9"/>
  <c r="CB146" i="9"/>
  <c r="CB178" i="9"/>
  <c r="CB210" i="9"/>
  <c r="CB242" i="9"/>
  <c r="CB19" i="9"/>
  <c r="CB51" i="9"/>
  <c r="CB83" i="9"/>
  <c r="CB115" i="9"/>
  <c r="CB147" i="9"/>
  <c r="CB179" i="9"/>
  <c r="CB211" i="9"/>
  <c r="CB243" i="9"/>
  <c r="CB20" i="9"/>
  <c r="CB52" i="9"/>
  <c r="CB84" i="9"/>
  <c r="CB116" i="9"/>
  <c r="CB148" i="9"/>
  <c r="CB180" i="9"/>
  <c r="CB212" i="9"/>
  <c r="CB244" i="9"/>
  <c r="CB21" i="9"/>
  <c r="CB53" i="9"/>
  <c r="CB85" i="9"/>
  <c r="CB117" i="9"/>
  <c r="CB149" i="9"/>
  <c r="CB181" i="9"/>
  <c r="CB213" i="9"/>
  <c r="CB245" i="9"/>
  <c r="CB22" i="9"/>
  <c r="CB54" i="9"/>
  <c r="CB86" i="9"/>
  <c r="CB118" i="9"/>
  <c r="CB150" i="9"/>
  <c r="CB182" i="9"/>
  <c r="CB214" i="9"/>
  <c r="CB246" i="9"/>
  <c r="CB23" i="9"/>
  <c r="CB55" i="9"/>
  <c r="CB87" i="9"/>
  <c r="CB119" i="9"/>
  <c r="CB151" i="9"/>
  <c r="CB183" i="9"/>
  <c r="CB215" i="9"/>
  <c r="CB247" i="9"/>
  <c r="CB261" i="9"/>
  <c r="CB24" i="9"/>
  <c r="CB56" i="9"/>
  <c r="CB88" i="9"/>
  <c r="CB120" i="9"/>
  <c r="CB152" i="9"/>
  <c r="CB184" i="9"/>
  <c r="CB216" i="9"/>
  <c r="CB248" i="9"/>
  <c r="CB26" i="9"/>
  <c r="CB58" i="9"/>
  <c r="CB90" i="9"/>
  <c r="CB122" i="9"/>
  <c r="CB154" i="9"/>
  <c r="CB186" i="9"/>
  <c r="CB218" i="9"/>
  <c r="CB250" i="9"/>
  <c r="CB6" i="9"/>
  <c r="CB38" i="9"/>
  <c r="CB70" i="9"/>
  <c r="CB102" i="9"/>
  <c r="CB134" i="9"/>
  <c r="CB166" i="9"/>
  <c r="CB198" i="9"/>
  <c r="CB230" i="9"/>
  <c r="CB10" i="9"/>
  <c r="CB42" i="9"/>
  <c r="CB74" i="9"/>
  <c r="CB11" i="9"/>
  <c r="CB43" i="9"/>
  <c r="CB75" i="9"/>
  <c r="CB107" i="9"/>
  <c r="CB139" i="9"/>
  <c r="CB171" i="9"/>
  <c r="CB203" i="9"/>
  <c r="CB235" i="9"/>
  <c r="CB12" i="9"/>
  <c r="CB44" i="9"/>
  <c r="CB76" i="9"/>
  <c r="CB108" i="9"/>
  <c r="CB140" i="9"/>
  <c r="CB172" i="9"/>
  <c r="CB204" i="9"/>
  <c r="CB236" i="9"/>
  <c r="CB14" i="9"/>
  <c r="CB46" i="9"/>
  <c r="CB78" i="9"/>
  <c r="CB29" i="9"/>
  <c r="CB80" i="9"/>
  <c r="CB133" i="9"/>
  <c r="CB189" i="9"/>
  <c r="CB234" i="9"/>
  <c r="CB30" i="9"/>
  <c r="CB89" i="9"/>
  <c r="CB135" i="9"/>
  <c r="CB190" i="9"/>
  <c r="CB237" i="9"/>
  <c r="CB98" i="9"/>
  <c r="CB99" i="9"/>
  <c r="CB31" i="9"/>
  <c r="CB91" i="9"/>
  <c r="CB136" i="9"/>
  <c r="CB191" i="9"/>
  <c r="CB238" i="9"/>
  <c r="CB254" i="9"/>
  <c r="CB255" i="9"/>
  <c r="CB201" i="9"/>
  <c r="CB32" i="9"/>
  <c r="CB92" i="9"/>
  <c r="CB137" i="9"/>
  <c r="CB192" i="9"/>
  <c r="CB239" i="9"/>
  <c r="CB199" i="9"/>
  <c r="CB33" i="9"/>
  <c r="CB93" i="9"/>
  <c r="CB138" i="9"/>
  <c r="CB193" i="9"/>
  <c r="CB240" i="9"/>
  <c r="CB252" i="9"/>
  <c r="CB200" i="9"/>
  <c r="CB100" i="9"/>
  <c r="CB34" i="9"/>
  <c r="CB94" i="9"/>
  <c r="CB141" i="9"/>
  <c r="CB194" i="9"/>
  <c r="CB249" i="9"/>
  <c r="CB39" i="9"/>
  <c r="CB35" i="9"/>
  <c r="CB95" i="9"/>
  <c r="CB142" i="9"/>
  <c r="CB195" i="9"/>
  <c r="CB251" i="9"/>
  <c r="CB153" i="9"/>
  <c r="CB155" i="9"/>
  <c r="CB41" i="9"/>
  <c r="CB36" i="9"/>
  <c r="CB96" i="9"/>
  <c r="CB143" i="9"/>
  <c r="CB196" i="9"/>
  <c r="CB156" i="9"/>
  <c r="CB37" i="9"/>
  <c r="CB97" i="9"/>
  <c r="CB144" i="9"/>
  <c r="CB197" i="9"/>
  <c r="CB253" i="9"/>
  <c r="CB40" i="9"/>
  <c r="CB256" i="9"/>
  <c r="CB9" i="9"/>
  <c r="CB68" i="9"/>
  <c r="CB126" i="9"/>
  <c r="CB173" i="9"/>
  <c r="CB226" i="9"/>
  <c r="CB131" i="9"/>
  <c r="CB79" i="9"/>
  <c r="CB13" i="9"/>
  <c r="CB69" i="9"/>
  <c r="CB127" i="9"/>
  <c r="CB174" i="9"/>
  <c r="CB227" i="9"/>
  <c r="CB77" i="9"/>
  <c r="CB188" i="9"/>
  <c r="CB15" i="9"/>
  <c r="CB71" i="9"/>
  <c r="CB128" i="9"/>
  <c r="CB175" i="9"/>
  <c r="CB228" i="9"/>
  <c r="CB27" i="9"/>
  <c r="CB132" i="9"/>
  <c r="CB16" i="9"/>
  <c r="CB72" i="9"/>
  <c r="CB129" i="9"/>
  <c r="CB176" i="9"/>
  <c r="CB229" i="9"/>
  <c r="CB232" i="9"/>
  <c r="CB28" i="9"/>
  <c r="CB25" i="9"/>
  <c r="CB73" i="9"/>
  <c r="CB130" i="9"/>
  <c r="CB185" i="9"/>
  <c r="CB231" i="9"/>
  <c r="CB187" i="9"/>
  <c r="CB233" i="9"/>
  <c r="CB60" i="9"/>
  <c r="CB169" i="9"/>
  <c r="CB61" i="9"/>
  <c r="CB170" i="9"/>
  <c r="CB217" i="9"/>
  <c r="CB219" i="9"/>
  <c r="CB222" i="9"/>
  <c r="CB124" i="9"/>
  <c r="CB62" i="9"/>
  <c r="CB202" i="9"/>
  <c r="CB207" i="9"/>
  <c r="CB101" i="9"/>
  <c r="CB257" i="9"/>
  <c r="CB258" i="9"/>
  <c r="CB121" i="9"/>
  <c r="CB157" i="9"/>
  <c r="CB63" i="9"/>
  <c r="CB205" i="9"/>
  <c r="CB65" i="9"/>
  <c r="CB66" i="9"/>
  <c r="CB225" i="9"/>
  <c r="CB112" i="9"/>
  <c r="CB64" i="9"/>
  <c r="CB206" i="9"/>
  <c r="CB208" i="9"/>
  <c r="CB103" i="9"/>
  <c r="CB104" i="9"/>
  <c r="CB259" i="9"/>
  <c r="CB123" i="9"/>
  <c r="CB106" i="9"/>
  <c r="CB223" i="9"/>
  <c r="CB109" i="9"/>
  <c r="CB224" i="9"/>
  <c r="CB111" i="9"/>
  <c r="CB260" i="9"/>
  <c r="CB5" i="9"/>
  <c r="CB160" i="9"/>
  <c r="CB221" i="9"/>
  <c r="CB125" i="9"/>
  <c r="CB7" i="9"/>
  <c r="CB161" i="9"/>
  <c r="CB220" i="9"/>
  <c r="CB3" i="9"/>
  <c r="CB8" i="9"/>
  <c r="CB162" i="9"/>
  <c r="CB168" i="9"/>
  <c r="CB67" i="9"/>
  <c r="CB45" i="9"/>
  <c r="CB163" i="9"/>
  <c r="CB105" i="9"/>
  <c r="CB47" i="9"/>
  <c r="CB164" i="9"/>
  <c r="CB167" i="9"/>
  <c r="CB59" i="9"/>
  <c r="CB4" i="9"/>
  <c r="CB48" i="9"/>
  <c r="CB165" i="9"/>
  <c r="CB57" i="9"/>
  <c r="CB110" i="9"/>
  <c r="CB2" i="9"/>
  <c r="CB158" i="9"/>
  <c r="CB159" i="9"/>
  <c r="CF23" i="9"/>
  <c r="CF55" i="9"/>
  <c r="CF87" i="9"/>
  <c r="CF119" i="9"/>
  <c r="CF151" i="9"/>
  <c r="CF183" i="9"/>
  <c r="CF215" i="9"/>
  <c r="CF247" i="9"/>
  <c r="CF24" i="9"/>
  <c r="CF56" i="9"/>
  <c r="CF88" i="9"/>
  <c r="CF120" i="9"/>
  <c r="CF152" i="9"/>
  <c r="CF184" i="9"/>
  <c r="CF216" i="9"/>
  <c r="CF248" i="9"/>
  <c r="CF25" i="9"/>
  <c r="CF57" i="9"/>
  <c r="CF89" i="9"/>
  <c r="CF121" i="9"/>
  <c r="CF153" i="9"/>
  <c r="CF185" i="9"/>
  <c r="CF217" i="9"/>
  <c r="CF249" i="9"/>
  <c r="CF26" i="9"/>
  <c r="CF58" i="9"/>
  <c r="CF90" i="9"/>
  <c r="CF122" i="9"/>
  <c r="CF154" i="9"/>
  <c r="CF186" i="9"/>
  <c r="CF218" i="9"/>
  <c r="CF250" i="9"/>
  <c r="CF27" i="9"/>
  <c r="CF59" i="9"/>
  <c r="CF91" i="9"/>
  <c r="CF123" i="9"/>
  <c r="CF155" i="9"/>
  <c r="CF187" i="9"/>
  <c r="CF219" i="9"/>
  <c r="CF251" i="9"/>
  <c r="CF28" i="9"/>
  <c r="CF60" i="9"/>
  <c r="CF92" i="9"/>
  <c r="CF124" i="9"/>
  <c r="CF156" i="9"/>
  <c r="CF188" i="9"/>
  <c r="CF220" i="9"/>
  <c r="CF252" i="9"/>
  <c r="CF29" i="9"/>
  <c r="CF61" i="9"/>
  <c r="CF93" i="9"/>
  <c r="CF125" i="9"/>
  <c r="CF157" i="9"/>
  <c r="CF189" i="9"/>
  <c r="CF221" i="9"/>
  <c r="CF253" i="9"/>
  <c r="CF30" i="9"/>
  <c r="CF62" i="9"/>
  <c r="CF94" i="9"/>
  <c r="CF126" i="9"/>
  <c r="CF158" i="9"/>
  <c r="CF190" i="9"/>
  <c r="CF222" i="9"/>
  <c r="CF254" i="9"/>
  <c r="CF32" i="9"/>
  <c r="CF64" i="9"/>
  <c r="CF96" i="9"/>
  <c r="CF128" i="9"/>
  <c r="CF160" i="9"/>
  <c r="CF192" i="9"/>
  <c r="CF224" i="9"/>
  <c r="CF256" i="9"/>
  <c r="CF12" i="9"/>
  <c r="CF44" i="9"/>
  <c r="CF76" i="9"/>
  <c r="CF108" i="9"/>
  <c r="CF140" i="9"/>
  <c r="CF172" i="9"/>
  <c r="CF204" i="9"/>
  <c r="CF236" i="9"/>
  <c r="CF16" i="9"/>
  <c r="CF48" i="9"/>
  <c r="CF80" i="9"/>
  <c r="CF112" i="9"/>
  <c r="CF144" i="9"/>
  <c r="CF176" i="9"/>
  <c r="CF208" i="9"/>
  <c r="CF240" i="9"/>
  <c r="CF17" i="9"/>
  <c r="CF49" i="9"/>
  <c r="CF81" i="9"/>
  <c r="CF113" i="9"/>
  <c r="CF145" i="9"/>
  <c r="CF177" i="9"/>
  <c r="CF209" i="9"/>
  <c r="CF241" i="9"/>
  <c r="CF18" i="9"/>
  <c r="CF50" i="9"/>
  <c r="CF82" i="9"/>
  <c r="CF114" i="9"/>
  <c r="CF146" i="9"/>
  <c r="CF178" i="9"/>
  <c r="CF210" i="9"/>
  <c r="CF242" i="9"/>
  <c r="CF20" i="9"/>
  <c r="CF52" i="9"/>
  <c r="CF84" i="9"/>
  <c r="CF116" i="9"/>
  <c r="CF148" i="9"/>
  <c r="CF180" i="9"/>
  <c r="CF212" i="9"/>
  <c r="CF244" i="9"/>
  <c r="CF35" i="9"/>
  <c r="CF86" i="9"/>
  <c r="CF142" i="9"/>
  <c r="CF201" i="9"/>
  <c r="CF36" i="9"/>
  <c r="CF95" i="9"/>
  <c r="CF143" i="9"/>
  <c r="CF202" i="9"/>
  <c r="CF164" i="9"/>
  <c r="CF105" i="9"/>
  <c r="CF226" i="9"/>
  <c r="CF37" i="9"/>
  <c r="CF97" i="9"/>
  <c r="CF147" i="9"/>
  <c r="CF203" i="9"/>
  <c r="CF38" i="9"/>
  <c r="CF98" i="9"/>
  <c r="CF149" i="9"/>
  <c r="CF205" i="9"/>
  <c r="CF223" i="9"/>
  <c r="CF165" i="9"/>
  <c r="CF47" i="9"/>
  <c r="CF39" i="9"/>
  <c r="CF99" i="9"/>
  <c r="CF150" i="9"/>
  <c r="CF206" i="9"/>
  <c r="CF107" i="9"/>
  <c r="CF40" i="9"/>
  <c r="CF100" i="9"/>
  <c r="CF159" i="9"/>
  <c r="CF207" i="9"/>
  <c r="CF45" i="9"/>
  <c r="CF261" i="9"/>
  <c r="CF41" i="9"/>
  <c r="CF101" i="9"/>
  <c r="CF161" i="9"/>
  <c r="CF211" i="9"/>
  <c r="CF104" i="9"/>
  <c r="CF225" i="9"/>
  <c r="CF166" i="9"/>
  <c r="CF51" i="9"/>
  <c r="CF42" i="9"/>
  <c r="CF102" i="9"/>
  <c r="CF162" i="9"/>
  <c r="CF213" i="9"/>
  <c r="CF167" i="9"/>
  <c r="CF43" i="9"/>
  <c r="CF103" i="9"/>
  <c r="CF163" i="9"/>
  <c r="CF214" i="9"/>
  <c r="CF46" i="9"/>
  <c r="CF106" i="9"/>
  <c r="CF15" i="9"/>
  <c r="CF74" i="9"/>
  <c r="CF134" i="9"/>
  <c r="CF194" i="9"/>
  <c r="CF245" i="9"/>
  <c r="CF83" i="9"/>
  <c r="CF34" i="9"/>
  <c r="CF19" i="9"/>
  <c r="CF75" i="9"/>
  <c r="CF135" i="9"/>
  <c r="CF195" i="9"/>
  <c r="CF246" i="9"/>
  <c r="CF33" i="9"/>
  <c r="CF200" i="9"/>
  <c r="CF21" i="9"/>
  <c r="CF77" i="9"/>
  <c r="CF136" i="9"/>
  <c r="CF196" i="9"/>
  <c r="CF255" i="9"/>
  <c r="CF259" i="9"/>
  <c r="CF85" i="9"/>
  <c r="CF22" i="9"/>
  <c r="CF78" i="9"/>
  <c r="CF137" i="9"/>
  <c r="CF197" i="9"/>
  <c r="CF257" i="9"/>
  <c r="CF199" i="9"/>
  <c r="CF141" i="9"/>
  <c r="CF31" i="9"/>
  <c r="CF79" i="9"/>
  <c r="CF138" i="9"/>
  <c r="CF198" i="9"/>
  <c r="CF258" i="9"/>
  <c r="CF139" i="9"/>
  <c r="CF260" i="9"/>
  <c r="CF227" i="9"/>
  <c r="CF129" i="9"/>
  <c r="CF2" i="9"/>
  <c r="CF130" i="9"/>
  <c r="CF191" i="9"/>
  <c r="CF72" i="9"/>
  <c r="CF3" i="9"/>
  <c r="CF131" i="9"/>
  <c r="CF6" i="9"/>
  <c r="CF170" i="9"/>
  <c r="CF173" i="9"/>
  <c r="CF229" i="9"/>
  <c r="CF4" i="9"/>
  <c r="CF132" i="9"/>
  <c r="CF168" i="9"/>
  <c r="CF169" i="9"/>
  <c r="CF10" i="9"/>
  <c r="CF174" i="9"/>
  <c r="CF175" i="9"/>
  <c r="CF228" i="9"/>
  <c r="CF231" i="9"/>
  <c r="CF70" i="9"/>
  <c r="CF5" i="9"/>
  <c r="CF133" i="9"/>
  <c r="CF7" i="9"/>
  <c r="CF68" i="9"/>
  <c r="CF14" i="9"/>
  <c r="CF179" i="9"/>
  <c r="CF53" i="9"/>
  <c r="CF181" i="9"/>
  <c r="CF193" i="9"/>
  <c r="CF69" i="9"/>
  <c r="CF73" i="9"/>
  <c r="CF235" i="9"/>
  <c r="CF182" i="9"/>
  <c r="CF232" i="9"/>
  <c r="CF234" i="9"/>
  <c r="CF109" i="9"/>
  <c r="CF237" i="9"/>
  <c r="CF63" i="9"/>
  <c r="CF110" i="9"/>
  <c r="CF238" i="9"/>
  <c r="CF171" i="9"/>
  <c r="CF230" i="9"/>
  <c r="CF111" i="9"/>
  <c r="CF239" i="9"/>
  <c r="CF118" i="9"/>
  <c r="CF127" i="9"/>
  <c r="CF65" i="9"/>
  <c r="CF115" i="9"/>
  <c r="CF243" i="9"/>
  <c r="CF54" i="9"/>
  <c r="CF66" i="9"/>
  <c r="CF233" i="9"/>
  <c r="CF117" i="9"/>
  <c r="CF8" i="9"/>
  <c r="CF9" i="9"/>
  <c r="CF11" i="9"/>
  <c r="CF13" i="9"/>
  <c r="CF67" i="9"/>
  <c r="CF71" i="9"/>
  <c r="BZ14" i="9"/>
  <c r="BZ46" i="9"/>
  <c r="BZ78" i="9"/>
  <c r="BZ110" i="9"/>
  <c r="BZ142" i="9"/>
  <c r="BZ15" i="9"/>
  <c r="BZ47" i="9"/>
  <c r="BZ79" i="9"/>
  <c r="BZ111" i="9"/>
  <c r="BZ143" i="9"/>
  <c r="BZ175" i="9"/>
  <c r="BZ207" i="9"/>
  <c r="BZ239" i="9"/>
  <c r="BZ16" i="9"/>
  <c r="BZ48" i="9"/>
  <c r="BZ80" i="9"/>
  <c r="BZ112" i="9"/>
  <c r="BZ144" i="9"/>
  <c r="BZ176" i="9"/>
  <c r="BZ208" i="9"/>
  <c r="BZ240" i="9"/>
  <c r="BZ17" i="9"/>
  <c r="BZ49" i="9"/>
  <c r="BZ81" i="9"/>
  <c r="BZ113" i="9"/>
  <c r="BZ145" i="9"/>
  <c r="BZ177" i="9"/>
  <c r="BZ209" i="9"/>
  <c r="BZ241" i="9"/>
  <c r="BZ18" i="9"/>
  <c r="BZ261" i="9"/>
  <c r="BZ19" i="9"/>
  <c r="BZ51" i="9"/>
  <c r="BZ83" i="9"/>
  <c r="BZ115" i="9"/>
  <c r="BZ147" i="9"/>
  <c r="BZ179" i="9"/>
  <c r="BZ211" i="9"/>
  <c r="BZ243" i="9"/>
  <c r="BZ20" i="9"/>
  <c r="BZ52" i="9"/>
  <c r="BZ84" i="9"/>
  <c r="BZ116" i="9"/>
  <c r="BZ148" i="9"/>
  <c r="BZ21" i="9"/>
  <c r="BZ53" i="9"/>
  <c r="BZ85" i="9"/>
  <c r="BZ117" i="9"/>
  <c r="BZ149" i="9"/>
  <c r="BZ181" i="9"/>
  <c r="BZ213" i="9"/>
  <c r="BZ245" i="9"/>
  <c r="BZ23" i="9"/>
  <c r="BZ55" i="9"/>
  <c r="BZ87" i="9"/>
  <c r="BZ119" i="9"/>
  <c r="BZ151" i="9"/>
  <c r="BZ183" i="9"/>
  <c r="BZ215" i="9"/>
  <c r="BZ247" i="9"/>
  <c r="BZ3" i="9"/>
  <c r="BZ35" i="9"/>
  <c r="BZ67" i="9"/>
  <c r="BZ8" i="9"/>
  <c r="BZ40" i="9"/>
  <c r="BZ72" i="9"/>
  <c r="BZ9" i="9"/>
  <c r="BZ41" i="9"/>
  <c r="BZ73" i="9"/>
  <c r="BZ30" i="9"/>
  <c r="BZ76" i="9"/>
  <c r="BZ124" i="9"/>
  <c r="BZ164" i="9"/>
  <c r="BZ202" i="9"/>
  <c r="BZ244" i="9"/>
  <c r="BZ91" i="9"/>
  <c r="BZ173" i="9"/>
  <c r="BZ94" i="9"/>
  <c r="BZ31" i="9"/>
  <c r="BZ77" i="9"/>
  <c r="BZ125" i="9"/>
  <c r="BZ165" i="9"/>
  <c r="BZ203" i="9"/>
  <c r="BZ246" i="9"/>
  <c r="BZ253" i="9"/>
  <c r="BZ255" i="9"/>
  <c r="BZ218" i="9"/>
  <c r="BZ95" i="9"/>
  <c r="BZ32" i="9"/>
  <c r="BZ82" i="9"/>
  <c r="BZ126" i="9"/>
  <c r="BZ166" i="9"/>
  <c r="BZ204" i="9"/>
  <c r="BZ248" i="9"/>
  <c r="BZ38" i="9"/>
  <c r="BZ219" i="9"/>
  <c r="BZ33" i="9"/>
  <c r="BZ86" i="9"/>
  <c r="BZ127" i="9"/>
  <c r="BZ167" i="9"/>
  <c r="BZ205" i="9"/>
  <c r="BZ249" i="9"/>
  <c r="BZ171" i="9"/>
  <c r="BZ34" i="9"/>
  <c r="BZ88" i="9"/>
  <c r="BZ128" i="9"/>
  <c r="BZ168" i="9"/>
  <c r="BZ206" i="9"/>
  <c r="BZ250" i="9"/>
  <c r="BZ42" i="9"/>
  <c r="BZ257" i="9"/>
  <c r="BZ36" i="9"/>
  <c r="BZ89" i="9"/>
  <c r="BZ129" i="9"/>
  <c r="BZ169" i="9"/>
  <c r="BZ210" i="9"/>
  <c r="BZ251" i="9"/>
  <c r="BZ131" i="9"/>
  <c r="BZ217" i="9"/>
  <c r="BZ134" i="9"/>
  <c r="BZ37" i="9"/>
  <c r="BZ90" i="9"/>
  <c r="BZ130" i="9"/>
  <c r="BZ170" i="9"/>
  <c r="BZ212" i="9"/>
  <c r="BZ252" i="9"/>
  <c r="BZ256" i="9"/>
  <c r="BZ135" i="9"/>
  <c r="BZ214" i="9"/>
  <c r="BZ93" i="9"/>
  <c r="BZ43" i="9"/>
  <c r="BZ178" i="9"/>
  <c r="BZ39" i="9"/>
  <c r="BZ92" i="9"/>
  <c r="BZ132" i="9"/>
  <c r="BZ172" i="9"/>
  <c r="BZ216" i="9"/>
  <c r="BZ254" i="9"/>
  <c r="BZ133" i="9"/>
  <c r="BZ174" i="9"/>
  <c r="BZ22" i="9"/>
  <c r="BZ66" i="9"/>
  <c r="BZ109" i="9"/>
  <c r="BZ157" i="9"/>
  <c r="BZ195" i="9"/>
  <c r="BZ233" i="9"/>
  <c r="BZ162" i="9"/>
  <c r="BZ29" i="9"/>
  <c r="BZ242" i="9"/>
  <c r="BZ24" i="9"/>
  <c r="BZ68" i="9"/>
  <c r="BZ114" i="9"/>
  <c r="BZ158" i="9"/>
  <c r="BZ196" i="9"/>
  <c r="BZ234" i="9"/>
  <c r="BZ74" i="9"/>
  <c r="BZ163" i="9"/>
  <c r="BZ25" i="9"/>
  <c r="BZ69" i="9"/>
  <c r="BZ118" i="9"/>
  <c r="BZ159" i="9"/>
  <c r="BZ197" i="9"/>
  <c r="BZ235" i="9"/>
  <c r="BZ28" i="9"/>
  <c r="BZ238" i="9"/>
  <c r="BZ123" i="9"/>
  <c r="BZ26" i="9"/>
  <c r="BZ70" i="9"/>
  <c r="BZ120" i="9"/>
  <c r="BZ160" i="9"/>
  <c r="BZ198" i="9"/>
  <c r="BZ236" i="9"/>
  <c r="BZ200" i="9"/>
  <c r="BZ75" i="9"/>
  <c r="BZ27" i="9"/>
  <c r="BZ71" i="9"/>
  <c r="BZ121" i="9"/>
  <c r="BZ161" i="9"/>
  <c r="BZ199" i="9"/>
  <c r="BZ237" i="9"/>
  <c r="BZ122" i="9"/>
  <c r="BZ201" i="9"/>
  <c r="BZ56" i="9"/>
  <c r="BZ153" i="9"/>
  <c r="BZ260" i="9"/>
  <c r="BZ57" i="9"/>
  <c r="BZ154" i="9"/>
  <c r="BZ104" i="9"/>
  <c r="BZ58" i="9"/>
  <c r="BZ155" i="9"/>
  <c r="BZ62" i="9"/>
  <c r="BZ223" i="9"/>
  <c r="BZ108" i="9"/>
  <c r="BZ59" i="9"/>
  <c r="BZ156" i="9"/>
  <c r="BZ182" i="9"/>
  <c r="BZ184" i="9"/>
  <c r="BZ193" i="9"/>
  <c r="BZ7" i="9"/>
  <c r="BZ60" i="9"/>
  <c r="BZ180" i="9"/>
  <c r="BZ61" i="9"/>
  <c r="BZ224" i="9"/>
  <c r="BZ226" i="9"/>
  <c r="BZ98" i="9"/>
  <c r="BZ190" i="9"/>
  <c r="BZ99" i="9"/>
  <c r="BZ191" i="9"/>
  <c r="BZ220" i="9"/>
  <c r="BZ2" i="9"/>
  <c r="BZ10" i="9"/>
  <c r="BZ137" i="9"/>
  <c r="BZ227" i="9"/>
  <c r="BZ186" i="9"/>
  <c r="BZ102" i="9"/>
  <c r="BZ105" i="9"/>
  <c r="BZ225" i="9"/>
  <c r="BZ11" i="9"/>
  <c r="BZ138" i="9"/>
  <c r="BZ228" i="9"/>
  <c r="BZ258" i="9"/>
  <c r="BZ152" i="9"/>
  <c r="BZ185" i="9"/>
  <c r="BZ188" i="9"/>
  <c r="BZ97" i="9"/>
  <c r="BZ100" i="9"/>
  <c r="BZ106" i="9"/>
  <c r="BZ136" i="9"/>
  <c r="BZ12" i="9"/>
  <c r="BZ139" i="9"/>
  <c r="BZ229" i="9"/>
  <c r="BZ150" i="9"/>
  <c r="BZ103" i="9"/>
  <c r="BZ6" i="9"/>
  <c r="BZ13" i="9"/>
  <c r="BZ140" i="9"/>
  <c r="BZ230" i="9"/>
  <c r="BZ50" i="9"/>
  <c r="BZ54" i="9"/>
  <c r="BZ63" i="9"/>
  <c r="BZ64" i="9"/>
  <c r="BZ44" i="9"/>
  <c r="BZ141" i="9"/>
  <c r="BZ231" i="9"/>
  <c r="BZ187" i="9"/>
  <c r="BZ192" i="9"/>
  <c r="BZ101" i="9"/>
  <c r="BZ221" i="9"/>
  <c r="BZ222" i="9"/>
  <c r="BZ4" i="9"/>
  <c r="BZ45" i="9"/>
  <c r="BZ146" i="9"/>
  <c r="BZ232" i="9"/>
  <c r="BZ259" i="9"/>
  <c r="BZ65" i="9"/>
  <c r="BZ96" i="9"/>
  <c r="BZ189" i="9"/>
  <c r="BZ194" i="9"/>
  <c r="BZ107" i="9"/>
  <c r="BZ5" i="9"/>
  <c r="CH26" i="9"/>
  <c r="CH58" i="9"/>
  <c r="CH90" i="9"/>
  <c r="CH122" i="9"/>
  <c r="CH154" i="9"/>
  <c r="CH186" i="9"/>
  <c r="CH218" i="9"/>
  <c r="CH250" i="9"/>
  <c r="CH27" i="9"/>
  <c r="CH59" i="9"/>
  <c r="CH91" i="9"/>
  <c r="CH123" i="9"/>
  <c r="CH155" i="9"/>
  <c r="CH187" i="9"/>
  <c r="CH219" i="9"/>
  <c r="CH251" i="9"/>
  <c r="CH28" i="9"/>
  <c r="CH60" i="9"/>
  <c r="CH92" i="9"/>
  <c r="CH124" i="9"/>
  <c r="CH156" i="9"/>
  <c r="CH188" i="9"/>
  <c r="CH220" i="9"/>
  <c r="CH252" i="9"/>
  <c r="CH29" i="9"/>
  <c r="CH61" i="9"/>
  <c r="CH93" i="9"/>
  <c r="CH125" i="9"/>
  <c r="CH157" i="9"/>
  <c r="CH189" i="9"/>
  <c r="CH221" i="9"/>
  <c r="CH253" i="9"/>
  <c r="CH30" i="9"/>
  <c r="CH62" i="9"/>
  <c r="CH94" i="9"/>
  <c r="CH126" i="9"/>
  <c r="CH158" i="9"/>
  <c r="CH190" i="9"/>
  <c r="CH222" i="9"/>
  <c r="CH254" i="9"/>
  <c r="CH31" i="9"/>
  <c r="CH63" i="9"/>
  <c r="CH95" i="9"/>
  <c r="CH127" i="9"/>
  <c r="CH159" i="9"/>
  <c r="CH191" i="9"/>
  <c r="CH223" i="9"/>
  <c r="CH255" i="9"/>
  <c r="CH32" i="9"/>
  <c r="CH64" i="9"/>
  <c r="CH96" i="9"/>
  <c r="CH128" i="9"/>
  <c r="CH160" i="9"/>
  <c r="CH192" i="9"/>
  <c r="CH224" i="9"/>
  <c r="CH256" i="9"/>
  <c r="CH33" i="9"/>
  <c r="CH65" i="9"/>
  <c r="CH97" i="9"/>
  <c r="CH129" i="9"/>
  <c r="CH161" i="9"/>
  <c r="CH193" i="9"/>
  <c r="CH225" i="9"/>
  <c r="CH257" i="9"/>
  <c r="CH2" i="9"/>
  <c r="CH34" i="9"/>
  <c r="CH66" i="9"/>
  <c r="CH3" i="9"/>
  <c r="CH35" i="9"/>
  <c r="CH67" i="9"/>
  <c r="CH99" i="9"/>
  <c r="CH131" i="9"/>
  <c r="CH163" i="9"/>
  <c r="CH195" i="9"/>
  <c r="CH227" i="9"/>
  <c r="CH259" i="9"/>
  <c r="CH15" i="9"/>
  <c r="CH47" i="9"/>
  <c r="CH79" i="9"/>
  <c r="CH111" i="9"/>
  <c r="CH143" i="9"/>
  <c r="CH175" i="9"/>
  <c r="CH207" i="9"/>
  <c r="CH239" i="9"/>
  <c r="CH19" i="9"/>
  <c r="CH51" i="9"/>
  <c r="CH83" i="9"/>
  <c r="CH115" i="9"/>
  <c r="CH147" i="9"/>
  <c r="CH179" i="9"/>
  <c r="CH211" i="9"/>
  <c r="CH243" i="9"/>
  <c r="CH20" i="9"/>
  <c r="CH52" i="9"/>
  <c r="CH84" i="9"/>
  <c r="CH116" i="9"/>
  <c r="CH148" i="9"/>
  <c r="CH180" i="9"/>
  <c r="CH212" i="9"/>
  <c r="CH244" i="9"/>
  <c r="CH21" i="9"/>
  <c r="CH53" i="9"/>
  <c r="CH85" i="9"/>
  <c r="CH117" i="9"/>
  <c r="CH149" i="9"/>
  <c r="CH181" i="9"/>
  <c r="CH213" i="9"/>
  <c r="CH245" i="9"/>
  <c r="CH23" i="9"/>
  <c r="CH55" i="9"/>
  <c r="CH87" i="9"/>
  <c r="CH119" i="9"/>
  <c r="CH151" i="9"/>
  <c r="CH183" i="9"/>
  <c r="CH215" i="9"/>
  <c r="CH247" i="9"/>
  <c r="CH6" i="9"/>
  <c r="CH68" i="9"/>
  <c r="CH118" i="9"/>
  <c r="CH174" i="9"/>
  <c r="CH234" i="9"/>
  <c r="CH248" i="9"/>
  <c r="CH198" i="9"/>
  <c r="CH7" i="9"/>
  <c r="CH69" i="9"/>
  <c r="CH120" i="9"/>
  <c r="CH176" i="9"/>
  <c r="CH235" i="9"/>
  <c r="CH16" i="9"/>
  <c r="CH139" i="9"/>
  <c r="CH81" i="9"/>
  <c r="CH8" i="9"/>
  <c r="CH70" i="9"/>
  <c r="CH121" i="9"/>
  <c r="CH177" i="9"/>
  <c r="CH236" i="9"/>
  <c r="CH78" i="9"/>
  <c r="CH258" i="9"/>
  <c r="CH9" i="9"/>
  <c r="CH71" i="9"/>
  <c r="CH130" i="9"/>
  <c r="CH178" i="9"/>
  <c r="CH237" i="9"/>
  <c r="CH10" i="9"/>
  <c r="CH72" i="9"/>
  <c r="CH132" i="9"/>
  <c r="CH182" i="9"/>
  <c r="CH238" i="9"/>
  <c r="CH77" i="9"/>
  <c r="CH17" i="9"/>
  <c r="CH11" i="9"/>
  <c r="CH73" i="9"/>
  <c r="CH133" i="9"/>
  <c r="CH184" i="9"/>
  <c r="CH240" i="9"/>
  <c r="CH249" i="9"/>
  <c r="CH12" i="9"/>
  <c r="CH74" i="9"/>
  <c r="CH134" i="9"/>
  <c r="CH185" i="9"/>
  <c r="CH241" i="9"/>
  <c r="CH80" i="9"/>
  <c r="CH13" i="9"/>
  <c r="CH75" i="9"/>
  <c r="CH135" i="9"/>
  <c r="CH194" i="9"/>
  <c r="CH242" i="9"/>
  <c r="CH137" i="9"/>
  <c r="CH138" i="9"/>
  <c r="CH199" i="9"/>
  <c r="CH261" i="9"/>
  <c r="CH14" i="9"/>
  <c r="CH76" i="9"/>
  <c r="CH136" i="9"/>
  <c r="CH196" i="9"/>
  <c r="CH246" i="9"/>
  <c r="CH197" i="9"/>
  <c r="CH18" i="9"/>
  <c r="CH22" i="9"/>
  <c r="CH46" i="9"/>
  <c r="CH107" i="9"/>
  <c r="CH167" i="9"/>
  <c r="CH226" i="9"/>
  <c r="CH56" i="9"/>
  <c r="CH5" i="9"/>
  <c r="CH140" i="9"/>
  <c r="CH48" i="9"/>
  <c r="CH108" i="9"/>
  <c r="CH168" i="9"/>
  <c r="CH228" i="9"/>
  <c r="CH4" i="9"/>
  <c r="CH173" i="9"/>
  <c r="CH260" i="9"/>
  <c r="CH49" i="9"/>
  <c r="CH109" i="9"/>
  <c r="CH169" i="9"/>
  <c r="CH229" i="9"/>
  <c r="CH232" i="9"/>
  <c r="CH57" i="9"/>
  <c r="CH200" i="9"/>
  <c r="CH50" i="9"/>
  <c r="CH110" i="9"/>
  <c r="CH170" i="9"/>
  <c r="CH230" i="9"/>
  <c r="CH113" i="9"/>
  <c r="CH114" i="9"/>
  <c r="CH54" i="9"/>
  <c r="CH112" i="9"/>
  <c r="CH171" i="9"/>
  <c r="CH231" i="9"/>
  <c r="CH172" i="9"/>
  <c r="CH233" i="9"/>
  <c r="CH89" i="9"/>
  <c r="CH217" i="9"/>
  <c r="CH98" i="9"/>
  <c r="CH162" i="9"/>
  <c r="CH166" i="9"/>
  <c r="CH39" i="9"/>
  <c r="CH100" i="9"/>
  <c r="CH104" i="9"/>
  <c r="CH165" i="9"/>
  <c r="CH101" i="9"/>
  <c r="CH102" i="9"/>
  <c r="CH103" i="9"/>
  <c r="CH105" i="9"/>
  <c r="CH106" i="9"/>
  <c r="CH153" i="9"/>
  <c r="CH37" i="9"/>
  <c r="CH145" i="9"/>
  <c r="CH146" i="9"/>
  <c r="CH24" i="9"/>
  <c r="CH38" i="9"/>
  <c r="CH202" i="9"/>
  <c r="CH41" i="9"/>
  <c r="CH204" i="9"/>
  <c r="CH42" i="9"/>
  <c r="CH205" i="9"/>
  <c r="CH142" i="9"/>
  <c r="CH144" i="9"/>
  <c r="CH150" i="9"/>
  <c r="CH164" i="9"/>
  <c r="CH36" i="9"/>
  <c r="CH43" i="9"/>
  <c r="CH206" i="9"/>
  <c r="CH216" i="9"/>
  <c r="CH203" i="9"/>
  <c r="CH44" i="9"/>
  <c r="CH208" i="9"/>
  <c r="CH40" i="9"/>
  <c r="CH45" i="9"/>
  <c r="CH209" i="9"/>
  <c r="CH214" i="9"/>
  <c r="CH88" i="9"/>
  <c r="CH141" i="9"/>
  <c r="CH25" i="9"/>
  <c r="CH201" i="9"/>
  <c r="CH82" i="9"/>
  <c r="CH210" i="9"/>
  <c r="CH86" i="9"/>
  <c r="CH152" i="9"/>
  <c r="CN3" i="9"/>
  <c r="CN35" i="9"/>
  <c r="CN67" i="9"/>
  <c r="CN99" i="9"/>
  <c r="CN131" i="9"/>
  <c r="CN163" i="9"/>
  <c r="CN195" i="9"/>
  <c r="CN227" i="9"/>
  <c r="CN259" i="9"/>
  <c r="CN4" i="9"/>
  <c r="CN36" i="9"/>
  <c r="CN68" i="9"/>
  <c r="CN100" i="9"/>
  <c r="CN132" i="9"/>
  <c r="CN164" i="9"/>
  <c r="CN196" i="9"/>
  <c r="CN228" i="9"/>
  <c r="CN260" i="9"/>
  <c r="CN5" i="9"/>
  <c r="CN37" i="9"/>
  <c r="CN69" i="9"/>
  <c r="CN101" i="9"/>
  <c r="CN133" i="9"/>
  <c r="CN165" i="9"/>
  <c r="CN197" i="9"/>
  <c r="CN229" i="9"/>
  <c r="CN6" i="9"/>
  <c r="CN38" i="9"/>
  <c r="CN70" i="9"/>
  <c r="CN102" i="9"/>
  <c r="CN134" i="9"/>
  <c r="CN166" i="9"/>
  <c r="CN198" i="9"/>
  <c r="CN230" i="9"/>
  <c r="CN7" i="9"/>
  <c r="CN39" i="9"/>
  <c r="CN71" i="9"/>
  <c r="CN103" i="9"/>
  <c r="CN135" i="9"/>
  <c r="CN167" i="9"/>
  <c r="CN199" i="9"/>
  <c r="CN231" i="9"/>
  <c r="CN8" i="9"/>
  <c r="CN40" i="9"/>
  <c r="CN72" i="9"/>
  <c r="CN104" i="9"/>
  <c r="CN136" i="9"/>
  <c r="CN168" i="9"/>
  <c r="CN200" i="9"/>
  <c r="CN232" i="9"/>
  <c r="CN9" i="9"/>
  <c r="CN41" i="9"/>
  <c r="CN73" i="9"/>
  <c r="CN105" i="9"/>
  <c r="CN137" i="9"/>
  <c r="CN169" i="9"/>
  <c r="CN201" i="9"/>
  <c r="CN233" i="9"/>
  <c r="CN10" i="9"/>
  <c r="CN42" i="9"/>
  <c r="CN74" i="9"/>
  <c r="CN106" i="9"/>
  <c r="CN138" i="9"/>
  <c r="CN170" i="9"/>
  <c r="CN202" i="9"/>
  <c r="CN234" i="9"/>
  <c r="CN11" i="9"/>
  <c r="CN43" i="9"/>
  <c r="CN75" i="9"/>
  <c r="CN107" i="9"/>
  <c r="CN139" i="9"/>
  <c r="CN171" i="9"/>
  <c r="CN203" i="9"/>
  <c r="CN235" i="9"/>
  <c r="CN12" i="9"/>
  <c r="CN44" i="9"/>
  <c r="CN76" i="9"/>
  <c r="CN108" i="9"/>
  <c r="CN140" i="9"/>
  <c r="CN172" i="9"/>
  <c r="CN204" i="9"/>
  <c r="CN236" i="9"/>
  <c r="CN24" i="9"/>
  <c r="CN56" i="9"/>
  <c r="CN88" i="9"/>
  <c r="CN120" i="9"/>
  <c r="CN152" i="9"/>
  <c r="CN184" i="9"/>
  <c r="CN216" i="9"/>
  <c r="CN248" i="9"/>
  <c r="CN28" i="9"/>
  <c r="CN60" i="9"/>
  <c r="CN92" i="9"/>
  <c r="CN124" i="9"/>
  <c r="CN156" i="9"/>
  <c r="CN188" i="9"/>
  <c r="CN220" i="9"/>
  <c r="CN252" i="9"/>
  <c r="CN29" i="9"/>
  <c r="CN61" i="9"/>
  <c r="CN93" i="9"/>
  <c r="CN125" i="9"/>
  <c r="CN157" i="9"/>
  <c r="CN189" i="9"/>
  <c r="CN221" i="9"/>
  <c r="CN253" i="9"/>
  <c r="CN30" i="9"/>
  <c r="CN62" i="9"/>
  <c r="CN94" i="9"/>
  <c r="CN126" i="9"/>
  <c r="CN158" i="9"/>
  <c r="CN190" i="9"/>
  <c r="CN222" i="9"/>
  <c r="CN254" i="9"/>
  <c r="CN32" i="9"/>
  <c r="CN64" i="9"/>
  <c r="CN96" i="9"/>
  <c r="CN128" i="9"/>
  <c r="CN160" i="9"/>
  <c r="CN192" i="9"/>
  <c r="CN224" i="9"/>
  <c r="CN256" i="9"/>
  <c r="CN54" i="9"/>
  <c r="CN116" i="9"/>
  <c r="CN178" i="9"/>
  <c r="CN240" i="9"/>
  <c r="CN16" i="9"/>
  <c r="CN55" i="9"/>
  <c r="CN117" i="9"/>
  <c r="CN179" i="9"/>
  <c r="CN241" i="9"/>
  <c r="CN79" i="9"/>
  <c r="CN205" i="9"/>
  <c r="CN57" i="9"/>
  <c r="CN118" i="9"/>
  <c r="CN180" i="9"/>
  <c r="CN242" i="9"/>
  <c r="CN78" i="9"/>
  <c r="CN80" i="9"/>
  <c r="CN58" i="9"/>
  <c r="CN119" i="9"/>
  <c r="CN181" i="9"/>
  <c r="CN243" i="9"/>
  <c r="CN250" i="9"/>
  <c r="CN141" i="9"/>
  <c r="CN59" i="9"/>
  <c r="CN121" i="9"/>
  <c r="CN182" i="9"/>
  <c r="CN244" i="9"/>
  <c r="CN251" i="9"/>
  <c r="CN255" i="9"/>
  <c r="CN143" i="9"/>
  <c r="CN2" i="9"/>
  <c r="CN63" i="9"/>
  <c r="CN122" i="9"/>
  <c r="CN183" i="9"/>
  <c r="CN245" i="9"/>
  <c r="CN191" i="9"/>
  <c r="CN13" i="9"/>
  <c r="CN65" i="9"/>
  <c r="CN123" i="9"/>
  <c r="CN185" i="9"/>
  <c r="CN246" i="9"/>
  <c r="CN130" i="9"/>
  <c r="CN193" i="9"/>
  <c r="CN142" i="9"/>
  <c r="CN14" i="9"/>
  <c r="CN66" i="9"/>
  <c r="CN127" i="9"/>
  <c r="CN186" i="9"/>
  <c r="CN247" i="9"/>
  <c r="CN18" i="9"/>
  <c r="CN15" i="9"/>
  <c r="CN77" i="9"/>
  <c r="CN129" i="9"/>
  <c r="CN187" i="9"/>
  <c r="CN249" i="9"/>
  <c r="CN17" i="9"/>
  <c r="CN194" i="9"/>
  <c r="CN81" i="9"/>
  <c r="CN47" i="9"/>
  <c r="CN109" i="9"/>
  <c r="CN161" i="9"/>
  <c r="CN219" i="9"/>
  <c r="CN115" i="9"/>
  <c r="CN257" i="9"/>
  <c r="CN48" i="9"/>
  <c r="CN110" i="9"/>
  <c r="CN162" i="9"/>
  <c r="CN223" i="9"/>
  <c r="CN114" i="9"/>
  <c r="CN53" i="9"/>
  <c r="CN239" i="9"/>
  <c r="CN49" i="9"/>
  <c r="CN111" i="9"/>
  <c r="CN173" i="9"/>
  <c r="CN225" i="9"/>
  <c r="CN176" i="9"/>
  <c r="CN177" i="9"/>
  <c r="CN50" i="9"/>
  <c r="CN112" i="9"/>
  <c r="CN174" i="9"/>
  <c r="CN226" i="9"/>
  <c r="CN238" i="9"/>
  <c r="CN51" i="9"/>
  <c r="CN113" i="9"/>
  <c r="CN175" i="9"/>
  <c r="CN237" i="9"/>
  <c r="CN52" i="9"/>
  <c r="CN19" i="9"/>
  <c r="CN46" i="9"/>
  <c r="CN213" i="9"/>
  <c r="CN82" i="9"/>
  <c r="CN214" i="9"/>
  <c r="CN90" i="9"/>
  <c r="CN83" i="9"/>
  <c r="CN215" i="9"/>
  <c r="CN84" i="9"/>
  <c r="CN217" i="9"/>
  <c r="CN258" i="9"/>
  <c r="CN147" i="9"/>
  <c r="CN22" i="9"/>
  <c r="CN85" i="9"/>
  <c r="CN218" i="9"/>
  <c r="CN86" i="9"/>
  <c r="CN87" i="9"/>
  <c r="CN89" i="9"/>
  <c r="CN261" i="9"/>
  <c r="CN98" i="9"/>
  <c r="CN144" i="9"/>
  <c r="CN150" i="9"/>
  <c r="CN23" i="9"/>
  <c r="CN159" i="9"/>
  <c r="CN97" i="9"/>
  <c r="CN146" i="9"/>
  <c r="CN25" i="9"/>
  <c r="CN206" i="9"/>
  <c r="CN20" i="9"/>
  <c r="CN155" i="9"/>
  <c r="CN26" i="9"/>
  <c r="CN207" i="9"/>
  <c r="CN149" i="9"/>
  <c r="CN154" i="9"/>
  <c r="CN27" i="9"/>
  <c r="CN208" i="9"/>
  <c r="CN212" i="9"/>
  <c r="CN91" i="9"/>
  <c r="CN151" i="9"/>
  <c r="CN31" i="9"/>
  <c r="CN209" i="9"/>
  <c r="CN211" i="9"/>
  <c r="CN45" i="9"/>
  <c r="CN95" i="9"/>
  <c r="CN145" i="9"/>
  <c r="CN148" i="9"/>
  <c r="CN33" i="9"/>
  <c r="CN210" i="9"/>
  <c r="CN34" i="9"/>
  <c r="CN153" i="9"/>
  <c r="CN21" i="9"/>
  <c r="BX261" i="9"/>
  <c r="BX14" i="9"/>
  <c r="BX16" i="9"/>
  <c r="BX48" i="9"/>
  <c r="BX80" i="9"/>
  <c r="BX18" i="9"/>
  <c r="BX20" i="9"/>
  <c r="BX52" i="9"/>
  <c r="BX84" i="9"/>
  <c r="BX23" i="9"/>
  <c r="BX57" i="9"/>
  <c r="BX91" i="9"/>
  <c r="BX123" i="9"/>
  <c r="BX155" i="9"/>
  <c r="BX187" i="9"/>
  <c r="BX219" i="9"/>
  <c r="BX251" i="9"/>
  <c r="BX189" i="9"/>
  <c r="BX254" i="9"/>
  <c r="BX129" i="9"/>
  <c r="BX130" i="9"/>
  <c r="BX196" i="9"/>
  <c r="BX133" i="9"/>
  <c r="BX24" i="9"/>
  <c r="BX58" i="9"/>
  <c r="BX92" i="9"/>
  <c r="BX124" i="9"/>
  <c r="BX156" i="9"/>
  <c r="BX188" i="9"/>
  <c r="BX220" i="9"/>
  <c r="BX252" i="9"/>
  <c r="BX253" i="9"/>
  <c r="BX256" i="9"/>
  <c r="BX257" i="9"/>
  <c r="BX226" i="9"/>
  <c r="BX229" i="9"/>
  <c r="BX68" i="9"/>
  <c r="BX25" i="9"/>
  <c r="BX59" i="9"/>
  <c r="BX93" i="9"/>
  <c r="BX125" i="9"/>
  <c r="BX157" i="9"/>
  <c r="BX221" i="9"/>
  <c r="BX224" i="9"/>
  <c r="BX98" i="9"/>
  <c r="BX132" i="9"/>
  <c r="BX33" i="9"/>
  <c r="BX197" i="9"/>
  <c r="BX166" i="9"/>
  <c r="BX26" i="9"/>
  <c r="BX60" i="9"/>
  <c r="BX94" i="9"/>
  <c r="BX126" i="9"/>
  <c r="BX158" i="9"/>
  <c r="BX190" i="9"/>
  <c r="BX222" i="9"/>
  <c r="BX160" i="9"/>
  <c r="BX225" i="9"/>
  <c r="BX194" i="9"/>
  <c r="BX32" i="9"/>
  <c r="BX27" i="9"/>
  <c r="BX61" i="9"/>
  <c r="BX95" i="9"/>
  <c r="BX127" i="9"/>
  <c r="BX159" i="9"/>
  <c r="BX191" i="9"/>
  <c r="BX223" i="9"/>
  <c r="BX255" i="9"/>
  <c r="BX192" i="9"/>
  <c r="BX30" i="9"/>
  <c r="BX258" i="9"/>
  <c r="BX100" i="9"/>
  <c r="BX198" i="9"/>
  <c r="BX28" i="9"/>
  <c r="BX62" i="9"/>
  <c r="BX96" i="9"/>
  <c r="BX128" i="9"/>
  <c r="BX161" i="9"/>
  <c r="BX162" i="9"/>
  <c r="BX260" i="9"/>
  <c r="BX29" i="9"/>
  <c r="BX63" i="9"/>
  <c r="BX97" i="9"/>
  <c r="BX193" i="9"/>
  <c r="BX64" i="9"/>
  <c r="BX66" i="9"/>
  <c r="BX102" i="9"/>
  <c r="BX164" i="9"/>
  <c r="BX67" i="9"/>
  <c r="BX101" i="9"/>
  <c r="BX165" i="9"/>
  <c r="BX134" i="9"/>
  <c r="BX31" i="9"/>
  <c r="BX65" i="9"/>
  <c r="BX99" i="9"/>
  <c r="BX131" i="9"/>
  <c r="BX163" i="9"/>
  <c r="BX195" i="9"/>
  <c r="BX227" i="9"/>
  <c r="BX259" i="9"/>
  <c r="BX228" i="9"/>
  <c r="BX34" i="9"/>
  <c r="BX230" i="9"/>
  <c r="BX12" i="9"/>
  <c r="BX49" i="9"/>
  <c r="BX83" i="9"/>
  <c r="BX116" i="9"/>
  <c r="BX148" i="9"/>
  <c r="BX180" i="9"/>
  <c r="BX212" i="9"/>
  <c r="BX244" i="9"/>
  <c r="BX149" i="9"/>
  <c r="BX213" i="9"/>
  <c r="BX246" i="9"/>
  <c r="BX89" i="9"/>
  <c r="BX249" i="9"/>
  <c r="BX154" i="9"/>
  <c r="BX13" i="9"/>
  <c r="BX50" i="9"/>
  <c r="BX85" i="9"/>
  <c r="BX117" i="9"/>
  <c r="BX181" i="9"/>
  <c r="BX245" i="9"/>
  <c r="BX183" i="9"/>
  <c r="BX21" i="9"/>
  <c r="BX185" i="9"/>
  <c r="BX122" i="9"/>
  <c r="BX15" i="9"/>
  <c r="BX51" i="9"/>
  <c r="BX86" i="9"/>
  <c r="BX118" i="9"/>
  <c r="BX150" i="9"/>
  <c r="BX182" i="9"/>
  <c r="BX214" i="9"/>
  <c r="BX247" i="9"/>
  <c r="BX121" i="9"/>
  <c r="BX22" i="9"/>
  <c r="BX186" i="9"/>
  <c r="BX17" i="9"/>
  <c r="BX53" i="9"/>
  <c r="BX87" i="9"/>
  <c r="BX119" i="9"/>
  <c r="BX151" i="9"/>
  <c r="BX215" i="9"/>
  <c r="BX153" i="9"/>
  <c r="BX56" i="9"/>
  <c r="BX218" i="9"/>
  <c r="BX19" i="9"/>
  <c r="BX54" i="9"/>
  <c r="BX88" i="9"/>
  <c r="BX120" i="9"/>
  <c r="BX152" i="9"/>
  <c r="BX184" i="9"/>
  <c r="BX216" i="9"/>
  <c r="BX248" i="9"/>
  <c r="BX55" i="9"/>
  <c r="BX217" i="9"/>
  <c r="BX90" i="9"/>
  <c r="BX250" i="9"/>
  <c r="BX77" i="9"/>
  <c r="BX168" i="9"/>
  <c r="BX238" i="9"/>
  <c r="BX2" i="9"/>
  <c r="BX78" i="9"/>
  <c r="BX169" i="9"/>
  <c r="BX239" i="9"/>
  <c r="BX202" i="9"/>
  <c r="BX41" i="9"/>
  <c r="BX137" i="9"/>
  <c r="BX45" i="9"/>
  <c r="BX209" i="9"/>
  <c r="BX3" i="9"/>
  <c r="BX79" i="9"/>
  <c r="BX170" i="9"/>
  <c r="BX240" i="9"/>
  <c r="BX6" i="9"/>
  <c r="BX243" i="9"/>
  <c r="BX104" i="9"/>
  <c r="BX201" i="9"/>
  <c r="BX205" i="9"/>
  <c r="BX136" i="9"/>
  <c r="BX47" i="9"/>
  <c r="BX4" i="9"/>
  <c r="BX81" i="9"/>
  <c r="BX171" i="9"/>
  <c r="BX241" i="9"/>
  <c r="BX242" i="9"/>
  <c r="BX173" i="9"/>
  <c r="BX174" i="9"/>
  <c r="BX10" i="9"/>
  <c r="BX11" i="9"/>
  <c r="BX35" i="9"/>
  <c r="BX5" i="9"/>
  <c r="BX82" i="9"/>
  <c r="BX172" i="9"/>
  <c r="BX103" i="9"/>
  <c r="BX7" i="9"/>
  <c r="BX105" i="9"/>
  <c r="BX9" i="9"/>
  <c r="BX112" i="9"/>
  <c r="BX40" i="9"/>
  <c r="BX206" i="9"/>
  <c r="BX44" i="9"/>
  <c r="BX46" i="9"/>
  <c r="BX36" i="9"/>
  <c r="BX110" i="9"/>
  <c r="BX199" i="9"/>
  <c r="BX37" i="9"/>
  <c r="BX111" i="9"/>
  <c r="BX200" i="9"/>
  <c r="BX203" i="9"/>
  <c r="BX207" i="9"/>
  <c r="BX138" i="9"/>
  <c r="BX69" i="9"/>
  <c r="BX141" i="9"/>
  <c r="BX211" i="9"/>
  <c r="BX8" i="9"/>
  <c r="BX107" i="9"/>
  <c r="BX179" i="9"/>
  <c r="BX38" i="9"/>
  <c r="BX113" i="9"/>
  <c r="BX204" i="9"/>
  <c r="BX42" i="9"/>
  <c r="BX210" i="9"/>
  <c r="BX70" i="9"/>
  <c r="BX142" i="9"/>
  <c r="BX231" i="9"/>
  <c r="BX144" i="9"/>
  <c r="BX234" i="9"/>
  <c r="BX106" i="9"/>
  <c r="BX135" i="9"/>
  <c r="BX43" i="9"/>
  <c r="BX71" i="9"/>
  <c r="BX143" i="9"/>
  <c r="BX232" i="9"/>
  <c r="BX72" i="9"/>
  <c r="BX145" i="9"/>
  <c r="BX167" i="9"/>
  <c r="BX114" i="9"/>
  <c r="BX233" i="9"/>
  <c r="BX236" i="9"/>
  <c r="BX237" i="9"/>
  <c r="BX177" i="9"/>
  <c r="BX178" i="9"/>
  <c r="BX73" i="9"/>
  <c r="BX235" i="9"/>
  <c r="BX147" i="9"/>
  <c r="BX76" i="9"/>
  <c r="BX108" i="9"/>
  <c r="BX109" i="9"/>
  <c r="BX115" i="9"/>
  <c r="BX208" i="9"/>
  <c r="BX74" i="9"/>
  <c r="BX146" i="9"/>
  <c r="BX75" i="9"/>
  <c r="BX175" i="9"/>
  <c r="BX176" i="9"/>
  <c r="BX39" i="9"/>
  <c r="BX140" i="9"/>
  <c r="BX139" i="9"/>
  <c r="CD20" i="9"/>
  <c r="CD52" i="9"/>
  <c r="CD84" i="9"/>
  <c r="CD116" i="9"/>
  <c r="CD148" i="9"/>
  <c r="CD180" i="9"/>
  <c r="CD212" i="9"/>
  <c r="CD244" i="9"/>
  <c r="CD21" i="9"/>
  <c r="CD53" i="9"/>
  <c r="CD85" i="9"/>
  <c r="CD117" i="9"/>
  <c r="CD149" i="9"/>
  <c r="CD181" i="9"/>
  <c r="CD213" i="9"/>
  <c r="CD245" i="9"/>
  <c r="CD22" i="9"/>
  <c r="CD54" i="9"/>
  <c r="CD86" i="9"/>
  <c r="CD118" i="9"/>
  <c r="CD150" i="9"/>
  <c r="CD182" i="9"/>
  <c r="CD214" i="9"/>
  <c r="CD246" i="9"/>
  <c r="CD23" i="9"/>
  <c r="CD55" i="9"/>
  <c r="CD87" i="9"/>
  <c r="CD119" i="9"/>
  <c r="CD151" i="9"/>
  <c r="CD183" i="9"/>
  <c r="CD215" i="9"/>
  <c r="CD247" i="9"/>
  <c r="CD24" i="9"/>
  <c r="CD56" i="9"/>
  <c r="CD88" i="9"/>
  <c r="CD120" i="9"/>
  <c r="CD152" i="9"/>
  <c r="CD184" i="9"/>
  <c r="CD216" i="9"/>
  <c r="CD248" i="9"/>
  <c r="CD25" i="9"/>
  <c r="CD57" i="9"/>
  <c r="CD89" i="9"/>
  <c r="CD121" i="9"/>
  <c r="CD153" i="9"/>
  <c r="CD185" i="9"/>
  <c r="CD217" i="9"/>
  <c r="CD249" i="9"/>
  <c r="CD26" i="9"/>
  <c r="CD58" i="9"/>
  <c r="CD90" i="9"/>
  <c r="CD122" i="9"/>
  <c r="CD154" i="9"/>
  <c r="CD186" i="9"/>
  <c r="CD218" i="9"/>
  <c r="CD250" i="9"/>
  <c r="CD27" i="9"/>
  <c r="CD59" i="9"/>
  <c r="CD91" i="9"/>
  <c r="CD123" i="9"/>
  <c r="CD155" i="9"/>
  <c r="CD187" i="9"/>
  <c r="CD219" i="9"/>
  <c r="CD251" i="9"/>
  <c r="CD261" i="9"/>
  <c r="CD29" i="9"/>
  <c r="CD61" i="9"/>
  <c r="CD93" i="9"/>
  <c r="CD125" i="9"/>
  <c r="CD157" i="9"/>
  <c r="CD189" i="9"/>
  <c r="CD221" i="9"/>
  <c r="CD253" i="9"/>
  <c r="CD9" i="9"/>
  <c r="CD41" i="9"/>
  <c r="CD73" i="9"/>
  <c r="CD105" i="9"/>
  <c r="CD137" i="9"/>
  <c r="CD169" i="9"/>
  <c r="CD201" i="9"/>
  <c r="CD233" i="9"/>
  <c r="CD13" i="9"/>
  <c r="CD45" i="9"/>
  <c r="CD77" i="9"/>
  <c r="CD109" i="9"/>
  <c r="CD141" i="9"/>
  <c r="CD173" i="9"/>
  <c r="CD205" i="9"/>
  <c r="CD237" i="9"/>
  <c r="CD14" i="9"/>
  <c r="CD46" i="9"/>
  <c r="CD78" i="9"/>
  <c r="CD110" i="9"/>
  <c r="CD142" i="9"/>
  <c r="CD174" i="9"/>
  <c r="CD206" i="9"/>
  <c r="CD238" i="9"/>
  <c r="CD15" i="9"/>
  <c r="CD47" i="9"/>
  <c r="CD79" i="9"/>
  <c r="CD111" i="9"/>
  <c r="CD143" i="9"/>
  <c r="CD175" i="9"/>
  <c r="CD207" i="9"/>
  <c r="CD239" i="9"/>
  <c r="CD17" i="9"/>
  <c r="CD49" i="9"/>
  <c r="CD81" i="9"/>
  <c r="CD113" i="9"/>
  <c r="CD145" i="9"/>
  <c r="CD177" i="9"/>
  <c r="CD209" i="9"/>
  <c r="CD241" i="9"/>
  <c r="CD2" i="9"/>
  <c r="CD62" i="9"/>
  <c r="CD112" i="9"/>
  <c r="CD168" i="9"/>
  <c r="CD228" i="9"/>
  <c r="CD242" i="9"/>
  <c r="CD192" i="9"/>
  <c r="CD3" i="9"/>
  <c r="CD63" i="9"/>
  <c r="CD114" i="9"/>
  <c r="CD170" i="9"/>
  <c r="CD229" i="9"/>
  <c r="CD252" i="9"/>
  <c r="CD4" i="9"/>
  <c r="CD64" i="9"/>
  <c r="CD115" i="9"/>
  <c r="CD171" i="9"/>
  <c r="CD230" i="9"/>
  <c r="CD12" i="9"/>
  <c r="CD16" i="9"/>
  <c r="CD74" i="9"/>
  <c r="CD75" i="9"/>
  <c r="CD5" i="9"/>
  <c r="CD65" i="9"/>
  <c r="CD124" i="9"/>
  <c r="CD172" i="9"/>
  <c r="CD231" i="9"/>
  <c r="CD193" i="9"/>
  <c r="CD6" i="9"/>
  <c r="CD66" i="9"/>
  <c r="CD126" i="9"/>
  <c r="CD176" i="9"/>
  <c r="CD232" i="9"/>
  <c r="CD71" i="9"/>
  <c r="CD72" i="9"/>
  <c r="CD7" i="9"/>
  <c r="CD67" i="9"/>
  <c r="CD127" i="9"/>
  <c r="CD178" i="9"/>
  <c r="CD234" i="9"/>
  <c r="CD243" i="9"/>
  <c r="CD8" i="9"/>
  <c r="CD68" i="9"/>
  <c r="CD128" i="9"/>
  <c r="CD179" i="9"/>
  <c r="CD235" i="9"/>
  <c r="CD10" i="9"/>
  <c r="CD69" i="9"/>
  <c r="CD129" i="9"/>
  <c r="CD188" i="9"/>
  <c r="CD236" i="9"/>
  <c r="CD131" i="9"/>
  <c r="CD132" i="9"/>
  <c r="CD18" i="9"/>
  <c r="CD11" i="9"/>
  <c r="CD70" i="9"/>
  <c r="CD130" i="9"/>
  <c r="CD190" i="9"/>
  <c r="CD240" i="9"/>
  <c r="CD191" i="9"/>
  <c r="CD133" i="9"/>
  <c r="CD19" i="9"/>
  <c r="CD42" i="9"/>
  <c r="CD101" i="9"/>
  <c r="CD161" i="9"/>
  <c r="CD220" i="9"/>
  <c r="CD107" i="9"/>
  <c r="CD60" i="9"/>
  <c r="CD43" i="9"/>
  <c r="CD102" i="9"/>
  <c r="CD162" i="9"/>
  <c r="CD222" i="9"/>
  <c r="CD51" i="9"/>
  <c r="CD227" i="9"/>
  <c r="CD44" i="9"/>
  <c r="CD103" i="9"/>
  <c r="CD163" i="9"/>
  <c r="CD223" i="9"/>
  <c r="CD108" i="9"/>
  <c r="CD48" i="9"/>
  <c r="CD104" i="9"/>
  <c r="CD164" i="9"/>
  <c r="CD224" i="9"/>
  <c r="CD226" i="9"/>
  <c r="CD134" i="9"/>
  <c r="CD50" i="9"/>
  <c r="CD106" i="9"/>
  <c r="CD165" i="9"/>
  <c r="CD225" i="9"/>
  <c r="CD166" i="9"/>
  <c r="CD167" i="9"/>
  <c r="CD32" i="9"/>
  <c r="CD160" i="9"/>
  <c r="CD33" i="9"/>
  <c r="CD194" i="9"/>
  <c r="CD256" i="9"/>
  <c r="CD34" i="9"/>
  <c r="CD195" i="9"/>
  <c r="CD198" i="9"/>
  <c r="CD38" i="9"/>
  <c r="CD94" i="9"/>
  <c r="CD35" i="9"/>
  <c r="CD196" i="9"/>
  <c r="CD39" i="9"/>
  <c r="CD202" i="9"/>
  <c r="CD136" i="9"/>
  <c r="CD36" i="9"/>
  <c r="CD197" i="9"/>
  <c r="CD37" i="9"/>
  <c r="CD199" i="9"/>
  <c r="CD255" i="9"/>
  <c r="CD83" i="9"/>
  <c r="CD210" i="9"/>
  <c r="CD92" i="9"/>
  <c r="CD211" i="9"/>
  <c r="CD138" i="9"/>
  <c r="CD139" i="9"/>
  <c r="CD203" i="9"/>
  <c r="CD82" i="9"/>
  <c r="CD95" i="9"/>
  <c r="CD140" i="9"/>
  <c r="CD158" i="9"/>
  <c r="CD31" i="9"/>
  <c r="CD135" i="9"/>
  <c r="CD144" i="9"/>
  <c r="CD30" i="9"/>
  <c r="CD254" i="9"/>
  <c r="CD258" i="9"/>
  <c r="CD146" i="9"/>
  <c r="CD76" i="9"/>
  <c r="CD204" i="9"/>
  <c r="CD259" i="9"/>
  <c r="CD100" i="9"/>
  <c r="CD147" i="9"/>
  <c r="CD200" i="9"/>
  <c r="CD40" i="9"/>
  <c r="CD80" i="9"/>
  <c r="CD208" i="9"/>
  <c r="CD96" i="9"/>
  <c r="CD28" i="9"/>
  <c r="CD156" i="9"/>
  <c r="CD159" i="9"/>
  <c r="CD257" i="9"/>
  <c r="CD98" i="9"/>
  <c r="CD99" i="9"/>
  <c r="CD260" i="9"/>
  <c r="CD97" i="9"/>
  <c r="CL32" i="9"/>
  <c r="CL64" i="9"/>
  <c r="CL96" i="9"/>
  <c r="CL128" i="9"/>
  <c r="CL160" i="9"/>
  <c r="CL192" i="9"/>
  <c r="CL224" i="9"/>
  <c r="CL256" i="9"/>
  <c r="CL33" i="9"/>
  <c r="CL65" i="9"/>
  <c r="CL97" i="9"/>
  <c r="CL129" i="9"/>
  <c r="CL161" i="9"/>
  <c r="CL193" i="9"/>
  <c r="CL225" i="9"/>
  <c r="CL257" i="9"/>
  <c r="CL2" i="9"/>
  <c r="CL34" i="9"/>
  <c r="CL66" i="9"/>
  <c r="CL98" i="9"/>
  <c r="CL130" i="9"/>
  <c r="CL162" i="9"/>
  <c r="CL194" i="9"/>
  <c r="CL226" i="9"/>
  <c r="CL258" i="9"/>
  <c r="CL3" i="9"/>
  <c r="CL35" i="9"/>
  <c r="CL67" i="9"/>
  <c r="CL99" i="9"/>
  <c r="CL131" i="9"/>
  <c r="CL163" i="9"/>
  <c r="CL195" i="9"/>
  <c r="CL227" i="9"/>
  <c r="CL259" i="9"/>
  <c r="CL4" i="9"/>
  <c r="CL36" i="9"/>
  <c r="CL68" i="9"/>
  <c r="CL100" i="9"/>
  <c r="CL132" i="9"/>
  <c r="CL164" i="9"/>
  <c r="CL196" i="9"/>
  <c r="CL228" i="9"/>
  <c r="CL260" i="9"/>
  <c r="CL5" i="9"/>
  <c r="CL37" i="9"/>
  <c r="CL69" i="9"/>
  <c r="CL101" i="9"/>
  <c r="CL133" i="9"/>
  <c r="CL165" i="9"/>
  <c r="CL197" i="9"/>
  <c r="CL229" i="9"/>
  <c r="CL6" i="9"/>
  <c r="CL38" i="9"/>
  <c r="CL70" i="9"/>
  <c r="CL102" i="9"/>
  <c r="CL134" i="9"/>
  <c r="CL166" i="9"/>
  <c r="CL198" i="9"/>
  <c r="CL230" i="9"/>
  <c r="CL7" i="9"/>
  <c r="CL39" i="9"/>
  <c r="CL71" i="9"/>
  <c r="CL103" i="9"/>
  <c r="CL135" i="9"/>
  <c r="CL167" i="9"/>
  <c r="CL199" i="9"/>
  <c r="CL231" i="9"/>
  <c r="CL8" i="9"/>
  <c r="CL40" i="9"/>
  <c r="CL72" i="9"/>
  <c r="CL104" i="9"/>
  <c r="CL136" i="9"/>
  <c r="CL168" i="9"/>
  <c r="CL200" i="9"/>
  <c r="CL232" i="9"/>
  <c r="CL9" i="9"/>
  <c r="CL41" i="9"/>
  <c r="CL73" i="9"/>
  <c r="CL105" i="9"/>
  <c r="CL137" i="9"/>
  <c r="CL169" i="9"/>
  <c r="CL201" i="9"/>
  <c r="CL233" i="9"/>
  <c r="CL21" i="9"/>
  <c r="CL53" i="9"/>
  <c r="CL85" i="9"/>
  <c r="CL117" i="9"/>
  <c r="CL149" i="9"/>
  <c r="CL181" i="9"/>
  <c r="CL213" i="9"/>
  <c r="CL245" i="9"/>
  <c r="CL25" i="9"/>
  <c r="CL57" i="9"/>
  <c r="CL89" i="9"/>
  <c r="CL121" i="9"/>
  <c r="CL153" i="9"/>
  <c r="CL185" i="9"/>
  <c r="CL217" i="9"/>
  <c r="CL249" i="9"/>
  <c r="CL26" i="9"/>
  <c r="CL58" i="9"/>
  <c r="CL90" i="9"/>
  <c r="CL122" i="9"/>
  <c r="CL154" i="9"/>
  <c r="CL186" i="9"/>
  <c r="CL218" i="9"/>
  <c r="CL250" i="9"/>
  <c r="CL27" i="9"/>
  <c r="CL59" i="9"/>
  <c r="CL91" i="9"/>
  <c r="CL123" i="9"/>
  <c r="CL155" i="9"/>
  <c r="CL187" i="9"/>
  <c r="CL219" i="9"/>
  <c r="CL251" i="9"/>
  <c r="CL29" i="9"/>
  <c r="CL61" i="9"/>
  <c r="CL93" i="9"/>
  <c r="CL125" i="9"/>
  <c r="CL157" i="9"/>
  <c r="CL189" i="9"/>
  <c r="CL221" i="9"/>
  <c r="CL253" i="9"/>
  <c r="CL43" i="9"/>
  <c r="CL95" i="9"/>
  <c r="CL156" i="9"/>
  <c r="CL215" i="9"/>
  <c r="CL238" i="9"/>
  <c r="CL177" i="9"/>
  <c r="CL44" i="9"/>
  <c r="CL106" i="9"/>
  <c r="CL158" i="9"/>
  <c r="CL216" i="9"/>
  <c r="CL52" i="9"/>
  <c r="CL55" i="9"/>
  <c r="CL45" i="9"/>
  <c r="CL107" i="9"/>
  <c r="CL159" i="9"/>
  <c r="CL220" i="9"/>
  <c r="CL54" i="9"/>
  <c r="CL178" i="9"/>
  <c r="CL46" i="9"/>
  <c r="CL108" i="9"/>
  <c r="CL170" i="9"/>
  <c r="CL222" i="9"/>
  <c r="CL47" i="9"/>
  <c r="CL109" i="9"/>
  <c r="CL171" i="9"/>
  <c r="CL223" i="9"/>
  <c r="CL114" i="9"/>
  <c r="CL48" i="9"/>
  <c r="CL110" i="9"/>
  <c r="CL172" i="9"/>
  <c r="CL234" i="9"/>
  <c r="CL239" i="9"/>
  <c r="CL49" i="9"/>
  <c r="CL111" i="9"/>
  <c r="CL173" i="9"/>
  <c r="CL235" i="9"/>
  <c r="CL179" i="9"/>
  <c r="CL50" i="9"/>
  <c r="CL112" i="9"/>
  <c r="CL174" i="9"/>
  <c r="CL236" i="9"/>
  <c r="CL176" i="9"/>
  <c r="CL115" i="9"/>
  <c r="CL116" i="9"/>
  <c r="CL241" i="9"/>
  <c r="CL51" i="9"/>
  <c r="CL113" i="9"/>
  <c r="CL175" i="9"/>
  <c r="CL237" i="9"/>
  <c r="CL240" i="9"/>
  <c r="CL22" i="9"/>
  <c r="CL83" i="9"/>
  <c r="CL145" i="9"/>
  <c r="CL207" i="9"/>
  <c r="CL31" i="9"/>
  <c r="CL42" i="9"/>
  <c r="CL214" i="9"/>
  <c r="CL23" i="9"/>
  <c r="CL84" i="9"/>
  <c r="CL146" i="9"/>
  <c r="CL208" i="9"/>
  <c r="CL212" i="9"/>
  <c r="CL152" i="9"/>
  <c r="CL261" i="9"/>
  <c r="CL118" i="9"/>
  <c r="CL24" i="9"/>
  <c r="CL86" i="9"/>
  <c r="CL147" i="9"/>
  <c r="CL209" i="9"/>
  <c r="CL151" i="9"/>
  <c r="CL94" i="9"/>
  <c r="CL56" i="9"/>
  <c r="CL28" i="9"/>
  <c r="CL87" i="9"/>
  <c r="CL148" i="9"/>
  <c r="CL210" i="9"/>
  <c r="CL30" i="9"/>
  <c r="CL88" i="9"/>
  <c r="CL150" i="9"/>
  <c r="CL211" i="9"/>
  <c r="CL92" i="9"/>
  <c r="CL126" i="9"/>
  <c r="CL127" i="9"/>
  <c r="CL20" i="9"/>
  <c r="CL63" i="9"/>
  <c r="CL138" i="9"/>
  <c r="CL142" i="9"/>
  <c r="CL11" i="9"/>
  <c r="CL12" i="9"/>
  <c r="CL191" i="9"/>
  <c r="CL60" i="9"/>
  <c r="CL75" i="9"/>
  <c r="CL76" i="9"/>
  <c r="CL77" i="9"/>
  <c r="CL139" i="9"/>
  <c r="CL10" i="9"/>
  <c r="CL143" i="9"/>
  <c r="CL14" i="9"/>
  <c r="CL15" i="9"/>
  <c r="CL140" i="9"/>
  <c r="CL141" i="9"/>
  <c r="CL180" i="9"/>
  <c r="CL19" i="9"/>
  <c r="CL203" i="9"/>
  <c r="CL242" i="9"/>
  <c r="CL244" i="9"/>
  <c r="CL16" i="9"/>
  <c r="CL184" i="9"/>
  <c r="CL17" i="9"/>
  <c r="CL188" i="9"/>
  <c r="CL62" i="9"/>
  <c r="CL78" i="9"/>
  <c r="CL246" i="9"/>
  <c r="CL13" i="9"/>
  <c r="CL182" i="9"/>
  <c r="CL18" i="9"/>
  <c r="CL202" i="9"/>
  <c r="CL204" i="9"/>
  <c r="CL79" i="9"/>
  <c r="CL247" i="9"/>
  <c r="CL206" i="9"/>
  <c r="CL80" i="9"/>
  <c r="CL248" i="9"/>
  <c r="CL124" i="9"/>
  <c r="CL190" i="9"/>
  <c r="CL81" i="9"/>
  <c r="CL252" i="9"/>
  <c r="CL120" i="9"/>
  <c r="CL144" i="9"/>
  <c r="CL82" i="9"/>
  <c r="CL254" i="9"/>
  <c r="CL183" i="9"/>
  <c r="CL205" i="9"/>
  <c r="CL74" i="9"/>
  <c r="CL119" i="9"/>
  <c r="CL255" i="9"/>
  <c r="CL243" i="9"/>
  <c r="AG3" i="4"/>
  <c r="AG6" i="4"/>
  <c r="A9" i="4"/>
  <c r="AH2" i="4"/>
  <c r="A5" i="4" l="1"/>
  <c r="AG2" i="4"/>
  <c r="B116" i="1"/>
  <c r="B117" i="1"/>
  <c r="B118" i="1"/>
  <c r="B119" i="1"/>
  <c r="B120" i="1"/>
  <c r="B121" i="1"/>
  <c r="B122" i="1"/>
  <c r="B123" i="1"/>
  <c r="B124" i="1"/>
  <c r="B125" i="1"/>
  <c r="B126" i="1"/>
  <c r="B127" i="1"/>
  <c r="B128" i="1"/>
  <c r="B129" i="1"/>
  <c r="B130" i="1"/>
  <c r="B131" i="1"/>
  <c r="B132" i="1"/>
  <c r="B133" i="1"/>
  <c r="B134" i="1"/>
  <c r="B135" i="1"/>
  <c r="B136" i="1"/>
  <c r="B137" i="1"/>
  <c r="B138" i="1"/>
  <c r="B139" i="1"/>
  <c r="B140" i="1"/>
  <c r="B141" i="1"/>
  <c r="B142" i="1"/>
  <c r="B143" i="1"/>
  <c r="B144" i="1"/>
  <c r="B145" i="1"/>
  <c r="B146" i="1"/>
  <c r="B147" i="1"/>
  <c r="B148" i="1"/>
  <c r="B149" i="1"/>
  <c r="B150" i="1"/>
  <c r="B151" i="1"/>
  <c r="B152" i="1"/>
  <c r="B153" i="1"/>
  <c r="B115" i="1"/>
  <c r="B99" i="1"/>
  <c r="B100" i="1"/>
  <c r="B101" i="1"/>
  <c r="B102" i="1"/>
  <c r="B103" i="1"/>
  <c r="B104" i="1"/>
  <c r="B105" i="1"/>
  <c r="B106" i="1"/>
  <c r="B107" i="1"/>
  <c r="B108" i="1"/>
  <c r="B109" i="1"/>
  <c r="B110" i="1"/>
  <c r="B111" i="1"/>
  <c r="B112" i="1"/>
  <c r="B113" i="1"/>
  <c r="B98" i="1"/>
  <c r="B86" i="1"/>
  <c r="B87" i="1"/>
  <c r="B88" i="1"/>
  <c r="B89" i="1"/>
  <c r="B90" i="1"/>
  <c r="B91" i="1"/>
  <c r="B92" i="1"/>
  <c r="B93" i="1"/>
  <c r="B94" i="1"/>
  <c r="B95" i="1"/>
  <c r="B96" i="1"/>
  <c r="B85" i="1"/>
  <c r="B75" i="1"/>
  <c r="B76" i="1"/>
  <c r="B77" i="1"/>
  <c r="B78" i="1"/>
  <c r="B79" i="1"/>
  <c r="B80" i="1"/>
  <c r="B81" i="1"/>
  <c r="B82" i="1"/>
  <c r="B83" i="1"/>
  <c r="B74" i="1"/>
  <c r="B47" i="1"/>
  <c r="B48" i="1"/>
  <c r="B49" i="1"/>
  <c r="B50" i="1"/>
  <c r="B51" i="1"/>
  <c r="B52" i="1"/>
  <c r="B53" i="1"/>
  <c r="B54" i="1"/>
  <c r="B55" i="1"/>
  <c r="B56" i="1"/>
  <c r="B57" i="1"/>
  <c r="B58" i="1"/>
  <c r="B59" i="1"/>
  <c r="B60" i="1"/>
  <c r="B61" i="1"/>
  <c r="B62" i="1"/>
  <c r="B63" i="1"/>
  <c r="B64" i="1"/>
  <c r="B65" i="1"/>
  <c r="B66" i="1"/>
  <c r="B67" i="1"/>
  <c r="B68" i="1"/>
  <c r="B69" i="1"/>
  <c r="B70" i="1"/>
  <c r="B71" i="1"/>
  <c r="B72" i="1"/>
  <c r="B46" i="1"/>
  <c r="B7" i="1"/>
  <c r="B8" i="1"/>
  <c r="B9" i="1"/>
  <c r="B10" i="1"/>
  <c r="B11" i="1"/>
  <c r="B12" i="1"/>
  <c r="B13" i="1"/>
  <c r="B14" i="1"/>
  <c r="B15" i="1"/>
  <c r="B16" i="1"/>
  <c r="B17" i="1"/>
  <c r="B18" i="1"/>
  <c r="B19" i="1"/>
  <c r="B20" i="1"/>
  <c r="B21" i="1"/>
  <c r="B22" i="1"/>
  <c r="B23" i="1"/>
  <c r="B24" i="1"/>
  <c r="B25" i="1"/>
  <c r="B26" i="1"/>
  <c r="B27" i="1"/>
  <c r="B28" i="1"/>
  <c r="B29" i="1"/>
  <c r="B30" i="1"/>
  <c r="B31" i="1"/>
  <c r="B32" i="1"/>
  <c r="B33" i="1"/>
  <c r="B34" i="1"/>
  <c r="B35" i="1"/>
  <c r="B36" i="1"/>
  <c r="B37" i="1"/>
  <c r="B38" i="1"/>
  <c r="B39" i="1"/>
  <c r="B40" i="1"/>
  <c r="B41" i="1"/>
  <c r="B42" i="1"/>
  <c r="B43" i="1"/>
  <c r="B44" i="1"/>
  <c r="B6" i="1"/>
  <c r="K180" i="1" l="1"/>
  <c r="K181" i="1"/>
  <c r="K182" i="1"/>
  <c r="K183" i="1"/>
  <c r="K184" i="1"/>
  <c r="K185" i="1"/>
  <c r="K186" i="1"/>
  <c r="K187" i="1"/>
  <c r="K188" i="1"/>
  <c r="K189" i="1"/>
  <c r="K190" i="1"/>
  <c r="K191" i="1"/>
  <c r="K192" i="1"/>
  <c r="K193" i="1"/>
  <c r="K194" i="1"/>
  <c r="K195" i="1"/>
  <c r="K196" i="1"/>
  <c r="K197" i="1"/>
  <c r="K198" i="1"/>
  <c r="K199" i="1"/>
  <c r="K200" i="1"/>
  <c r="K201" i="1"/>
  <c r="K202" i="1"/>
  <c r="K203" i="1"/>
  <c r="K179" i="1"/>
  <c r="C180" i="1" l="1"/>
  <c r="C181" i="1"/>
  <c r="C182" i="1"/>
  <c r="C183" i="1"/>
  <c r="C184" i="1"/>
  <c r="C185" i="1"/>
  <c r="C186" i="1"/>
  <c r="C187" i="1"/>
  <c r="C188" i="1"/>
  <c r="C189" i="1"/>
  <c r="C190" i="1"/>
  <c r="C191" i="1"/>
  <c r="C192" i="1"/>
  <c r="C193" i="1"/>
  <c r="C194" i="1"/>
  <c r="C195" i="1"/>
  <c r="C196" i="1"/>
  <c r="C197" i="1"/>
  <c r="C198" i="1"/>
  <c r="C199" i="1"/>
  <c r="C200" i="1"/>
  <c r="C201" i="1"/>
  <c r="C202" i="1"/>
  <c r="C203" i="1"/>
  <c r="H200" i="1" l="1"/>
  <c r="J200" i="1"/>
  <c r="I200" i="1"/>
  <c r="I197" i="1"/>
  <c r="J197" i="1"/>
  <c r="H197" i="1"/>
  <c r="D186" i="1"/>
  <c r="I203" i="1"/>
  <c r="H203" i="1"/>
  <c r="J203" i="1"/>
  <c r="J201" i="1"/>
  <c r="I201" i="1"/>
  <c r="H201" i="1"/>
  <c r="J198" i="1"/>
  <c r="H198" i="1"/>
  <c r="I198" i="1"/>
  <c r="J196" i="1"/>
  <c r="H196" i="1"/>
  <c r="I196" i="1"/>
  <c r="J194" i="1"/>
  <c r="H194" i="1"/>
  <c r="I194" i="1"/>
  <c r="D192" i="1"/>
  <c r="J202" i="1"/>
  <c r="H202" i="1"/>
  <c r="I202" i="1"/>
  <c r="I199" i="1"/>
  <c r="J199" i="1"/>
  <c r="H199" i="1"/>
  <c r="J195" i="1"/>
  <c r="H195" i="1"/>
  <c r="I195" i="1"/>
  <c r="D193" i="1"/>
  <c r="D189" i="1"/>
  <c r="D187" i="1"/>
  <c r="C179" i="1"/>
  <c r="T4" i="7" l="1"/>
  <c r="T5" i="7"/>
  <c r="Z5" i="7" s="1"/>
  <c r="T6" i="7"/>
  <c r="Z6" i="7" s="1"/>
  <c r="T7" i="7"/>
  <c r="T8" i="7"/>
  <c r="Z8" i="7" s="1"/>
  <c r="T9" i="7"/>
  <c r="T10" i="7"/>
  <c r="Z10" i="7" s="1"/>
  <c r="T11" i="7"/>
  <c r="Z11" i="7" s="1"/>
  <c r="T12" i="7"/>
  <c r="Z12" i="7" s="1"/>
  <c r="T13" i="7"/>
  <c r="Z13" i="7" s="1"/>
  <c r="T14" i="7"/>
  <c r="Z14" i="7" s="1"/>
  <c r="T15" i="7"/>
  <c r="Z15" i="7" s="1"/>
  <c r="T16" i="7"/>
  <c r="Z16" i="7" s="1"/>
  <c r="T17" i="7"/>
  <c r="Z17" i="7" s="1"/>
  <c r="T18" i="7"/>
  <c r="Z18" i="7" s="1"/>
  <c r="T19" i="7"/>
  <c r="Z19" i="7" s="1"/>
  <c r="T20" i="7"/>
  <c r="T21" i="7"/>
  <c r="T22" i="7"/>
  <c r="T23" i="7"/>
  <c r="Z23" i="7" s="1"/>
  <c r="T24" i="7"/>
  <c r="Z24" i="7" s="1"/>
  <c r="T25" i="7"/>
  <c r="Z25" i="7" s="1"/>
  <c r="T26" i="7"/>
  <c r="Z26" i="7" s="1"/>
  <c r="T27" i="7"/>
  <c r="Z27" i="7" s="1"/>
  <c r="T28" i="7"/>
  <c r="Z28" i="7" s="1"/>
  <c r="T29" i="7"/>
  <c r="Z29" i="7" s="1"/>
  <c r="T30" i="7"/>
  <c r="Z30" i="7" s="1"/>
  <c r="T31" i="7"/>
  <c r="Z31" i="7" s="1"/>
  <c r="T32" i="7"/>
  <c r="Z32" i="7" s="1"/>
  <c r="T33" i="7"/>
  <c r="Z33" i="7" s="1"/>
  <c r="T34" i="7"/>
  <c r="T35" i="7"/>
  <c r="Z35" i="7" s="1"/>
  <c r="T36" i="7"/>
  <c r="Z36" i="7" s="1"/>
  <c r="T37" i="7"/>
  <c r="Z37" i="7" s="1"/>
  <c r="T38" i="7"/>
  <c r="Z38" i="7" s="1"/>
  <c r="T39" i="7"/>
  <c r="T40" i="7"/>
  <c r="T41" i="7"/>
  <c r="T42" i="7"/>
  <c r="Z42" i="7" s="1"/>
  <c r="T43" i="7"/>
  <c r="Z43" i="7" s="1"/>
  <c r="T44" i="7"/>
  <c r="Z44" i="7" s="1"/>
  <c r="T45" i="7"/>
  <c r="Z45" i="7" s="1"/>
  <c r="T46" i="7"/>
  <c r="Z46" i="7" s="1"/>
  <c r="T47" i="7"/>
  <c r="Z47" i="7" s="1"/>
  <c r="T48" i="7"/>
  <c r="Z48" i="7" s="1"/>
  <c r="T3" i="7"/>
  <c r="I18" i="7"/>
  <c r="I19" i="7"/>
  <c r="I20" i="7"/>
  <c r="I21" i="7"/>
  <c r="I22" i="7"/>
  <c r="I23" i="7"/>
  <c r="I24" i="7"/>
  <c r="I25" i="7"/>
  <c r="I26" i="7"/>
  <c r="I27" i="7"/>
  <c r="F4" i="7"/>
  <c r="F5" i="7"/>
  <c r="F6" i="7"/>
  <c r="F7" i="7"/>
  <c r="F8" i="7"/>
  <c r="I8" i="7" s="1"/>
  <c r="F9" i="7"/>
  <c r="F10" i="7"/>
  <c r="I10" i="7" s="1"/>
  <c r="F11" i="7"/>
  <c r="I11" i="7" s="1"/>
  <c r="F12" i="7"/>
  <c r="F13" i="7"/>
  <c r="I13" i="7" s="1"/>
  <c r="F14" i="7"/>
  <c r="F15" i="7"/>
  <c r="F16" i="7"/>
  <c r="F17" i="7"/>
  <c r="I17" i="7" s="1"/>
  <c r="F3" i="7"/>
  <c r="E4" i="7"/>
  <c r="E5" i="7"/>
  <c r="E6" i="7"/>
  <c r="E7" i="7"/>
  <c r="E8" i="7"/>
  <c r="H8" i="7" s="1"/>
  <c r="E9" i="7"/>
  <c r="E10" i="7"/>
  <c r="H10" i="7" s="1"/>
  <c r="E11" i="7"/>
  <c r="H11" i="7" s="1"/>
  <c r="E12" i="7"/>
  <c r="E13" i="7"/>
  <c r="H13" i="7" s="1"/>
  <c r="E14" i="7"/>
  <c r="E15" i="7"/>
  <c r="E16" i="7"/>
  <c r="E17" i="7"/>
  <c r="H17" i="7" s="1"/>
  <c r="E3" i="7"/>
  <c r="D4" i="7"/>
  <c r="D5" i="7"/>
  <c r="D6" i="7"/>
  <c r="D7" i="7"/>
  <c r="D8" i="7"/>
  <c r="G8" i="7" s="1"/>
  <c r="D9" i="7"/>
  <c r="D10" i="7"/>
  <c r="G10" i="7" s="1"/>
  <c r="D11" i="7"/>
  <c r="G11" i="7" s="1"/>
  <c r="D12" i="7"/>
  <c r="D13" i="7"/>
  <c r="G13" i="7" s="1"/>
  <c r="D14" i="7"/>
  <c r="D15" i="7"/>
  <c r="D16" i="7"/>
  <c r="D17" i="7"/>
  <c r="G17" i="7" s="1"/>
  <c r="D3" i="7"/>
  <c r="Z4" i="7" l="1"/>
  <c r="D184" i="1"/>
  <c r="J193" i="1"/>
  <c r="J186" i="1"/>
  <c r="J184" i="1"/>
  <c r="J187" i="1"/>
  <c r="J189" i="1"/>
  <c r="I193" i="1"/>
  <c r="I186" i="1"/>
  <c r="I189" i="1"/>
  <c r="I187" i="1"/>
  <c r="I184" i="1"/>
  <c r="H186" i="1"/>
  <c r="H193" i="1"/>
  <c r="H189" i="1"/>
  <c r="H184" i="1"/>
  <c r="H187" i="1"/>
  <c r="Z34" i="7"/>
  <c r="D190" i="1"/>
  <c r="H14" i="7"/>
  <c r="I190" i="1"/>
  <c r="I14" i="7"/>
  <c r="J190" i="1"/>
  <c r="G14" i="7"/>
  <c r="H190" i="1"/>
  <c r="G12" i="7"/>
  <c r="H188" i="1"/>
  <c r="H12" i="7"/>
  <c r="I188" i="1"/>
  <c r="Z22" i="7"/>
  <c r="D188" i="1"/>
  <c r="I12" i="7"/>
  <c r="J188" i="1"/>
  <c r="I15" i="7"/>
  <c r="J191" i="1"/>
  <c r="Z3" i="7"/>
  <c r="D191" i="1"/>
  <c r="G15" i="7"/>
  <c r="H191" i="1"/>
  <c r="H15" i="7"/>
  <c r="I191" i="1"/>
  <c r="I9" i="7"/>
  <c r="J185" i="1"/>
  <c r="G9" i="7"/>
  <c r="H185" i="1"/>
  <c r="H9" i="7"/>
  <c r="I185" i="1"/>
  <c r="Z9" i="7"/>
  <c r="D185" i="1"/>
  <c r="Y20" i="7"/>
  <c r="Z20" i="7"/>
  <c r="Y41" i="7"/>
  <c r="Z41" i="7"/>
  <c r="Y21" i="7"/>
  <c r="Z21" i="7"/>
  <c r="Y40" i="7"/>
  <c r="Z40" i="7"/>
  <c r="Y39" i="7"/>
  <c r="Z39" i="7"/>
  <c r="Y7" i="7"/>
  <c r="Z7" i="7"/>
  <c r="X31" i="7"/>
  <c r="Y31" i="7"/>
  <c r="X18" i="7"/>
  <c r="Y18" i="7"/>
  <c r="X17" i="7"/>
  <c r="Y17" i="7"/>
  <c r="X27" i="7"/>
  <c r="Y27" i="7"/>
  <c r="X45" i="7"/>
  <c r="Y45" i="7"/>
  <c r="X13" i="7"/>
  <c r="Y13" i="7"/>
  <c r="X33" i="7"/>
  <c r="Y33" i="7"/>
  <c r="X30" i="7"/>
  <c r="Y30" i="7"/>
  <c r="X46" i="7"/>
  <c r="Y46" i="7"/>
  <c r="X43" i="7"/>
  <c r="Y43" i="7"/>
  <c r="X42" i="7"/>
  <c r="Y42" i="7"/>
  <c r="X10" i="7"/>
  <c r="Y10" i="7"/>
  <c r="X32" i="7"/>
  <c r="Y32" i="7"/>
  <c r="X26" i="7"/>
  <c r="Y26" i="7"/>
  <c r="X15" i="7"/>
  <c r="Y15" i="7"/>
  <c r="X9" i="7"/>
  <c r="Y9" i="7"/>
  <c r="X34" i="7"/>
  <c r="Y34" i="7"/>
  <c r="X8" i="7"/>
  <c r="Y8" i="7"/>
  <c r="X28" i="7"/>
  <c r="Y28" i="7"/>
  <c r="X25" i="7"/>
  <c r="Y25" i="7"/>
  <c r="X19" i="7"/>
  <c r="Y19" i="7"/>
  <c r="X47" i="7"/>
  <c r="Y47" i="7"/>
  <c r="X14" i="7"/>
  <c r="Y14" i="7"/>
  <c r="X12" i="7"/>
  <c r="Y12" i="7"/>
  <c r="X35" i="7"/>
  <c r="Y35" i="7"/>
  <c r="X48" i="7"/>
  <c r="Y48" i="7"/>
  <c r="X38" i="7"/>
  <c r="Y38" i="7"/>
  <c r="X6" i="7"/>
  <c r="Y6" i="7"/>
  <c r="X29" i="7"/>
  <c r="Y29" i="7"/>
  <c r="X23" i="7"/>
  <c r="Y23" i="7"/>
  <c r="X11" i="7"/>
  <c r="Y11" i="7"/>
  <c r="X37" i="7"/>
  <c r="Y37" i="7"/>
  <c r="X5" i="7"/>
  <c r="Y5" i="7"/>
  <c r="X24" i="7"/>
  <c r="Y24" i="7"/>
  <c r="X22" i="7"/>
  <c r="Y22" i="7"/>
  <c r="X16" i="7"/>
  <c r="Y16" i="7"/>
  <c r="X44" i="7"/>
  <c r="Y44" i="7"/>
  <c r="X36" i="7"/>
  <c r="Y36" i="7"/>
  <c r="X4" i="7"/>
  <c r="Y4" i="7"/>
  <c r="D183" i="1"/>
  <c r="X21" i="7"/>
  <c r="D196" i="1"/>
  <c r="X41" i="7"/>
  <c r="D195" i="1"/>
  <c r="X40" i="7"/>
  <c r="D194" i="1"/>
  <c r="X39" i="7"/>
  <c r="D181" i="1"/>
  <c r="X7" i="7"/>
  <c r="D182" i="1"/>
  <c r="X20" i="7"/>
  <c r="X3" i="7"/>
  <c r="Y3" i="7"/>
  <c r="I16" i="7"/>
  <c r="J192" i="1"/>
  <c r="H16" i="7"/>
  <c r="I192" i="1"/>
  <c r="G16" i="7"/>
  <c r="H192" i="1"/>
  <c r="D180" i="1"/>
  <c r="D179" i="1"/>
  <c r="I7" i="7"/>
  <c r="J183" i="1"/>
  <c r="G7" i="7"/>
  <c r="H183" i="1"/>
  <c r="H7" i="7"/>
  <c r="I183" i="1"/>
  <c r="I6" i="7"/>
  <c r="J182" i="1"/>
  <c r="I5" i="7"/>
  <c r="J181" i="1"/>
  <c r="I4" i="7"/>
  <c r="J180" i="1"/>
  <c r="I3" i="7"/>
  <c r="J179" i="1"/>
  <c r="H6" i="7"/>
  <c r="I182" i="1"/>
  <c r="H5" i="7"/>
  <c r="I181" i="1"/>
  <c r="H4" i="7"/>
  <c r="I180" i="1"/>
  <c r="H3" i="7"/>
  <c r="I179" i="1"/>
  <c r="G5" i="7"/>
  <c r="H181" i="1"/>
  <c r="G4" i="7"/>
  <c r="H180" i="1"/>
  <c r="G6" i="7"/>
  <c r="H182" i="1"/>
  <c r="G3" i="7"/>
  <c r="H179" i="1"/>
  <c r="D199" i="1"/>
  <c r="D202" i="1"/>
  <c r="D203" i="1"/>
  <c r="D200" i="1"/>
  <c r="D197" i="1"/>
  <c r="D198" i="1"/>
  <c r="D201" i="1"/>
  <c r="Z49" i="7" l="1"/>
  <c r="Y49" i="7"/>
  <c r="X49" i="7"/>
  <c r="I28" i="7"/>
  <c r="AE20" i="9"/>
  <c r="O7" i="24" l="1"/>
  <c r="O8" i="24"/>
  <c r="O9" i="24"/>
  <c r="O10" i="24"/>
  <c r="O11" i="24"/>
  <c r="O12" i="24"/>
  <c r="O13" i="24"/>
  <c r="O14" i="24"/>
  <c r="O15" i="24"/>
  <c r="O6" i="24"/>
  <c r="N7" i="24" l="1"/>
  <c r="M7" i="24" s="1"/>
  <c r="E7" i="24" s="1"/>
  <c r="N8" i="24"/>
  <c r="M8" i="24" s="1"/>
  <c r="E8" i="24" s="1"/>
  <c r="N9" i="24"/>
  <c r="M9" i="24" s="1"/>
  <c r="E9" i="24" s="1"/>
  <c r="N10" i="24"/>
  <c r="M10" i="24" s="1"/>
  <c r="E10" i="24" s="1"/>
  <c r="N11" i="24"/>
  <c r="M11" i="24" s="1"/>
  <c r="E11" i="24" s="1"/>
  <c r="N12" i="24"/>
  <c r="M12" i="24" s="1"/>
  <c r="E12" i="24" s="1"/>
  <c r="N13" i="24"/>
  <c r="M13" i="24" s="1"/>
  <c r="E13" i="24" s="1"/>
  <c r="N14" i="24"/>
  <c r="M14" i="24" s="1"/>
  <c r="E14" i="24" s="1"/>
  <c r="N15" i="24"/>
  <c r="M15" i="24" s="1"/>
  <c r="E15" i="24" s="1"/>
  <c r="N6" i="24"/>
  <c r="M6" i="24" s="1"/>
  <c r="E6" i="24" s="1"/>
  <c r="AE6" i="9" l="1"/>
  <c r="G6" i="9" s="1"/>
  <c r="AE7" i="9"/>
  <c r="G7" i="9" s="1"/>
  <c r="AE8" i="9"/>
  <c r="G8" i="9" s="1"/>
  <c r="AE9" i="9"/>
  <c r="G9" i="9" s="1"/>
  <c r="AE10" i="9"/>
  <c r="G10" i="9" s="1"/>
  <c r="AE11" i="9"/>
  <c r="G11" i="9" s="1"/>
  <c r="AE12" i="9"/>
  <c r="G12" i="9" s="1"/>
  <c r="AE13" i="9"/>
  <c r="G13" i="9" s="1"/>
  <c r="AE14" i="9"/>
  <c r="G14" i="9" s="1"/>
  <c r="AE15" i="9"/>
  <c r="G15" i="9" s="1"/>
  <c r="AE16" i="9"/>
  <c r="G16" i="9" s="1"/>
  <c r="AE17" i="9"/>
  <c r="G17" i="9" s="1"/>
  <c r="AE5" i="9"/>
  <c r="G5" i="9" s="1"/>
  <c r="AE21" i="9"/>
  <c r="G21" i="9" s="1"/>
  <c r="AE22" i="9"/>
  <c r="G22" i="9" s="1"/>
  <c r="AE23" i="9"/>
  <c r="G23" i="9" s="1"/>
  <c r="AE24" i="9"/>
  <c r="G24" i="9" s="1"/>
  <c r="AE25" i="9"/>
  <c r="G25" i="9" s="1"/>
  <c r="G20" i="9"/>
  <c r="AH21" i="9" l="1"/>
  <c r="AH22" i="9"/>
  <c r="AH23" i="9"/>
  <c r="AH24" i="9"/>
  <c r="AH25" i="9"/>
  <c r="AH6" i="9" l="1"/>
  <c r="AH7" i="9"/>
  <c r="AH8" i="9"/>
  <c r="AH9" i="9"/>
  <c r="AH10" i="9"/>
  <c r="AH11" i="9"/>
  <c r="AH12" i="9"/>
  <c r="AH13" i="9"/>
  <c r="AH14" i="9"/>
  <c r="AH15" i="9"/>
  <c r="AH16" i="9"/>
  <c r="AH17" i="9"/>
  <c r="AH18" i="9"/>
  <c r="AH5" i="9"/>
  <c r="AL6" i="9"/>
  <c r="AL7" i="9"/>
  <c r="AL8" i="9"/>
  <c r="AL9" i="9"/>
  <c r="AL10" i="9"/>
  <c r="AL11" i="9"/>
  <c r="AL12" i="9"/>
  <c r="AL13" i="9"/>
  <c r="AL14" i="9"/>
  <c r="AL15" i="9"/>
  <c r="AL16" i="9"/>
  <c r="AL17" i="9"/>
  <c r="AL18" i="9"/>
  <c r="AL5" i="9"/>
  <c r="R77" i="29" l="1"/>
  <c r="R76" i="29"/>
  <c r="R75" i="29"/>
  <c r="R74" i="29"/>
  <c r="R73" i="29"/>
  <c r="R72" i="29"/>
  <c r="R71" i="29"/>
  <c r="R70" i="29"/>
  <c r="R69" i="29"/>
  <c r="R68" i="29"/>
  <c r="R67" i="29"/>
  <c r="R66" i="29"/>
  <c r="R65" i="29"/>
  <c r="R64" i="29"/>
  <c r="R63" i="29"/>
  <c r="R62" i="29"/>
  <c r="R61" i="29"/>
  <c r="R60" i="29"/>
  <c r="R59" i="29"/>
  <c r="R58" i="29"/>
  <c r="R57" i="29"/>
  <c r="R56" i="29"/>
  <c r="R55" i="29"/>
  <c r="R54" i="29"/>
  <c r="R53" i="29"/>
  <c r="R52" i="29"/>
  <c r="R51" i="29"/>
  <c r="R50" i="29"/>
  <c r="R49" i="29"/>
  <c r="R48" i="29"/>
  <c r="R47" i="29"/>
  <c r="R46" i="29"/>
  <c r="R45" i="29"/>
  <c r="R44" i="29"/>
  <c r="R43" i="29"/>
  <c r="R42" i="29"/>
  <c r="R41" i="29"/>
  <c r="R40" i="29"/>
  <c r="R39" i="29"/>
  <c r="R38" i="29"/>
  <c r="R37" i="29"/>
  <c r="R36" i="29"/>
  <c r="R35" i="29"/>
  <c r="R34" i="29"/>
  <c r="R33" i="29"/>
  <c r="R32" i="29"/>
  <c r="R31" i="29"/>
  <c r="R30" i="29"/>
  <c r="R29" i="29"/>
  <c r="R28" i="29"/>
  <c r="R27" i="29"/>
  <c r="R26" i="29"/>
  <c r="R25" i="29"/>
  <c r="R24" i="29"/>
  <c r="R23" i="29"/>
  <c r="R22" i="29"/>
  <c r="R21" i="29"/>
  <c r="R20" i="29"/>
  <c r="R19" i="29"/>
  <c r="R18" i="29"/>
  <c r="R17" i="29"/>
  <c r="R16" i="29"/>
  <c r="R15" i="29"/>
  <c r="R14" i="29"/>
  <c r="R13" i="29"/>
  <c r="R12" i="29"/>
  <c r="R11" i="29"/>
  <c r="R10" i="29"/>
  <c r="R9" i="29"/>
  <c r="R8" i="29"/>
  <c r="R7" i="29"/>
  <c r="R6" i="29"/>
  <c r="R5" i="29"/>
  <c r="R4" i="29"/>
  <c r="D21" i="29" l="1"/>
  <c r="D23" i="29"/>
  <c r="D25" i="29"/>
  <c r="D27" i="29"/>
  <c r="D29" i="29"/>
  <c r="D31" i="29"/>
  <c r="D33" i="29"/>
  <c r="D35" i="29"/>
  <c r="D37" i="29"/>
  <c r="D39" i="29"/>
  <c r="D41" i="29"/>
  <c r="D43" i="29"/>
  <c r="D45" i="29"/>
  <c r="D47" i="29"/>
  <c r="D49" i="29"/>
  <c r="D51" i="29"/>
  <c r="D53" i="29"/>
  <c r="D55" i="29"/>
  <c r="D57" i="29"/>
  <c r="D59" i="29"/>
  <c r="D61" i="29"/>
  <c r="D63" i="29"/>
  <c r="D65" i="29"/>
  <c r="D67" i="29"/>
  <c r="D69" i="29"/>
  <c r="D71" i="29"/>
  <c r="D73" i="29"/>
  <c r="D75" i="29"/>
  <c r="D19" i="29"/>
  <c r="D17" i="29"/>
  <c r="F2" i="28" l="1"/>
  <c r="C2" i="28"/>
  <c r="E3" i="29"/>
  <c r="F75" i="29"/>
  <c r="E75" i="29"/>
  <c r="F73" i="29"/>
  <c r="E73" i="29"/>
  <c r="F71" i="29"/>
  <c r="E71" i="29"/>
  <c r="F69" i="29"/>
  <c r="E69" i="29"/>
  <c r="F67" i="29"/>
  <c r="E67" i="29"/>
  <c r="F65" i="29"/>
  <c r="E65" i="29"/>
  <c r="F63" i="29"/>
  <c r="E63" i="29"/>
  <c r="F61" i="29"/>
  <c r="E61" i="29"/>
  <c r="F59" i="29"/>
  <c r="E59" i="29"/>
  <c r="F57" i="29"/>
  <c r="E57" i="29"/>
  <c r="F55" i="29"/>
  <c r="E55" i="29"/>
  <c r="F53" i="29"/>
  <c r="E53" i="29"/>
  <c r="F51" i="29"/>
  <c r="E51" i="29"/>
  <c r="F49" i="29"/>
  <c r="E49" i="29"/>
  <c r="F47" i="29"/>
  <c r="E47" i="29"/>
  <c r="F45" i="29"/>
  <c r="E45" i="29"/>
  <c r="F43" i="29"/>
  <c r="E43" i="29"/>
  <c r="F41" i="29"/>
  <c r="E41" i="29"/>
  <c r="F39" i="29"/>
  <c r="E39" i="29"/>
  <c r="F37" i="29"/>
  <c r="E37" i="29"/>
  <c r="F35" i="29"/>
  <c r="E35" i="29"/>
  <c r="F33" i="29"/>
  <c r="E33" i="29"/>
  <c r="F31" i="29"/>
  <c r="E31" i="29"/>
  <c r="F29" i="29"/>
  <c r="E29" i="29"/>
  <c r="F27" i="29"/>
  <c r="E27" i="29"/>
  <c r="F25" i="29"/>
  <c r="E25" i="29"/>
  <c r="F23" i="29"/>
  <c r="E23" i="29"/>
  <c r="F21" i="29"/>
  <c r="E21" i="29"/>
  <c r="F19" i="29"/>
  <c r="E19" i="29"/>
  <c r="F17" i="29"/>
  <c r="E17" i="29"/>
  <c r="S13" i="29"/>
  <c r="H77" i="28"/>
  <c r="H76" i="28"/>
  <c r="H75" i="28"/>
  <c r="H74" i="28"/>
  <c r="H73" i="28"/>
  <c r="H72" i="28"/>
  <c r="H71" i="28"/>
  <c r="H70" i="28"/>
  <c r="H69" i="28"/>
  <c r="H68" i="28"/>
  <c r="H67" i="28"/>
  <c r="H66" i="28"/>
  <c r="H65" i="28"/>
  <c r="H64" i="28"/>
  <c r="H63" i="28"/>
  <c r="H62" i="28"/>
  <c r="H61" i="28"/>
  <c r="H60" i="28"/>
  <c r="H59" i="28"/>
  <c r="H58" i="28"/>
  <c r="H57" i="28"/>
  <c r="H56" i="28"/>
  <c r="H55" i="28"/>
  <c r="H54" i="28"/>
  <c r="H53" i="28"/>
  <c r="H52" i="28"/>
  <c r="H51" i="28"/>
  <c r="H50" i="28"/>
  <c r="H49" i="28"/>
  <c r="H48" i="28"/>
  <c r="H47" i="28"/>
  <c r="H46" i="28"/>
  <c r="H45" i="28"/>
  <c r="H44" i="28"/>
  <c r="H43" i="28"/>
  <c r="H42" i="28"/>
  <c r="H41" i="28"/>
  <c r="H40" i="28"/>
  <c r="H39" i="28"/>
  <c r="H38" i="28"/>
  <c r="H37" i="28"/>
  <c r="H36" i="28"/>
  <c r="H35" i="28"/>
  <c r="H34" i="28"/>
  <c r="H33" i="28"/>
  <c r="H32" i="28"/>
  <c r="H31" i="28"/>
  <c r="H30" i="28"/>
  <c r="H29" i="28"/>
  <c r="H28" i="28"/>
  <c r="H27" i="28"/>
  <c r="H26" i="28"/>
  <c r="H25" i="28"/>
  <c r="H24" i="28"/>
  <c r="H23" i="28"/>
  <c r="H22" i="28"/>
  <c r="H21" i="28"/>
  <c r="H20" i="28"/>
  <c r="H19" i="28"/>
  <c r="H18" i="28"/>
  <c r="H17" i="28"/>
  <c r="H16" i="28"/>
  <c r="H15" i="28"/>
  <c r="H14" i="28"/>
  <c r="H13" i="28"/>
  <c r="H12" i="28"/>
  <c r="H11" i="28"/>
  <c r="H10" i="28"/>
  <c r="H9" i="28"/>
  <c r="H8" i="28"/>
  <c r="H7" i="28"/>
  <c r="H6" i="28"/>
  <c r="H5" i="28"/>
  <c r="H4" i="28"/>
  <c r="S54" i="29" l="1"/>
  <c r="S63" i="29"/>
  <c r="S18" i="29"/>
  <c r="S29" i="29"/>
  <c r="S21" i="29"/>
  <c r="S6" i="29"/>
  <c r="S42" i="29"/>
  <c r="S36" i="29"/>
  <c r="S16" i="29"/>
  <c r="S5" i="29"/>
  <c r="S9" i="29"/>
  <c r="S17" i="29"/>
  <c r="S22" i="29"/>
  <c r="S7" i="29"/>
  <c r="S8" i="29"/>
  <c r="S12" i="29"/>
  <c r="S14" i="29"/>
  <c r="S49" i="29"/>
  <c r="S28" i="29"/>
  <c r="S15" i="29"/>
  <c r="S20" i="29"/>
  <c r="S73" i="29"/>
  <c r="S41" i="29"/>
  <c r="S77" i="29"/>
  <c r="S55" i="29"/>
  <c r="S34" i="29"/>
  <c r="S69" i="29"/>
  <c r="S48" i="29"/>
  <c r="S62" i="29"/>
  <c r="S47" i="29"/>
  <c r="S26" i="29"/>
  <c r="S68" i="29"/>
  <c r="S67" i="29"/>
  <c r="S46" i="29"/>
  <c r="S60" i="29"/>
  <c r="S74" i="29"/>
  <c r="S31" i="29"/>
  <c r="S66" i="29"/>
  <c r="S58" i="29"/>
  <c r="S57" i="29"/>
  <c r="S50" i="29"/>
  <c r="S30" i="29"/>
  <c r="S64" i="29"/>
  <c r="S59" i="29"/>
  <c r="S38" i="29"/>
  <c r="S32" i="29"/>
  <c r="S27" i="29"/>
  <c r="S44" i="29"/>
  <c r="S51" i="29"/>
  <c r="S23" i="29"/>
  <c r="S65" i="29"/>
  <c r="S70" i="29"/>
  <c r="S56" i="29"/>
  <c r="S52" i="29"/>
  <c r="S75" i="29"/>
  <c r="S4" i="29"/>
  <c r="S11" i="29"/>
  <c r="S24" i="29"/>
  <c r="S61" i="29"/>
  <c r="S39" i="29"/>
  <c r="S45" i="29"/>
  <c r="S76" i="29"/>
  <c r="S71" i="29"/>
  <c r="S10" i="29"/>
  <c r="S53" i="29"/>
  <c r="S37" i="29"/>
  <c r="S33" i="29"/>
  <c r="S72" i="29"/>
  <c r="S43" i="29"/>
  <c r="S25" i="29"/>
  <c r="S35" i="29"/>
  <c r="S40" i="29"/>
  <c r="S19" i="29"/>
  <c r="T77" i="29" l="1"/>
  <c r="U77" i="29" s="1"/>
  <c r="T55" i="29"/>
  <c r="U55" i="29" s="1"/>
  <c r="T34" i="29"/>
  <c r="U34" i="29" s="1"/>
  <c r="T69" i="29"/>
  <c r="U69" i="29" s="1"/>
  <c r="T48" i="29"/>
  <c r="U48" i="29" s="1"/>
  <c r="T62" i="29"/>
  <c r="U62" i="29" s="1"/>
  <c r="T19" i="29"/>
  <c r="U19" i="29" s="1"/>
  <c r="T76" i="29"/>
  <c r="U76" i="29" s="1"/>
  <c r="T33" i="29"/>
  <c r="U33" i="29" s="1"/>
  <c r="T10" i="29"/>
  <c r="U10" i="29" s="1"/>
  <c r="T47" i="29"/>
  <c r="U47" i="29" s="1"/>
  <c r="T26" i="29"/>
  <c r="U26" i="29" s="1"/>
  <c r="T61" i="29"/>
  <c r="U61" i="29" s="1"/>
  <c r="T40" i="29"/>
  <c r="U40" i="29" s="1"/>
  <c r="T75" i="29"/>
  <c r="U75" i="29" s="1"/>
  <c r="T54" i="29"/>
  <c r="U54" i="29" s="1"/>
  <c r="T9" i="29"/>
  <c r="U9" i="29" s="1"/>
  <c r="T68" i="29"/>
  <c r="U68" i="29" s="1"/>
  <c r="T25" i="29"/>
  <c r="U25" i="29" s="1"/>
  <c r="T39" i="29"/>
  <c r="U39" i="29" s="1"/>
  <c r="T53" i="29"/>
  <c r="U53" i="29" s="1"/>
  <c r="T32" i="29"/>
  <c r="U32" i="29" s="1"/>
  <c r="T67" i="29"/>
  <c r="U67" i="29" s="1"/>
  <c r="T46" i="29"/>
  <c r="U46" i="29" s="1"/>
  <c r="T60" i="29"/>
  <c r="U60" i="29" s="1"/>
  <c r="T74" i="29"/>
  <c r="U74" i="29" s="1"/>
  <c r="T31" i="29"/>
  <c r="U31" i="29" s="1"/>
  <c r="T45" i="29"/>
  <c r="U45" i="29" s="1"/>
  <c r="T59" i="29"/>
  <c r="U59" i="29" s="1"/>
  <c r="T38" i="29"/>
  <c r="U38" i="29" s="1"/>
  <c r="T73" i="29"/>
  <c r="U73" i="29" s="1"/>
  <c r="T52" i="29"/>
  <c r="U52" i="29" s="1"/>
  <c r="T66" i="29"/>
  <c r="U66" i="29" s="1"/>
  <c r="T51" i="29"/>
  <c r="U51" i="29" s="1"/>
  <c r="T30" i="29"/>
  <c r="U30" i="29" s="1"/>
  <c r="T65" i="29"/>
  <c r="U65" i="29" s="1"/>
  <c r="T44" i="29"/>
  <c r="U44" i="29" s="1"/>
  <c r="T58" i="29"/>
  <c r="U58" i="29" s="1"/>
  <c r="T72" i="29"/>
  <c r="U72" i="29" s="1"/>
  <c r="T43" i="29"/>
  <c r="U43" i="29" s="1"/>
  <c r="T57" i="29"/>
  <c r="U57" i="29" s="1"/>
  <c r="T71" i="29"/>
  <c r="U71" i="29" s="1"/>
  <c r="T64" i="29"/>
  <c r="U64" i="29" s="1"/>
  <c r="T35" i="29"/>
  <c r="U35" i="29" s="1"/>
  <c r="T49" i="29"/>
  <c r="U49" i="29" s="1"/>
  <c r="T63" i="29"/>
  <c r="U63" i="29" s="1"/>
  <c r="T28" i="29"/>
  <c r="U28" i="29" s="1"/>
  <c r="T8" i="29"/>
  <c r="U8" i="29" s="1"/>
  <c r="T37" i="29"/>
  <c r="U37" i="29" s="1"/>
  <c r="T7" i="29"/>
  <c r="U7" i="29" s="1"/>
  <c r="T17" i="29"/>
  <c r="U17" i="29" s="1"/>
  <c r="T20" i="29"/>
  <c r="U20" i="29" s="1"/>
  <c r="T5" i="29"/>
  <c r="U5" i="29" s="1"/>
  <c r="T15" i="29"/>
  <c r="U15" i="29" s="1"/>
  <c r="T23" i="29"/>
  <c r="U23" i="29" s="1"/>
  <c r="T21" i="29"/>
  <c r="U21" i="29" s="1"/>
  <c r="T42" i="29"/>
  <c r="U42" i="29" s="1"/>
  <c r="T29" i="29"/>
  <c r="U29" i="29" s="1"/>
  <c r="T6" i="29"/>
  <c r="U6" i="29" s="1"/>
  <c r="T4" i="29"/>
  <c r="U4" i="29" s="1"/>
  <c r="T12" i="29"/>
  <c r="U12" i="29" s="1"/>
  <c r="T22" i="29"/>
  <c r="U22" i="29" s="1"/>
  <c r="T14" i="29"/>
  <c r="U14" i="29" s="1"/>
  <c r="T16" i="29"/>
  <c r="U16" i="29" s="1"/>
  <c r="T56" i="29"/>
  <c r="U56" i="29" s="1"/>
  <c r="T70" i="29"/>
  <c r="U70" i="29" s="1"/>
  <c r="T24" i="29"/>
  <c r="U24" i="29" s="1"/>
  <c r="T11" i="29"/>
  <c r="U11" i="29" s="1"/>
  <c r="T50" i="29"/>
  <c r="U50" i="29" s="1"/>
  <c r="T36" i="29"/>
  <c r="U36" i="29" s="1"/>
  <c r="T41" i="29"/>
  <c r="U41" i="29" s="1"/>
  <c r="T27" i="29"/>
  <c r="U27" i="29" s="1"/>
  <c r="T18" i="29"/>
  <c r="U18" i="29" s="1"/>
  <c r="T13" i="29"/>
  <c r="U13" i="29" s="1"/>
  <c r="V62" i="29" l="1"/>
  <c r="V76" i="29"/>
  <c r="V33" i="29"/>
  <c r="V47" i="29"/>
  <c r="V26" i="29"/>
  <c r="V61" i="29"/>
  <c r="V40" i="29"/>
  <c r="V75" i="29"/>
  <c r="V54" i="29"/>
  <c r="V9" i="29"/>
  <c r="V68" i="29"/>
  <c r="V25" i="29"/>
  <c r="V39" i="29"/>
  <c r="V18" i="29"/>
  <c r="V53" i="29"/>
  <c r="V32" i="29"/>
  <c r="V67" i="29"/>
  <c r="V46" i="29"/>
  <c r="V60" i="29"/>
  <c r="V74" i="29"/>
  <c r="V31" i="29"/>
  <c r="V45" i="29"/>
  <c r="V59" i="29"/>
  <c r="V38" i="29"/>
  <c r="V73" i="29"/>
  <c r="V52" i="29"/>
  <c r="V66" i="29"/>
  <c r="V23" i="29"/>
  <c r="V37" i="29"/>
  <c r="V51" i="29"/>
  <c r="V65" i="29"/>
  <c r="V44" i="29"/>
  <c r="V58" i="29"/>
  <c r="V72" i="29"/>
  <c r="V29" i="29"/>
  <c r="V43" i="29"/>
  <c r="V57" i="29"/>
  <c r="V71" i="29"/>
  <c r="V50" i="29"/>
  <c r="V64" i="29"/>
  <c r="V49" i="29"/>
  <c r="V63" i="29"/>
  <c r="V42" i="29"/>
  <c r="V56" i="29"/>
  <c r="V77" i="29"/>
  <c r="V20" i="29"/>
  <c r="V8" i="29"/>
  <c r="V21" i="29"/>
  <c r="V7" i="29"/>
  <c r="V35" i="29"/>
  <c r="V6" i="29"/>
  <c r="V5" i="29"/>
  <c r="V11" i="29"/>
  <c r="V22" i="29"/>
  <c r="V17" i="29"/>
  <c r="V14" i="29"/>
  <c r="V12" i="29"/>
  <c r="V28" i="29"/>
  <c r="V70" i="29"/>
  <c r="V48" i="29"/>
  <c r="V13" i="29"/>
  <c r="V36" i="29"/>
  <c r="V34" i="29"/>
  <c r="V19" i="29"/>
  <c r="V41" i="29"/>
  <c r="V27" i="29"/>
  <c r="V4" i="29"/>
  <c r="V55" i="29"/>
  <c r="V10" i="29"/>
  <c r="V69" i="29"/>
  <c r="V30" i="29"/>
  <c r="V24" i="29"/>
  <c r="V15" i="29"/>
  <c r="V16" i="29"/>
  <c r="AZ77" i="29" l="1"/>
  <c r="W76" i="29"/>
  <c r="Z75" i="29"/>
  <c r="AF74" i="29"/>
  <c r="AI73" i="29"/>
  <c r="AO72" i="29"/>
  <c r="AR71" i="29"/>
  <c r="AX70" i="29"/>
  <c r="AA68" i="29"/>
  <c r="AD67" i="29"/>
  <c r="AJ66" i="29"/>
  <c r="AM65" i="29"/>
  <c r="AS64" i="29"/>
  <c r="AV63" i="29"/>
  <c r="Y61" i="29"/>
  <c r="AE60" i="29"/>
  <c r="AH59" i="29"/>
  <c r="AN58" i="29"/>
  <c r="AQ57" i="29"/>
  <c r="AW56" i="29"/>
  <c r="AZ55" i="29"/>
  <c r="Z54" i="29"/>
  <c r="AC53" i="29"/>
  <c r="AI52" i="29"/>
  <c r="AL51" i="29"/>
  <c r="AR50" i="29"/>
  <c r="AU49" i="29"/>
  <c r="X47" i="29"/>
  <c r="AD46" i="29"/>
  <c r="AG45" i="29"/>
  <c r="AM44" i="29"/>
  <c r="AP43" i="29"/>
  <c r="AV42" i="29"/>
  <c r="AY41" i="29"/>
  <c r="Y40" i="29"/>
  <c r="AB39" i="29"/>
  <c r="AH38" i="29"/>
  <c r="AK37" i="29"/>
  <c r="AQ36" i="29"/>
  <c r="AT35" i="29"/>
  <c r="AZ34" i="29"/>
  <c r="W33" i="29"/>
  <c r="AC32" i="29"/>
  <c r="AF31" i="29"/>
  <c r="AL30" i="29"/>
  <c r="AO29" i="29"/>
  <c r="AU28" i="29"/>
  <c r="AX27" i="29"/>
  <c r="X26" i="29"/>
  <c r="AA25" i="29"/>
  <c r="AG24" i="29"/>
  <c r="AY77" i="29"/>
  <c r="Y75" i="29"/>
  <c r="AE74" i="29"/>
  <c r="AH73" i="29"/>
  <c r="AN72" i="29"/>
  <c r="AQ71" i="29"/>
  <c r="AW70" i="29"/>
  <c r="AZ69" i="29"/>
  <c r="Z68" i="29"/>
  <c r="AC67" i="29"/>
  <c r="AI66" i="29"/>
  <c r="AL65" i="29"/>
  <c r="AR64" i="29"/>
  <c r="AU63" i="29"/>
  <c r="X61" i="29"/>
  <c r="AD60" i="29"/>
  <c r="AG59" i="29"/>
  <c r="AM58" i="29"/>
  <c r="AP57" i="29"/>
  <c r="AV56" i="29"/>
  <c r="AY55" i="29"/>
  <c r="Y54" i="29"/>
  <c r="AB53" i="29"/>
  <c r="AH52" i="29"/>
  <c r="AK51" i="29"/>
  <c r="AQ50" i="29"/>
  <c r="AT49" i="29"/>
  <c r="AZ48" i="29"/>
  <c r="W47" i="29"/>
  <c r="AC46" i="29"/>
  <c r="AF45" i="29"/>
  <c r="AL44" i="29"/>
  <c r="AO43" i="29"/>
  <c r="AU42" i="29"/>
  <c r="AX41" i="29"/>
  <c r="X40" i="29"/>
  <c r="AA39" i="29"/>
  <c r="AG38" i="29"/>
  <c r="AJ37" i="29"/>
  <c r="AP36" i="29"/>
  <c r="AS35" i="29"/>
  <c r="AY34" i="29"/>
  <c r="AB32" i="29"/>
  <c r="AE31" i="29"/>
  <c r="AK30" i="29"/>
  <c r="AN29" i="29"/>
  <c r="AT28" i="29"/>
  <c r="AW27" i="29"/>
  <c r="W26" i="29"/>
  <c r="Z25" i="29"/>
  <c r="AF24" i="29"/>
  <c r="AI23" i="29"/>
  <c r="AO22" i="29"/>
  <c r="AX77" i="29"/>
  <c r="X75" i="29"/>
  <c r="AD74" i="29"/>
  <c r="AG73" i="29"/>
  <c r="AM72" i="29"/>
  <c r="AP71" i="29"/>
  <c r="AV70" i="29"/>
  <c r="AY69" i="29"/>
  <c r="Y68" i="29"/>
  <c r="AB67" i="29"/>
  <c r="AH66" i="29"/>
  <c r="AK65" i="29"/>
  <c r="AQ64" i="29"/>
  <c r="AT63" i="29"/>
  <c r="AZ62" i="29"/>
  <c r="W61" i="29"/>
  <c r="AC60" i="29"/>
  <c r="AF59" i="29"/>
  <c r="AL58" i="29"/>
  <c r="AO57" i="29"/>
  <c r="AU56" i="29"/>
  <c r="AX55" i="29"/>
  <c r="X54" i="29"/>
  <c r="AA53" i="29"/>
  <c r="AG52" i="29"/>
  <c r="AJ51" i="29"/>
  <c r="AP50" i="29"/>
  <c r="AS49" i="29"/>
  <c r="AY48" i="29"/>
  <c r="AB46" i="29"/>
  <c r="AE45" i="29"/>
  <c r="AK44" i="29"/>
  <c r="AN43" i="29"/>
  <c r="AT42" i="29"/>
  <c r="AW41" i="29"/>
  <c r="W40" i="29"/>
  <c r="Z39" i="29"/>
  <c r="AF38" i="29"/>
  <c r="AI37" i="29"/>
  <c r="AO36" i="29"/>
  <c r="AR35" i="29"/>
  <c r="AX34" i="29"/>
  <c r="AA32" i="29"/>
  <c r="AD31" i="29"/>
  <c r="AJ30" i="29"/>
  <c r="AM29" i="29"/>
  <c r="AS28" i="29"/>
  <c r="AV27" i="29"/>
  <c r="Y25" i="29"/>
  <c r="AE24" i="29"/>
  <c r="AH23" i="29"/>
  <c r="AN22" i="29"/>
  <c r="AQ21" i="29"/>
  <c r="AW20" i="29"/>
  <c r="AZ19" i="29"/>
  <c r="Z18" i="29"/>
  <c r="AW77" i="29"/>
  <c r="AZ76" i="29"/>
  <c r="W75" i="29"/>
  <c r="AC74" i="29"/>
  <c r="AF73" i="29"/>
  <c r="AL72" i="29"/>
  <c r="AO71" i="29"/>
  <c r="AU70" i="29"/>
  <c r="AX69" i="29"/>
  <c r="X68" i="29"/>
  <c r="AA67" i="29"/>
  <c r="AG66" i="29"/>
  <c r="AJ65" i="29"/>
  <c r="AP64" i="29"/>
  <c r="AS63" i="29"/>
  <c r="AY62" i="29"/>
  <c r="AB60" i="29"/>
  <c r="AE59" i="29"/>
  <c r="AK58" i="29"/>
  <c r="AN57" i="29"/>
  <c r="AT56" i="29"/>
  <c r="AW55" i="29"/>
  <c r="W54" i="29"/>
  <c r="Z53" i="29"/>
  <c r="AF52" i="29"/>
  <c r="AI51" i="29"/>
  <c r="AO50" i="29"/>
  <c r="AR49" i="29"/>
  <c r="AX48" i="29"/>
  <c r="AA46" i="29"/>
  <c r="AD45" i="29"/>
  <c r="AJ44" i="29"/>
  <c r="AM43" i="29"/>
  <c r="AS42" i="29"/>
  <c r="AV41" i="29"/>
  <c r="Y39" i="29"/>
  <c r="AE38" i="29"/>
  <c r="AH37" i="29"/>
  <c r="AN36" i="29"/>
  <c r="AQ35" i="29"/>
  <c r="AW34" i="29"/>
  <c r="AZ33" i="29"/>
  <c r="Z32" i="29"/>
  <c r="AC31" i="29"/>
  <c r="AI30" i="29"/>
  <c r="AL29" i="29"/>
  <c r="AR28" i="29"/>
  <c r="AU27" i="29"/>
  <c r="X25" i="29"/>
  <c r="AD24" i="29"/>
  <c r="AG23" i="29"/>
  <c r="AM22" i="29"/>
  <c r="AP21" i="29"/>
  <c r="AV20" i="29"/>
  <c r="AY19" i="29"/>
  <c r="Y18" i="29"/>
  <c r="AB17" i="29"/>
  <c r="AH16" i="29"/>
  <c r="AK15" i="29"/>
  <c r="AN14" i="29"/>
  <c r="AQ13" i="29"/>
  <c r="AT12" i="29"/>
  <c r="AW11" i="29"/>
  <c r="AZ10" i="29"/>
  <c r="W9" i="29"/>
  <c r="Z8" i="29"/>
  <c r="AC7" i="29"/>
  <c r="AF6" i="29"/>
  <c r="AI5" i="29"/>
  <c r="AL4" i="29"/>
  <c r="AE6" i="29"/>
  <c r="AK4" i="29"/>
  <c r="AN21" i="29"/>
  <c r="W18" i="29"/>
  <c r="AI15" i="29"/>
  <c r="AO13" i="29"/>
  <c r="AV77" i="29"/>
  <c r="AY76" i="29"/>
  <c r="AB74" i="29"/>
  <c r="AE73" i="29"/>
  <c r="AK72" i="29"/>
  <c r="AN71" i="29"/>
  <c r="AT70" i="29"/>
  <c r="AW69" i="29"/>
  <c r="W68" i="29"/>
  <c r="Z67" i="29"/>
  <c r="AF66" i="29"/>
  <c r="AI65" i="29"/>
  <c r="AO64" i="29"/>
  <c r="AR63" i="29"/>
  <c r="AX62" i="29"/>
  <c r="AA60" i="29"/>
  <c r="AD59" i="29"/>
  <c r="AJ58" i="29"/>
  <c r="AM57" i="29"/>
  <c r="AS56" i="29"/>
  <c r="AV55" i="29"/>
  <c r="Y53" i="29"/>
  <c r="AE52" i="29"/>
  <c r="AH51" i="29"/>
  <c r="AN50" i="29"/>
  <c r="AQ49" i="29"/>
  <c r="AW48" i="29"/>
  <c r="AZ47" i="29"/>
  <c r="Z46" i="29"/>
  <c r="AC45" i="29"/>
  <c r="AI44" i="29"/>
  <c r="AL43" i="29"/>
  <c r="AR42" i="29"/>
  <c r="AU41" i="29"/>
  <c r="X39" i="29"/>
  <c r="AD38" i="29"/>
  <c r="AG37" i="29"/>
  <c r="AM36" i="29"/>
  <c r="AP35" i="29"/>
  <c r="AV34" i="29"/>
  <c r="AY33" i="29"/>
  <c r="Y32" i="29"/>
  <c r="AB31" i="29"/>
  <c r="AH30" i="29"/>
  <c r="AK29" i="29"/>
  <c r="AQ28" i="29"/>
  <c r="AT27" i="29"/>
  <c r="AZ26" i="29"/>
  <c r="W25" i="29"/>
  <c r="AC24" i="29"/>
  <c r="AF23" i="29"/>
  <c r="AL22" i="29"/>
  <c r="AO21" i="29"/>
  <c r="AU20" i="29"/>
  <c r="AX19" i="29"/>
  <c r="X18" i="29"/>
  <c r="AA17" i="29"/>
  <c r="AG16" i="29"/>
  <c r="AJ15" i="29"/>
  <c r="AM14" i="29"/>
  <c r="AP13" i="29"/>
  <c r="AS12" i="29"/>
  <c r="AV11" i="29"/>
  <c r="AY10" i="29"/>
  <c r="Y8" i="29"/>
  <c r="AB7" i="29"/>
  <c r="AH5" i="29"/>
  <c r="AK22" i="29"/>
  <c r="AW19" i="29"/>
  <c r="Z17" i="29"/>
  <c r="AL14" i="29"/>
  <c r="AU11" i="29"/>
  <c r="AU77" i="29"/>
  <c r="AX76" i="29"/>
  <c r="AA74" i="29"/>
  <c r="AD73" i="29"/>
  <c r="AJ72" i="29"/>
  <c r="AM71" i="29"/>
  <c r="AS70" i="29"/>
  <c r="AV69" i="29"/>
  <c r="Y67" i="29"/>
  <c r="AE66" i="29"/>
  <c r="AH65" i="29"/>
  <c r="AN64" i="29"/>
  <c r="AQ63" i="29"/>
  <c r="AW62" i="29"/>
  <c r="AZ61" i="29"/>
  <c r="Z60" i="29"/>
  <c r="AC59" i="29"/>
  <c r="AI58" i="29"/>
  <c r="AL57" i="29"/>
  <c r="AR56" i="29"/>
  <c r="AU55" i="29"/>
  <c r="X53" i="29"/>
  <c r="AD52" i="29"/>
  <c r="AG51" i="29"/>
  <c r="AM50" i="29"/>
  <c r="AP49" i="29"/>
  <c r="AV48" i="29"/>
  <c r="AY47" i="29"/>
  <c r="Y46" i="29"/>
  <c r="AB45" i="29"/>
  <c r="AH44" i="29"/>
  <c r="AK43" i="29"/>
  <c r="AQ42" i="29"/>
  <c r="AT41" i="29"/>
  <c r="AZ40" i="29"/>
  <c r="W39" i="29"/>
  <c r="AC38" i="29"/>
  <c r="AF37" i="29"/>
  <c r="AL36" i="29"/>
  <c r="AO35" i="29"/>
  <c r="AU34" i="29"/>
  <c r="AX33" i="29"/>
  <c r="X32" i="29"/>
  <c r="AA31" i="29"/>
  <c r="AG30" i="29"/>
  <c r="AJ29" i="29"/>
  <c r="AP28" i="29"/>
  <c r="AS27" i="29"/>
  <c r="AY26" i="29"/>
  <c r="AB24" i="29"/>
  <c r="AE23" i="29"/>
  <c r="AT20" i="29"/>
  <c r="AF16" i="29"/>
  <c r="AR12" i="29"/>
  <c r="AT77" i="29"/>
  <c r="AW76" i="29"/>
  <c r="AZ75" i="29"/>
  <c r="Z74" i="29"/>
  <c r="AC73" i="29"/>
  <c r="AI72" i="29"/>
  <c r="AL71" i="29"/>
  <c r="AR70" i="29"/>
  <c r="AU69" i="29"/>
  <c r="X67" i="29"/>
  <c r="AD66" i="29"/>
  <c r="AG65" i="29"/>
  <c r="AM64" i="29"/>
  <c r="AP63" i="29"/>
  <c r="AV62" i="29"/>
  <c r="AY61" i="29"/>
  <c r="Y60" i="29"/>
  <c r="AB59" i="29"/>
  <c r="AH58" i="29"/>
  <c r="AK57" i="29"/>
  <c r="AQ56" i="29"/>
  <c r="AT55" i="29"/>
  <c r="AZ54" i="29"/>
  <c r="W53" i="29"/>
  <c r="AC52" i="29"/>
  <c r="AF51" i="29"/>
  <c r="AL50" i="29"/>
  <c r="AO49" i="29"/>
  <c r="AU48" i="29"/>
  <c r="AX47" i="29"/>
  <c r="X46" i="29"/>
  <c r="AA45" i="29"/>
  <c r="AG44" i="29"/>
  <c r="AJ43" i="29"/>
  <c r="AP42" i="29"/>
  <c r="AS41" i="29"/>
  <c r="AY40" i="29"/>
  <c r="AB38" i="29"/>
  <c r="AE37" i="29"/>
  <c r="AK36" i="29"/>
  <c r="AN35" i="29"/>
  <c r="AT34" i="29"/>
  <c r="AW33" i="29"/>
  <c r="W32" i="29"/>
  <c r="Z31" i="29"/>
  <c r="AF30" i="29"/>
  <c r="AI29" i="29"/>
  <c r="AO28" i="29"/>
  <c r="AR27" i="29"/>
  <c r="AX26" i="29"/>
  <c r="AA24" i="29"/>
  <c r="AD23" i="29"/>
  <c r="AJ22" i="29"/>
  <c r="AM21" i="29"/>
  <c r="AS20" i="29"/>
  <c r="AV19" i="29"/>
  <c r="Y17" i="29"/>
  <c r="AE16" i="29"/>
  <c r="AH15" i="29"/>
  <c r="AK14" i="29"/>
  <c r="AN13" i="29"/>
  <c r="AQ12" i="29"/>
  <c r="AT11" i="29"/>
  <c r="AW10" i="29"/>
  <c r="AZ9" i="29"/>
  <c r="W8" i="29"/>
  <c r="Z7" i="29"/>
  <c r="AS77" i="29"/>
  <c r="AV76" i="29"/>
  <c r="AY75" i="29"/>
  <c r="Y74" i="29"/>
  <c r="AB73" i="29"/>
  <c r="AH72" i="29"/>
  <c r="AK71" i="29"/>
  <c r="AQ70" i="29"/>
  <c r="AT69" i="29"/>
  <c r="AZ68" i="29"/>
  <c r="W67" i="29"/>
  <c r="AC66" i="29"/>
  <c r="AF65" i="29"/>
  <c r="AL64" i="29"/>
  <c r="AO63" i="29"/>
  <c r="AU62" i="29"/>
  <c r="AX61" i="29"/>
  <c r="X60" i="29"/>
  <c r="AA59" i="29"/>
  <c r="AG58" i="29"/>
  <c r="AJ57" i="29"/>
  <c r="AP56" i="29"/>
  <c r="AS55" i="29"/>
  <c r="AY54" i="29"/>
  <c r="AB52" i="29"/>
  <c r="AE51" i="29"/>
  <c r="AK50" i="29"/>
  <c r="AN49" i="29"/>
  <c r="AT48" i="29"/>
  <c r="AW47" i="29"/>
  <c r="W46" i="29"/>
  <c r="Z45" i="29"/>
  <c r="AF44" i="29"/>
  <c r="AI43" i="29"/>
  <c r="AO42" i="29"/>
  <c r="AR41" i="29"/>
  <c r="AX40" i="29"/>
  <c r="AA38" i="29"/>
  <c r="AD37" i="29"/>
  <c r="AJ36" i="29"/>
  <c r="AM35" i="29"/>
  <c r="AS34" i="29"/>
  <c r="AV33" i="29"/>
  <c r="Y31" i="29"/>
  <c r="AE30" i="29"/>
  <c r="AH29" i="29"/>
  <c r="AN28" i="29"/>
  <c r="AQ27" i="29"/>
  <c r="AW26" i="29"/>
  <c r="AZ25" i="29"/>
  <c r="Z24" i="29"/>
  <c r="AC23" i="29"/>
  <c r="AI22" i="29"/>
  <c r="AL21" i="29"/>
  <c r="AR20" i="29"/>
  <c r="AU19" i="29"/>
  <c r="AR77" i="29"/>
  <c r="AU76" i="29"/>
  <c r="AX75" i="29"/>
  <c r="X74" i="29"/>
  <c r="AA73" i="29"/>
  <c r="AG72" i="29"/>
  <c r="AJ71" i="29"/>
  <c r="AP70" i="29"/>
  <c r="AS69" i="29"/>
  <c r="AY68" i="29"/>
  <c r="AB66" i="29"/>
  <c r="AE65" i="29"/>
  <c r="AK64" i="29"/>
  <c r="AN63" i="29"/>
  <c r="AT62" i="29"/>
  <c r="AW61" i="29"/>
  <c r="W60" i="29"/>
  <c r="Z59" i="29"/>
  <c r="AF58" i="29"/>
  <c r="AI57" i="29"/>
  <c r="AO56" i="29"/>
  <c r="AR55" i="29"/>
  <c r="AX54" i="29"/>
  <c r="AA52" i="29"/>
  <c r="AD51" i="29"/>
  <c r="AJ50" i="29"/>
  <c r="AM49" i="29"/>
  <c r="AS48" i="29"/>
  <c r="AV47" i="29"/>
  <c r="Y45" i="29"/>
  <c r="AE44" i="29"/>
  <c r="AH43" i="29"/>
  <c r="AN42" i="29"/>
  <c r="AQ41" i="29"/>
  <c r="AW40" i="29"/>
  <c r="AZ39" i="29"/>
  <c r="Z38" i="29"/>
  <c r="AC37" i="29"/>
  <c r="AI36" i="29"/>
  <c r="AL35" i="29"/>
  <c r="AR34" i="29"/>
  <c r="AU33" i="29"/>
  <c r="X31" i="29"/>
  <c r="AD30" i="29"/>
  <c r="AG29" i="29"/>
  <c r="AM28" i="29"/>
  <c r="AP27" i="29"/>
  <c r="AV26" i="29"/>
  <c r="AY25" i="29"/>
  <c r="Y24" i="29"/>
  <c r="AB23" i="29"/>
  <c r="AH22" i="29"/>
  <c r="AQ77" i="29"/>
  <c r="AT76" i="29"/>
  <c r="AW75" i="29"/>
  <c r="W74" i="29"/>
  <c r="Z73" i="29"/>
  <c r="AF72" i="29"/>
  <c r="AI71" i="29"/>
  <c r="AO70" i="29"/>
  <c r="AR69" i="29"/>
  <c r="AX68" i="29"/>
  <c r="AA66" i="29"/>
  <c r="AD65" i="29"/>
  <c r="AJ64" i="29"/>
  <c r="AM63" i="29"/>
  <c r="AS62" i="29"/>
  <c r="AV61" i="29"/>
  <c r="Y59" i="29"/>
  <c r="AE58" i="29"/>
  <c r="AH57" i="29"/>
  <c r="AN56" i="29"/>
  <c r="AQ55" i="29"/>
  <c r="AW54" i="29"/>
  <c r="AZ53" i="29"/>
  <c r="Z52" i="29"/>
  <c r="AC51" i="29"/>
  <c r="AI50" i="29"/>
  <c r="AL49" i="29"/>
  <c r="AR48" i="29"/>
  <c r="AU47" i="29"/>
  <c r="X45" i="29"/>
  <c r="AD44" i="29"/>
  <c r="AG43" i="29"/>
  <c r="AM42" i="29"/>
  <c r="AP41" i="29"/>
  <c r="AV40" i="29"/>
  <c r="AY39" i="29"/>
  <c r="Y38" i="29"/>
  <c r="AB37" i="29"/>
  <c r="AH36" i="29"/>
  <c r="AK35" i="29"/>
  <c r="AQ34" i="29"/>
  <c r="AT33" i="29"/>
  <c r="AZ32" i="29"/>
  <c r="W31" i="29"/>
  <c r="AC30" i="29"/>
  <c r="AF29" i="29"/>
  <c r="AL28" i="29"/>
  <c r="AO27" i="29"/>
  <c r="AU26" i="29"/>
  <c r="AX25" i="29"/>
  <c r="AP77" i="29"/>
  <c r="AS76" i="29"/>
  <c r="AV75" i="29"/>
  <c r="Y73" i="29"/>
  <c r="AE72" i="29"/>
  <c r="AH71" i="29"/>
  <c r="AN70" i="29"/>
  <c r="AQ69" i="29"/>
  <c r="AW68" i="29"/>
  <c r="AZ67" i="29"/>
  <c r="Z66" i="29"/>
  <c r="AC65" i="29"/>
  <c r="AI64" i="29"/>
  <c r="AL63" i="29"/>
  <c r="AR62" i="29"/>
  <c r="AU61" i="29"/>
  <c r="X59" i="29"/>
  <c r="AD58" i="29"/>
  <c r="AG57" i="29"/>
  <c r="AM56" i="29"/>
  <c r="AP55" i="29"/>
  <c r="AV54" i="29"/>
  <c r="AY53" i="29"/>
  <c r="Y52" i="29"/>
  <c r="AB51" i="29"/>
  <c r="AH50" i="29"/>
  <c r="AK49" i="29"/>
  <c r="AQ48" i="29"/>
  <c r="AT47" i="29"/>
  <c r="AZ46" i="29"/>
  <c r="W45" i="29"/>
  <c r="AC44" i="29"/>
  <c r="AF43" i="29"/>
  <c r="AL42" i="29"/>
  <c r="AO41" i="29"/>
  <c r="AU40" i="29"/>
  <c r="AX39" i="29"/>
  <c r="X38" i="29"/>
  <c r="AA37" i="29"/>
  <c r="AG36" i="29"/>
  <c r="AJ35" i="29"/>
  <c r="AP34" i="29"/>
  <c r="AS33" i="29"/>
  <c r="AY32" i="29"/>
  <c r="AB30" i="29"/>
  <c r="AE29" i="29"/>
  <c r="AK28" i="29"/>
  <c r="AN27" i="29"/>
  <c r="AO77" i="29"/>
  <c r="AR76" i="29"/>
  <c r="AU75" i="29"/>
  <c r="X73" i="29"/>
  <c r="AD72" i="29"/>
  <c r="AG71" i="29"/>
  <c r="AM70" i="29"/>
  <c r="AP69" i="29"/>
  <c r="AV68" i="29"/>
  <c r="AY67" i="29"/>
  <c r="Y66" i="29"/>
  <c r="AB65" i="29"/>
  <c r="AH64" i="29"/>
  <c r="AK63" i="29"/>
  <c r="AQ62" i="29"/>
  <c r="AT61" i="29"/>
  <c r="AZ60" i="29"/>
  <c r="W59" i="29"/>
  <c r="AC58" i="29"/>
  <c r="AF57" i="29"/>
  <c r="AL56" i="29"/>
  <c r="AO55" i="29"/>
  <c r="AU54" i="29"/>
  <c r="AX53" i="29"/>
  <c r="X52" i="29"/>
  <c r="AA51" i="29"/>
  <c r="AG50" i="29"/>
  <c r="AJ49" i="29"/>
  <c r="AP48" i="29"/>
  <c r="AS47" i="29"/>
  <c r="AY46" i="29"/>
  <c r="AB44" i="29"/>
  <c r="AE43" i="29"/>
  <c r="AK42" i="29"/>
  <c r="AN41" i="29"/>
  <c r="AT40" i="29"/>
  <c r="AW39" i="29"/>
  <c r="W38" i="29"/>
  <c r="Z37" i="29"/>
  <c r="AF36" i="29"/>
  <c r="AI35" i="29"/>
  <c r="AO34" i="29"/>
  <c r="AN77" i="29"/>
  <c r="AQ76" i="29"/>
  <c r="AT75" i="29"/>
  <c r="AZ74" i="29"/>
  <c r="W73" i="29"/>
  <c r="AC72" i="29"/>
  <c r="AF71" i="29"/>
  <c r="AL70" i="29"/>
  <c r="AO69" i="29"/>
  <c r="AU68" i="29"/>
  <c r="AX67" i="29"/>
  <c r="X66" i="29"/>
  <c r="AA65" i="29"/>
  <c r="AG64" i="29"/>
  <c r="AJ63" i="29"/>
  <c r="AP62" i="29"/>
  <c r="AS61" i="29"/>
  <c r="AY60" i="29"/>
  <c r="AB58" i="29"/>
  <c r="AE57" i="29"/>
  <c r="AK56" i="29"/>
  <c r="AN55" i="29"/>
  <c r="AT54" i="29"/>
  <c r="AW53" i="29"/>
  <c r="W52" i="29"/>
  <c r="Z51" i="29"/>
  <c r="AF50" i="29"/>
  <c r="AI49" i="29"/>
  <c r="AO48" i="29"/>
  <c r="AR47" i="29"/>
  <c r="AX46" i="29"/>
  <c r="AA44" i="29"/>
  <c r="AD43" i="29"/>
  <c r="AJ42" i="29"/>
  <c r="AM41" i="29"/>
  <c r="AS40" i="29"/>
  <c r="AV39" i="29"/>
  <c r="Y37" i="29"/>
  <c r="AE36" i="29"/>
  <c r="AH35" i="29"/>
  <c r="AN34" i="29"/>
  <c r="AQ33" i="29"/>
  <c r="AW32" i="29"/>
  <c r="AZ31" i="29"/>
  <c r="Z30" i="29"/>
  <c r="AC29" i="29"/>
  <c r="AI28" i="29"/>
  <c r="AM77" i="29"/>
  <c r="AP76" i="29"/>
  <c r="AS75" i="29"/>
  <c r="AY74" i="29"/>
  <c r="AB72" i="29"/>
  <c r="AE71" i="29"/>
  <c r="AK70" i="29"/>
  <c r="AN69" i="29"/>
  <c r="AT68" i="29"/>
  <c r="AW67" i="29"/>
  <c r="W66" i="29"/>
  <c r="Z65" i="29"/>
  <c r="AF64" i="29"/>
  <c r="AI63" i="29"/>
  <c r="AO62" i="29"/>
  <c r="AR61" i="29"/>
  <c r="AX60" i="29"/>
  <c r="AA58" i="29"/>
  <c r="AD57" i="29"/>
  <c r="AJ56" i="29"/>
  <c r="AM55" i="29"/>
  <c r="AS54" i="29"/>
  <c r="AV53" i="29"/>
  <c r="Y51" i="29"/>
  <c r="AE50" i="29"/>
  <c r="AH49" i="29"/>
  <c r="AN48" i="29"/>
  <c r="AQ47" i="29"/>
  <c r="AW46" i="29"/>
  <c r="AZ45" i="29"/>
  <c r="Z44" i="29"/>
  <c r="AC43" i="29"/>
  <c r="AI42" i="29"/>
  <c r="AL41" i="29"/>
  <c r="AR40" i="29"/>
  <c r="AU39" i="29"/>
  <c r="X37" i="29"/>
  <c r="AD36" i="29"/>
  <c r="AG35" i="29"/>
  <c r="AM34" i="29"/>
  <c r="AP33" i="29"/>
  <c r="AV32" i="29"/>
  <c r="AY31" i="29"/>
  <c r="Y30" i="29"/>
  <c r="AB29" i="29"/>
  <c r="AH28" i="29"/>
  <c r="AL77" i="29"/>
  <c r="AO76" i="29"/>
  <c r="AR75" i="29"/>
  <c r="AX74" i="29"/>
  <c r="AA72" i="29"/>
  <c r="AD71" i="29"/>
  <c r="AJ70" i="29"/>
  <c r="AM69" i="29"/>
  <c r="AS68" i="29"/>
  <c r="AV67" i="29"/>
  <c r="Y65" i="29"/>
  <c r="AE64" i="29"/>
  <c r="AH63" i="29"/>
  <c r="AN62" i="29"/>
  <c r="AQ61" i="29"/>
  <c r="AW60" i="29"/>
  <c r="AZ59" i="29"/>
  <c r="Z58" i="29"/>
  <c r="AC57" i="29"/>
  <c r="AI56" i="29"/>
  <c r="AL55" i="29"/>
  <c r="AR54" i="29"/>
  <c r="AU53" i="29"/>
  <c r="X51" i="29"/>
  <c r="AD50" i="29"/>
  <c r="AG49" i="29"/>
  <c r="AM48" i="29"/>
  <c r="AP47" i="29"/>
  <c r="AV46" i="29"/>
  <c r="AY45" i="29"/>
  <c r="Y44" i="29"/>
  <c r="AB43" i="29"/>
  <c r="AH42" i="29"/>
  <c r="AK41" i="29"/>
  <c r="AQ40" i="29"/>
  <c r="AT39" i="29"/>
  <c r="AZ38" i="29"/>
  <c r="W37" i="29"/>
  <c r="AC36" i="29"/>
  <c r="AF35" i="29"/>
  <c r="AL34" i="29"/>
  <c r="AO33" i="29"/>
  <c r="AU32" i="29"/>
  <c r="AX31" i="29"/>
  <c r="X30" i="29"/>
  <c r="AA29" i="29"/>
  <c r="AG28" i="29"/>
  <c r="AJ27" i="29"/>
  <c r="AP26" i="29"/>
  <c r="AS25" i="29"/>
  <c r="AY24" i="29"/>
  <c r="AB22" i="29"/>
  <c r="AE21" i="29"/>
  <c r="AK20" i="29"/>
  <c r="AN19" i="29"/>
  <c r="AT18" i="29"/>
  <c r="AW17" i="29"/>
  <c r="AK77" i="29"/>
  <c r="AN76" i="29"/>
  <c r="AQ75" i="29"/>
  <c r="AW74" i="29"/>
  <c r="AZ73" i="29"/>
  <c r="Z72" i="29"/>
  <c r="AC71" i="29"/>
  <c r="AI70" i="29"/>
  <c r="AL69" i="29"/>
  <c r="AR68" i="29"/>
  <c r="AU67" i="29"/>
  <c r="X65" i="29"/>
  <c r="AD64" i="29"/>
  <c r="AG63" i="29"/>
  <c r="AM62" i="29"/>
  <c r="AP61" i="29"/>
  <c r="AV60" i="29"/>
  <c r="AY59" i="29"/>
  <c r="Y58" i="29"/>
  <c r="AB57" i="29"/>
  <c r="AH56" i="29"/>
  <c r="AK55" i="29"/>
  <c r="AQ54" i="29"/>
  <c r="AT53" i="29"/>
  <c r="AZ52" i="29"/>
  <c r="W51" i="29"/>
  <c r="AC50" i="29"/>
  <c r="AF49" i="29"/>
  <c r="AL48" i="29"/>
  <c r="AO47" i="29"/>
  <c r="AU46" i="29"/>
  <c r="AX45" i="29"/>
  <c r="X44" i="29"/>
  <c r="AA43" i="29"/>
  <c r="AG42" i="29"/>
  <c r="AJ41" i="29"/>
  <c r="AP40" i="29"/>
  <c r="AS39" i="29"/>
  <c r="AY38" i="29"/>
  <c r="AB36" i="29"/>
  <c r="AE35" i="29"/>
  <c r="AK34" i="29"/>
  <c r="AN33" i="29"/>
  <c r="AT32" i="29"/>
  <c r="AW31" i="29"/>
  <c r="W30" i="29"/>
  <c r="Z29" i="29"/>
  <c r="AJ77" i="29"/>
  <c r="AM76" i="29"/>
  <c r="AP75" i="29"/>
  <c r="AV74" i="29"/>
  <c r="AY73" i="29"/>
  <c r="Y72" i="29"/>
  <c r="AB71" i="29"/>
  <c r="AH70" i="29"/>
  <c r="AK69" i="29"/>
  <c r="AQ68" i="29"/>
  <c r="AT67" i="29"/>
  <c r="AZ66" i="29"/>
  <c r="W65" i="29"/>
  <c r="AC64" i="29"/>
  <c r="AF63" i="29"/>
  <c r="AL62" i="29"/>
  <c r="AO61" i="29"/>
  <c r="AU60" i="29"/>
  <c r="AX59" i="29"/>
  <c r="X58" i="29"/>
  <c r="AA57" i="29"/>
  <c r="AG56" i="29"/>
  <c r="AJ55" i="29"/>
  <c r="AP54" i="29"/>
  <c r="AS53" i="29"/>
  <c r="AY52" i="29"/>
  <c r="AB50" i="29"/>
  <c r="AE49" i="29"/>
  <c r="AK48" i="29"/>
  <c r="AN47" i="29"/>
  <c r="AT46" i="29"/>
  <c r="AW45" i="29"/>
  <c r="W44" i="29"/>
  <c r="Z43" i="29"/>
  <c r="AF42" i="29"/>
  <c r="AI41" i="29"/>
  <c r="AO40" i="29"/>
  <c r="AR39" i="29"/>
  <c r="AX38" i="29"/>
  <c r="AA36" i="29"/>
  <c r="AI77" i="29"/>
  <c r="AL76" i="29"/>
  <c r="AO75" i="29"/>
  <c r="AU74" i="29"/>
  <c r="AX73" i="29"/>
  <c r="X72" i="29"/>
  <c r="AA71" i="29"/>
  <c r="AG70" i="29"/>
  <c r="AJ69" i="29"/>
  <c r="AP68" i="29"/>
  <c r="AS67" i="29"/>
  <c r="AY66" i="29"/>
  <c r="AB64" i="29"/>
  <c r="AE63" i="29"/>
  <c r="AK62" i="29"/>
  <c r="AN61" i="29"/>
  <c r="AT60" i="29"/>
  <c r="AW59" i="29"/>
  <c r="W58" i="29"/>
  <c r="Z57" i="29"/>
  <c r="AF56" i="29"/>
  <c r="AI55" i="29"/>
  <c r="AO54" i="29"/>
  <c r="AR53" i="29"/>
  <c r="AX52" i="29"/>
  <c r="AA50" i="29"/>
  <c r="AD49" i="29"/>
  <c r="AJ48" i="29"/>
  <c r="AM47" i="29"/>
  <c r="AS46" i="29"/>
  <c r="AV45" i="29"/>
  <c r="Y43" i="29"/>
  <c r="AH77" i="29"/>
  <c r="AK76" i="29"/>
  <c r="AN75" i="29"/>
  <c r="AT74" i="29"/>
  <c r="AW73" i="29"/>
  <c r="W72" i="29"/>
  <c r="Z71" i="29"/>
  <c r="AF70" i="29"/>
  <c r="AI69" i="29"/>
  <c r="AO68" i="29"/>
  <c r="AR67" i="29"/>
  <c r="AX66" i="29"/>
  <c r="AA64" i="29"/>
  <c r="AD63" i="29"/>
  <c r="AJ62" i="29"/>
  <c r="AM61" i="29"/>
  <c r="AS60" i="29"/>
  <c r="AV59" i="29"/>
  <c r="Y57" i="29"/>
  <c r="AE56" i="29"/>
  <c r="AH55" i="29"/>
  <c r="AN54" i="29"/>
  <c r="AQ53" i="29"/>
  <c r="AW52" i="29"/>
  <c r="AZ51" i="29"/>
  <c r="Z50" i="29"/>
  <c r="AC49" i="29"/>
  <c r="AI48" i="29"/>
  <c r="AL47" i="29"/>
  <c r="AR46" i="29"/>
  <c r="AU45" i="29"/>
  <c r="X43" i="29"/>
  <c r="AD42" i="29"/>
  <c r="AG41" i="29"/>
  <c r="AM40" i="29"/>
  <c r="AP39" i="29"/>
  <c r="AV38" i="29"/>
  <c r="AY37" i="29"/>
  <c r="Y36" i="29"/>
  <c r="AB35" i="29"/>
  <c r="AH34" i="29"/>
  <c r="AK33" i="29"/>
  <c r="AQ32" i="29"/>
  <c r="AT31" i="29"/>
  <c r="AZ30" i="29"/>
  <c r="W29" i="29"/>
  <c r="AC28" i="29"/>
  <c r="AF27" i="29"/>
  <c r="AL26" i="29"/>
  <c r="AO25" i="29"/>
  <c r="AU24" i="29"/>
  <c r="AX23" i="29"/>
  <c r="X22" i="29"/>
  <c r="AA21" i="29"/>
  <c r="AG20" i="29"/>
  <c r="AJ19" i="29"/>
  <c r="AG77" i="29"/>
  <c r="AJ76" i="29"/>
  <c r="AM75" i="29"/>
  <c r="AS74" i="29"/>
  <c r="AV73" i="29"/>
  <c r="Y71" i="29"/>
  <c r="AE70" i="29"/>
  <c r="AH69" i="29"/>
  <c r="AN68" i="29"/>
  <c r="AQ67" i="29"/>
  <c r="AW66" i="29"/>
  <c r="AZ65" i="29"/>
  <c r="Z64" i="29"/>
  <c r="AC63" i="29"/>
  <c r="AI62" i="29"/>
  <c r="AL61" i="29"/>
  <c r="AR60" i="29"/>
  <c r="AU59" i="29"/>
  <c r="X57" i="29"/>
  <c r="AD56" i="29"/>
  <c r="AG55" i="29"/>
  <c r="AM54" i="29"/>
  <c r="AP53" i="29"/>
  <c r="AV52" i="29"/>
  <c r="AY51" i="29"/>
  <c r="Y50" i="29"/>
  <c r="AB49" i="29"/>
  <c r="AH48" i="29"/>
  <c r="AK47" i="29"/>
  <c r="AQ46" i="29"/>
  <c r="AT45" i="29"/>
  <c r="AZ44" i="29"/>
  <c r="W43" i="29"/>
  <c r="AC42" i="29"/>
  <c r="AF41" i="29"/>
  <c r="AL40" i="29"/>
  <c r="AO39" i="29"/>
  <c r="AU38" i="29"/>
  <c r="AX37" i="29"/>
  <c r="X36" i="29"/>
  <c r="AA35" i="29"/>
  <c r="AG34" i="29"/>
  <c r="AJ33" i="29"/>
  <c r="AP32" i="29"/>
  <c r="AS31" i="29"/>
  <c r="AY30" i="29"/>
  <c r="AB28" i="29"/>
  <c r="AE27" i="29"/>
  <c r="AK26" i="29"/>
  <c r="AN25" i="29"/>
  <c r="AT24" i="29"/>
  <c r="AW23" i="29"/>
  <c r="AF77" i="29"/>
  <c r="AI76" i="29"/>
  <c r="AL75" i="29"/>
  <c r="AR74" i="29"/>
  <c r="AU73" i="29"/>
  <c r="X71" i="29"/>
  <c r="AD70" i="29"/>
  <c r="AG69" i="29"/>
  <c r="AM68" i="29"/>
  <c r="AP67" i="29"/>
  <c r="AV66" i="29"/>
  <c r="AY65" i="29"/>
  <c r="Y64" i="29"/>
  <c r="AB63" i="29"/>
  <c r="AH62" i="29"/>
  <c r="AK61" i="29"/>
  <c r="AQ60" i="29"/>
  <c r="AT59" i="29"/>
  <c r="AZ58" i="29"/>
  <c r="W57" i="29"/>
  <c r="AC56" i="29"/>
  <c r="AF55" i="29"/>
  <c r="AL54" i="29"/>
  <c r="AO53" i="29"/>
  <c r="AU52" i="29"/>
  <c r="AX51" i="29"/>
  <c r="X50" i="29"/>
  <c r="AA49" i="29"/>
  <c r="AG48" i="29"/>
  <c r="AJ47" i="29"/>
  <c r="AP46" i="29"/>
  <c r="AS45" i="29"/>
  <c r="AY44" i="29"/>
  <c r="AB42" i="29"/>
  <c r="AE41" i="29"/>
  <c r="AK40" i="29"/>
  <c r="AN39" i="29"/>
  <c r="AT38" i="29"/>
  <c r="AE77" i="29"/>
  <c r="AH76" i="29"/>
  <c r="AK75" i="29"/>
  <c r="AQ74" i="29"/>
  <c r="AT73" i="29"/>
  <c r="AZ72" i="29"/>
  <c r="W71" i="29"/>
  <c r="AC70" i="29"/>
  <c r="AF69" i="29"/>
  <c r="AL68" i="29"/>
  <c r="AO67" i="29"/>
  <c r="AU66" i="29"/>
  <c r="AX65" i="29"/>
  <c r="X64" i="29"/>
  <c r="AA63" i="29"/>
  <c r="AG62" i="29"/>
  <c r="AJ61" i="29"/>
  <c r="AP60" i="29"/>
  <c r="AS59" i="29"/>
  <c r="AY58" i="29"/>
  <c r="AB56" i="29"/>
  <c r="AE55" i="29"/>
  <c r="AK54" i="29"/>
  <c r="AN53" i="29"/>
  <c r="AT52" i="29"/>
  <c r="AW51" i="29"/>
  <c r="W50" i="29"/>
  <c r="Z49" i="29"/>
  <c r="AD77" i="29"/>
  <c r="AG76" i="29"/>
  <c r="AJ75" i="29"/>
  <c r="AP74" i="29"/>
  <c r="AS73" i="29"/>
  <c r="AY72" i="29"/>
  <c r="AB70" i="29"/>
  <c r="AE69" i="29"/>
  <c r="AK68" i="29"/>
  <c r="AN67" i="29"/>
  <c r="AT66" i="29"/>
  <c r="AW65" i="29"/>
  <c r="W64" i="29"/>
  <c r="Z63" i="29"/>
  <c r="AF62" i="29"/>
  <c r="AI61" i="29"/>
  <c r="AO60" i="29"/>
  <c r="AR59" i="29"/>
  <c r="AX58" i="29"/>
  <c r="AA56" i="29"/>
  <c r="AD55" i="29"/>
  <c r="AJ54" i="29"/>
  <c r="AM53" i="29"/>
  <c r="AS52" i="29"/>
  <c r="AV51" i="29"/>
  <c r="Y49" i="29"/>
  <c r="AE48" i="29"/>
  <c r="AH47" i="29"/>
  <c r="AN46" i="29"/>
  <c r="AQ45" i="29"/>
  <c r="AW44" i="29"/>
  <c r="AZ43" i="29"/>
  <c r="Z42" i="29"/>
  <c r="AC41" i="29"/>
  <c r="AI40" i="29"/>
  <c r="AL39" i="29"/>
  <c r="AR38" i="29"/>
  <c r="AU37" i="29"/>
  <c r="X35" i="29"/>
  <c r="AD34" i="29"/>
  <c r="AC77" i="29"/>
  <c r="AF76" i="29"/>
  <c r="AI75" i="29"/>
  <c r="AO74" i="29"/>
  <c r="AR73" i="29"/>
  <c r="AX72" i="29"/>
  <c r="AA70" i="29"/>
  <c r="AD69" i="29"/>
  <c r="AJ68" i="29"/>
  <c r="AM67" i="29"/>
  <c r="AS66" i="29"/>
  <c r="AV65" i="29"/>
  <c r="Y63" i="29"/>
  <c r="AE62" i="29"/>
  <c r="AH61" i="29"/>
  <c r="AN60" i="29"/>
  <c r="AQ59" i="29"/>
  <c r="AW58" i="29"/>
  <c r="AZ57" i="29"/>
  <c r="Z56" i="29"/>
  <c r="AC55" i="29"/>
  <c r="AI54" i="29"/>
  <c r="AL53" i="29"/>
  <c r="AR52" i="29"/>
  <c r="AU51" i="29"/>
  <c r="X49" i="29"/>
  <c r="AD48" i="29"/>
  <c r="AG47" i="29"/>
  <c r="AM46" i="29"/>
  <c r="AP45" i="29"/>
  <c r="AV44" i="29"/>
  <c r="AY43" i="29"/>
  <c r="Y42" i="29"/>
  <c r="AB41" i="29"/>
  <c r="AH40" i="29"/>
  <c r="AK39" i="29"/>
  <c r="AQ38" i="29"/>
  <c r="AT37" i="29"/>
  <c r="AZ36" i="29"/>
  <c r="AB77" i="29"/>
  <c r="AE76" i="29"/>
  <c r="AH75" i="29"/>
  <c r="AN74" i="29"/>
  <c r="AQ73" i="29"/>
  <c r="AW72" i="29"/>
  <c r="AZ71" i="29"/>
  <c r="Z70" i="29"/>
  <c r="AC69" i="29"/>
  <c r="AI68" i="29"/>
  <c r="AL67" i="29"/>
  <c r="AR66" i="29"/>
  <c r="AU65" i="29"/>
  <c r="X63" i="29"/>
  <c r="AD62" i="29"/>
  <c r="AG61" i="29"/>
  <c r="AM60" i="29"/>
  <c r="AP59" i="29"/>
  <c r="AV58" i="29"/>
  <c r="AY57" i="29"/>
  <c r="Y56" i="29"/>
  <c r="AB55" i="29"/>
  <c r="AA77" i="29"/>
  <c r="AD76" i="29"/>
  <c r="AG75" i="29"/>
  <c r="AM74" i="29"/>
  <c r="AP73" i="29"/>
  <c r="AV72" i="29"/>
  <c r="AY71" i="29"/>
  <c r="Y70" i="29"/>
  <c r="AB69" i="29"/>
  <c r="AH68" i="29"/>
  <c r="AK67" i="29"/>
  <c r="AQ66" i="29"/>
  <c r="AT65" i="29"/>
  <c r="AZ64" i="29"/>
  <c r="W63" i="29"/>
  <c r="AC62" i="29"/>
  <c r="AF61" i="29"/>
  <c r="AL60" i="29"/>
  <c r="AO59" i="29"/>
  <c r="AU58" i="29"/>
  <c r="AX57" i="29"/>
  <c r="X56" i="29"/>
  <c r="AA55" i="29"/>
  <c r="AG54" i="29"/>
  <c r="AJ53" i="29"/>
  <c r="AP52" i="29"/>
  <c r="AS51" i="29"/>
  <c r="AY50" i="29"/>
  <c r="AB48" i="29"/>
  <c r="Z77" i="29"/>
  <c r="AC76" i="29"/>
  <c r="AF75" i="29"/>
  <c r="AL74" i="29"/>
  <c r="AO73" i="29"/>
  <c r="AU72" i="29"/>
  <c r="AX71" i="29"/>
  <c r="X70" i="29"/>
  <c r="AA69" i="29"/>
  <c r="AG68" i="29"/>
  <c r="AJ67" i="29"/>
  <c r="AP66" i="29"/>
  <c r="AS65" i="29"/>
  <c r="AY64" i="29"/>
  <c r="AB62" i="29"/>
  <c r="AE61" i="29"/>
  <c r="AK60" i="29"/>
  <c r="AN59" i="29"/>
  <c r="AT58" i="29"/>
  <c r="AW57" i="29"/>
  <c r="W56" i="29"/>
  <c r="Z55" i="29"/>
  <c r="AF54" i="29"/>
  <c r="AI53" i="29"/>
  <c r="AO52" i="29"/>
  <c r="AR51" i="29"/>
  <c r="AX50" i="29"/>
  <c r="AA48" i="29"/>
  <c r="AD47" i="29"/>
  <c r="AJ46" i="29"/>
  <c r="AM45" i="29"/>
  <c r="AS44" i="29"/>
  <c r="AV43" i="29"/>
  <c r="Y41" i="29"/>
  <c r="AE40" i="29"/>
  <c r="AH39" i="29"/>
  <c r="AN38" i="29"/>
  <c r="AQ37" i="29"/>
  <c r="AW36" i="29"/>
  <c r="AZ35" i="29"/>
  <c r="Y77" i="29"/>
  <c r="AB76" i="29"/>
  <c r="AE75" i="29"/>
  <c r="AK74" i="29"/>
  <c r="AN73" i="29"/>
  <c r="AT72" i="29"/>
  <c r="AW71" i="29"/>
  <c r="W70" i="29"/>
  <c r="Z69" i="29"/>
  <c r="AF68" i="29"/>
  <c r="AI67" i="29"/>
  <c r="AO66" i="29"/>
  <c r="AR65" i="29"/>
  <c r="AX64" i="29"/>
  <c r="AA62" i="29"/>
  <c r="AD61" i="29"/>
  <c r="AJ60" i="29"/>
  <c r="AM59" i="29"/>
  <c r="AS58" i="29"/>
  <c r="AV57" i="29"/>
  <c r="Y55" i="29"/>
  <c r="AE54" i="29"/>
  <c r="AH53" i="29"/>
  <c r="AN52" i="29"/>
  <c r="AQ51" i="29"/>
  <c r="AW50" i="29"/>
  <c r="AZ49" i="29"/>
  <c r="Z48" i="29"/>
  <c r="AC47" i="29"/>
  <c r="AI46" i="29"/>
  <c r="AL45" i="29"/>
  <c r="AR44" i="29"/>
  <c r="AU43" i="29"/>
  <c r="X41" i="29"/>
  <c r="AD40" i="29"/>
  <c r="X77" i="29"/>
  <c r="AR72" i="29"/>
  <c r="AH67" i="29"/>
  <c r="AP58" i="29"/>
  <c r="AK53" i="29"/>
  <c r="AX49" i="29"/>
  <c r="AF46" i="29"/>
  <c r="Z40" i="29"/>
  <c r="AN37" i="29"/>
  <c r="Z33" i="29"/>
  <c r="AK31" i="29"/>
  <c r="AT29" i="29"/>
  <c r="AM26" i="29"/>
  <c r="AB25" i="29"/>
  <c r="AS23" i="29"/>
  <c r="AP22" i="29"/>
  <c r="AB21" i="29"/>
  <c r="Y20" i="29"/>
  <c r="AZ14" i="29"/>
  <c r="AY13" i="29"/>
  <c r="AX12" i="29"/>
  <c r="AS11" i="29"/>
  <c r="AS10" i="29"/>
  <c r="AS9" i="29"/>
  <c r="AS8" i="29"/>
  <c r="AS7" i="29"/>
  <c r="AS6" i="29"/>
  <c r="AT5" i="29"/>
  <c r="AU4" i="29"/>
  <c r="AI9" i="29"/>
  <c r="AH6" i="29"/>
  <c r="AG4" i="29"/>
  <c r="AE9" i="29"/>
  <c r="AM16" i="29"/>
  <c r="AF14" i="29"/>
  <c r="Y7" i="29"/>
  <c r="AC15" i="29"/>
  <c r="W5" i="29"/>
  <c r="AI25" i="29"/>
  <c r="AW37" i="29"/>
  <c r="AS50" i="29"/>
  <c r="AX5" i="29"/>
  <c r="AV10" i="29"/>
  <c r="AU23" i="29"/>
  <c r="AO37" i="29"/>
  <c r="W77" i="29"/>
  <c r="AQ72" i="29"/>
  <c r="AG67" i="29"/>
  <c r="AO58" i="29"/>
  <c r="AG53" i="29"/>
  <c r="AW49" i="29"/>
  <c r="AE46" i="29"/>
  <c r="AZ42" i="29"/>
  <c r="AM37" i="29"/>
  <c r="Y33" i="29"/>
  <c r="AJ31" i="29"/>
  <c r="AS29" i="29"/>
  <c r="AJ26" i="29"/>
  <c r="AR23" i="29"/>
  <c r="AG22" i="29"/>
  <c r="Z21" i="29"/>
  <c r="X20" i="29"/>
  <c r="AZ17" i="29"/>
  <c r="AZ15" i="29"/>
  <c r="AY14" i="29"/>
  <c r="AX13" i="29"/>
  <c r="AW12" i="29"/>
  <c r="AR11" i="29"/>
  <c r="AR10" i="29"/>
  <c r="AR9" i="29"/>
  <c r="AR8" i="29"/>
  <c r="AR7" i="29"/>
  <c r="AR6" i="29"/>
  <c r="AS5" i="29"/>
  <c r="AT4" i="29"/>
  <c r="AH11" i="29"/>
  <c r="AG7" i="29"/>
  <c r="AF12" i="29"/>
  <c r="AD11" i="29"/>
  <c r="AK19" i="29"/>
  <c r="AB9" i="29"/>
  <c r="AD16" i="29"/>
  <c r="AA15" i="29"/>
  <c r="AF20" i="29"/>
  <c r="AT26" i="29"/>
  <c r="AL46" i="29"/>
  <c r="AV23" i="29"/>
  <c r="AP72" i="29"/>
  <c r="AF67" i="29"/>
  <c r="AF53" i="29"/>
  <c r="AV49" i="29"/>
  <c r="AY42" i="29"/>
  <c r="AQ39" i="29"/>
  <c r="AL37" i="29"/>
  <c r="X33" i="29"/>
  <c r="AI31" i="29"/>
  <c r="AR29" i="29"/>
  <c r="AZ27" i="29"/>
  <c r="AI26" i="29"/>
  <c r="AQ23" i="29"/>
  <c r="AF22" i="29"/>
  <c r="Y21" i="29"/>
  <c r="W20" i="29"/>
  <c r="AY17" i="29"/>
  <c r="AZ16" i="29"/>
  <c r="AY15" i="29"/>
  <c r="AX14" i="29"/>
  <c r="AW13" i="29"/>
  <c r="AV12" i="29"/>
  <c r="AQ11" i="29"/>
  <c r="AQ10" i="29"/>
  <c r="AQ9" i="29"/>
  <c r="AQ8" i="29"/>
  <c r="AQ7" i="29"/>
  <c r="AQ6" i="29"/>
  <c r="AR5" i="29"/>
  <c r="AS4" i="29"/>
  <c r="AP4" i="29"/>
  <c r="AM4" i="29"/>
  <c r="AL13" i="29"/>
  <c r="AJ4" i="29"/>
  <c r="AI12" i="29"/>
  <c r="AG8" i="29"/>
  <c r="AF4" i="29"/>
  <c r="AE12" i="29"/>
  <c r="AJ17" i="29"/>
  <c r="AB4" i="29"/>
  <c r="AF19" i="29"/>
  <c r="X14" i="29"/>
  <c r="AJ73" i="29"/>
  <c r="AG21" i="29"/>
  <c r="AW5" i="29"/>
  <c r="AU9" i="29"/>
  <c r="AA40" i="29"/>
  <c r="AE67" i="29"/>
  <c r="AU57" i="29"/>
  <c r="AE53" i="29"/>
  <c r="W49" i="29"/>
  <c r="AR45" i="29"/>
  <c r="AX42" i="29"/>
  <c r="AM39" i="29"/>
  <c r="AH31" i="29"/>
  <c r="AQ29" i="29"/>
  <c r="AY27" i="29"/>
  <c r="AH26" i="29"/>
  <c r="AP23" i="29"/>
  <c r="AE22" i="29"/>
  <c r="X21" i="29"/>
  <c r="AX17" i="29"/>
  <c r="AY16" i="29"/>
  <c r="AX15" i="29"/>
  <c r="AW14" i="29"/>
  <c r="AV13" i="29"/>
  <c r="AU12" i="29"/>
  <c r="AP11" i="29"/>
  <c r="AP10" i="29"/>
  <c r="AP9" i="29"/>
  <c r="AP8" i="29"/>
  <c r="AP7" i="29"/>
  <c r="AP6" i="29"/>
  <c r="AQ5" i="29"/>
  <c r="AR4" i="29"/>
  <c r="AO10" i="29"/>
  <c r="AO8" i="29"/>
  <c r="AO6" i="29"/>
  <c r="AQ4" i="29"/>
  <c r="AU14" i="29"/>
  <c r="AO12" i="29"/>
  <c r="AN9" i="29"/>
  <c r="AN6" i="29"/>
  <c r="AK10" i="29"/>
  <c r="AQ17" i="29"/>
  <c r="AJ10" i="29"/>
  <c r="AI11" i="29"/>
  <c r="AI4" i="29"/>
  <c r="AJ14" i="29"/>
  <c r="AF10" i="29"/>
  <c r="AE7" i="29"/>
  <c r="AL19" i="29"/>
  <c r="AD4" i="29"/>
  <c r="AD12" i="29"/>
  <c r="Z6" i="29"/>
  <c r="W7" i="29"/>
  <c r="W6" i="29"/>
  <c r="X17" i="29"/>
  <c r="AZ7" i="29"/>
  <c r="AF33" i="29"/>
  <c r="AY6" i="29"/>
  <c r="AY4" i="29"/>
  <c r="W19" i="29"/>
  <c r="AU6" i="29"/>
  <c r="AT8" i="29"/>
  <c r="AV71" i="29"/>
  <c r="Z62" i="29"/>
  <c r="AT57" i="29"/>
  <c r="AD53" i="29"/>
  <c r="AO45" i="29"/>
  <c r="AW42" i="29"/>
  <c r="AJ39" i="29"/>
  <c r="AG31" i="29"/>
  <c r="AP29" i="29"/>
  <c r="AM27" i="29"/>
  <c r="AG26" i="29"/>
  <c r="AO23" i="29"/>
  <c r="AD22" i="29"/>
  <c r="W21" i="29"/>
  <c r="AZ18" i="29"/>
  <c r="AV17" i="29"/>
  <c r="AX16" i="29"/>
  <c r="AW15" i="29"/>
  <c r="AV14" i="29"/>
  <c r="AU13" i="29"/>
  <c r="AP12" i="29"/>
  <c r="AO11" i="29"/>
  <c r="AO9" i="29"/>
  <c r="AO7" i="29"/>
  <c r="AP5" i="29"/>
  <c r="AV15" i="29"/>
  <c r="AN11" i="29"/>
  <c r="AN8" i="29"/>
  <c r="AO5" i="29"/>
  <c r="AK9" i="29"/>
  <c r="AU18" i="29"/>
  <c r="AJ9" i="29"/>
  <c r="AJ12" i="29"/>
  <c r="AH9" i="29"/>
  <c r="AG11" i="29"/>
  <c r="AF8" i="29"/>
  <c r="AE4" i="29"/>
  <c r="AK17" i="29"/>
  <c r="AY21" i="29"/>
  <c r="AA6" i="29"/>
  <c r="Z9" i="29"/>
  <c r="X5" i="29"/>
  <c r="AD17" i="29"/>
  <c r="AE18" i="29"/>
  <c r="AZ6" i="29"/>
  <c r="AD35" i="29"/>
  <c r="AA18" i="29"/>
  <c r="AK46" i="29"/>
  <c r="AV6" i="29"/>
  <c r="AZ12" i="29"/>
  <c r="AS72" i="29"/>
  <c r="AU5" i="29"/>
  <c r="AA76" i="29"/>
  <c r="AU71" i="29"/>
  <c r="Y62" i="29"/>
  <c r="AS57" i="29"/>
  <c r="AN45" i="29"/>
  <c r="AE42" i="29"/>
  <c r="AI39" i="29"/>
  <c r="AD29" i="29"/>
  <c r="AL27" i="29"/>
  <c r="AF26" i="29"/>
  <c r="AZ24" i="29"/>
  <c r="AN23" i="29"/>
  <c r="AC22" i="29"/>
  <c r="AY18" i="29"/>
  <c r="AU17" i="29"/>
  <c r="AW16" i="29"/>
  <c r="AT13" i="29"/>
  <c r="AN10" i="29"/>
  <c r="AN7" i="29"/>
  <c r="AK7" i="29"/>
  <c r="AR15" i="29"/>
  <c r="AJ7" i="29"/>
  <c r="AI6" i="29"/>
  <c r="AG5" i="29"/>
  <c r="AF5" i="29"/>
  <c r="AE10" i="29"/>
  <c r="AL15" i="29"/>
  <c r="AE13" i="29"/>
  <c r="AB11" i="29"/>
  <c r="AF17" i="29"/>
  <c r="X12" i="29"/>
  <c r="AR43" i="29"/>
  <c r="Z35" i="29"/>
  <c r="AB40" i="29"/>
  <c r="AQ58" i="29"/>
  <c r="Z76" i="29"/>
  <c r="AT71" i="29"/>
  <c r="X62" i="29"/>
  <c r="AR57" i="29"/>
  <c r="AK45" i="29"/>
  <c r="AA42" i="29"/>
  <c r="AG39" i="29"/>
  <c r="AJ34" i="29"/>
  <c r="Y29" i="29"/>
  <c r="AK27" i="29"/>
  <c r="AE26" i="29"/>
  <c r="AX24" i="29"/>
  <c r="AM23" i="29"/>
  <c r="AA22" i="29"/>
  <c r="AX18" i="29"/>
  <c r="AT17" i="29"/>
  <c r="AV16" i="29"/>
  <c r="AU15" i="29"/>
  <c r="AT14" i="29"/>
  <c r="AS13" i="29"/>
  <c r="AN12" i="29"/>
  <c r="AM11" i="29"/>
  <c r="AM10" i="29"/>
  <c r="AM9" i="29"/>
  <c r="AM8" i="29"/>
  <c r="AM7" i="29"/>
  <c r="AM6" i="29"/>
  <c r="AN5" i="29"/>
  <c r="AO4" i="29"/>
  <c r="AL11" i="29"/>
  <c r="AL9" i="29"/>
  <c r="AL7" i="29"/>
  <c r="AM5" i="29"/>
  <c r="AN4" i="29"/>
  <c r="AL5" i="29"/>
  <c r="AQ14" i="29"/>
  <c r="AJ6" i="29"/>
  <c r="AI8" i="29"/>
  <c r="AH8" i="29"/>
  <c r="AH12" i="29"/>
  <c r="AF7" i="29"/>
  <c r="AD5" i="29"/>
  <c r="AN18" i="29"/>
  <c r="AB5" i="29"/>
  <c r="X8" i="29"/>
  <c r="X11" i="29"/>
  <c r="AC17" i="29"/>
  <c r="Z28" i="29"/>
  <c r="AJ40" i="29"/>
  <c r="AY8" i="29"/>
  <c r="AC20" i="29"/>
  <c r="AW7" i="29"/>
  <c r="AV7" i="29"/>
  <c r="AB33" i="29"/>
  <c r="AW4" i="29"/>
  <c r="AT7" i="29"/>
  <c r="Y76" i="29"/>
  <c r="AS71" i="29"/>
  <c r="W62" i="29"/>
  <c r="AJ45" i="29"/>
  <c r="X42" i="29"/>
  <c r="AF39" i="29"/>
  <c r="AI34" i="29"/>
  <c r="AX32" i="29"/>
  <c r="X29" i="29"/>
  <c r="AI27" i="29"/>
  <c r="AD26" i="29"/>
  <c r="AW24" i="29"/>
  <c r="AL23" i="29"/>
  <c r="Z22" i="29"/>
  <c r="AW18" i="29"/>
  <c r="AS17" i="29"/>
  <c r="AU16" i="29"/>
  <c r="AT15" i="29"/>
  <c r="AS14" i="29"/>
  <c r="AR13" i="29"/>
  <c r="AM12" i="29"/>
  <c r="AL10" i="29"/>
  <c r="AL8" i="29"/>
  <c r="AL6" i="29"/>
  <c r="AK8" i="29"/>
  <c r="AS16" i="29"/>
  <c r="AJ8" i="29"/>
  <c r="AI7" i="29"/>
  <c r="AH4" i="29"/>
  <c r="AG12" i="29"/>
  <c r="AE8" i="29"/>
  <c r="AF13" i="29"/>
  <c r="AM18" i="29"/>
  <c r="AB8" i="29"/>
  <c r="AB14" i="29"/>
  <c r="X4" i="29"/>
  <c r="W15" i="29"/>
  <c r="AX29" i="29"/>
  <c r="AW6" i="29"/>
  <c r="AZ11" i="29"/>
  <c r="AD25" i="29"/>
  <c r="AT9" i="29"/>
  <c r="X76" i="29"/>
  <c r="AN66" i="29"/>
  <c r="AI45" i="29"/>
  <c r="W42" i="29"/>
  <c r="AE39" i="29"/>
  <c r="AY36" i="29"/>
  <c r="AF34" i="29"/>
  <c r="AS32" i="29"/>
  <c r="AH27" i="29"/>
  <c r="AC26" i="29"/>
  <c r="AV24" i="29"/>
  <c r="AK23" i="29"/>
  <c r="Y22" i="29"/>
  <c r="AT19" i="29"/>
  <c r="AV18" i="29"/>
  <c r="AR17" i="29"/>
  <c r="AT16" i="29"/>
  <c r="AS15" i="29"/>
  <c r="AR14" i="29"/>
  <c r="AM13" i="29"/>
  <c r="AL12" i="29"/>
  <c r="AK11" i="29"/>
  <c r="AK6" i="29"/>
  <c r="AK12" i="29"/>
  <c r="AK5" i="29"/>
  <c r="AH10" i="29"/>
  <c r="AG9" i="29"/>
  <c r="AE5" i="29"/>
  <c r="AZ21" i="29"/>
  <c r="AB6" i="29"/>
  <c r="AC10" i="29"/>
  <c r="Z5" i="29"/>
  <c r="AA13" i="29"/>
  <c r="Z15" i="29"/>
  <c r="W17" i="29"/>
  <c r="AV22" i="29"/>
  <c r="AX63" i="29"/>
  <c r="AW8" i="29"/>
  <c r="AV8" i="29"/>
  <c r="AD21" i="29"/>
  <c r="AY49" i="29"/>
  <c r="AM66" i="29"/>
  <c r="AC61" i="29"/>
  <c r="AQ52" i="29"/>
  <c r="AF48" i="29"/>
  <c r="AH45" i="29"/>
  <c r="AD39" i="29"/>
  <c r="AX36" i="29"/>
  <c r="AE34" i="29"/>
  <c r="AR32" i="29"/>
  <c r="AG27" i="29"/>
  <c r="AB26" i="29"/>
  <c r="AS24" i="29"/>
  <c r="AJ23" i="29"/>
  <c r="W22" i="29"/>
  <c r="AS19" i="29"/>
  <c r="AJ11" i="29"/>
  <c r="AI10" i="29"/>
  <c r="AH7" i="29"/>
  <c r="AG6" i="29"/>
  <c r="AE11" i="29"/>
  <c r="AG14" i="29"/>
  <c r="AG15" i="29"/>
  <c r="AC4" i="29"/>
  <c r="X6" i="29"/>
  <c r="Z13" i="29"/>
  <c r="AA19" i="29"/>
  <c r="Y28" i="29"/>
  <c r="AC54" i="29"/>
  <c r="AE25" i="29"/>
  <c r="AA54" i="29"/>
  <c r="AC25" i="29"/>
  <c r="AD75" i="29"/>
  <c r="AL66" i="29"/>
  <c r="AB61" i="29"/>
  <c r="AM52" i="29"/>
  <c r="AC48" i="29"/>
  <c r="AC39" i="29"/>
  <c r="AV36" i="29"/>
  <c r="AC34" i="29"/>
  <c r="AO32" i="29"/>
  <c r="AX30" i="29"/>
  <c r="AD27" i="29"/>
  <c r="AA26" i="29"/>
  <c r="AR24" i="29"/>
  <c r="AA23" i="29"/>
  <c r="AR19" i="29"/>
  <c r="AS18" i="29"/>
  <c r="AP17" i="29"/>
  <c r="AR16" i="29"/>
  <c r="AQ15" i="29"/>
  <c r="AP14" i="29"/>
  <c r="AK13" i="29"/>
  <c r="AJ5" i="29"/>
  <c r="AI13" i="29"/>
  <c r="AG13" i="29"/>
  <c r="AD10" i="29"/>
  <c r="AL24" i="29"/>
  <c r="AA5" i="29"/>
  <c r="AM20" i="29"/>
  <c r="Y13" i="29"/>
  <c r="Y16" i="29"/>
  <c r="AH25" i="29"/>
  <c r="AW9" i="29"/>
  <c r="AS22" i="29"/>
  <c r="AR58" i="29"/>
  <c r="AU29" i="29"/>
  <c r="AC75" i="29"/>
  <c r="AK66" i="29"/>
  <c r="AA61" i="29"/>
  <c r="AZ56" i="29"/>
  <c r="AL52" i="29"/>
  <c r="Y48" i="29"/>
  <c r="AU36" i="29"/>
  <c r="AB34" i="29"/>
  <c r="AN32" i="29"/>
  <c r="AW30" i="29"/>
  <c r="AC27" i="29"/>
  <c r="Z26" i="29"/>
  <c r="AQ24" i="29"/>
  <c r="Z23" i="29"/>
  <c r="AQ19" i="29"/>
  <c r="AR18" i="29"/>
  <c r="AO17" i="29"/>
  <c r="AQ16" i="29"/>
  <c r="AP15" i="29"/>
  <c r="AO14" i="29"/>
  <c r="AJ13" i="29"/>
  <c r="AG10" i="29"/>
  <c r="AD6" i="29"/>
  <c r="AX20" i="29"/>
  <c r="AC5" i="29"/>
  <c r="AC11" i="29"/>
  <c r="X7" i="29"/>
  <c r="Y9" i="29"/>
  <c r="W10" i="29"/>
  <c r="W13" i="29"/>
  <c r="AF40" i="29"/>
  <c r="AW29" i="29"/>
  <c r="AB68" i="29"/>
  <c r="AG46" i="29"/>
  <c r="AB75" i="29"/>
  <c r="AZ70" i="29"/>
  <c r="Z61" i="29"/>
  <c r="AY56" i="29"/>
  <c r="AK52" i="29"/>
  <c r="X48" i="29"/>
  <c r="AZ41" i="29"/>
  <c r="AT36" i="29"/>
  <c r="AA34" i="29"/>
  <c r="AM32" i="29"/>
  <c r="AV30" i="29"/>
  <c r="AB27" i="29"/>
  <c r="Y26" i="29"/>
  <c r="AP24" i="29"/>
  <c r="Y23" i="29"/>
  <c r="AP19" i="29"/>
  <c r="AQ18" i="29"/>
  <c r="AN17" i="29"/>
  <c r="AP16" i="29"/>
  <c r="AO15" i="29"/>
  <c r="AF9" i="29"/>
  <c r="AM24" i="29"/>
  <c r="AD8" i="29"/>
  <c r="AC8" i="29"/>
  <c r="AA4" i="29"/>
  <c r="Y11" i="29"/>
  <c r="AA16" i="29"/>
  <c r="W14" i="29"/>
  <c r="AZ29" i="29"/>
  <c r="AD33" i="29"/>
  <c r="AQ26" i="29"/>
  <c r="AV5" i="29"/>
  <c r="AX11" i="29"/>
  <c r="AA75" i="29"/>
  <c r="AY70" i="29"/>
  <c r="AQ65" i="29"/>
  <c r="AX56" i="29"/>
  <c r="AJ52" i="29"/>
  <c r="W48" i="29"/>
  <c r="AH41" i="29"/>
  <c r="AS36" i="29"/>
  <c r="Z34" i="29"/>
  <c r="AL32" i="29"/>
  <c r="AU30" i="29"/>
  <c r="AA27" i="29"/>
  <c r="AO24" i="29"/>
  <c r="X23" i="29"/>
  <c r="AZ20" i="29"/>
  <c r="AO19" i="29"/>
  <c r="AP18" i="29"/>
  <c r="AM17" i="29"/>
  <c r="AO16" i="29"/>
  <c r="AN15" i="29"/>
  <c r="AI14" i="29"/>
  <c r="AH13" i="29"/>
  <c r="AF11" i="29"/>
  <c r="AV25" i="29"/>
  <c r="AD7" i="29"/>
  <c r="AC9" i="29"/>
  <c r="Y6" i="29"/>
  <c r="Y10" i="29"/>
  <c r="W11" i="29"/>
  <c r="AD18" i="29"/>
  <c r="AZ4" i="29"/>
  <c r="AV9" i="29"/>
  <c r="AR22" i="29"/>
  <c r="AY12" i="29"/>
  <c r="AP65" i="29"/>
  <c r="AX44" i="29"/>
  <c r="AD41" i="29"/>
  <c r="AR36" i="29"/>
  <c r="Y34" i="29"/>
  <c r="AK32" i="29"/>
  <c r="AT30" i="29"/>
  <c r="Z27" i="29"/>
  <c r="AW25" i="29"/>
  <c r="AN24" i="29"/>
  <c r="W23" i="29"/>
  <c r="AY20" i="29"/>
  <c r="AM19" i="29"/>
  <c r="AO18" i="29"/>
  <c r="AL17" i="29"/>
  <c r="AN16" i="29"/>
  <c r="AM15" i="29"/>
  <c r="AH14" i="29"/>
  <c r="AC6" i="29"/>
  <c r="AD9" i="29"/>
  <c r="AL16" i="29"/>
  <c r="AB10" i="29"/>
  <c r="AI18" i="29"/>
  <c r="Y14" i="29"/>
  <c r="AW22" i="29"/>
  <c r="AQ31" i="29"/>
  <c r="AS37" i="29"/>
  <c r="AC40" i="29"/>
  <c r="AZ13" i="29"/>
  <c r="AO65" i="29"/>
  <c r="AT51" i="29"/>
  <c r="AU44" i="29"/>
  <c r="AA41" i="29"/>
  <c r="AW38" i="29"/>
  <c r="Z36" i="29"/>
  <c r="X34" i="29"/>
  <c r="AJ32" i="29"/>
  <c r="AS30" i="29"/>
  <c r="AZ28" i="29"/>
  <c r="Y27" i="29"/>
  <c r="X10" i="29"/>
  <c r="AU50" i="29"/>
  <c r="AT22" i="29"/>
  <c r="AR37" i="29"/>
  <c r="W35" i="29"/>
  <c r="AL31" i="29"/>
  <c r="AN65" i="29"/>
  <c r="AP51" i="29"/>
  <c r="AI47" i="29"/>
  <c r="AT44" i="29"/>
  <c r="Z41" i="29"/>
  <c r="AS38" i="29"/>
  <c r="W36" i="29"/>
  <c r="W34" i="29"/>
  <c r="AI32" i="29"/>
  <c r="AR30" i="29"/>
  <c r="AY28" i="29"/>
  <c r="X27" i="29"/>
  <c r="AU25" i="29"/>
  <c r="AQ20" i="29"/>
  <c r="AA7" i="29"/>
  <c r="AB16" i="29"/>
  <c r="X16" i="29"/>
  <c r="AC68" i="29"/>
  <c r="AV29" i="29"/>
  <c r="AA33" i="29"/>
  <c r="AI60" i="29"/>
  <c r="AO51" i="29"/>
  <c r="AF47" i="29"/>
  <c r="AQ44" i="29"/>
  <c r="W41" i="29"/>
  <c r="AP38" i="29"/>
  <c r="AH32" i="29"/>
  <c r="AQ30" i="29"/>
  <c r="AX28" i="29"/>
  <c r="W27" i="29"/>
  <c r="AT25" i="29"/>
  <c r="AK24" i="29"/>
  <c r="AX21" i="29"/>
  <c r="AP20" i="29"/>
  <c r="AI19" i="29"/>
  <c r="AL18" i="29"/>
  <c r="AI17" i="29"/>
  <c r="AK16" i="29"/>
  <c r="AF15" i="29"/>
  <c r="AE14" i="29"/>
  <c r="AD13" i="29"/>
  <c r="AC12" i="29"/>
  <c r="Z12" i="29"/>
  <c r="AF18" i="29"/>
  <c r="AE20" i="29"/>
  <c r="AF25" i="29"/>
  <c r="AU10" i="29"/>
  <c r="AT10" i="29"/>
  <c r="AJ74" i="29"/>
  <c r="AH60" i="29"/>
  <c r="X55" i="29"/>
  <c r="AN51" i="29"/>
  <c r="AE47" i="29"/>
  <c r="AP44" i="29"/>
  <c r="AO38" i="29"/>
  <c r="AG32" i="29"/>
  <c r="AP30" i="29"/>
  <c r="AW28" i="29"/>
  <c r="AR25" i="29"/>
  <c r="AJ24" i="29"/>
  <c r="AW21" i="29"/>
  <c r="AO20" i="29"/>
  <c r="AH19" i="29"/>
  <c r="AK18" i="29"/>
  <c r="AH17" i="29"/>
  <c r="AJ16" i="29"/>
  <c r="AE15" i="29"/>
  <c r="AD14" i="29"/>
  <c r="AC13" i="29"/>
  <c r="AB12" i="29"/>
  <c r="AA11" i="29"/>
  <c r="AA10" i="29"/>
  <c r="AA9" i="29"/>
  <c r="AA8" i="29"/>
  <c r="Z4" i="29"/>
  <c r="Y4" i="29"/>
  <c r="W4" i="29"/>
  <c r="AB19" i="29"/>
  <c r="AH54" i="29"/>
  <c r="AY9" i="29"/>
  <c r="AF21" i="29"/>
  <c r="AP37" i="29"/>
  <c r="AT23" i="29"/>
  <c r="AI74" i="29"/>
  <c r="Y69" i="29"/>
  <c r="AG60" i="29"/>
  <c r="W55" i="29"/>
  <c r="AM51" i="29"/>
  <c r="AB47" i="29"/>
  <c r="AO44" i="29"/>
  <c r="AM38" i="29"/>
  <c r="AF32" i="29"/>
  <c r="AO30" i="29"/>
  <c r="AV28" i="29"/>
  <c r="AQ25" i="29"/>
  <c r="AI24" i="29"/>
  <c r="AV21" i="29"/>
  <c r="AN20" i="29"/>
  <c r="AG19" i="29"/>
  <c r="AJ18" i="29"/>
  <c r="AG17" i="29"/>
  <c r="AI16" i="29"/>
  <c r="AD15" i="29"/>
  <c r="AC14" i="29"/>
  <c r="AB13" i="29"/>
  <c r="AA12" i="29"/>
  <c r="Z11" i="29"/>
  <c r="Z10" i="29"/>
  <c r="Y5" i="29"/>
  <c r="Y12" i="29"/>
  <c r="X13" i="29"/>
  <c r="AJ21" i="29"/>
  <c r="Z19" i="29"/>
  <c r="AZ5" i="29"/>
  <c r="X19" i="29"/>
  <c r="AB20" i="29"/>
  <c r="AH46" i="29"/>
  <c r="AN26" i="29"/>
  <c r="AH74" i="29"/>
  <c r="X69" i="29"/>
  <c r="AF60" i="29"/>
  <c r="AA47" i="29"/>
  <c r="AN44" i="29"/>
  <c r="AL38" i="29"/>
  <c r="AR33" i="29"/>
  <c r="AE32" i="29"/>
  <c r="AN30" i="29"/>
  <c r="AJ28" i="29"/>
  <c r="AP25" i="29"/>
  <c r="AH24" i="29"/>
  <c r="AU21" i="29"/>
  <c r="X9" i="29"/>
  <c r="Y15" i="29"/>
  <c r="AC18" i="29"/>
  <c r="AR26" i="29"/>
  <c r="AC33" i="29"/>
  <c r="AU7" i="29"/>
  <c r="AQ22" i="29"/>
  <c r="AG74" i="29"/>
  <c r="W69" i="29"/>
  <c r="AW64" i="29"/>
  <c r="Z47" i="29"/>
  <c r="AK38" i="29"/>
  <c r="AY35" i="29"/>
  <c r="AM33" i="29"/>
  <c r="AD32" i="29"/>
  <c r="AM30" i="29"/>
  <c r="AF28" i="29"/>
  <c r="AM25" i="29"/>
  <c r="X24" i="29"/>
  <c r="AT21" i="29"/>
  <c r="AL20" i="29"/>
  <c r="AE19" i="29"/>
  <c r="AH18" i="29"/>
  <c r="AE17" i="29"/>
  <c r="AC16" i="29"/>
  <c r="AB15" i="29"/>
  <c r="AA14" i="29"/>
  <c r="Z16" i="29"/>
  <c r="AZ63" i="29"/>
  <c r="W28" i="29"/>
  <c r="AN31" i="29"/>
  <c r="AO26" i="29"/>
  <c r="AC21" i="29"/>
  <c r="AV64" i="29"/>
  <c r="AL59" i="29"/>
  <c r="Y47" i="29"/>
  <c r="AX43" i="29"/>
  <c r="AJ38" i="29"/>
  <c r="AX35" i="29"/>
  <c r="AL33" i="29"/>
  <c r="AA30" i="29"/>
  <c r="AE28" i="29"/>
  <c r="AL25" i="29"/>
  <c r="W24" i="29"/>
  <c r="AZ22" i="29"/>
  <c r="AS21" i="29"/>
  <c r="AJ20" i="29"/>
  <c r="AD19" i="29"/>
  <c r="AG18" i="29"/>
  <c r="Z14" i="29"/>
  <c r="X15" i="29"/>
  <c r="AI21" i="29"/>
  <c r="AY23" i="29"/>
  <c r="AB54" i="29"/>
  <c r="AA20" i="29"/>
  <c r="Z20" i="29"/>
  <c r="AM73" i="29"/>
  <c r="AU64" i="29"/>
  <c r="AK59" i="29"/>
  <c r="AW43" i="29"/>
  <c r="AI38" i="29"/>
  <c r="AW35" i="29"/>
  <c r="AI33" i="29"/>
  <c r="AV31" i="29"/>
  <c r="AD28" i="29"/>
  <c r="AK25" i="29"/>
  <c r="AY22" i="29"/>
  <c r="AR21" i="29"/>
  <c r="AI20" i="29"/>
  <c r="AC19" i="29"/>
  <c r="W12" i="29"/>
  <c r="AD68" i="29"/>
  <c r="AY11" i="29"/>
  <c r="AL73" i="29"/>
  <c r="AT64" i="29"/>
  <c r="AJ59" i="29"/>
  <c r="AZ50" i="29"/>
  <c r="AT43" i="29"/>
  <c r="AV35" i="29"/>
  <c r="AH33" i="29"/>
  <c r="AU31" i="29"/>
  <c r="AA28" i="29"/>
  <c r="AJ25" i="29"/>
  <c r="AX22" i="29"/>
  <c r="AK21" i="29"/>
  <c r="AH20" i="29"/>
  <c r="AY7" i="29"/>
  <c r="AW63" i="29"/>
  <c r="AV4" i="29"/>
  <c r="AK73" i="29"/>
  <c r="AI59" i="29"/>
  <c r="AV50" i="29"/>
  <c r="AS43" i="29"/>
  <c r="AN40" i="29"/>
  <c r="AZ37" i="29"/>
  <c r="AU35" i="29"/>
  <c r="AG33" i="29"/>
  <c r="AR31" i="29"/>
  <c r="AZ8" i="29"/>
  <c r="AO31" i="29"/>
  <c r="AM31" i="29"/>
  <c r="AE68" i="29"/>
  <c r="AY63" i="29"/>
  <c r="AD54" i="29"/>
  <c r="AT50" i="29"/>
  <c r="AO46" i="29"/>
  <c r="AQ43" i="29"/>
  <c r="AG40" i="29"/>
  <c r="AV37" i="29"/>
  <c r="AC35" i="29"/>
  <c r="AE33" i="29"/>
  <c r="AP31" i="29"/>
  <c r="AY29" i="29"/>
  <c r="X28" i="29"/>
  <c r="AS26" i="29"/>
  <c r="AG25" i="29"/>
  <c r="AZ23" i="29"/>
  <c r="AU22" i="29"/>
  <c r="AH21" i="29"/>
  <c r="AD20" i="29"/>
  <c r="Y19" i="29"/>
  <c r="AB18" i="29"/>
  <c r="W16" i="29"/>
  <c r="AX9" i="29"/>
  <c r="AX8" i="29"/>
  <c r="AX7" i="29"/>
  <c r="AX6" i="29"/>
  <c r="AY5" i="29"/>
  <c r="AX10" i="29"/>
  <c r="Y35" i="29"/>
  <c r="AX4" i="29"/>
  <c r="AU8" i="29"/>
  <c r="AT6" i="29"/>
  <c r="G44" i="26" l="1"/>
  <c r="G24" i="26"/>
  <c r="G14" i="26"/>
  <c r="H90" i="26" l="1"/>
  <c r="S47" i="26" s="1"/>
  <c r="H89" i="26"/>
  <c r="S46" i="26" s="1"/>
  <c r="H88" i="26"/>
  <c r="S45" i="26" s="1"/>
  <c r="H87" i="26"/>
  <c r="S44" i="26" s="1"/>
  <c r="H86" i="26"/>
  <c r="S43" i="26" s="1"/>
  <c r="H83" i="26"/>
  <c r="S42" i="26" s="1"/>
  <c r="H82" i="26"/>
  <c r="S41" i="26" s="1"/>
  <c r="H81" i="26"/>
  <c r="S40" i="26" s="1"/>
  <c r="H80" i="26"/>
  <c r="S39" i="26" s="1"/>
  <c r="H79" i="26"/>
  <c r="S38" i="26" s="1"/>
  <c r="G76" i="26"/>
  <c r="S37" i="26" s="1"/>
  <c r="G75" i="26"/>
  <c r="S36" i="26" s="1"/>
  <c r="G74" i="26"/>
  <c r="S35" i="26" s="1"/>
  <c r="G73" i="26"/>
  <c r="S34" i="26" s="1"/>
  <c r="G72" i="26"/>
  <c r="S33" i="26" s="1"/>
  <c r="G69" i="26"/>
  <c r="S32" i="26" s="1"/>
  <c r="G68" i="26"/>
  <c r="S31" i="26" s="1"/>
  <c r="G67" i="26"/>
  <c r="S30" i="26" s="1"/>
  <c r="G66" i="26"/>
  <c r="S29" i="26" s="1"/>
  <c r="G65" i="26"/>
  <c r="S28" i="26" s="1"/>
  <c r="G62" i="26"/>
  <c r="S27" i="26" s="1"/>
  <c r="G61" i="26"/>
  <c r="S26" i="26" s="1"/>
  <c r="G60" i="26"/>
  <c r="S25" i="26" s="1"/>
  <c r="G59" i="26"/>
  <c r="S24" i="26" s="1"/>
  <c r="G58" i="26"/>
  <c r="S23" i="26" s="1"/>
  <c r="R47" i="26"/>
  <c r="R46" i="26"/>
  <c r="R45" i="26"/>
  <c r="R44" i="26"/>
  <c r="F44" i="26"/>
  <c r="R43" i="26"/>
  <c r="R42" i="26"/>
  <c r="R41" i="26"/>
  <c r="R40" i="26"/>
  <c r="R39" i="26"/>
  <c r="R38" i="26"/>
  <c r="R37" i="26"/>
  <c r="R36" i="26"/>
  <c r="R35" i="26"/>
  <c r="R34" i="26"/>
  <c r="R33" i="26"/>
  <c r="R32" i="26"/>
  <c r="R31" i="26"/>
  <c r="R30" i="26"/>
  <c r="R29" i="26"/>
  <c r="R28" i="26"/>
  <c r="R27" i="26"/>
  <c r="R26" i="26"/>
  <c r="R25" i="26"/>
  <c r="R24" i="26"/>
  <c r="F24" i="26"/>
  <c r="R23" i="26"/>
  <c r="F14" i="26"/>
  <c r="C7" i="26" l="1"/>
  <c r="F7" i="26" s="1"/>
  <c r="C47" i="26"/>
  <c r="C19" i="26"/>
  <c r="F19" i="26" s="1"/>
  <c r="C18" i="26"/>
  <c r="F18" i="26" s="1"/>
  <c r="C17" i="26"/>
  <c r="F17" i="26" s="1"/>
  <c r="C20" i="26"/>
  <c r="F20" i="26" s="1"/>
  <c r="C29" i="26"/>
  <c r="F29" i="26" s="1"/>
  <c r="C21" i="26"/>
  <c r="F21" i="26" s="1"/>
  <c r="C41" i="26"/>
  <c r="F41" i="26" s="1"/>
  <c r="C28" i="26"/>
  <c r="F28" i="26" s="1"/>
  <c r="C10" i="26"/>
  <c r="F10" i="26" s="1"/>
  <c r="C11" i="26"/>
  <c r="F11" i="26" s="1"/>
  <c r="C31" i="26"/>
  <c r="F31" i="26" s="1"/>
  <c r="C30" i="26"/>
  <c r="F30" i="26" s="1"/>
  <c r="C49" i="26"/>
  <c r="F49" i="26" s="1"/>
  <c r="C50" i="26"/>
  <c r="F50" i="26" s="1"/>
  <c r="C39" i="26"/>
  <c r="F39" i="26" s="1"/>
  <c r="C27" i="26"/>
  <c r="F27" i="26" s="1"/>
  <c r="C51" i="26"/>
  <c r="F51" i="26" s="1"/>
  <c r="C48" i="26"/>
  <c r="F48" i="26" s="1"/>
  <c r="C40" i="26"/>
  <c r="F40" i="26" s="1"/>
  <c r="C38" i="26"/>
  <c r="F38" i="26" s="1"/>
  <c r="C8" i="26"/>
  <c r="F8" i="26" s="1"/>
  <c r="C9" i="26"/>
  <c r="F9" i="26" s="1"/>
  <c r="C37" i="26"/>
  <c r="F37" i="26" s="1"/>
  <c r="E24" i="26" l="1"/>
  <c r="E14" i="26"/>
  <c r="E4" i="26"/>
  <c r="F4" i="26" s="1"/>
  <c r="G4" i="26" s="1"/>
  <c r="E34" i="26"/>
  <c r="F34" i="26" s="1"/>
  <c r="G34" i="26" s="1"/>
  <c r="E44" i="26"/>
  <c r="AJ6" i="9"/>
  <c r="AJ7" i="9"/>
  <c r="AJ8" i="9"/>
  <c r="AJ9" i="9"/>
  <c r="AJ10" i="9"/>
  <c r="AJ11" i="9"/>
  <c r="AJ12" i="9"/>
  <c r="AJ13" i="9"/>
  <c r="AJ14" i="9"/>
  <c r="AJ15" i="9"/>
  <c r="AJ16" i="9"/>
  <c r="AJ17" i="9"/>
  <c r="AJ18" i="9"/>
  <c r="C4" i="25" l="1"/>
  <c r="AK6" i="9" l="1"/>
  <c r="AK8" i="9"/>
  <c r="AK9" i="9"/>
  <c r="AK10" i="9"/>
  <c r="AK11" i="9"/>
  <c r="AK12" i="9"/>
  <c r="AK13" i="9"/>
  <c r="AK14" i="9"/>
  <c r="AK15" i="9"/>
  <c r="AK16" i="9"/>
  <c r="AK17" i="9"/>
  <c r="AK18" i="9"/>
  <c r="AJ5" i="9"/>
  <c r="AI6" i="9"/>
  <c r="AI7" i="9"/>
  <c r="AI8" i="9"/>
  <c r="AI9" i="9"/>
  <c r="AI10" i="9"/>
  <c r="AI11" i="9"/>
  <c r="AI12" i="9"/>
  <c r="AI13" i="9"/>
  <c r="AI14" i="9"/>
  <c r="AI15" i="9"/>
  <c r="AI16" i="9"/>
  <c r="AI17" i="9"/>
  <c r="AI18" i="9"/>
  <c r="AI5" i="9"/>
  <c r="AL19" i="9" l="1"/>
  <c r="N45" i="1"/>
  <c r="O55" i="1" s="1"/>
  <c r="D18" i="3"/>
  <c r="E2" i="22"/>
  <c r="H3" i="22" s="1"/>
  <c r="G2" i="22"/>
  <c r="E3" i="22"/>
  <c r="J12" i="22"/>
  <c r="J13" i="22"/>
  <c r="J14" i="22"/>
  <c r="J15" i="22"/>
  <c r="J16" i="22"/>
  <c r="J17" i="22"/>
  <c r="J18" i="22"/>
  <c r="J19" i="22"/>
  <c r="J20" i="22"/>
  <c r="J21" i="22"/>
  <c r="J22" i="22"/>
  <c r="J23" i="22"/>
  <c r="J24" i="22"/>
  <c r="J25" i="22"/>
  <c r="J26" i="22"/>
  <c r="J27" i="22"/>
  <c r="J28" i="22"/>
  <c r="J29" i="22"/>
  <c r="J30" i="22"/>
  <c r="J31" i="22"/>
  <c r="J32" i="22"/>
  <c r="J33" i="22"/>
  <c r="J34" i="22"/>
  <c r="J35" i="22"/>
  <c r="J36" i="22"/>
  <c r="J37" i="22"/>
  <c r="J38" i="22"/>
  <c r="J39" i="22"/>
  <c r="J40" i="22"/>
  <c r="J41" i="22"/>
  <c r="J42" i="22"/>
  <c r="J43" i="22"/>
  <c r="J44" i="22"/>
  <c r="J45" i="22"/>
  <c r="J46" i="22"/>
  <c r="J47" i="22"/>
  <c r="J48" i="22"/>
  <c r="J49" i="22"/>
  <c r="J50" i="22"/>
  <c r="J51" i="22"/>
  <c r="J52" i="22"/>
  <c r="J53" i="22"/>
  <c r="J54" i="22"/>
  <c r="J55" i="22"/>
  <c r="J56" i="22"/>
  <c r="J57" i="22"/>
  <c r="J58" i="22"/>
  <c r="J59" i="22"/>
  <c r="J60" i="22"/>
  <c r="J61" i="22"/>
  <c r="J62" i="22"/>
  <c r="J63" i="22"/>
  <c r="J64" i="22"/>
  <c r="J65" i="22"/>
  <c r="G1" i="18"/>
  <c r="G31" i="18" s="1"/>
  <c r="H1" i="18"/>
  <c r="H31" i="18" s="1"/>
  <c r="I1" i="18"/>
  <c r="I31" i="18" s="1"/>
  <c r="J1" i="18"/>
  <c r="J31" i="18" s="1"/>
  <c r="K1" i="18"/>
  <c r="K31" i="18" s="1"/>
  <c r="L1" i="18"/>
  <c r="L31" i="18" s="1"/>
  <c r="M1" i="18"/>
  <c r="M31" i="18" s="1"/>
  <c r="N1" i="18"/>
  <c r="N31" i="18" s="1"/>
  <c r="O1" i="18"/>
  <c r="O31" i="18" s="1"/>
  <c r="P1" i="18"/>
  <c r="P31" i="18" s="1"/>
  <c r="Q1" i="18"/>
  <c r="Q31" i="18" s="1"/>
  <c r="R1" i="18"/>
  <c r="R31" i="18" s="1"/>
  <c r="S1" i="18"/>
  <c r="S31" i="18" s="1"/>
  <c r="T1" i="18"/>
  <c r="T31" i="18" s="1"/>
  <c r="U1" i="18"/>
  <c r="U31" i="18" s="1"/>
  <c r="V1" i="18"/>
  <c r="V31" i="18" s="1"/>
  <c r="W1" i="18"/>
  <c r="W31" i="18" s="1"/>
  <c r="D4" i="18"/>
  <c r="E5" i="18"/>
  <c r="A8" i="18"/>
  <c r="F60" i="18" s="1"/>
  <c r="B8" i="18"/>
  <c r="J60" i="18" s="1"/>
  <c r="C8" i="18"/>
  <c r="A9" i="18"/>
  <c r="E38" i="18" s="1"/>
  <c r="B9" i="18"/>
  <c r="W61" i="18" s="1"/>
  <c r="C9" i="18"/>
  <c r="A10" i="18"/>
  <c r="Y88" i="18" s="1"/>
  <c r="B10" i="18"/>
  <c r="R62" i="18" s="1"/>
  <c r="C10" i="18"/>
  <c r="A11" i="18"/>
  <c r="E40" i="18" s="1"/>
  <c r="B11" i="18"/>
  <c r="W63" i="18" s="1"/>
  <c r="C11" i="18"/>
  <c r="A12" i="18"/>
  <c r="F64" i="18" s="1"/>
  <c r="B12" i="18"/>
  <c r="S64" i="18" s="1"/>
  <c r="C12" i="18"/>
  <c r="A13" i="18"/>
  <c r="E42" i="18" s="1"/>
  <c r="B13" i="18"/>
  <c r="H65" i="18" s="1"/>
  <c r="C13" i="18"/>
  <c r="A14" i="18"/>
  <c r="E43" i="18" s="1"/>
  <c r="B14" i="18"/>
  <c r="L66" i="18" s="1"/>
  <c r="C14" i="18"/>
  <c r="A15" i="18"/>
  <c r="F67" i="18" s="1"/>
  <c r="B15" i="18"/>
  <c r="O67" i="18" s="1"/>
  <c r="C15" i="18"/>
  <c r="A16" i="18"/>
  <c r="E45" i="18" s="1"/>
  <c r="B16" i="18"/>
  <c r="R68" i="18" s="1"/>
  <c r="C16" i="18"/>
  <c r="A17" i="18"/>
  <c r="Y95" i="18" s="1"/>
  <c r="B17" i="18"/>
  <c r="R69" i="18" s="1"/>
  <c r="C17" i="18"/>
  <c r="A18" i="18"/>
  <c r="Y96" i="18" s="1"/>
  <c r="B18" i="18"/>
  <c r="R70" i="18" s="1"/>
  <c r="C18" i="18"/>
  <c r="A19" i="18"/>
  <c r="F71" i="18" s="1"/>
  <c r="B19" i="18"/>
  <c r="W71" i="18" s="1"/>
  <c r="C19" i="18"/>
  <c r="A20" i="18"/>
  <c r="Y98" i="18" s="1"/>
  <c r="B20" i="18"/>
  <c r="R72" i="18" s="1"/>
  <c r="C20" i="18"/>
  <c r="A21" i="18"/>
  <c r="E50" i="18" s="1"/>
  <c r="B21" i="18"/>
  <c r="M73" i="18" s="1"/>
  <c r="C21" i="18"/>
  <c r="A23" i="18"/>
  <c r="F75" i="18" s="1"/>
  <c r="B23" i="18"/>
  <c r="H75" i="18" s="1"/>
  <c r="C23" i="18"/>
  <c r="A24" i="18"/>
  <c r="Y102" i="18" s="1"/>
  <c r="B24" i="18"/>
  <c r="H76" i="18" s="1"/>
  <c r="C24" i="18"/>
  <c r="A25" i="18"/>
  <c r="F77" i="18" s="1"/>
  <c r="B25" i="18"/>
  <c r="L77" i="18" s="1"/>
  <c r="C25" i="18"/>
  <c r="A26" i="18"/>
  <c r="Y104" i="18" s="1"/>
  <c r="B26" i="18"/>
  <c r="N78" i="18" s="1"/>
  <c r="C26" i="18"/>
  <c r="A27" i="18"/>
  <c r="B27" i="18"/>
  <c r="J79" i="18" s="1"/>
  <c r="C27" i="18"/>
  <c r="A28" i="18"/>
  <c r="E57" i="18" s="1"/>
  <c r="B28" i="18"/>
  <c r="O80" i="18" s="1"/>
  <c r="C28" i="18"/>
  <c r="E86" i="18"/>
  <c r="E87" i="18"/>
  <c r="E88" i="18"/>
  <c r="E89" i="18"/>
  <c r="E90" i="18"/>
  <c r="E91" i="18"/>
  <c r="E92" i="18"/>
  <c r="E93" i="18"/>
  <c r="E94" i="18"/>
  <c r="E95" i="18"/>
  <c r="E96" i="18"/>
  <c r="E97" i="18"/>
  <c r="E98" i="18"/>
  <c r="E99" i="18"/>
  <c r="Y100" i="18"/>
  <c r="E101" i="18"/>
  <c r="E102" i="18"/>
  <c r="E103" i="18"/>
  <c r="E104" i="18"/>
  <c r="E105" i="18"/>
  <c r="E106" i="18"/>
  <c r="F2" i="10"/>
  <c r="F3" i="10"/>
  <c r="F4" i="10"/>
  <c r="B31" i="10"/>
  <c r="C31" i="10"/>
  <c r="D31" i="10"/>
  <c r="B32" i="10"/>
  <c r="C32" i="10"/>
  <c r="D32" i="10"/>
  <c r="B33" i="10"/>
  <c r="C33" i="10"/>
  <c r="D33" i="10"/>
  <c r="B34" i="10"/>
  <c r="C34" i="10"/>
  <c r="D34" i="10"/>
  <c r="B35" i="10"/>
  <c r="C35" i="10"/>
  <c r="D35" i="10"/>
  <c r="B36" i="10"/>
  <c r="C36" i="10"/>
  <c r="D36" i="10"/>
  <c r="B37" i="10"/>
  <c r="C37" i="10"/>
  <c r="D37" i="10"/>
  <c r="B38" i="10"/>
  <c r="C38" i="10"/>
  <c r="D38" i="10"/>
  <c r="B39" i="10"/>
  <c r="C39" i="10"/>
  <c r="D39" i="10"/>
  <c r="B40" i="10"/>
  <c r="C40" i="10"/>
  <c r="D40" i="10"/>
  <c r="B41" i="10"/>
  <c r="C41" i="10"/>
  <c r="D41" i="10"/>
  <c r="B42" i="10"/>
  <c r="C42" i="10"/>
  <c r="D42" i="10"/>
  <c r="B43" i="10"/>
  <c r="C43" i="10"/>
  <c r="D43" i="10"/>
  <c r="B44" i="10"/>
  <c r="C44" i="10"/>
  <c r="D44" i="10"/>
  <c r="B45" i="10"/>
  <c r="C45" i="10"/>
  <c r="B46" i="10"/>
  <c r="C46" i="10"/>
  <c r="D46" i="10"/>
  <c r="B47" i="10"/>
  <c r="C47" i="10"/>
  <c r="D47" i="10"/>
  <c r="B48" i="10"/>
  <c r="C48" i="10"/>
  <c r="D48" i="10"/>
  <c r="B49" i="10"/>
  <c r="C49" i="10"/>
  <c r="D49" i="10"/>
  <c r="B50" i="10"/>
  <c r="C50" i="10"/>
  <c r="D50" i="10"/>
  <c r="B51" i="10"/>
  <c r="C51" i="10"/>
  <c r="D51" i="10"/>
  <c r="N4" i="6"/>
  <c r="G4" i="6" s="1"/>
  <c r="K4" i="6" s="1"/>
  <c r="N5" i="6"/>
  <c r="H5" i="6" s="1"/>
  <c r="K5" i="6" s="1"/>
  <c r="N6" i="6"/>
  <c r="I6" i="6" s="1"/>
  <c r="K6" i="6" s="1"/>
  <c r="N7" i="6"/>
  <c r="Y7" i="6" s="1"/>
  <c r="N8" i="6"/>
  <c r="F8" i="6" s="1"/>
  <c r="K8" i="6" s="1"/>
  <c r="N9" i="6"/>
  <c r="F9" i="6" s="1"/>
  <c r="Z34" i="6" s="1"/>
  <c r="C18" i="6" s="1"/>
  <c r="P17" i="6"/>
  <c r="H18" i="6"/>
  <c r="K18" i="6"/>
  <c r="I164" i="1" s="1"/>
  <c r="L18" i="6"/>
  <c r="J164" i="1" s="1"/>
  <c r="P18" i="6"/>
  <c r="B21" i="6"/>
  <c r="C165" i="1" s="1"/>
  <c r="H21" i="6"/>
  <c r="F165" i="1" s="1"/>
  <c r="K21" i="6"/>
  <c r="I165" i="1" s="1"/>
  <c r="L21" i="6"/>
  <c r="J165" i="1" s="1"/>
  <c r="N21" i="6"/>
  <c r="L165" i="1" s="1"/>
  <c r="Z21" i="6"/>
  <c r="AA21" i="6" s="1"/>
  <c r="AB21" i="6" s="1"/>
  <c r="AC21" i="6"/>
  <c r="AD21" i="6"/>
  <c r="AF21" i="6"/>
  <c r="AG21" i="6" s="1"/>
  <c r="AH21" i="6" s="1"/>
  <c r="AI21" i="6"/>
  <c r="AJ21" i="6"/>
  <c r="AL21" i="6"/>
  <c r="AM21" i="6" s="1"/>
  <c r="AN21" i="6" s="1"/>
  <c r="AO21" i="6"/>
  <c r="AP21" i="6"/>
  <c r="AR21" i="6"/>
  <c r="AS21" i="6" s="1"/>
  <c r="AT21" i="6" s="1"/>
  <c r="AU21" i="6"/>
  <c r="AV21" i="6"/>
  <c r="B22" i="6"/>
  <c r="C166" i="1" s="1"/>
  <c r="H22" i="6"/>
  <c r="F166" i="1" s="1"/>
  <c r="K22" i="6"/>
  <c r="I166" i="1" s="1"/>
  <c r="L22" i="6"/>
  <c r="J166" i="1" s="1"/>
  <c r="N22" i="6"/>
  <c r="L166" i="1" s="1"/>
  <c r="B23" i="6"/>
  <c r="C167" i="1" s="1"/>
  <c r="H23" i="6"/>
  <c r="F167" i="1" s="1"/>
  <c r="K23" i="6"/>
  <c r="I167" i="1" s="1"/>
  <c r="L23" i="6"/>
  <c r="J167" i="1" s="1"/>
  <c r="N23" i="6"/>
  <c r="L167" i="1" s="1"/>
  <c r="AB23" i="6"/>
  <c r="AH23" i="6"/>
  <c r="AN23" i="6"/>
  <c r="AT23" i="6"/>
  <c r="B24" i="6"/>
  <c r="C168" i="1" s="1"/>
  <c r="H24" i="6"/>
  <c r="F168" i="1" s="1"/>
  <c r="K24" i="6"/>
  <c r="I168" i="1" s="1"/>
  <c r="L24" i="6"/>
  <c r="J168" i="1" s="1"/>
  <c r="N24" i="6"/>
  <c r="L168" i="1" s="1"/>
  <c r="AB24" i="6"/>
  <c r="AH24" i="6"/>
  <c r="AN24" i="6"/>
  <c r="AT24" i="6"/>
  <c r="B25" i="6"/>
  <c r="C169" i="1" s="1"/>
  <c r="H25" i="6"/>
  <c r="F169" i="1" s="1"/>
  <c r="K25" i="6"/>
  <c r="I169" i="1" s="1"/>
  <c r="L25" i="6"/>
  <c r="J169" i="1" s="1"/>
  <c r="N25" i="6"/>
  <c r="L169" i="1" s="1"/>
  <c r="AB25" i="6"/>
  <c r="AH25" i="6"/>
  <c r="AN25" i="6"/>
  <c r="AT25" i="6"/>
  <c r="B26" i="6"/>
  <c r="C170" i="1" s="1"/>
  <c r="H26" i="6"/>
  <c r="F170" i="1" s="1"/>
  <c r="K26" i="6"/>
  <c r="I170" i="1" s="1"/>
  <c r="L26" i="6"/>
  <c r="J170" i="1" s="1"/>
  <c r="N26" i="6"/>
  <c r="L170" i="1" s="1"/>
  <c r="AB26" i="6"/>
  <c r="AH26" i="6"/>
  <c r="AN26" i="6"/>
  <c r="AT26" i="6"/>
  <c r="B27" i="6"/>
  <c r="C171" i="1" s="1"/>
  <c r="H27" i="6"/>
  <c r="F171" i="1" s="1"/>
  <c r="K27" i="6"/>
  <c r="I171" i="1" s="1"/>
  <c r="L27" i="6"/>
  <c r="J171" i="1" s="1"/>
  <c r="N27" i="6"/>
  <c r="L171" i="1" s="1"/>
  <c r="AB27" i="6"/>
  <c r="AH27" i="6"/>
  <c r="AN27" i="6"/>
  <c r="AT27" i="6"/>
  <c r="B28" i="6"/>
  <c r="C172" i="1" s="1"/>
  <c r="H28" i="6"/>
  <c r="F172" i="1" s="1"/>
  <c r="K28" i="6"/>
  <c r="I172" i="1" s="1"/>
  <c r="L28" i="6"/>
  <c r="J172" i="1" s="1"/>
  <c r="N28" i="6"/>
  <c r="L172" i="1" s="1"/>
  <c r="AB28" i="6"/>
  <c r="AH28" i="6"/>
  <c r="AN28" i="6"/>
  <c r="AT28" i="6"/>
  <c r="B29" i="6"/>
  <c r="C173" i="1" s="1"/>
  <c r="H29" i="6"/>
  <c r="F173" i="1" s="1"/>
  <c r="K29" i="6"/>
  <c r="I173" i="1" s="1"/>
  <c r="L29" i="6"/>
  <c r="J173" i="1" s="1"/>
  <c r="N29" i="6"/>
  <c r="L173" i="1" s="1"/>
  <c r="B30" i="6"/>
  <c r="C174" i="1" s="1"/>
  <c r="H30" i="6"/>
  <c r="F174" i="1" s="1"/>
  <c r="K30" i="6"/>
  <c r="I174" i="1" s="1"/>
  <c r="L30" i="6"/>
  <c r="J174" i="1" s="1"/>
  <c r="N30" i="6"/>
  <c r="L174" i="1" s="1"/>
  <c r="B31" i="6"/>
  <c r="C175" i="1" s="1"/>
  <c r="H31" i="6"/>
  <c r="I31" i="6" s="1"/>
  <c r="G175" i="1" s="1"/>
  <c r="K31" i="6"/>
  <c r="I175" i="1" s="1"/>
  <c r="L31" i="6"/>
  <c r="J175" i="1" s="1"/>
  <c r="B32" i="6"/>
  <c r="C176" i="1" s="1"/>
  <c r="H32" i="6"/>
  <c r="F176" i="1" s="1"/>
  <c r="K32" i="6"/>
  <c r="I176" i="1" s="1"/>
  <c r="L32" i="6"/>
  <c r="J176" i="1" s="1"/>
  <c r="B33" i="6"/>
  <c r="C177" i="1" s="1"/>
  <c r="H33" i="6"/>
  <c r="I33" i="6" s="1"/>
  <c r="J33" i="6" s="1"/>
  <c r="H177" i="1" s="1"/>
  <c r="K33" i="6"/>
  <c r="I177" i="1" s="1"/>
  <c r="L33" i="6"/>
  <c r="J177" i="1" s="1"/>
  <c r="B34" i="6"/>
  <c r="C178" i="1" s="1"/>
  <c r="H34" i="6"/>
  <c r="K34" i="6"/>
  <c r="I178" i="1" s="1"/>
  <c r="L34" i="6"/>
  <c r="J178" i="1" s="1"/>
  <c r="A40" i="6"/>
  <c r="A41" i="6"/>
  <c r="A42" i="6"/>
  <c r="A43" i="6"/>
  <c r="A44" i="6"/>
  <c r="A45" i="6"/>
  <c r="A46" i="6"/>
  <c r="A47" i="6"/>
  <c r="A48" i="6"/>
  <c r="A49" i="6"/>
  <c r="A50" i="6"/>
  <c r="A51" i="6"/>
  <c r="A52" i="6"/>
  <c r="A53" i="6"/>
  <c r="A54" i="6"/>
  <c r="A30" i="2"/>
  <c r="A32" i="2"/>
  <c r="A34" i="2"/>
  <c r="B2" i="21"/>
  <c r="C2" i="21"/>
  <c r="B3" i="21"/>
  <c r="C3" i="21"/>
  <c r="A4" i="21"/>
  <c r="B4" i="21"/>
  <c r="C4" i="21"/>
  <c r="A5" i="21"/>
  <c r="B5" i="21"/>
  <c r="C5" i="21"/>
  <c r="A6" i="21"/>
  <c r="B6" i="21"/>
  <c r="C6" i="21"/>
  <c r="A7" i="21"/>
  <c r="B7" i="21"/>
  <c r="C7" i="21"/>
  <c r="A8" i="21"/>
  <c r="B8" i="21"/>
  <c r="C8" i="21"/>
  <c r="A9" i="21"/>
  <c r="B9" i="21"/>
  <c r="C9" i="21"/>
  <c r="A10" i="21"/>
  <c r="B10" i="21"/>
  <c r="C10" i="21"/>
  <c r="A11" i="21"/>
  <c r="B11" i="21"/>
  <c r="C11" i="21"/>
  <c r="A12" i="21"/>
  <c r="B12" i="21"/>
  <c r="C12" i="21"/>
  <c r="A13" i="21"/>
  <c r="B13" i="21"/>
  <c r="C13" i="21"/>
  <c r="A14" i="21"/>
  <c r="B14" i="21"/>
  <c r="C14" i="21"/>
  <c r="A15" i="21"/>
  <c r="B15" i="21"/>
  <c r="C15" i="21"/>
  <c r="A16" i="21"/>
  <c r="B16" i="21"/>
  <c r="C16" i="21"/>
  <c r="A17" i="21"/>
  <c r="B17" i="21"/>
  <c r="C17" i="21"/>
  <c r="A18" i="21"/>
  <c r="B18" i="21"/>
  <c r="A19" i="21"/>
  <c r="B19" i="21"/>
  <c r="C19" i="21"/>
  <c r="A20" i="21"/>
  <c r="B20" i="21"/>
  <c r="C20" i="21"/>
  <c r="A21" i="21"/>
  <c r="B21" i="21"/>
  <c r="C21" i="21"/>
  <c r="A22" i="21"/>
  <c r="B22" i="21"/>
  <c r="C22" i="21"/>
  <c r="A23" i="21"/>
  <c r="B23" i="21"/>
  <c r="C23" i="21"/>
  <c r="A24" i="21"/>
  <c r="B24" i="21"/>
  <c r="C24" i="21"/>
  <c r="A27" i="21"/>
  <c r="V28" i="21"/>
  <c r="H31" i="21" s="1"/>
  <c r="C43" i="21" s="1"/>
  <c r="A29" i="21"/>
  <c r="D29" i="21"/>
  <c r="P29" i="21"/>
  <c r="T29" i="21"/>
  <c r="T28" i="21" s="1"/>
  <c r="C33" i="21" s="1"/>
  <c r="A30" i="21"/>
  <c r="D30" i="21"/>
  <c r="P30" i="21"/>
  <c r="T30" i="21"/>
  <c r="A31" i="21"/>
  <c r="D31" i="21"/>
  <c r="P31" i="21"/>
  <c r="A32" i="21"/>
  <c r="D32" i="21"/>
  <c r="P32" i="21"/>
  <c r="U32" i="21"/>
  <c r="U28" i="21" s="1"/>
  <c r="C40" i="21" s="1"/>
  <c r="A33" i="21"/>
  <c r="D33" i="21"/>
  <c r="P33" i="21"/>
  <c r="V33" i="21"/>
  <c r="A34" i="21"/>
  <c r="D34" i="21"/>
  <c r="A35" i="21"/>
  <c r="D35" i="21"/>
  <c r="A36" i="21"/>
  <c r="D36" i="21"/>
  <c r="A37" i="21"/>
  <c r="D37" i="21"/>
  <c r="A38" i="21"/>
  <c r="D38" i="21"/>
  <c r="A39" i="21"/>
  <c r="D39" i="21"/>
  <c r="A40" i="21"/>
  <c r="D40" i="21"/>
  <c r="A41" i="21"/>
  <c r="D41" i="21"/>
  <c r="A42" i="21"/>
  <c r="D42" i="21"/>
  <c r="A43" i="21"/>
  <c r="D43" i="21"/>
  <c r="A44" i="21"/>
  <c r="D44" i="21"/>
  <c r="A45" i="21"/>
  <c r="D45" i="21"/>
  <c r="A46" i="21"/>
  <c r="A47" i="21"/>
  <c r="D47" i="21"/>
  <c r="A48" i="21"/>
  <c r="D48" i="21"/>
  <c r="A49" i="21"/>
  <c r="D49" i="21"/>
  <c r="A50" i="21"/>
  <c r="D50" i="21"/>
  <c r="A51" i="21"/>
  <c r="D51" i="21"/>
  <c r="A52" i="21"/>
  <c r="D52" i="21"/>
  <c r="A53" i="21"/>
  <c r="D53" i="21"/>
  <c r="A54" i="21"/>
  <c r="D54" i="21"/>
  <c r="A55" i="21"/>
  <c r="D55" i="21"/>
  <c r="A56" i="21"/>
  <c r="D56" i="21"/>
  <c r="A57" i="21"/>
  <c r="D57" i="21"/>
  <c r="A58" i="21"/>
  <c r="D58" i="21"/>
  <c r="A59" i="21"/>
  <c r="D59" i="21"/>
  <c r="A60" i="21"/>
  <c r="D60" i="21"/>
  <c r="A61" i="21"/>
  <c r="D61" i="21"/>
  <c r="A62" i="21"/>
  <c r="D62" i="21"/>
  <c r="A63" i="21"/>
  <c r="D63" i="21"/>
  <c r="A64" i="21"/>
  <c r="D64" i="21"/>
  <c r="A65" i="21"/>
  <c r="D65" i="21"/>
  <c r="A66" i="21"/>
  <c r="D66" i="21"/>
  <c r="A67" i="21"/>
  <c r="D67" i="21"/>
  <c r="A68" i="21"/>
  <c r="D68" i="21"/>
  <c r="A69" i="21"/>
  <c r="D69" i="21"/>
  <c r="A70" i="21"/>
  <c r="D70" i="21"/>
  <c r="A71" i="21"/>
  <c r="D71" i="21"/>
  <c r="A72" i="21"/>
  <c r="D72" i="21"/>
  <c r="A73" i="21"/>
  <c r="D73" i="21"/>
  <c r="A74" i="21"/>
  <c r="D74" i="21"/>
  <c r="G18" i="7"/>
  <c r="H18" i="7"/>
  <c r="G19" i="7"/>
  <c r="H19" i="7"/>
  <c r="G20" i="7"/>
  <c r="H20" i="7"/>
  <c r="G21" i="7"/>
  <c r="H21" i="7"/>
  <c r="G22" i="7"/>
  <c r="H22" i="7"/>
  <c r="G23" i="7"/>
  <c r="H23" i="7"/>
  <c r="G24" i="7"/>
  <c r="H24" i="7"/>
  <c r="G25" i="7"/>
  <c r="H25" i="7"/>
  <c r="G26" i="7"/>
  <c r="H26" i="7"/>
  <c r="G27" i="7"/>
  <c r="H27" i="7"/>
  <c r="B5" i="9"/>
  <c r="S5" i="9"/>
  <c r="AG5" i="9"/>
  <c r="I5" i="9"/>
  <c r="J5" i="9" s="1"/>
  <c r="L5" i="9"/>
  <c r="M5" i="9" s="1"/>
  <c r="E4" i="21"/>
  <c r="F4" i="21" s="1"/>
  <c r="BN5" i="9"/>
  <c r="B6" i="9"/>
  <c r="S6" i="9"/>
  <c r="AG6" i="9"/>
  <c r="I6" i="9"/>
  <c r="L6" i="9"/>
  <c r="M6" i="9" s="1"/>
  <c r="E5" i="21"/>
  <c r="F5" i="21" s="1"/>
  <c r="G5" i="21"/>
  <c r="BN6" i="9"/>
  <c r="B7" i="9"/>
  <c r="AG7" i="9"/>
  <c r="I7" i="9"/>
  <c r="E33" i="10" s="1"/>
  <c r="L7" i="9"/>
  <c r="M7" i="9" s="1"/>
  <c r="E6" i="21"/>
  <c r="F6" i="21" s="1"/>
  <c r="BN7" i="9"/>
  <c r="B8" i="9"/>
  <c r="S8" i="9"/>
  <c r="AG8" i="9"/>
  <c r="I8" i="9"/>
  <c r="E34" i="10" s="1"/>
  <c r="L8" i="9"/>
  <c r="M8" i="9" s="1"/>
  <c r="E7" i="21"/>
  <c r="F7" i="21" s="1"/>
  <c r="G7" i="21"/>
  <c r="BN8" i="9"/>
  <c r="B9" i="9"/>
  <c r="AG9" i="9"/>
  <c r="I9" i="9"/>
  <c r="E35" i="10" s="1"/>
  <c r="L9" i="9"/>
  <c r="M9" i="9" s="1"/>
  <c r="E8" i="21"/>
  <c r="F8" i="21" s="1"/>
  <c r="G8" i="21"/>
  <c r="BN9" i="9"/>
  <c r="B10" i="9"/>
  <c r="S10" i="9"/>
  <c r="AG10" i="9"/>
  <c r="I10" i="9"/>
  <c r="E36" i="10" s="1"/>
  <c r="L10" i="9"/>
  <c r="M10" i="9" s="1"/>
  <c r="E9" i="21"/>
  <c r="F9" i="21" s="1"/>
  <c r="G9" i="21"/>
  <c r="BN10" i="9"/>
  <c r="B11" i="9"/>
  <c r="S11" i="9"/>
  <c r="AG11" i="9"/>
  <c r="I11" i="9"/>
  <c r="L11" i="9"/>
  <c r="M11" i="9" s="1"/>
  <c r="E10" i="21"/>
  <c r="F10" i="21" s="1"/>
  <c r="G10" i="21"/>
  <c r="BN11" i="9"/>
  <c r="B12" i="9"/>
  <c r="S12" i="9"/>
  <c r="AG12" i="9"/>
  <c r="I12" i="9"/>
  <c r="E38" i="10" s="1"/>
  <c r="L12" i="9"/>
  <c r="M12" i="9" s="1"/>
  <c r="E11" i="21"/>
  <c r="F11" i="21" s="1"/>
  <c r="G11" i="21"/>
  <c r="BN12" i="9"/>
  <c r="B13" i="9"/>
  <c r="AG13" i="9"/>
  <c r="I13" i="9"/>
  <c r="L13" i="9"/>
  <c r="M13" i="9" s="1"/>
  <c r="E12" i="21"/>
  <c r="F12" i="21" s="1"/>
  <c r="G12" i="21"/>
  <c r="BN13" i="9"/>
  <c r="B14" i="9"/>
  <c r="AG14" i="9"/>
  <c r="I14" i="9"/>
  <c r="L14" i="9"/>
  <c r="M14" i="9" s="1"/>
  <c r="E13" i="21"/>
  <c r="F13" i="21" s="1"/>
  <c r="G13" i="21"/>
  <c r="BN14" i="9"/>
  <c r="B15" i="9"/>
  <c r="S15" i="9"/>
  <c r="AG15" i="9"/>
  <c r="I15" i="9"/>
  <c r="E41" i="10" s="1"/>
  <c r="L15" i="9"/>
  <c r="M15" i="9" s="1"/>
  <c r="E14" i="21"/>
  <c r="F14" i="21" s="1"/>
  <c r="G14" i="21"/>
  <c r="B16" i="9"/>
  <c r="S16" i="9"/>
  <c r="AG16" i="9"/>
  <c r="I16" i="9"/>
  <c r="L16" i="9"/>
  <c r="M16" i="9" s="1"/>
  <c r="E15" i="21"/>
  <c r="F15" i="21" s="1"/>
  <c r="G15" i="21"/>
  <c r="B17" i="9"/>
  <c r="AG17" i="9"/>
  <c r="I17" i="9"/>
  <c r="L17" i="9"/>
  <c r="M17" i="9" s="1"/>
  <c r="E16" i="21"/>
  <c r="F16" i="21" s="1"/>
  <c r="G16" i="21"/>
  <c r="B18" i="9"/>
  <c r="AG18" i="9"/>
  <c r="I18" i="9"/>
  <c r="L18" i="9"/>
  <c r="M18" i="9" s="1"/>
  <c r="E17" i="21"/>
  <c r="F17" i="21" s="1"/>
  <c r="G17" i="21"/>
  <c r="B20" i="9"/>
  <c r="AI20" i="9"/>
  <c r="L20" i="9" s="1"/>
  <c r="M20" i="9" s="1"/>
  <c r="AJ20" i="9"/>
  <c r="E19" i="21" s="1"/>
  <c r="F19" i="21" s="1"/>
  <c r="B21" i="9"/>
  <c r="I21" i="9"/>
  <c r="AI21" i="9"/>
  <c r="L21" i="9" s="1"/>
  <c r="M21" i="9" s="1"/>
  <c r="AJ21" i="9"/>
  <c r="E20" i="21" s="1"/>
  <c r="F20" i="21" s="1"/>
  <c r="B22" i="9"/>
  <c r="I22" i="9"/>
  <c r="AI22" i="9"/>
  <c r="L22" i="9" s="1"/>
  <c r="M22" i="9" s="1"/>
  <c r="AJ22" i="9"/>
  <c r="E21" i="21" s="1"/>
  <c r="F21" i="21" s="1"/>
  <c r="B23" i="9"/>
  <c r="X23" i="9"/>
  <c r="I23" i="9"/>
  <c r="AI23" i="9"/>
  <c r="L23" i="9" s="1"/>
  <c r="M23" i="9" s="1"/>
  <c r="AJ23" i="9"/>
  <c r="E22" i="21" s="1"/>
  <c r="F22" i="21" s="1"/>
  <c r="B24" i="9"/>
  <c r="I24" i="9"/>
  <c r="AI24" i="9"/>
  <c r="L24" i="9" s="1"/>
  <c r="M24" i="9" s="1"/>
  <c r="AJ24" i="9"/>
  <c r="E23" i="21" s="1"/>
  <c r="F23" i="21" s="1"/>
  <c r="B25" i="9"/>
  <c r="X25" i="9"/>
  <c r="I25" i="9"/>
  <c r="J25" i="9" s="1"/>
  <c r="AI25" i="9"/>
  <c r="L25" i="9" s="1"/>
  <c r="M25" i="9" s="1"/>
  <c r="AJ25" i="9"/>
  <c r="E24" i="21" s="1"/>
  <c r="F24" i="21" s="1"/>
  <c r="X27" i="9"/>
  <c r="F8" i="8"/>
  <c r="I8" i="8" s="1"/>
  <c r="I4" i="5"/>
  <c r="F21" i="6" s="1"/>
  <c r="D165" i="1" s="1"/>
  <c r="E165" i="1" s="1"/>
  <c r="J4" i="5"/>
  <c r="C21" i="6" s="1"/>
  <c r="K4" i="5"/>
  <c r="D21" i="6" s="1"/>
  <c r="L4" i="5"/>
  <c r="E21" i="6" s="1"/>
  <c r="M4" i="5"/>
  <c r="O60" i="5" s="1"/>
  <c r="I5" i="5"/>
  <c r="J5" i="5"/>
  <c r="K5" i="5"/>
  <c r="D22" i="6" s="1"/>
  <c r="L5" i="5"/>
  <c r="E22" i="6" s="1"/>
  <c r="M5" i="5"/>
  <c r="O65" i="5" s="1"/>
  <c r="I6" i="5"/>
  <c r="F23" i="6" s="1"/>
  <c r="D167" i="1" s="1"/>
  <c r="E167" i="1" s="1"/>
  <c r="J6" i="5"/>
  <c r="C23" i="6" s="1"/>
  <c r="K6" i="5"/>
  <c r="D23" i="6" s="1"/>
  <c r="L6" i="5"/>
  <c r="E23" i="6" s="1"/>
  <c r="M6" i="5"/>
  <c r="M73" i="5" s="1"/>
  <c r="I7" i="5"/>
  <c r="F24" i="6" s="1"/>
  <c r="D168" i="1" s="1"/>
  <c r="E168" i="1" s="1"/>
  <c r="J7" i="5"/>
  <c r="C24" i="6" s="1"/>
  <c r="K7" i="5"/>
  <c r="D24" i="6" s="1"/>
  <c r="L7" i="5"/>
  <c r="M7" i="5"/>
  <c r="M79" i="5" s="1"/>
  <c r="W79" i="5" s="1"/>
  <c r="T8" i="5"/>
  <c r="U8" i="5"/>
  <c r="W8" i="5" s="1"/>
  <c r="I9" i="5"/>
  <c r="F25" i="6" s="1"/>
  <c r="D169" i="1" s="1"/>
  <c r="E169" i="1" s="1"/>
  <c r="J9" i="5"/>
  <c r="C25" i="6" s="1"/>
  <c r="K9" i="5"/>
  <c r="D25" i="6" s="1"/>
  <c r="L9" i="5"/>
  <c r="E25" i="6" s="1"/>
  <c r="M9" i="5"/>
  <c r="L84" i="5" s="1"/>
  <c r="I10" i="5"/>
  <c r="F26" i="6" s="1"/>
  <c r="D170" i="1" s="1"/>
  <c r="E170" i="1" s="1"/>
  <c r="J10" i="5"/>
  <c r="C26" i="6" s="1"/>
  <c r="K10" i="5"/>
  <c r="N86" i="5" s="1"/>
  <c r="L10" i="5"/>
  <c r="E26" i="6" s="1"/>
  <c r="M10" i="5"/>
  <c r="L87" i="5" s="1"/>
  <c r="I11" i="5"/>
  <c r="L90" i="5" s="1"/>
  <c r="J11" i="5"/>
  <c r="C27" i="6" s="1"/>
  <c r="K11" i="5"/>
  <c r="L11" i="5"/>
  <c r="E27" i="6" s="1"/>
  <c r="M11" i="5"/>
  <c r="O91" i="5" s="1"/>
  <c r="T11" i="5"/>
  <c r="U11" i="5"/>
  <c r="W11" i="5" s="1"/>
  <c r="I13" i="5"/>
  <c r="L94" i="5" s="1"/>
  <c r="J13" i="5"/>
  <c r="C28" i="6" s="1"/>
  <c r="K13" i="5"/>
  <c r="D28" i="6" s="1"/>
  <c r="L13" i="5"/>
  <c r="E28" i="6" s="1"/>
  <c r="M13" i="5"/>
  <c r="L96" i="5" s="1"/>
  <c r="I14" i="5"/>
  <c r="F29" i="6" s="1"/>
  <c r="D173" i="1" s="1"/>
  <c r="E173" i="1" s="1"/>
  <c r="J14" i="5"/>
  <c r="M103" i="5" s="1"/>
  <c r="W103" i="5" s="1"/>
  <c r="K14" i="5"/>
  <c r="D29" i="6" s="1"/>
  <c r="L14" i="5"/>
  <c r="O103" i="5" s="1"/>
  <c r="M14" i="5"/>
  <c r="O110" i="5" s="1"/>
  <c r="U14" i="5"/>
  <c r="W14" i="5" s="1"/>
  <c r="I15" i="5"/>
  <c r="L112" i="5" s="1"/>
  <c r="J15" i="5"/>
  <c r="C30" i="6" s="1"/>
  <c r="K15" i="5"/>
  <c r="D30" i="6" s="1"/>
  <c r="L15" i="5"/>
  <c r="E30" i="6" s="1"/>
  <c r="M15" i="5"/>
  <c r="L117" i="5" s="1"/>
  <c r="U15" i="5"/>
  <c r="W15" i="5" s="1"/>
  <c r="I18" i="5"/>
  <c r="F31" i="6" s="1"/>
  <c r="D175" i="1" s="1"/>
  <c r="E175" i="1" s="1"/>
  <c r="J18" i="5"/>
  <c r="C31" i="6" s="1"/>
  <c r="K18" i="5"/>
  <c r="D31" i="6" s="1"/>
  <c r="L18" i="5"/>
  <c r="E31" i="6" s="1"/>
  <c r="I19" i="5"/>
  <c r="F32" i="6" s="1"/>
  <c r="D176" i="1" s="1"/>
  <c r="E176" i="1" s="1"/>
  <c r="J19" i="5"/>
  <c r="C32" i="6" s="1"/>
  <c r="K19" i="5"/>
  <c r="D32" i="6" s="1"/>
  <c r="L19" i="5"/>
  <c r="E32" i="6" s="1"/>
  <c r="I20" i="5"/>
  <c r="F33" i="6" s="1"/>
  <c r="D177" i="1" s="1"/>
  <c r="E177" i="1" s="1"/>
  <c r="J20" i="5"/>
  <c r="C33" i="6" s="1"/>
  <c r="K20" i="5"/>
  <c r="D33" i="6" s="1"/>
  <c r="L20" i="5"/>
  <c r="E33" i="6" s="1"/>
  <c r="I21" i="5"/>
  <c r="F34" i="6" s="1"/>
  <c r="D178" i="1" s="1"/>
  <c r="E178" i="1" s="1"/>
  <c r="J21" i="5"/>
  <c r="C34" i="6" s="1"/>
  <c r="K21" i="5"/>
  <c r="D34" i="6" s="1"/>
  <c r="L21" i="5"/>
  <c r="E34" i="6" s="1"/>
  <c r="C58" i="5"/>
  <c r="F58" i="5" s="1"/>
  <c r="R58" i="5"/>
  <c r="Y58" i="5"/>
  <c r="R59" i="5"/>
  <c r="Y59" i="5"/>
  <c r="R60" i="5"/>
  <c r="Y60" i="5"/>
  <c r="R61" i="5"/>
  <c r="Y61" i="5"/>
  <c r="R62" i="5"/>
  <c r="Y62" i="5"/>
  <c r="Y63" i="5"/>
  <c r="C64" i="5"/>
  <c r="F64" i="5" s="1"/>
  <c r="R64" i="5"/>
  <c r="Y64" i="5"/>
  <c r="R65" i="5"/>
  <c r="R66" i="5"/>
  <c r="R67" i="5"/>
  <c r="R68" i="5"/>
  <c r="C70" i="5"/>
  <c r="E70" i="5" s="1"/>
  <c r="R70" i="5"/>
  <c r="R71" i="5"/>
  <c r="R72" i="5"/>
  <c r="R73" i="5"/>
  <c r="R74" i="5"/>
  <c r="C76" i="5"/>
  <c r="D76" i="5" s="1"/>
  <c r="R76" i="5"/>
  <c r="R77" i="5"/>
  <c r="R78" i="5"/>
  <c r="R79" i="5"/>
  <c r="R80" i="5"/>
  <c r="C82" i="5"/>
  <c r="G82" i="5" s="1"/>
  <c r="J82" i="5" s="1"/>
  <c r="R82" i="5"/>
  <c r="R83" i="5"/>
  <c r="R84" i="5"/>
  <c r="C86" i="5"/>
  <c r="D86" i="5" s="1"/>
  <c r="R86" i="5"/>
  <c r="R87" i="5"/>
  <c r="R88" i="5"/>
  <c r="C90" i="5"/>
  <c r="G90" i="5" s="1"/>
  <c r="I90" i="5" s="1"/>
  <c r="R90" i="5"/>
  <c r="R91" i="5"/>
  <c r="R92" i="5"/>
  <c r="C94" i="5"/>
  <c r="G94" i="5" s="1"/>
  <c r="J94" i="5" s="1"/>
  <c r="D94" i="5"/>
  <c r="E94" i="5"/>
  <c r="F94" i="5"/>
  <c r="R94" i="5"/>
  <c r="R95" i="5"/>
  <c r="R96" i="5"/>
  <c r="R97" i="5"/>
  <c r="R98" i="5"/>
  <c r="R99" i="5"/>
  <c r="R100" i="5"/>
  <c r="R101" i="5"/>
  <c r="C103" i="5"/>
  <c r="G103" i="5" s="1"/>
  <c r="D103" i="5"/>
  <c r="E103" i="5"/>
  <c r="F103" i="5"/>
  <c r="R103" i="5"/>
  <c r="R104" i="5"/>
  <c r="R105" i="5"/>
  <c r="R106" i="5"/>
  <c r="R107" i="5"/>
  <c r="R108" i="5"/>
  <c r="R109" i="5"/>
  <c r="R110" i="5"/>
  <c r="C112" i="5"/>
  <c r="G112" i="5" s="1"/>
  <c r="D112" i="5"/>
  <c r="E112" i="5"/>
  <c r="F112" i="5"/>
  <c r="R112" i="5"/>
  <c r="R113" i="5"/>
  <c r="R114" i="5"/>
  <c r="R115" i="5"/>
  <c r="R116" i="5"/>
  <c r="R117" i="5"/>
  <c r="R118" i="5"/>
  <c r="R119" i="5"/>
  <c r="A9" i="15"/>
  <c r="D10" i="15"/>
  <c r="F10" i="15"/>
  <c r="G9" i="15" s="1"/>
  <c r="D11" i="15"/>
  <c r="F11" i="15"/>
  <c r="D12" i="15"/>
  <c r="F12" i="15"/>
  <c r="D13" i="15"/>
  <c r="F13" i="15"/>
  <c r="D14" i="15"/>
  <c r="F14" i="15"/>
  <c r="D15" i="15"/>
  <c r="F15" i="15"/>
  <c r="D16" i="15"/>
  <c r="F16" i="15"/>
  <c r="D17" i="15"/>
  <c r="F17" i="15"/>
  <c r="D18" i="15"/>
  <c r="F18" i="15"/>
  <c r="D19" i="15"/>
  <c r="F19" i="15"/>
  <c r="D20" i="15"/>
  <c r="F20" i="15"/>
  <c r="D21" i="15"/>
  <c r="F21" i="15"/>
  <c r="D22" i="15"/>
  <c r="F22" i="15"/>
  <c r="D23" i="15"/>
  <c r="F23" i="15"/>
  <c r="D24" i="15"/>
  <c r="F24" i="15"/>
  <c r="D25" i="15"/>
  <c r="F25" i="15"/>
  <c r="D26" i="15"/>
  <c r="F26" i="15"/>
  <c r="D27" i="15"/>
  <c r="F27" i="15"/>
  <c r="D28" i="15"/>
  <c r="F28" i="15"/>
  <c r="D29" i="15"/>
  <c r="F29" i="15"/>
  <c r="D30" i="15"/>
  <c r="F30" i="15"/>
  <c r="D31" i="15"/>
  <c r="F31" i="15"/>
  <c r="D32" i="15"/>
  <c r="F32" i="15"/>
  <c r="D33" i="15"/>
  <c r="F33" i="15"/>
  <c r="D34" i="15"/>
  <c r="F34" i="15"/>
  <c r="D35" i="15"/>
  <c r="F35" i="15"/>
  <c r="D36" i="15"/>
  <c r="F36" i="15"/>
  <c r="D37" i="15"/>
  <c r="F37" i="15"/>
  <c r="D38" i="15"/>
  <c r="F38" i="15"/>
  <c r="D39" i="15"/>
  <c r="F39" i="15"/>
  <c r="D40" i="15"/>
  <c r="F40" i="15"/>
  <c r="D41" i="15"/>
  <c r="F41" i="15"/>
  <c r="D42" i="15"/>
  <c r="F42" i="15"/>
  <c r="D43" i="15"/>
  <c r="F43" i="15"/>
  <c r="D44" i="15"/>
  <c r="F44" i="15"/>
  <c r="D45" i="15"/>
  <c r="F45" i="15"/>
  <c r="D46" i="15"/>
  <c r="F46" i="15"/>
  <c r="D47" i="15"/>
  <c r="F47" i="15"/>
  <c r="D48" i="15"/>
  <c r="F48" i="15"/>
  <c r="D49" i="15"/>
  <c r="F49" i="15"/>
  <c r="D50" i="15"/>
  <c r="F50" i="15"/>
  <c r="D51" i="15"/>
  <c r="F51" i="15"/>
  <c r="D52" i="15"/>
  <c r="F52" i="15"/>
  <c r="D53" i="15"/>
  <c r="F53" i="15"/>
  <c r="D54" i="15"/>
  <c r="F54" i="15"/>
  <c r="D55" i="15"/>
  <c r="F55" i="15"/>
  <c r="D56" i="15"/>
  <c r="F56" i="15"/>
  <c r="D57" i="15"/>
  <c r="F57" i="15"/>
  <c r="D58" i="15"/>
  <c r="F58" i="15"/>
  <c r="D59" i="15"/>
  <c r="F59" i="15"/>
  <c r="D60" i="15"/>
  <c r="F60" i="15"/>
  <c r="D61" i="15"/>
  <c r="F61" i="15"/>
  <c r="D62" i="15"/>
  <c r="F62" i="15"/>
  <c r="D63" i="15"/>
  <c r="F63" i="15"/>
  <c r="D64" i="15"/>
  <c r="F64" i="15"/>
  <c r="D65" i="15"/>
  <c r="F65" i="15"/>
  <c r="D66" i="15"/>
  <c r="F66" i="15"/>
  <c r="D67" i="15"/>
  <c r="F67" i="15"/>
  <c r="D68" i="15"/>
  <c r="F68" i="15"/>
  <c r="D69" i="15"/>
  <c r="F69" i="15"/>
  <c r="D70" i="15"/>
  <c r="F70" i="15"/>
  <c r="D71" i="15"/>
  <c r="F71" i="15"/>
  <c r="D72" i="15"/>
  <c r="F72" i="15"/>
  <c r="D73" i="15"/>
  <c r="F73" i="15"/>
  <c r="D74" i="15"/>
  <c r="F74" i="15"/>
  <c r="D75" i="15"/>
  <c r="F75" i="15"/>
  <c r="D76" i="15"/>
  <c r="F76" i="15"/>
  <c r="D77" i="15"/>
  <c r="F77" i="15"/>
  <c r="D78" i="15"/>
  <c r="F78" i="15"/>
  <c r="D79" i="15"/>
  <c r="F79" i="15"/>
  <c r="D80" i="15"/>
  <c r="F80" i="15"/>
  <c r="D81" i="15"/>
  <c r="F81" i="15"/>
  <c r="D82" i="15"/>
  <c r="F82" i="15"/>
  <c r="D83" i="15"/>
  <c r="F83" i="15"/>
  <c r="D84" i="15"/>
  <c r="F84" i="15"/>
  <c r="D85" i="15"/>
  <c r="F85" i="15"/>
  <c r="D86" i="15"/>
  <c r="F86" i="15"/>
  <c r="D87" i="15"/>
  <c r="F87" i="15"/>
  <c r="D88" i="15"/>
  <c r="F88" i="15"/>
  <c r="D89" i="15"/>
  <c r="F89" i="15"/>
  <c r="D90" i="15"/>
  <c r="F90" i="15"/>
  <c r="D91" i="15"/>
  <c r="F91" i="15"/>
  <c r="D92" i="15"/>
  <c r="F92" i="15"/>
  <c r="D93" i="15"/>
  <c r="F93" i="15"/>
  <c r="D94" i="15"/>
  <c r="F94" i="15"/>
  <c r="D95" i="15"/>
  <c r="F95" i="15"/>
  <c r="D96" i="15"/>
  <c r="F96" i="15"/>
  <c r="D97" i="15"/>
  <c r="F97" i="15"/>
  <c r="D98" i="15"/>
  <c r="F98" i="15"/>
  <c r="D99" i="15"/>
  <c r="F99" i="15"/>
  <c r="D100" i="15"/>
  <c r="F100" i="15"/>
  <c r="D101" i="15"/>
  <c r="F101" i="15"/>
  <c r="D102" i="15"/>
  <c r="F102" i="15"/>
  <c r="D103" i="15"/>
  <c r="F103" i="15"/>
  <c r="F104" i="15"/>
  <c r="A105" i="15"/>
  <c r="B105" i="15"/>
  <c r="C105" i="15"/>
  <c r="D105" i="15"/>
  <c r="O2" i="11"/>
  <c r="S2" i="11"/>
  <c r="AC8" i="11" s="1"/>
  <c r="V2" i="11"/>
  <c r="H3" i="11"/>
  <c r="AJ3" i="11"/>
  <c r="H4" i="11"/>
  <c r="M6" i="11"/>
  <c r="R6" i="11"/>
  <c r="W6" i="11"/>
  <c r="AO9" i="11"/>
  <c r="AQ9" i="11"/>
  <c r="U9" i="11" s="1"/>
  <c r="AR9" i="11"/>
  <c r="AX9" i="11" s="1"/>
  <c r="BA9" i="11"/>
  <c r="BB9" i="11"/>
  <c r="BC9" i="11"/>
  <c r="BD9" i="11"/>
  <c r="AN10" i="11"/>
  <c r="AO10" i="11"/>
  <c r="K10" i="11" s="1"/>
  <c r="AQ10" i="11"/>
  <c r="U10" i="11" s="1"/>
  <c r="AR10" i="11"/>
  <c r="BA10" i="11"/>
  <c r="BB10" i="11"/>
  <c r="BC10" i="11"/>
  <c r="BD10" i="11"/>
  <c r="AN11" i="11"/>
  <c r="G11" i="11" s="1"/>
  <c r="AO11" i="11"/>
  <c r="K11" i="11" s="1"/>
  <c r="AQ11" i="11"/>
  <c r="U11" i="11" s="1"/>
  <c r="AR11" i="11"/>
  <c r="BA11" i="11"/>
  <c r="BB11" i="11"/>
  <c r="BC11" i="11"/>
  <c r="BD11" i="11"/>
  <c r="AN12" i="11"/>
  <c r="G12" i="11" s="1"/>
  <c r="AO12" i="11"/>
  <c r="K12" i="11" s="1"/>
  <c r="AP12" i="11"/>
  <c r="P12" i="11" s="1"/>
  <c r="AQ12" i="11"/>
  <c r="U12" i="11" s="1"/>
  <c r="AR12" i="11"/>
  <c r="Z12" i="11" s="1"/>
  <c r="BA12" i="11"/>
  <c r="BB12" i="11"/>
  <c r="BC12" i="11"/>
  <c r="BD12" i="11"/>
  <c r="AN13" i="11"/>
  <c r="G13" i="11" s="1"/>
  <c r="AO13" i="11"/>
  <c r="K13" i="11" s="1"/>
  <c r="AP13" i="11"/>
  <c r="AV13" i="11" s="1"/>
  <c r="AQ13" i="11"/>
  <c r="AR13" i="11"/>
  <c r="AX13" i="11" s="1"/>
  <c r="BA13" i="11"/>
  <c r="BB13" i="11"/>
  <c r="BC13" i="11"/>
  <c r="BD13" i="11"/>
  <c r="AN14" i="11"/>
  <c r="G14" i="11" s="1"/>
  <c r="AO14" i="11"/>
  <c r="K14" i="11" s="1"/>
  <c r="AP14" i="11"/>
  <c r="P14" i="11" s="1"/>
  <c r="AQ14" i="11"/>
  <c r="U14" i="11" s="1"/>
  <c r="AR14" i="11"/>
  <c r="Z14" i="11" s="1"/>
  <c r="BA14" i="11"/>
  <c r="BB14" i="11"/>
  <c r="BC14" i="11"/>
  <c r="BD14" i="11"/>
  <c r="AN15" i="11"/>
  <c r="G15" i="11" s="1"/>
  <c r="AO15" i="11"/>
  <c r="K15" i="11" s="1"/>
  <c r="AP15" i="11"/>
  <c r="AV15" i="11" s="1"/>
  <c r="AQ15" i="11"/>
  <c r="AR15" i="11"/>
  <c r="Z15" i="11" s="1"/>
  <c r="BA15" i="11"/>
  <c r="BB15" i="11"/>
  <c r="BC15" i="11"/>
  <c r="BD15" i="11"/>
  <c r="AN16" i="11"/>
  <c r="AO16" i="11"/>
  <c r="AP16" i="11"/>
  <c r="AQ16" i="11"/>
  <c r="U16" i="11" s="1"/>
  <c r="AR16" i="11"/>
  <c r="AX16" i="11" s="1"/>
  <c r="BA16" i="11"/>
  <c r="BB16" i="11"/>
  <c r="BC16" i="11"/>
  <c r="BD16" i="11"/>
  <c r="AN17" i="11"/>
  <c r="G17" i="11" s="1"/>
  <c r="AO17" i="11"/>
  <c r="K17" i="11" s="1"/>
  <c r="AP17" i="11"/>
  <c r="AQ17" i="11"/>
  <c r="AR17" i="11"/>
  <c r="AX17" i="11" s="1"/>
  <c r="BA17" i="11"/>
  <c r="BB17" i="11"/>
  <c r="BC17" i="11"/>
  <c r="BD17" i="11"/>
  <c r="AN18" i="11"/>
  <c r="G18" i="11" s="1"/>
  <c r="AO18" i="11"/>
  <c r="AP18" i="11"/>
  <c r="P18" i="11" s="1"/>
  <c r="AQ18" i="11"/>
  <c r="U18" i="11" s="1"/>
  <c r="AR18" i="11"/>
  <c r="Z18" i="11" s="1"/>
  <c r="BA18" i="11"/>
  <c r="BB18" i="11"/>
  <c r="BC18" i="11"/>
  <c r="BD18" i="11"/>
  <c r="AN19" i="11"/>
  <c r="G19" i="11" s="1"/>
  <c r="AO19" i="11"/>
  <c r="K19" i="11" s="1"/>
  <c r="AP19" i="11"/>
  <c r="AV19" i="11" s="1"/>
  <c r="AQ19" i="11"/>
  <c r="U19" i="11" s="1"/>
  <c r="AR19" i="11"/>
  <c r="AX19" i="11" s="1"/>
  <c r="BA19" i="11"/>
  <c r="BB19" i="11"/>
  <c r="BC19" i="11"/>
  <c r="BD19" i="11"/>
  <c r="AN20" i="11"/>
  <c r="AO20" i="11"/>
  <c r="AU20" i="11" s="1"/>
  <c r="AP20" i="11"/>
  <c r="AV20" i="11" s="1"/>
  <c r="AQ20" i="11"/>
  <c r="AR20" i="11"/>
  <c r="AX20" i="11" s="1"/>
  <c r="BA20" i="11"/>
  <c r="BB20" i="11"/>
  <c r="BC20" i="11"/>
  <c r="BD20" i="11"/>
  <c r="AN21" i="11"/>
  <c r="G21" i="11" s="1"/>
  <c r="AO21" i="11"/>
  <c r="AP21" i="11"/>
  <c r="AV21" i="11" s="1"/>
  <c r="AQ21" i="11"/>
  <c r="U21" i="11" s="1"/>
  <c r="AR21" i="11"/>
  <c r="Z21" i="11" s="1"/>
  <c r="BA21" i="11"/>
  <c r="BB21" i="11"/>
  <c r="BC21" i="11"/>
  <c r="BD21" i="11"/>
  <c r="AN22" i="11"/>
  <c r="AO22" i="11"/>
  <c r="AU22" i="11" s="1"/>
  <c r="AP22" i="11"/>
  <c r="AQ22" i="11"/>
  <c r="U22" i="11" s="1"/>
  <c r="AR22" i="11"/>
  <c r="Z22" i="11" s="1"/>
  <c r="BA22" i="11"/>
  <c r="BB22" i="11"/>
  <c r="BC22" i="11"/>
  <c r="BD22" i="11"/>
  <c r="AN23" i="11"/>
  <c r="G23" i="11" s="1"/>
  <c r="AO23" i="11"/>
  <c r="AU23" i="11" s="1"/>
  <c r="AP23" i="11"/>
  <c r="P23" i="11" s="1"/>
  <c r="AQ23" i="11"/>
  <c r="AR23" i="11"/>
  <c r="Z23" i="11" s="1"/>
  <c r="BA23" i="11"/>
  <c r="BB23" i="11"/>
  <c r="BC23" i="11"/>
  <c r="BD23" i="11"/>
  <c r="AN24" i="11"/>
  <c r="G24" i="11" s="1"/>
  <c r="AO24" i="11"/>
  <c r="AU24" i="11" s="1"/>
  <c r="AP24" i="11"/>
  <c r="AV24" i="11" s="1"/>
  <c r="AQ24" i="11"/>
  <c r="AR24" i="11"/>
  <c r="Z24" i="11" s="1"/>
  <c r="BA24" i="11"/>
  <c r="BB24" i="11"/>
  <c r="BC24" i="11"/>
  <c r="BD24" i="11"/>
  <c r="AN25" i="11"/>
  <c r="G25" i="11" s="1"/>
  <c r="AO25" i="11"/>
  <c r="AP25" i="11"/>
  <c r="P25" i="11" s="1"/>
  <c r="AQ25" i="11"/>
  <c r="U25" i="11" s="1"/>
  <c r="AR25" i="11"/>
  <c r="AX25" i="11" s="1"/>
  <c r="BA25" i="11"/>
  <c r="BB25" i="11"/>
  <c r="BC25" i="11"/>
  <c r="BD25" i="11"/>
  <c r="AN26" i="11"/>
  <c r="G26" i="11" s="1"/>
  <c r="AO26" i="11"/>
  <c r="AU26" i="11" s="1"/>
  <c r="AP26" i="11"/>
  <c r="P26" i="11" s="1"/>
  <c r="AQ26" i="11"/>
  <c r="U26" i="11" s="1"/>
  <c r="AR26" i="11"/>
  <c r="Z26" i="11" s="1"/>
  <c r="BA26" i="11"/>
  <c r="BB26" i="11"/>
  <c r="BC26" i="11"/>
  <c r="BD26" i="11"/>
  <c r="AN27" i="11"/>
  <c r="G27" i="11" s="1"/>
  <c r="AO27" i="11"/>
  <c r="K27" i="11" s="1"/>
  <c r="AP27" i="11"/>
  <c r="AV27" i="11" s="1"/>
  <c r="AQ27" i="11"/>
  <c r="AR27" i="11"/>
  <c r="AX27" i="11" s="1"/>
  <c r="BA27" i="11"/>
  <c r="BB27" i="11"/>
  <c r="BC27" i="11"/>
  <c r="BD27" i="11"/>
  <c r="AN28" i="11"/>
  <c r="G28" i="11" s="1"/>
  <c r="AO28" i="11"/>
  <c r="K28" i="11" s="1"/>
  <c r="AP28" i="11"/>
  <c r="P28" i="11" s="1"/>
  <c r="AQ28" i="11"/>
  <c r="AR28" i="11"/>
  <c r="AX28" i="11" s="1"/>
  <c r="BA28" i="11"/>
  <c r="BB28" i="11"/>
  <c r="BC28" i="11"/>
  <c r="BD28" i="11"/>
  <c r="AN29" i="11"/>
  <c r="G29" i="11" s="1"/>
  <c r="AO29" i="11"/>
  <c r="AU29" i="11" s="1"/>
  <c r="AP29" i="11"/>
  <c r="AV29" i="11" s="1"/>
  <c r="AQ29" i="11"/>
  <c r="AR29" i="11"/>
  <c r="Z29" i="11" s="1"/>
  <c r="BA29" i="11"/>
  <c r="BB29" i="11"/>
  <c r="BC29" i="11"/>
  <c r="BD29" i="11"/>
  <c r="AN30" i="11"/>
  <c r="AO30" i="11"/>
  <c r="AU30" i="11" s="1"/>
  <c r="AP30" i="11"/>
  <c r="AQ30" i="11"/>
  <c r="U30" i="11" s="1"/>
  <c r="AR30" i="11"/>
  <c r="Z30" i="11" s="1"/>
  <c r="BA30" i="11"/>
  <c r="BB30" i="11"/>
  <c r="BC30" i="11"/>
  <c r="BD30" i="11"/>
  <c r="AN31" i="11"/>
  <c r="G31" i="11" s="1"/>
  <c r="AO31" i="11"/>
  <c r="AU31" i="11" s="1"/>
  <c r="AP31" i="11"/>
  <c r="P31" i="11" s="1"/>
  <c r="AQ31" i="11"/>
  <c r="U31" i="11" s="1"/>
  <c r="AR31" i="11"/>
  <c r="Z31" i="11" s="1"/>
  <c r="BA31" i="11"/>
  <c r="BB31" i="11"/>
  <c r="BC31" i="11"/>
  <c r="BD31" i="11"/>
  <c r="AN32" i="11"/>
  <c r="AO32" i="11"/>
  <c r="K32" i="11" s="1"/>
  <c r="AP32" i="11"/>
  <c r="P32" i="11" s="1"/>
  <c r="AQ32" i="11"/>
  <c r="U32" i="11" s="1"/>
  <c r="AR32" i="11"/>
  <c r="AX32" i="11" s="1"/>
  <c r="BA32" i="11"/>
  <c r="BB32" i="11"/>
  <c r="BC32" i="11"/>
  <c r="BD32" i="11"/>
  <c r="AN33" i="11"/>
  <c r="G33" i="11" s="1"/>
  <c r="AO33" i="11"/>
  <c r="AU33" i="11" s="1"/>
  <c r="AP33" i="11"/>
  <c r="AV33" i="11" s="1"/>
  <c r="AQ33" i="11"/>
  <c r="U33" i="11" s="1"/>
  <c r="AR33" i="11"/>
  <c r="AX33" i="11" s="1"/>
  <c r="BA33" i="11"/>
  <c r="BB33" i="11"/>
  <c r="BC33" i="11"/>
  <c r="BD33" i="11"/>
  <c r="AN34" i="11"/>
  <c r="AO34" i="11"/>
  <c r="AU34" i="11" s="1"/>
  <c r="AP34" i="11"/>
  <c r="AQ34" i="11"/>
  <c r="U34" i="11" s="1"/>
  <c r="AR34" i="11"/>
  <c r="AX34" i="11" s="1"/>
  <c r="BA34" i="11"/>
  <c r="BB34" i="11"/>
  <c r="BC34" i="11"/>
  <c r="BD34" i="11"/>
  <c r="AN35" i="11"/>
  <c r="G35" i="11" s="1"/>
  <c r="AO35" i="11"/>
  <c r="K35" i="11" s="1"/>
  <c r="AP35" i="11"/>
  <c r="P35" i="11" s="1"/>
  <c r="AQ35" i="11"/>
  <c r="AR35" i="11"/>
  <c r="AX35" i="11" s="1"/>
  <c r="BA35" i="11"/>
  <c r="BB35" i="11"/>
  <c r="BC35" i="11"/>
  <c r="BD35" i="11"/>
  <c r="AN36" i="11"/>
  <c r="AO36" i="11"/>
  <c r="AP36" i="11"/>
  <c r="AV36" i="11" s="1"/>
  <c r="AQ36" i="11"/>
  <c r="AR36" i="11"/>
  <c r="Z36" i="11" s="1"/>
  <c r="BA36" i="11"/>
  <c r="BB36" i="11"/>
  <c r="BC36" i="11"/>
  <c r="BD36" i="11"/>
  <c r="AN37" i="11"/>
  <c r="AO37" i="11"/>
  <c r="K37" i="11" s="1"/>
  <c r="AP37" i="11"/>
  <c r="AV37" i="11" s="1"/>
  <c r="AQ37" i="11"/>
  <c r="AR37" i="11"/>
  <c r="BA37" i="11"/>
  <c r="BB37" i="11"/>
  <c r="BC37" i="11"/>
  <c r="BD37" i="11"/>
  <c r="AN38" i="11"/>
  <c r="AO38" i="11"/>
  <c r="AP38" i="11"/>
  <c r="AV38" i="11" s="1"/>
  <c r="AQ38" i="11"/>
  <c r="AR38" i="11"/>
  <c r="Z38" i="11" s="1"/>
  <c r="BA38" i="11"/>
  <c r="BB38" i="11"/>
  <c r="BC38" i="11"/>
  <c r="BD38" i="11"/>
  <c r="AN39" i="11"/>
  <c r="AO39" i="11"/>
  <c r="AU39" i="11" s="1"/>
  <c r="AP39" i="11"/>
  <c r="P39" i="11" s="1"/>
  <c r="AQ39" i="11"/>
  <c r="U39" i="11" s="1"/>
  <c r="AR39" i="11"/>
  <c r="Z39" i="11" s="1"/>
  <c r="BA39" i="11"/>
  <c r="BB39" i="11"/>
  <c r="BC39" i="11"/>
  <c r="BD39" i="11"/>
  <c r="AN40" i="11"/>
  <c r="G40" i="11" s="1"/>
  <c r="AO40" i="11"/>
  <c r="K40" i="11" s="1"/>
  <c r="AP40" i="11"/>
  <c r="AV40" i="11" s="1"/>
  <c r="AQ40" i="11"/>
  <c r="AR40" i="11"/>
  <c r="AX40" i="11" s="1"/>
  <c r="BA40" i="11"/>
  <c r="BB40" i="11"/>
  <c r="BC40" i="11"/>
  <c r="BD40" i="11"/>
  <c r="AN41" i="11"/>
  <c r="G41" i="11" s="1"/>
  <c r="AO41" i="11"/>
  <c r="AU41" i="11" s="1"/>
  <c r="AP41" i="11"/>
  <c r="P41" i="11" s="1"/>
  <c r="AQ41" i="11"/>
  <c r="U41" i="11" s="1"/>
  <c r="AR41" i="11"/>
  <c r="BA41" i="11"/>
  <c r="BB41" i="11"/>
  <c r="BC41" i="11"/>
  <c r="BD41" i="11"/>
  <c r="AN42" i="11"/>
  <c r="AO42" i="11"/>
  <c r="AU42" i="11" s="1"/>
  <c r="AP42" i="11"/>
  <c r="P42" i="11" s="1"/>
  <c r="AQ42" i="11"/>
  <c r="AR42" i="11"/>
  <c r="AX42" i="11" s="1"/>
  <c r="BA42" i="11"/>
  <c r="BB42" i="11"/>
  <c r="BC42" i="11"/>
  <c r="BD42" i="11"/>
  <c r="AN43" i="11"/>
  <c r="AO43" i="11"/>
  <c r="AP43" i="11"/>
  <c r="P43" i="11" s="1"/>
  <c r="AQ43" i="11"/>
  <c r="U43" i="11" s="1"/>
  <c r="AR43" i="11"/>
  <c r="Z43" i="11" s="1"/>
  <c r="BA43" i="11"/>
  <c r="BB43" i="11"/>
  <c r="BC43" i="11"/>
  <c r="BD43" i="11"/>
  <c r="AN44" i="11"/>
  <c r="AO44" i="11"/>
  <c r="AU44" i="11" s="1"/>
  <c r="AP44" i="11"/>
  <c r="P44" i="11" s="1"/>
  <c r="AQ44" i="11"/>
  <c r="AR44" i="11"/>
  <c r="AX44" i="11" s="1"/>
  <c r="BA44" i="11"/>
  <c r="BB44" i="11"/>
  <c r="BC44" i="11"/>
  <c r="BD44" i="11"/>
  <c r="AN45" i="11"/>
  <c r="G45" i="11" s="1"/>
  <c r="AO45" i="11"/>
  <c r="K45" i="11" s="1"/>
  <c r="AP45" i="11"/>
  <c r="AV45" i="11" s="1"/>
  <c r="AQ45" i="11"/>
  <c r="AR45" i="11"/>
  <c r="Z45" i="11" s="1"/>
  <c r="BA45" i="11"/>
  <c r="BB45" i="11"/>
  <c r="BC45" i="11"/>
  <c r="BD45" i="11"/>
  <c r="AN46" i="11"/>
  <c r="G46" i="11" s="1"/>
  <c r="AO46" i="11"/>
  <c r="AP46" i="11"/>
  <c r="P46" i="11" s="1"/>
  <c r="AQ46" i="11"/>
  <c r="AR46" i="11"/>
  <c r="BA46" i="11"/>
  <c r="BB46" i="11"/>
  <c r="BC46" i="11"/>
  <c r="BD46" i="11"/>
  <c r="AN47" i="11"/>
  <c r="G47" i="11" s="1"/>
  <c r="AO47" i="11"/>
  <c r="AU47" i="11" s="1"/>
  <c r="AP47" i="11"/>
  <c r="P47" i="11" s="1"/>
  <c r="AQ47" i="11"/>
  <c r="AR47" i="11"/>
  <c r="BA47" i="11"/>
  <c r="BB47" i="11"/>
  <c r="BC47" i="11"/>
  <c r="BD47" i="11"/>
  <c r="AN48" i="11"/>
  <c r="G48" i="11" s="1"/>
  <c r="AO48" i="11"/>
  <c r="AU48" i="11" s="1"/>
  <c r="AP48" i="11"/>
  <c r="AV48" i="11" s="1"/>
  <c r="AQ48" i="11"/>
  <c r="U48" i="11" s="1"/>
  <c r="AR48" i="11"/>
  <c r="AX48" i="11" s="1"/>
  <c r="BA48" i="11"/>
  <c r="BB48" i="11"/>
  <c r="BC48" i="11"/>
  <c r="BD48" i="11"/>
  <c r="AN49" i="11"/>
  <c r="G49" i="11" s="1"/>
  <c r="AO49" i="11"/>
  <c r="K49" i="11" s="1"/>
  <c r="AP49" i="11"/>
  <c r="AV49" i="11" s="1"/>
  <c r="AQ49" i="11"/>
  <c r="AR49" i="11"/>
  <c r="BA49" i="11"/>
  <c r="BB49" i="11"/>
  <c r="BC49" i="11"/>
  <c r="BD49" i="11"/>
  <c r="AN50" i="11"/>
  <c r="AO50" i="11"/>
  <c r="AU50" i="11" s="1"/>
  <c r="AP50" i="11"/>
  <c r="P50" i="11" s="1"/>
  <c r="AQ50" i="11"/>
  <c r="AR50" i="11"/>
  <c r="Z50" i="11" s="1"/>
  <c r="BA50" i="11"/>
  <c r="BB50" i="11"/>
  <c r="BC50" i="11"/>
  <c r="BD50" i="11"/>
  <c r="AN51" i="11"/>
  <c r="G51" i="11" s="1"/>
  <c r="AO51" i="11"/>
  <c r="AP51" i="11"/>
  <c r="AQ51" i="11"/>
  <c r="AR51" i="11"/>
  <c r="AX51" i="11" s="1"/>
  <c r="BA51" i="11"/>
  <c r="BB51" i="11"/>
  <c r="BC51" i="11"/>
  <c r="BD51" i="11"/>
  <c r="AN52" i="11"/>
  <c r="G52" i="11" s="1"/>
  <c r="AO52" i="11"/>
  <c r="AU52" i="11" s="1"/>
  <c r="AP52" i="11"/>
  <c r="P52" i="11" s="1"/>
  <c r="AQ52" i="11"/>
  <c r="AR52" i="11"/>
  <c r="Z52" i="11" s="1"/>
  <c r="BA52" i="11"/>
  <c r="BB52" i="11"/>
  <c r="BC52" i="11"/>
  <c r="BD52" i="11"/>
  <c r="AN53" i="11"/>
  <c r="G53" i="11" s="1"/>
  <c r="AO53" i="11"/>
  <c r="K53" i="11" s="1"/>
  <c r="AP53" i="11"/>
  <c r="AV53" i="11" s="1"/>
  <c r="AQ53" i="11"/>
  <c r="U53" i="11" s="1"/>
  <c r="AR53" i="11"/>
  <c r="AX53" i="11" s="1"/>
  <c r="BA53" i="11"/>
  <c r="BB53" i="11"/>
  <c r="BC53" i="11"/>
  <c r="BD53" i="11"/>
  <c r="AN54" i="11"/>
  <c r="AO54" i="11"/>
  <c r="AU54" i="11" s="1"/>
  <c r="AP54" i="11"/>
  <c r="P54" i="11" s="1"/>
  <c r="AQ54" i="11"/>
  <c r="AR54" i="11"/>
  <c r="BA54" i="11"/>
  <c r="BB54" i="11"/>
  <c r="BC54" i="11"/>
  <c r="BD54" i="11"/>
  <c r="AN55" i="11"/>
  <c r="G55" i="11" s="1"/>
  <c r="AO55" i="11"/>
  <c r="AU55" i="11" s="1"/>
  <c r="AP55" i="11"/>
  <c r="P55" i="11" s="1"/>
  <c r="AQ55" i="11"/>
  <c r="AR55" i="11"/>
  <c r="BA55" i="11"/>
  <c r="BB55" i="11"/>
  <c r="BC55" i="11"/>
  <c r="BD55" i="11"/>
  <c r="AN56" i="11"/>
  <c r="AO56" i="11"/>
  <c r="AP56" i="11"/>
  <c r="AV56" i="11" s="1"/>
  <c r="AQ56" i="11"/>
  <c r="U56" i="11" s="1"/>
  <c r="AR56" i="11"/>
  <c r="AX56" i="11" s="1"/>
  <c r="BA56" i="11"/>
  <c r="BB56" i="11"/>
  <c r="BC56" i="11"/>
  <c r="BD56" i="11"/>
  <c r="AN57" i="11"/>
  <c r="G57" i="11" s="1"/>
  <c r="AO57" i="11"/>
  <c r="AU57" i="11" s="1"/>
  <c r="AP57" i="11"/>
  <c r="AV57" i="11" s="1"/>
  <c r="AQ57" i="11"/>
  <c r="AR57" i="11"/>
  <c r="BA57" i="11"/>
  <c r="BB57" i="11"/>
  <c r="BC57" i="11"/>
  <c r="BD57" i="11"/>
  <c r="AN58" i="11"/>
  <c r="G58" i="11" s="1"/>
  <c r="AO58" i="11"/>
  <c r="AU58" i="11" s="1"/>
  <c r="AP58" i="11"/>
  <c r="P58" i="11" s="1"/>
  <c r="AQ58" i="11"/>
  <c r="AR58" i="11"/>
  <c r="Z58" i="11" s="1"/>
  <c r="BA58" i="11"/>
  <c r="BB58" i="11"/>
  <c r="BC58" i="11"/>
  <c r="BD58" i="11"/>
  <c r="AN59" i="11"/>
  <c r="G59" i="11" s="1"/>
  <c r="AO59" i="11"/>
  <c r="AU59" i="11" s="1"/>
  <c r="AP59" i="11"/>
  <c r="AV59" i="11" s="1"/>
  <c r="AQ59" i="11"/>
  <c r="U59" i="11" s="1"/>
  <c r="AR59" i="11"/>
  <c r="Z59" i="11" s="1"/>
  <c r="BA59" i="11"/>
  <c r="BB59" i="11"/>
  <c r="BC59" i="11"/>
  <c r="BD59" i="11"/>
  <c r="AN60" i="11"/>
  <c r="AO60" i="11"/>
  <c r="AU60" i="11" s="1"/>
  <c r="AP60" i="11"/>
  <c r="P60" i="11" s="1"/>
  <c r="AQ60" i="11"/>
  <c r="AR60" i="11"/>
  <c r="AX60" i="11" s="1"/>
  <c r="BA60" i="11"/>
  <c r="BB60" i="11"/>
  <c r="BC60" i="11"/>
  <c r="BD60" i="11"/>
  <c r="AN61" i="11"/>
  <c r="G61" i="11" s="1"/>
  <c r="AO61" i="11"/>
  <c r="AU61" i="11" s="1"/>
  <c r="AP61" i="11"/>
  <c r="P61" i="11" s="1"/>
  <c r="AQ61" i="11"/>
  <c r="U61" i="11" s="1"/>
  <c r="AR61" i="11"/>
  <c r="Z61" i="11" s="1"/>
  <c r="BA61" i="11"/>
  <c r="BB61" i="11"/>
  <c r="BC61" i="11"/>
  <c r="BD61" i="11"/>
  <c r="AN62" i="11"/>
  <c r="G62" i="11" s="1"/>
  <c r="AO62" i="11"/>
  <c r="AU62" i="11" s="1"/>
  <c r="AP62" i="11"/>
  <c r="AQ62" i="11"/>
  <c r="U62" i="11" s="1"/>
  <c r="AR62" i="11"/>
  <c r="AX62" i="11" s="1"/>
  <c r="BA62" i="11"/>
  <c r="BB62" i="11"/>
  <c r="BC62" i="11"/>
  <c r="BD62" i="11"/>
  <c r="AN63" i="11"/>
  <c r="G63" i="11" s="1"/>
  <c r="AO63" i="11"/>
  <c r="AU63" i="11" s="1"/>
  <c r="AP63" i="11"/>
  <c r="AV63" i="11" s="1"/>
  <c r="AQ63" i="11"/>
  <c r="AR63" i="11"/>
  <c r="Z63" i="11" s="1"/>
  <c r="BA63" i="11"/>
  <c r="BB63" i="11"/>
  <c r="BC63" i="11"/>
  <c r="BD63" i="11"/>
  <c r="AN64" i="11"/>
  <c r="G64" i="11" s="1"/>
  <c r="AO64" i="11"/>
  <c r="AU64" i="11" s="1"/>
  <c r="AP64" i="11"/>
  <c r="AV64" i="11" s="1"/>
  <c r="AQ64" i="11"/>
  <c r="U64" i="11" s="1"/>
  <c r="AR64" i="11"/>
  <c r="AX64" i="11" s="1"/>
  <c r="BA64" i="11"/>
  <c r="BB64" i="11"/>
  <c r="BC64" i="11"/>
  <c r="BD64" i="11"/>
  <c r="AN65" i="11"/>
  <c r="G65" i="11" s="1"/>
  <c r="AO65" i="11"/>
  <c r="K65" i="11" s="1"/>
  <c r="AP65" i="11"/>
  <c r="P65" i="11" s="1"/>
  <c r="AQ65" i="11"/>
  <c r="U65" i="11" s="1"/>
  <c r="AR65" i="11"/>
  <c r="AX65" i="11" s="1"/>
  <c r="BA65" i="11"/>
  <c r="BB65" i="11"/>
  <c r="BC65" i="11"/>
  <c r="BD65" i="11"/>
  <c r="AN66" i="11"/>
  <c r="AO66" i="11"/>
  <c r="AU66" i="11" s="1"/>
  <c r="AP66" i="11"/>
  <c r="AV66" i="11" s="1"/>
  <c r="AQ66" i="11"/>
  <c r="U66" i="11" s="1"/>
  <c r="AR66" i="11"/>
  <c r="Z66" i="11" s="1"/>
  <c r="BA66" i="11"/>
  <c r="BB66" i="11"/>
  <c r="BC66" i="11"/>
  <c r="BD66" i="11"/>
  <c r="AN67" i="11"/>
  <c r="AO67" i="11"/>
  <c r="AU67" i="11" s="1"/>
  <c r="AP67" i="11"/>
  <c r="AV67" i="11" s="1"/>
  <c r="AQ67" i="11"/>
  <c r="AR67" i="11"/>
  <c r="BA67" i="11"/>
  <c r="BB67" i="11"/>
  <c r="BC67" i="11"/>
  <c r="BD67" i="11"/>
  <c r="AN68" i="11"/>
  <c r="AO68" i="11"/>
  <c r="AU68" i="11" s="1"/>
  <c r="AP68" i="11"/>
  <c r="AV68" i="11" s="1"/>
  <c r="AQ68" i="11"/>
  <c r="AR68" i="11"/>
  <c r="BA68" i="11"/>
  <c r="BB68" i="11"/>
  <c r="BC68" i="11"/>
  <c r="BD68" i="11"/>
  <c r="AN69" i="11"/>
  <c r="AO69" i="11"/>
  <c r="K69" i="11" s="1"/>
  <c r="AP69" i="11"/>
  <c r="AV69" i="11" s="1"/>
  <c r="AQ69" i="11"/>
  <c r="AR69" i="11"/>
  <c r="BA69" i="11"/>
  <c r="BB69" i="11"/>
  <c r="BC69" i="11"/>
  <c r="BD69" i="11"/>
  <c r="AN70" i="11"/>
  <c r="AO70" i="11"/>
  <c r="K70" i="11" s="1"/>
  <c r="AP70" i="11"/>
  <c r="AV70" i="11" s="1"/>
  <c r="AQ70" i="11"/>
  <c r="AR70" i="11"/>
  <c r="Z70" i="11" s="1"/>
  <c r="BA70" i="11"/>
  <c r="BB70" i="11"/>
  <c r="BC70" i="11"/>
  <c r="BD70" i="11"/>
  <c r="AN71" i="11"/>
  <c r="G71" i="11" s="1"/>
  <c r="AO71" i="11"/>
  <c r="AU71" i="11" s="1"/>
  <c r="AP71" i="11"/>
  <c r="AQ71" i="11"/>
  <c r="U71" i="11" s="1"/>
  <c r="AR71" i="11"/>
  <c r="AX71" i="11" s="1"/>
  <c r="BA71" i="11"/>
  <c r="BB71" i="11"/>
  <c r="BC71" i="11"/>
  <c r="BD71" i="11"/>
  <c r="AN72" i="11"/>
  <c r="G72" i="11" s="1"/>
  <c r="AO72" i="11"/>
  <c r="AU72" i="11" s="1"/>
  <c r="AP72" i="11"/>
  <c r="P72" i="11" s="1"/>
  <c r="AQ72" i="11"/>
  <c r="AR72" i="11"/>
  <c r="Z72" i="11" s="1"/>
  <c r="BA72" i="11"/>
  <c r="BB72" i="11"/>
  <c r="BC72" i="11"/>
  <c r="BD72" i="11"/>
  <c r="AN73" i="11"/>
  <c r="G73" i="11" s="1"/>
  <c r="AO73" i="11"/>
  <c r="AU73" i="11" s="1"/>
  <c r="AP73" i="11"/>
  <c r="AV73" i="11" s="1"/>
  <c r="AQ73" i="11"/>
  <c r="U73" i="11" s="1"/>
  <c r="AR73" i="11"/>
  <c r="AX73" i="11" s="1"/>
  <c r="BA73" i="11"/>
  <c r="BB73" i="11"/>
  <c r="BC73" i="11"/>
  <c r="BD73" i="11"/>
  <c r="AN74" i="11"/>
  <c r="G74" i="11" s="1"/>
  <c r="AO74" i="11"/>
  <c r="K74" i="11" s="1"/>
  <c r="AP74" i="11"/>
  <c r="AV74" i="11" s="1"/>
  <c r="AQ74" i="11"/>
  <c r="U74" i="11" s="1"/>
  <c r="AR74" i="11"/>
  <c r="BA74" i="11"/>
  <c r="BB74" i="11"/>
  <c r="BC74" i="11"/>
  <c r="BD74" i="11"/>
  <c r="AN75" i="11"/>
  <c r="G75" i="11" s="1"/>
  <c r="AO75" i="11"/>
  <c r="AU75" i="11" s="1"/>
  <c r="AP75" i="11"/>
  <c r="P75" i="11" s="1"/>
  <c r="AQ75" i="11"/>
  <c r="AR75" i="11"/>
  <c r="BA75" i="11"/>
  <c r="BB75" i="11"/>
  <c r="BC75" i="11"/>
  <c r="BD75" i="11"/>
  <c r="AN76" i="11"/>
  <c r="G76" i="11" s="1"/>
  <c r="AO76" i="11"/>
  <c r="AP76" i="11"/>
  <c r="AV76" i="11" s="1"/>
  <c r="AQ76" i="11"/>
  <c r="U76" i="11" s="1"/>
  <c r="AR76" i="11"/>
  <c r="Z76" i="11" s="1"/>
  <c r="BA76" i="11"/>
  <c r="BB76" i="11"/>
  <c r="BC76" i="11"/>
  <c r="BD76" i="11"/>
  <c r="AN77" i="11"/>
  <c r="G77" i="11" s="1"/>
  <c r="AO77" i="11"/>
  <c r="AU77" i="11" s="1"/>
  <c r="AP77" i="11"/>
  <c r="P77" i="11" s="1"/>
  <c r="AQ77" i="11"/>
  <c r="AR77" i="11"/>
  <c r="BA77" i="11"/>
  <c r="BB77" i="11"/>
  <c r="BC77" i="11"/>
  <c r="BD77" i="11"/>
  <c r="AN78" i="11"/>
  <c r="AO78" i="11"/>
  <c r="AU78" i="11" s="1"/>
  <c r="AP78" i="11"/>
  <c r="P78" i="11" s="1"/>
  <c r="AQ78" i="11"/>
  <c r="U78" i="11" s="1"/>
  <c r="AR78" i="11"/>
  <c r="AX78" i="11" s="1"/>
  <c r="BA78" i="11"/>
  <c r="BB78" i="11"/>
  <c r="BC78" i="11"/>
  <c r="BD78" i="11"/>
  <c r="AN79" i="11"/>
  <c r="AO79" i="11"/>
  <c r="AU79" i="11" s="1"/>
  <c r="AP79" i="11"/>
  <c r="P79" i="11" s="1"/>
  <c r="AQ79" i="11"/>
  <c r="U79" i="11" s="1"/>
  <c r="AR79" i="11"/>
  <c r="Z79" i="11" s="1"/>
  <c r="BA79" i="11"/>
  <c r="BB79" i="11"/>
  <c r="BC79" i="11"/>
  <c r="BD79" i="11"/>
  <c r="AN80" i="11"/>
  <c r="AO80" i="11"/>
  <c r="AU80" i="11" s="1"/>
  <c r="AP80" i="11"/>
  <c r="AV80" i="11" s="1"/>
  <c r="AQ80" i="11"/>
  <c r="U80" i="11" s="1"/>
  <c r="AR80" i="11"/>
  <c r="BA80" i="11"/>
  <c r="BB80" i="11"/>
  <c r="BC80" i="11"/>
  <c r="BD80" i="11"/>
  <c r="AN81" i="11"/>
  <c r="G81" i="11" s="1"/>
  <c r="AO81" i="11"/>
  <c r="AU81" i="11" s="1"/>
  <c r="AP81" i="11"/>
  <c r="AV81" i="11" s="1"/>
  <c r="AQ81" i="11"/>
  <c r="AR81" i="11"/>
  <c r="AX81" i="11" s="1"/>
  <c r="BA81" i="11"/>
  <c r="BB81" i="11"/>
  <c r="BC81" i="11"/>
  <c r="BD81" i="11"/>
  <c r="AN82" i="11"/>
  <c r="G82" i="11" s="1"/>
  <c r="AO82" i="11"/>
  <c r="K82" i="11" s="1"/>
  <c r="AP82" i="11"/>
  <c r="P82" i="11" s="1"/>
  <c r="AQ82" i="11"/>
  <c r="AR82" i="11"/>
  <c r="AX82" i="11" s="1"/>
  <c r="BA82" i="11"/>
  <c r="BB82" i="11"/>
  <c r="BC82" i="11"/>
  <c r="BD82" i="11"/>
  <c r="AN83" i="11"/>
  <c r="G83" i="11" s="1"/>
  <c r="AO83" i="11"/>
  <c r="AU83" i="11" s="1"/>
  <c r="AP83" i="11"/>
  <c r="P83" i="11" s="1"/>
  <c r="AQ83" i="11"/>
  <c r="U83" i="11" s="1"/>
  <c r="AR83" i="11"/>
  <c r="AX83" i="11" s="1"/>
  <c r="BA83" i="11"/>
  <c r="BB83" i="11"/>
  <c r="BC83" i="11"/>
  <c r="BD83" i="11"/>
  <c r="AN84" i="11"/>
  <c r="AO84" i="11"/>
  <c r="K84" i="11" s="1"/>
  <c r="AP84" i="11"/>
  <c r="P84" i="11" s="1"/>
  <c r="AQ84" i="11"/>
  <c r="AR84" i="11"/>
  <c r="AX84" i="11" s="1"/>
  <c r="BA84" i="11"/>
  <c r="BB84" i="11"/>
  <c r="BC84" i="11"/>
  <c r="BD84" i="11"/>
  <c r="AN85" i="11"/>
  <c r="AO85" i="11"/>
  <c r="K85" i="11" s="1"/>
  <c r="AP85" i="11"/>
  <c r="AV85" i="11" s="1"/>
  <c r="AQ85" i="11"/>
  <c r="AR85" i="11"/>
  <c r="AX85" i="11" s="1"/>
  <c r="BA85" i="11"/>
  <c r="BB85" i="11"/>
  <c r="BC85" i="11"/>
  <c r="BD85" i="11"/>
  <c r="AN86" i="11"/>
  <c r="G86" i="11" s="1"/>
  <c r="AO86" i="11"/>
  <c r="K86" i="11" s="1"/>
  <c r="AP86" i="11"/>
  <c r="P86" i="11" s="1"/>
  <c r="AQ86" i="11"/>
  <c r="AR86" i="11"/>
  <c r="AX86" i="11" s="1"/>
  <c r="BA86" i="11"/>
  <c r="BB86" i="11"/>
  <c r="BC86" i="11"/>
  <c r="BD86" i="11"/>
  <c r="AN87" i="11"/>
  <c r="AO87" i="11"/>
  <c r="AU87" i="11" s="1"/>
  <c r="AP87" i="11"/>
  <c r="AV87" i="11" s="1"/>
  <c r="AQ87" i="11"/>
  <c r="U87" i="11" s="1"/>
  <c r="AR87" i="11"/>
  <c r="AX87" i="11" s="1"/>
  <c r="BA87" i="11"/>
  <c r="BB87" i="11"/>
  <c r="BC87" i="11"/>
  <c r="BD87" i="11"/>
  <c r="AN88" i="11"/>
  <c r="G88" i="11" s="1"/>
  <c r="AO88" i="11"/>
  <c r="AU88" i="11" s="1"/>
  <c r="AP88" i="11"/>
  <c r="P88" i="11" s="1"/>
  <c r="AQ88" i="11"/>
  <c r="U88" i="11" s="1"/>
  <c r="AR88" i="11"/>
  <c r="Z88" i="11" s="1"/>
  <c r="BA88" i="11"/>
  <c r="BB88" i="11"/>
  <c r="BC88" i="11"/>
  <c r="BD88" i="11"/>
  <c r="AN89" i="11"/>
  <c r="AO89" i="11"/>
  <c r="K89" i="11" s="1"/>
  <c r="AP89" i="11"/>
  <c r="P89" i="11" s="1"/>
  <c r="AQ89" i="11"/>
  <c r="U89" i="11" s="1"/>
  <c r="AR89" i="11"/>
  <c r="AX89" i="11" s="1"/>
  <c r="BA89" i="11"/>
  <c r="BB89" i="11"/>
  <c r="BC89" i="11"/>
  <c r="BD89" i="11"/>
  <c r="AN90" i="11"/>
  <c r="G90" i="11" s="1"/>
  <c r="AO90" i="11"/>
  <c r="AU90" i="11" s="1"/>
  <c r="AP90" i="11"/>
  <c r="AV90" i="11" s="1"/>
  <c r="AQ90" i="11"/>
  <c r="U90" i="11" s="1"/>
  <c r="AR90" i="11"/>
  <c r="AX90" i="11" s="1"/>
  <c r="BA90" i="11"/>
  <c r="BB90" i="11"/>
  <c r="BC90" i="11"/>
  <c r="BD90" i="11"/>
  <c r="AN91" i="11"/>
  <c r="G91" i="11" s="1"/>
  <c r="AO91" i="11"/>
  <c r="AP91" i="11"/>
  <c r="AV91" i="11" s="1"/>
  <c r="AQ91" i="11"/>
  <c r="AR91" i="11"/>
  <c r="AX91" i="11" s="1"/>
  <c r="BA91" i="11"/>
  <c r="BB91" i="11"/>
  <c r="BC91" i="11"/>
  <c r="BD91" i="11"/>
  <c r="AN92" i="11"/>
  <c r="AO92" i="11"/>
  <c r="AU92" i="11" s="1"/>
  <c r="AP92" i="11"/>
  <c r="AV92" i="11" s="1"/>
  <c r="AQ92" i="11"/>
  <c r="U92" i="11" s="1"/>
  <c r="AR92" i="11"/>
  <c r="AX92" i="11" s="1"/>
  <c r="BA92" i="11"/>
  <c r="BB92" i="11"/>
  <c r="BC92" i="11"/>
  <c r="BD92" i="11"/>
  <c r="AN93" i="11"/>
  <c r="G93" i="11" s="1"/>
  <c r="AO93" i="11"/>
  <c r="K93" i="11" s="1"/>
  <c r="AP93" i="11"/>
  <c r="P93" i="11" s="1"/>
  <c r="AQ93" i="11"/>
  <c r="U93" i="11" s="1"/>
  <c r="AR93" i="11"/>
  <c r="Z93" i="11" s="1"/>
  <c r="BA93" i="11"/>
  <c r="BB93" i="11"/>
  <c r="BC93" i="11"/>
  <c r="BD93" i="11"/>
  <c r="AN94" i="11"/>
  <c r="G94" i="11" s="1"/>
  <c r="AO94" i="11"/>
  <c r="AU94" i="11" s="1"/>
  <c r="AP94" i="11"/>
  <c r="AQ94" i="11"/>
  <c r="U94" i="11" s="1"/>
  <c r="AR94" i="11"/>
  <c r="AX94" i="11" s="1"/>
  <c r="BA94" i="11"/>
  <c r="BB94" i="11"/>
  <c r="BC94" i="11"/>
  <c r="BD94" i="11"/>
  <c r="AN95" i="11"/>
  <c r="AO95" i="11"/>
  <c r="K95" i="11" s="1"/>
  <c r="AP95" i="11"/>
  <c r="P95" i="11" s="1"/>
  <c r="AQ95" i="11"/>
  <c r="U95" i="11" s="1"/>
  <c r="AR95" i="11"/>
  <c r="AX95" i="11" s="1"/>
  <c r="BA95" i="11"/>
  <c r="BB95" i="11"/>
  <c r="BC95" i="11"/>
  <c r="BD95" i="11"/>
  <c r="AN96" i="11"/>
  <c r="G96" i="11" s="1"/>
  <c r="AO96" i="11"/>
  <c r="AP96" i="11"/>
  <c r="AQ96" i="11"/>
  <c r="U96" i="11" s="1"/>
  <c r="AR96" i="11"/>
  <c r="BA96" i="11"/>
  <c r="BB96" i="11"/>
  <c r="BC96" i="11"/>
  <c r="BD96" i="11"/>
  <c r="AN97" i="11"/>
  <c r="G97" i="11" s="1"/>
  <c r="AO97" i="11"/>
  <c r="AU97" i="11" s="1"/>
  <c r="AP97" i="11"/>
  <c r="AV97" i="11" s="1"/>
  <c r="AQ97" i="11"/>
  <c r="U97" i="11" s="1"/>
  <c r="AR97" i="11"/>
  <c r="AX97" i="11" s="1"/>
  <c r="BA97" i="11"/>
  <c r="BB97" i="11"/>
  <c r="BC97" i="11"/>
  <c r="BD97" i="11"/>
  <c r="AN98" i="11"/>
  <c r="G98" i="11" s="1"/>
  <c r="AO98" i="11"/>
  <c r="K98" i="11" s="1"/>
  <c r="AP98" i="11"/>
  <c r="AQ98" i="11"/>
  <c r="U98" i="11" s="1"/>
  <c r="AR98" i="11"/>
  <c r="AX98" i="11" s="1"/>
  <c r="BA98" i="11"/>
  <c r="BB98" i="11"/>
  <c r="BC98" i="11"/>
  <c r="BD98" i="11"/>
  <c r="AN99" i="11"/>
  <c r="G99" i="11" s="1"/>
  <c r="AO99" i="11"/>
  <c r="K99" i="11" s="1"/>
  <c r="AP99" i="11"/>
  <c r="P99" i="11" s="1"/>
  <c r="AQ99" i="11"/>
  <c r="AR99" i="11"/>
  <c r="AX99" i="11" s="1"/>
  <c r="BA99" i="11"/>
  <c r="BB99" i="11"/>
  <c r="BC99" i="11"/>
  <c r="BD99" i="11"/>
  <c r="AN100" i="11"/>
  <c r="G100" i="11" s="1"/>
  <c r="AO100" i="11"/>
  <c r="AU100" i="11" s="1"/>
  <c r="AP100" i="11"/>
  <c r="P100" i="11" s="1"/>
  <c r="AQ100" i="11"/>
  <c r="U100" i="11" s="1"/>
  <c r="AR100" i="11"/>
  <c r="AX100" i="11" s="1"/>
  <c r="BA100" i="11"/>
  <c r="BB100" i="11"/>
  <c r="BC100" i="11"/>
  <c r="BD100" i="11"/>
  <c r="AN101" i="11"/>
  <c r="AO101" i="11"/>
  <c r="K101" i="11" s="1"/>
  <c r="AP101" i="11"/>
  <c r="P101" i="11" s="1"/>
  <c r="AQ101" i="11"/>
  <c r="AR101" i="11"/>
  <c r="BA101" i="11"/>
  <c r="BB101" i="11"/>
  <c r="BC101" i="11"/>
  <c r="BD101" i="11"/>
  <c r="AN102" i="11"/>
  <c r="G102" i="11" s="1"/>
  <c r="AO102" i="11"/>
  <c r="K102" i="11" s="1"/>
  <c r="AP102" i="11"/>
  <c r="AQ102" i="11"/>
  <c r="AR102" i="11"/>
  <c r="AX102" i="11" s="1"/>
  <c r="BA102" i="11"/>
  <c r="BB102" i="11"/>
  <c r="BC102" i="11"/>
  <c r="BD102" i="11"/>
  <c r="AN103" i="11"/>
  <c r="G103" i="11" s="1"/>
  <c r="AO103" i="11"/>
  <c r="K103" i="11" s="1"/>
  <c r="AP103" i="11"/>
  <c r="AV103" i="11" s="1"/>
  <c r="AQ103" i="11"/>
  <c r="AR103" i="11"/>
  <c r="AX103" i="11" s="1"/>
  <c r="BA103" i="11"/>
  <c r="BB103" i="11"/>
  <c r="BC103" i="11"/>
  <c r="BD103" i="11"/>
  <c r="AN104" i="11"/>
  <c r="G104" i="11" s="1"/>
  <c r="AO104" i="11"/>
  <c r="AU104" i="11" s="1"/>
  <c r="AP104" i="11"/>
  <c r="AV104" i="11" s="1"/>
  <c r="AQ104" i="11"/>
  <c r="U104" i="11" s="1"/>
  <c r="AR104" i="11"/>
  <c r="AX104" i="11" s="1"/>
  <c r="BA104" i="11"/>
  <c r="BB104" i="11"/>
  <c r="BC104" i="11"/>
  <c r="BD104" i="11"/>
  <c r="AN105" i="11"/>
  <c r="AO105" i="11"/>
  <c r="K105" i="11" s="1"/>
  <c r="AP105" i="11"/>
  <c r="AQ105" i="11"/>
  <c r="U105" i="11" s="1"/>
  <c r="AR105" i="11"/>
  <c r="AX105" i="11" s="1"/>
  <c r="BA105" i="11"/>
  <c r="BB105" i="11"/>
  <c r="BC105" i="11"/>
  <c r="BD105" i="11"/>
  <c r="AN106" i="11"/>
  <c r="G106" i="11" s="1"/>
  <c r="AO106" i="11"/>
  <c r="AP106" i="11"/>
  <c r="AV106" i="11" s="1"/>
  <c r="AQ106" i="11"/>
  <c r="AR106" i="11"/>
  <c r="BA106" i="11"/>
  <c r="BB106" i="11"/>
  <c r="BC106" i="11"/>
  <c r="BD106" i="11"/>
  <c r="AN107" i="11"/>
  <c r="G107" i="11" s="1"/>
  <c r="AO107" i="11"/>
  <c r="K107" i="11" s="1"/>
  <c r="AP107" i="11"/>
  <c r="AV107" i="11" s="1"/>
  <c r="AQ107" i="11"/>
  <c r="AR107" i="11"/>
  <c r="Z107" i="11" s="1"/>
  <c r="BA107" i="11"/>
  <c r="BB107" i="11"/>
  <c r="BC107" i="11"/>
  <c r="BD107" i="11"/>
  <c r="AN108" i="11"/>
  <c r="AO108" i="11"/>
  <c r="AU108" i="11" s="1"/>
  <c r="AP108" i="11"/>
  <c r="AV108" i="11" s="1"/>
  <c r="AQ108" i="11"/>
  <c r="U108" i="11" s="1"/>
  <c r="AR108" i="11"/>
  <c r="Z108" i="11" s="1"/>
  <c r="BA108" i="11"/>
  <c r="BB108" i="11"/>
  <c r="BC108" i="11"/>
  <c r="BD108" i="11"/>
  <c r="AN109" i="11"/>
  <c r="AO109" i="11"/>
  <c r="AU109" i="11" s="1"/>
  <c r="AP109" i="11"/>
  <c r="AV109" i="11" s="1"/>
  <c r="AQ109" i="11"/>
  <c r="AR109" i="11"/>
  <c r="Z109" i="11" s="1"/>
  <c r="BA109" i="11"/>
  <c r="BB109" i="11"/>
  <c r="BC109" i="11"/>
  <c r="BD109" i="11"/>
  <c r="AN110" i="11"/>
  <c r="AO110" i="11"/>
  <c r="AU110" i="11" s="1"/>
  <c r="AP110" i="11"/>
  <c r="P110" i="11" s="1"/>
  <c r="AQ110" i="11"/>
  <c r="AR110" i="11"/>
  <c r="BA110" i="11"/>
  <c r="BB110" i="11"/>
  <c r="BC110" i="11"/>
  <c r="BD110" i="11"/>
  <c r="AN111" i="11"/>
  <c r="G111" i="11" s="1"/>
  <c r="AO111" i="11"/>
  <c r="AU111" i="11" s="1"/>
  <c r="AP111" i="11"/>
  <c r="AV111" i="11" s="1"/>
  <c r="AQ111" i="11"/>
  <c r="AR111" i="11"/>
  <c r="AX111" i="11" s="1"/>
  <c r="BA111" i="11"/>
  <c r="BB111" i="11"/>
  <c r="BC111" i="11"/>
  <c r="BD111" i="11"/>
  <c r="AN112" i="11"/>
  <c r="AO112" i="11"/>
  <c r="AU112" i="11" s="1"/>
  <c r="AP112" i="11"/>
  <c r="AV112" i="11" s="1"/>
  <c r="AQ112" i="11"/>
  <c r="U112" i="11" s="1"/>
  <c r="AR112" i="11"/>
  <c r="Z112" i="11" s="1"/>
  <c r="BA112" i="11"/>
  <c r="BB112" i="11"/>
  <c r="BC112" i="11"/>
  <c r="BD112" i="11"/>
  <c r="AN113" i="11"/>
  <c r="G113" i="11" s="1"/>
  <c r="AO113" i="11"/>
  <c r="AU113" i="11" s="1"/>
  <c r="AP113" i="11"/>
  <c r="P113" i="11" s="1"/>
  <c r="AQ113" i="11"/>
  <c r="U113" i="11" s="1"/>
  <c r="AR113" i="11"/>
  <c r="Z113" i="11" s="1"/>
  <c r="BA113" i="11"/>
  <c r="BB113" i="11"/>
  <c r="BC113" i="11"/>
  <c r="BD113" i="11"/>
  <c r="AN114" i="11"/>
  <c r="AO114" i="11"/>
  <c r="AU114" i="11" s="1"/>
  <c r="AP114" i="11"/>
  <c r="AV114" i="11" s="1"/>
  <c r="AQ114" i="11"/>
  <c r="U114" i="11" s="1"/>
  <c r="AR114" i="11"/>
  <c r="AX114" i="11" s="1"/>
  <c r="BA114" i="11"/>
  <c r="BB114" i="11"/>
  <c r="BC114" i="11"/>
  <c r="BD114" i="11"/>
  <c r="AN115" i="11"/>
  <c r="AO115" i="11"/>
  <c r="AP115" i="11"/>
  <c r="AV115" i="11" s="1"/>
  <c r="AQ115" i="11"/>
  <c r="AR115" i="11"/>
  <c r="AX115" i="11" s="1"/>
  <c r="BA115" i="11"/>
  <c r="BB115" i="11"/>
  <c r="BC115" i="11"/>
  <c r="BD115" i="11"/>
  <c r="AN116" i="11"/>
  <c r="AO116" i="11"/>
  <c r="AU116" i="11" s="1"/>
  <c r="AP116" i="11"/>
  <c r="AV116" i="11" s="1"/>
  <c r="AQ116" i="11"/>
  <c r="U116" i="11" s="1"/>
  <c r="AR116" i="11"/>
  <c r="Z116" i="11" s="1"/>
  <c r="BA116" i="11"/>
  <c r="BB116" i="11"/>
  <c r="BC116" i="11"/>
  <c r="BD116" i="11"/>
  <c r="AN117" i="11"/>
  <c r="AO117" i="11"/>
  <c r="K117" i="11" s="1"/>
  <c r="AP117" i="11"/>
  <c r="P117" i="11" s="1"/>
  <c r="AQ117" i="11"/>
  <c r="U117" i="11" s="1"/>
  <c r="AR117" i="11"/>
  <c r="AX117" i="11" s="1"/>
  <c r="BA117" i="11"/>
  <c r="BB117" i="11"/>
  <c r="BC117" i="11"/>
  <c r="BD117" i="11"/>
  <c r="AN118" i="11"/>
  <c r="AO118" i="11"/>
  <c r="AU118" i="11" s="1"/>
  <c r="AP118" i="11"/>
  <c r="P118" i="11" s="1"/>
  <c r="AQ118" i="11"/>
  <c r="U118" i="11" s="1"/>
  <c r="AR118" i="11"/>
  <c r="Z118" i="11" s="1"/>
  <c r="BA118" i="11"/>
  <c r="BB118" i="11"/>
  <c r="BC118" i="11"/>
  <c r="BD118" i="11"/>
  <c r="AP5" i="1"/>
  <c r="BP5" i="1"/>
  <c r="BQ5" i="1"/>
  <c r="BR5" i="1"/>
  <c r="BS5" i="1"/>
  <c r="AL6" i="1"/>
  <c r="AP6" i="1"/>
  <c r="BP6" i="1"/>
  <c r="BQ6" i="1"/>
  <c r="BR6" i="1"/>
  <c r="BS6" i="1"/>
  <c r="AL7" i="1"/>
  <c r="AP7" i="1"/>
  <c r="BP7" i="1"/>
  <c r="BQ7" i="1"/>
  <c r="BR7" i="1"/>
  <c r="BS7" i="1"/>
  <c r="AL8" i="1"/>
  <c r="AP8" i="1"/>
  <c r="BP8" i="1"/>
  <c r="BQ8" i="1"/>
  <c r="BR8" i="1"/>
  <c r="BS8" i="1"/>
  <c r="AL9" i="1"/>
  <c r="AP9" i="1"/>
  <c r="BP9" i="1"/>
  <c r="BQ9" i="1"/>
  <c r="BR9" i="1"/>
  <c r="BS9" i="1"/>
  <c r="AL10" i="1"/>
  <c r="AP10" i="1"/>
  <c r="BP10" i="1"/>
  <c r="BQ10" i="1"/>
  <c r="BR10" i="1"/>
  <c r="BS10" i="1"/>
  <c r="AL11" i="1"/>
  <c r="AP11" i="1"/>
  <c r="BP11" i="1"/>
  <c r="BQ11" i="1"/>
  <c r="BR11" i="1"/>
  <c r="BS11" i="1"/>
  <c r="AL12" i="1"/>
  <c r="AP12" i="1"/>
  <c r="BP12" i="1"/>
  <c r="BQ12" i="1"/>
  <c r="BR12" i="1"/>
  <c r="BS12" i="1"/>
  <c r="AL13" i="1"/>
  <c r="AP13" i="1"/>
  <c r="BP13" i="1"/>
  <c r="BQ13" i="1"/>
  <c r="BR13" i="1"/>
  <c r="BS13" i="1"/>
  <c r="AL14" i="1"/>
  <c r="AN14" i="1"/>
  <c r="AO14" i="1"/>
  <c r="B26" i="10" s="1"/>
  <c r="AP14" i="1"/>
  <c r="BP14" i="1"/>
  <c r="BQ14" i="1"/>
  <c r="BR14" i="1"/>
  <c r="BS14" i="1"/>
  <c r="AL15" i="1"/>
  <c r="AN15" i="1"/>
  <c r="AO15" i="1"/>
  <c r="AP15" i="1"/>
  <c r="BP15" i="1"/>
  <c r="BQ15" i="1"/>
  <c r="BR15" i="1"/>
  <c r="BS15" i="1"/>
  <c r="AL16" i="1"/>
  <c r="AN16" i="1"/>
  <c r="AO16" i="1"/>
  <c r="AP271" i="9" s="1"/>
  <c r="AP16" i="1"/>
  <c r="BP16" i="1"/>
  <c r="BQ16" i="1"/>
  <c r="BR16" i="1"/>
  <c r="BS16" i="1"/>
  <c r="AL17" i="1"/>
  <c r="AN17" i="1"/>
  <c r="AO17" i="1"/>
  <c r="AP17" i="1"/>
  <c r="BP17" i="1"/>
  <c r="BQ17" i="1"/>
  <c r="BR17" i="1"/>
  <c r="BS17" i="1"/>
  <c r="AL18" i="1"/>
  <c r="AP18" i="1"/>
  <c r="BP18" i="1"/>
  <c r="BQ18" i="1"/>
  <c r="BR18" i="1"/>
  <c r="BS18" i="1"/>
  <c r="AL19" i="1"/>
  <c r="AP19" i="1"/>
  <c r="BP19" i="1"/>
  <c r="BQ19" i="1"/>
  <c r="BR19" i="1"/>
  <c r="BS19" i="1"/>
  <c r="AL20" i="1"/>
  <c r="AL21" i="1"/>
  <c r="AL22" i="1"/>
  <c r="AL23" i="1"/>
  <c r="AY23" i="1"/>
  <c r="AZ23" i="1"/>
  <c r="BA23" i="1"/>
  <c r="BB23" i="1"/>
  <c r="AL24" i="1"/>
  <c r="AY24" i="1"/>
  <c r="AZ24" i="1"/>
  <c r="BA24" i="1"/>
  <c r="BB24" i="1"/>
  <c r="AL25" i="1"/>
  <c r="AY25" i="1"/>
  <c r="AZ25" i="1"/>
  <c r="BA25" i="1"/>
  <c r="BB25" i="1"/>
  <c r="AL26" i="1"/>
  <c r="AY26" i="1"/>
  <c r="AZ26" i="1"/>
  <c r="BA26" i="1"/>
  <c r="BB26" i="1"/>
  <c r="AL27" i="1"/>
  <c r="AY27" i="1"/>
  <c r="AZ27" i="1"/>
  <c r="BA27" i="1"/>
  <c r="BB27" i="1"/>
  <c r="AL28" i="1"/>
  <c r="AL29" i="1"/>
  <c r="AL30" i="1"/>
  <c r="AL31" i="1"/>
  <c r="AL32" i="1"/>
  <c r="AL33" i="1"/>
  <c r="AL34" i="1"/>
  <c r="AL35" i="1"/>
  <c r="AL36" i="1"/>
  <c r="AL37" i="1"/>
  <c r="AL38" i="1"/>
  <c r="AL39" i="1"/>
  <c r="AL40" i="1"/>
  <c r="AL41" i="1"/>
  <c r="AL42" i="1"/>
  <c r="AL43" i="1"/>
  <c r="BE43" i="1"/>
  <c r="AL44" i="1"/>
  <c r="BE44" i="1"/>
  <c r="BE45" i="1"/>
  <c r="BE46" i="1"/>
  <c r="BE47" i="1"/>
  <c r="BE48" i="1"/>
  <c r="AL52" i="1"/>
  <c r="AX52" i="1"/>
  <c r="AL53" i="1"/>
  <c r="AL54" i="1"/>
  <c r="AL55" i="1"/>
  <c r="AL56" i="1"/>
  <c r="AL57" i="1"/>
  <c r="AL58" i="1"/>
  <c r="AL59" i="1"/>
  <c r="AL60" i="1"/>
  <c r="AL61" i="1"/>
  <c r="AL62" i="1"/>
  <c r="AL63" i="1"/>
  <c r="AL64" i="1"/>
  <c r="AL65" i="1"/>
  <c r="AL66" i="1"/>
  <c r="AL67" i="1"/>
  <c r="AL68" i="1"/>
  <c r="AL69" i="1"/>
  <c r="AL70" i="1"/>
  <c r="AL71" i="1"/>
  <c r="AL72" i="1"/>
  <c r="AL74" i="1"/>
  <c r="AL75" i="1"/>
  <c r="AL76" i="1"/>
  <c r="AL77" i="1"/>
  <c r="AL78" i="1"/>
  <c r="AL79" i="1"/>
  <c r="AL81" i="1"/>
  <c r="AL82" i="1"/>
  <c r="AL83" i="1"/>
  <c r="AL85" i="1"/>
  <c r="AL86" i="1"/>
  <c r="AL87" i="1"/>
  <c r="AL88" i="1"/>
  <c r="AL89" i="1"/>
  <c r="AL90" i="1"/>
  <c r="AL92" i="1"/>
  <c r="AL93" i="1"/>
  <c r="AL95" i="1"/>
  <c r="AL96" i="1"/>
  <c r="AL98" i="1"/>
  <c r="AL99" i="1"/>
  <c r="AL100" i="1"/>
  <c r="AL101" i="1"/>
  <c r="AL110" i="1"/>
  <c r="AL111" i="1"/>
  <c r="AL112" i="1"/>
  <c r="AL113" i="1"/>
  <c r="C159" i="1"/>
  <c r="B23" i="4" s="1"/>
  <c r="D159" i="1"/>
  <c r="E159" i="1"/>
  <c r="L159" i="1"/>
  <c r="M159" i="1"/>
  <c r="T159" i="1"/>
  <c r="X159" i="1" s="1"/>
  <c r="AJ159" i="1"/>
  <c r="C160" i="1"/>
  <c r="B24" i="4" s="1"/>
  <c r="D160" i="1"/>
  <c r="E160" i="1"/>
  <c r="L160" i="1"/>
  <c r="T160" i="1"/>
  <c r="Y160" i="1" s="1"/>
  <c r="AJ160" i="1"/>
  <c r="C161" i="1"/>
  <c r="B25" i="4" s="1"/>
  <c r="D161" i="1"/>
  <c r="E161" i="1"/>
  <c r="L161" i="1"/>
  <c r="T161" i="1"/>
  <c r="Y161" i="1" s="1"/>
  <c r="AJ161" i="1"/>
  <c r="C162" i="1"/>
  <c r="B26" i="4" s="1"/>
  <c r="D162" i="1"/>
  <c r="E162" i="1"/>
  <c r="L162" i="1"/>
  <c r="T162" i="1"/>
  <c r="X162" i="1" s="1"/>
  <c r="AJ162" i="1"/>
  <c r="C163" i="1"/>
  <c r="B27" i="4" s="1"/>
  <c r="D163" i="1"/>
  <c r="E163" i="1"/>
  <c r="K163" i="1"/>
  <c r="L163" i="1"/>
  <c r="T163" i="1"/>
  <c r="U163" i="1" s="1"/>
  <c r="AJ163" i="1"/>
  <c r="C164" i="1"/>
  <c r="B28" i="4" s="1"/>
  <c r="D164" i="1"/>
  <c r="E164" i="1"/>
  <c r="K164" i="1"/>
  <c r="L164" i="1"/>
  <c r="AJ164" i="1"/>
  <c r="M165" i="1"/>
  <c r="T165" i="1"/>
  <c r="M166" i="1"/>
  <c r="T166" i="1"/>
  <c r="M167" i="1"/>
  <c r="T167" i="1"/>
  <c r="M168" i="1"/>
  <c r="T168" i="1"/>
  <c r="M169" i="1"/>
  <c r="T169" i="1"/>
  <c r="AD169" i="1" s="1"/>
  <c r="M170" i="1"/>
  <c r="T170" i="1"/>
  <c r="M171" i="1"/>
  <c r="T171" i="1"/>
  <c r="U171" i="1" s="1"/>
  <c r="V171" i="1" s="1"/>
  <c r="M172" i="1"/>
  <c r="T172" i="1"/>
  <c r="AE172" i="1" s="1"/>
  <c r="M173" i="1"/>
  <c r="AJ173" i="1"/>
  <c r="M174" i="1"/>
  <c r="T174" i="1"/>
  <c r="Y174" i="1" s="1"/>
  <c r="AJ174" i="1"/>
  <c r="K175" i="1"/>
  <c r="L175" i="1"/>
  <c r="M175" i="1"/>
  <c r="T175" i="1"/>
  <c r="AE175" i="1" s="1"/>
  <c r="AJ175" i="1"/>
  <c r="K176" i="1"/>
  <c r="L176" i="1"/>
  <c r="M176" i="1"/>
  <c r="T176" i="1"/>
  <c r="X176" i="1" s="1"/>
  <c r="AC25" i="18" s="1"/>
  <c r="AJ176" i="1"/>
  <c r="K177" i="1"/>
  <c r="L177" i="1"/>
  <c r="M177" i="1"/>
  <c r="T177" i="1"/>
  <c r="Y177" i="1" s="1"/>
  <c r="AD26" i="18" s="1"/>
  <c r="AJ177" i="1"/>
  <c r="K178" i="1"/>
  <c r="L178" i="1"/>
  <c r="M178" i="1"/>
  <c r="E179" i="1"/>
  <c r="N179" i="1" s="1"/>
  <c r="G179" i="1"/>
  <c r="G180" i="1"/>
  <c r="E181" i="1"/>
  <c r="N181" i="1" s="1"/>
  <c r="G181" i="1"/>
  <c r="F182" i="1"/>
  <c r="E183" i="1"/>
  <c r="N183" i="1" s="1"/>
  <c r="F183" i="1"/>
  <c r="F184" i="1"/>
  <c r="E185" i="1"/>
  <c r="N185" i="1" s="1"/>
  <c r="F185" i="1"/>
  <c r="E186" i="1"/>
  <c r="N186" i="1" s="1"/>
  <c r="F186" i="1"/>
  <c r="E188" i="1"/>
  <c r="N188" i="1" s="1"/>
  <c r="F188" i="1"/>
  <c r="E189" i="1"/>
  <c r="N189" i="1" s="1"/>
  <c r="F189" i="1"/>
  <c r="E190" i="1"/>
  <c r="N190" i="1" s="1"/>
  <c r="F190" i="1"/>
  <c r="E191" i="1"/>
  <c r="N191" i="1" s="1"/>
  <c r="G191" i="1"/>
  <c r="E193" i="1"/>
  <c r="N193" i="1" s="1"/>
  <c r="F193" i="1"/>
  <c r="E194" i="1"/>
  <c r="N194" i="1" s="1"/>
  <c r="G194" i="1"/>
  <c r="F195" i="1"/>
  <c r="E197" i="1"/>
  <c r="N197" i="1" s="1"/>
  <c r="F197" i="1"/>
  <c r="E198" i="1"/>
  <c r="N198" i="1" s="1"/>
  <c r="F198" i="1"/>
  <c r="E199" i="1"/>
  <c r="N199" i="1" s="1"/>
  <c r="E200" i="1"/>
  <c r="N200" i="1" s="1"/>
  <c r="F200" i="1"/>
  <c r="E201" i="1"/>
  <c r="N201" i="1" s="1"/>
  <c r="F201" i="1"/>
  <c r="G202" i="1"/>
  <c r="F203" i="1"/>
  <c r="C23" i="4"/>
  <c r="B19" i="25" s="1"/>
  <c r="C24" i="4"/>
  <c r="B20" i="25" s="1"/>
  <c r="V24" i="4"/>
  <c r="W24" i="4"/>
  <c r="X24" i="4"/>
  <c r="C25" i="4"/>
  <c r="V25" i="4"/>
  <c r="W25" i="4"/>
  <c r="X25" i="4"/>
  <c r="C26" i="4"/>
  <c r="B22" i="25" s="1"/>
  <c r="V26" i="4"/>
  <c r="W26" i="4"/>
  <c r="X26" i="4"/>
  <c r="C27" i="4"/>
  <c r="V27" i="4"/>
  <c r="W27" i="4"/>
  <c r="X27" i="4"/>
  <c r="C28" i="4"/>
  <c r="D28" i="4" s="1"/>
  <c r="C24" i="25" s="1"/>
  <c r="V28" i="4"/>
  <c r="W28" i="4"/>
  <c r="X28" i="4"/>
  <c r="V32" i="4"/>
  <c r="R34" i="4"/>
  <c r="V34" i="4"/>
  <c r="H77" i="16"/>
  <c r="I77" i="16"/>
  <c r="J77" i="16"/>
  <c r="K77" i="16"/>
  <c r="H78" i="16"/>
  <c r="I78" i="16"/>
  <c r="J78" i="16"/>
  <c r="K78" i="16"/>
  <c r="H79" i="16"/>
  <c r="I79" i="16"/>
  <c r="J79" i="16"/>
  <c r="K79" i="16"/>
  <c r="H80" i="16"/>
  <c r="I80" i="16"/>
  <c r="J80" i="16"/>
  <c r="K80" i="16"/>
  <c r="H81" i="16"/>
  <c r="I81" i="16"/>
  <c r="J81" i="16"/>
  <c r="K81" i="16"/>
  <c r="H82" i="16"/>
  <c r="I82" i="16"/>
  <c r="J82" i="16"/>
  <c r="K82" i="16"/>
  <c r="H83" i="16"/>
  <c r="I83" i="16"/>
  <c r="J83" i="16"/>
  <c r="K83" i="16"/>
  <c r="H84" i="16"/>
  <c r="I84" i="16"/>
  <c r="J84" i="16"/>
  <c r="K84" i="16"/>
  <c r="H85" i="16"/>
  <c r="I85" i="16"/>
  <c r="J85" i="16"/>
  <c r="K85" i="16"/>
  <c r="H86" i="16"/>
  <c r="I86" i="16"/>
  <c r="J86" i="16"/>
  <c r="K86" i="16"/>
  <c r="H87" i="16"/>
  <c r="I87" i="16"/>
  <c r="J87" i="16"/>
  <c r="K87" i="16"/>
  <c r="H88" i="16"/>
  <c r="I88" i="16"/>
  <c r="J88" i="16"/>
  <c r="K88" i="16"/>
  <c r="H89" i="16"/>
  <c r="I89" i="16"/>
  <c r="J89" i="16"/>
  <c r="K89" i="16"/>
  <c r="D1" i="24"/>
  <c r="I3" i="24"/>
  <c r="AT60" i="11" l="1"/>
  <c r="G60" i="11"/>
  <c r="AT67" i="11"/>
  <c r="G67" i="11"/>
  <c r="AT42" i="11"/>
  <c r="G42" i="11"/>
  <c r="AT56" i="11"/>
  <c r="G56" i="11"/>
  <c r="AT70" i="11"/>
  <c r="G70" i="11"/>
  <c r="AT38" i="11"/>
  <c r="G38" i="11"/>
  <c r="AT20" i="11"/>
  <c r="G20" i="11"/>
  <c r="AT114" i="11"/>
  <c r="G114" i="11"/>
  <c r="AT68" i="11"/>
  <c r="G68" i="11"/>
  <c r="AT36" i="11"/>
  <c r="G36" i="11"/>
  <c r="AT43" i="11"/>
  <c r="G43" i="11"/>
  <c r="AT50" i="11"/>
  <c r="G50" i="11"/>
  <c r="AT89" i="11"/>
  <c r="G89" i="11"/>
  <c r="AT32" i="11"/>
  <c r="G32" i="11"/>
  <c r="AT39" i="11"/>
  <c r="G39" i="11"/>
  <c r="AT110" i="11"/>
  <c r="G110" i="11"/>
  <c r="AT78" i="11"/>
  <c r="G78" i="11"/>
  <c r="AT117" i="11"/>
  <c r="G117" i="11"/>
  <c r="AT85" i="11"/>
  <c r="G85" i="11"/>
  <c r="AT112" i="11"/>
  <c r="G112" i="11"/>
  <c r="AT84" i="11"/>
  <c r="G84" i="11"/>
  <c r="AT66" i="11"/>
  <c r="G66" i="11"/>
  <c r="AT34" i="11"/>
  <c r="G34" i="11"/>
  <c r="AT69" i="11"/>
  <c r="G69" i="11"/>
  <c r="AT37" i="11"/>
  <c r="G37" i="11"/>
  <c r="AT95" i="11"/>
  <c r="G95" i="11"/>
  <c r="AT109" i="11"/>
  <c r="G109" i="11"/>
  <c r="AT116" i="11"/>
  <c r="G116" i="11"/>
  <c r="AT30" i="11"/>
  <c r="G30" i="11"/>
  <c r="AT108" i="11"/>
  <c r="G108" i="11"/>
  <c r="AT44" i="11"/>
  <c r="G44" i="11"/>
  <c r="AT115" i="11"/>
  <c r="G115" i="11"/>
  <c r="AT79" i="11"/>
  <c r="G79" i="11"/>
  <c r="AT92" i="11"/>
  <c r="G92" i="11"/>
  <c r="AT105" i="11"/>
  <c r="G105" i="11"/>
  <c r="AT80" i="11"/>
  <c r="G80" i="11"/>
  <c r="AT16" i="11"/>
  <c r="G16" i="11"/>
  <c r="AT87" i="11"/>
  <c r="G87" i="11"/>
  <c r="AT101" i="11"/>
  <c r="G101" i="11"/>
  <c r="AT118" i="11"/>
  <c r="G118" i="11"/>
  <c r="AT54" i="11"/>
  <c r="G54" i="11"/>
  <c r="AT22" i="11"/>
  <c r="G22" i="11"/>
  <c r="AT10" i="11"/>
  <c r="G10" i="11"/>
  <c r="AU9" i="11"/>
  <c r="K9" i="11"/>
  <c r="BF48" i="1"/>
  <c r="BI48" i="1" s="1"/>
  <c r="I28" i="4" s="1"/>
  <c r="H24" i="25" s="1"/>
  <c r="DF12" i="1"/>
  <c r="DD12" i="1"/>
  <c r="DB12" i="1"/>
  <c r="DF11" i="1"/>
  <c r="DD11" i="1"/>
  <c r="DB11" i="1"/>
  <c r="DD10" i="1"/>
  <c r="DF10" i="1"/>
  <c r="DB10" i="1"/>
  <c r="DF14" i="1"/>
  <c r="DD14" i="1"/>
  <c r="DB14" i="1"/>
  <c r="DF13" i="1"/>
  <c r="DD13" i="1"/>
  <c r="DB13" i="1"/>
  <c r="DD9" i="1"/>
  <c r="DB9" i="1"/>
  <c r="DF9" i="1"/>
  <c r="DF8" i="1"/>
  <c r="DD8" i="1"/>
  <c r="DB8" i="1"/>
  <c r="DF15" i="1"/>
  <c r="DD15" i="1"/>
  <c r="DB15" i="1"/>
  <c r="DF16" i="1"/>
  <c r="DB16" i="1"/>
  <c r="DD16" i="1"/>
  <c r="DF17" i="1"/>
  <c r="DB17" i="1"/>
  <c r="DD17" i="1"/>
  <c r="DB18" i="1"/>
  <c r="DF18" i="1"/>
  <c r="DD18" i="1"/>
  <c r="DB19" i="1"/>
  <c r="DF19" i="1"/>
  <c r="DD19" i="1"/>
  <c r="DF7" i="1"/>
  <c r="DD7" i="1"/>
  <c r="DB7" i="1"/>
  <c r="DF6" i="1"/>
  <c r="DD6" i="1"/>
  <c r="DB6" i="1"/>
  <c r="DB5" i="1"/>
  <c r="DD5" i="1"/>
  <c r="DF5" i="1"/>
  <c r="DH13" i="1"/>
  <c r="AQ17" i="1"/>
  <c r="DH15" i="1"/>
  <c r="AQ14" i="1"/>
  <c r="AQ9" i="1"/>
  <c r="AQ11" i="1"/>
  <c r="AQ10" i="1"/>
  <c r="AQ18" i="1"/>
  <c r="DH8" i="1"/>
  <c r="DH6" i="1"/>
  <c r="U167" i="1"/>
  <c r="V167" i="1" s="1"/>
  <c r="P198" i="1"/>
  <c r="P197" i="1"/>
  <c r="P200" i="1"/>
  <c r="P199" i="1"/>
  <c r="G28" i="7"/>
  <c r="P189" i="1"/>
  <c r="P201" i="1"/>
  <c r="P194" i="1"/>
  <c r="O164" i="1"/>
  <c r="P164" i="1"/>
  <c r="P173" i="1"/>
  <c r="O173" i="1"/>
  <c r="P167" i="1"/>
  <c r="O167" i="1"/>
  <c r="O176" i="1"/>
  <c r="P176" i="1"/>
  <c r="P178" i="1"/>
  <c r="O178" i="1"/>
  <c r="N177" i="1"/>
  <c r="O177" i="1"/>
  <c r="P177" i="1"/>
  <c r="O170" i="1"/>
  <c r="P170" i="1"/>
  <c r="O175" i="1"/>
  <c r="P175" i="1"/>
  <c r="O169" i="1"/>
  <c r="P169" i="1"/>
  <c r="O165" i="1"/>
  <c r="P165" i="1"/>
  <c r="O168" i="1"/>
  <c r="P168" i="1"/>
  <c r="H28" i="7"/>
  <c r="M6" i="7" s="1"/>
  <c r="P179" i="1"/>
  <c r="P183" i="1"/>
  <c r="P186" i="1"/>
  <c r="P188" i="1"/>
  <c r="P181" i="1"/>
  <c r="P193" i="1"/>
  <c r="P185" i="1"/>
  <c r="P191" i="1"/>
  <c r="P190" i="1"/>
  <c r="O189" i="1"/>
  <c r="O193" i="1"/>
  <c r="O186" i="1"/>
  <c r="O201" i="1"/>
  <c r="O199" i="1"/>
  <c r="O185" i="1"/>
  <c r="O200" i="1"/>
  <c r="O194" i="1"/>
  <c r="O181" i="1"/>
  <c r="O198" i="1"/>
  <c r="O188" i="1"/>
  <c r="O191" i="1"/>
  <c r="O197" i="1"/>
  <c r="O190" i="1"/>
  <c r="O183" i="1"/>
  <c r="R50" i="1"/>
  <c r="Q47" i="1"/>
  <c r="Q53" i="1"/>
  <c r="R47" i="1"/>
  <c r="R53" i="1"/>
  <c r="O49" i="1"/>
  <c r="AA38" i="11"/>
  <c r="AA66" i="11"/>
  <c r="AA94" i="11"/>
  <c r="AA13" i="11"/>
  <c r="AA97" i="11"/>
  <c r="AA42" i="11"/>
  <c r="AA98" i="11"/>
  <c r="AA15" i="11"/>
  <c r="AA16" i="11"/>
  <c r="AA100" i="11"/>
  <c r="AA73" i="11"/>
  <c r="AA18" i="11"/>
  <c r="AA102" i="11"/>
  <c r="AA47" i="11"/>
  <c r="AA48" i="11"/>
  <c r="AA77" i="11"/>
  <c r="AA22" i="11"/>
  <c r="AA106" i="11"/>
  <c r="AA79" i="11"/>
  <c r="AA52" i="11"/>
  <c r="AA53" i="11"/>
  <c r="AA26" i="11"/>
  <c r="AA55" i="11"/>
  <c r="AA56" i="11"/>
  <c r="AA113" i="11"/>
  <c r="AA30" i="11"/>
  <c r="AA59" i="11"/>
  <c r="AA60" i="11"/>
  <c r="AA34" i="11"/>
  <c r="AA91" i="11"/>
  <c r="AA64" i="11"/>
  <c r="AA11" i="11"/>
  <c r="AA39" i="11"/>
  <c r="AA67" i="11"/>
  <c r="AA95" i="11"/>
  <c r="AA41" i="11"/>
  <c r="AA69" i="11"/>
  <c r="AA14" i="11"/>
  <c r="AA70" i="11"/>
  <c r="AA43" i="11"/>
  <c r="AA99" i="11"/>
  <c r="AA44" i="11"/>
  <c r="AA45" i="11"/>
  <c r="AA101" i="11"/>
  <c r="AA46" i="11"/>
  <c r="AA19" i="11"/>
  <c r="AA103" i="11"/>
  <c r="AA76" i="11"/>
  <c r="AA104" i="11"/>
  <c r="AA21" i="11"/>
  <c r="AA78" i="11"/>
  <c r="AA51" i="11"/>
  <c r="AA107" i="11"/>
  <c r="AA80" i="11"/>
  <c r="AA81" i="11"/>
  <c r="AA54" i="11"/>
  <c r="AA83" i="11"/>
  <c r="AA28" i="11"/>
  <c r="AA29" i="11"/>
  <c r="AA86" i="11"/>
  <c r="AA115" i="11"/>
  <c r="AA32" i="11"/>
  <c r="AA117" i="11"/>
  <c r="AA62" i="11"/>
  <c r="AA35" i="11"/>
  <c r="AA92" i="11"/>
  <c r="AA93" i="11"/>
  <c r="AA12" i="11"/>
  <c r="AA40" i="11"/>
  <c r="AA68" i="11"/>
  <c r="AA96" i="11"/>
  <c r="AA71" i="11"/>
  <c r="AA72" i="11"/>
  <c r="AA17" i="11"/>
  <c r="AA74" i="11"/>
  <c r="AA75" i="11"/>
  <c r="AA20" i="11"/>
  <c r="AA49" i="11"/>
  <c r="AA50" i="11"/>
  <c r="AA23" i="11"/>
  <c r="AA108" i="11"/>
  <c r="AA25" i="11"/>
  <c r="AA82" i="11"/>
  <c r="AA111" i="11"/>
  <c r="AA84" i="11"/>
  <c r="AA85" i="11"/>
  <c r="AA58" i="11"/>
  <c r="AA87" i="11"/>
  <c r="AA88" i="11"/>
  <c r="AA89" i="11"/>
  <c r="AA118" i="11"/>
  <c r="AA63" i="11"/>
  <c r="AA65" i="11"/>
  <c r="AA105" i="11"/>
  <c r="AA24" i="11"/>
  <c r="AA109" i="11"/>
  <c r="AA110" i="11"/>
  <c r="AA27" i="11"/>
  <c r="AA112" i="11"/>
  <c r="AA57" i="11"/>
  <c r="AA114" i="11"/>
  <c r="AA31" i="11"/>
  <c r="AA116" i="11"/>
  <c r="AA61" i="11"/>
  <c r="AA90" i="11"/>
  <c r="AA36" i="11"/>
  <c r="AA33" i="11"/>
  <c r="AA37" i="11"/>
  <c r="AJ2" i="11"/>
  <c r="O52" i="1"/>
  <c r="Q56" i="1"/>
  <c r="O58" i="1"/>
  <c r="Q59" i="1"/>
  <c r="R57" i="1"/>
  <c r="O61" i="1"/>
  <c r="O67" i="1"/>
  <c r="O70" i="1"/>
  <c r="O46" i="1"/>
  <c r="R54" i="1"/>
  <c r="R60" i="1"/>
  <c r="G30" i="15"/>
  <c r="X21" i="9"/>
  <c r="R62" i="1"/>
  <c r="BL41" i="11"/>
  <c r="AN9" i="11"/>
  <c r="G9" i="11" s="1"/>
  <c r="BE41" i="11"/>
  <c r="AH41" i="11" s="1"/>
  <c r="O64" i="1"/>
  <c r="AK5" i="9"/>
  <c r="G4" i="21" s="1"/>
  <c r="R59" i="1"/>
  <c r="E76" i="5"/>
  <c r="F76" i="5"/>
  <c r="G76" i="5"/>
  <c r="J76" i="5" s="1"/>
  <c r="F27" i="6"/>
  <c r="D171" i="1" s="1"/>
  <c r="E171" i="1" s="1"/>
  <c r="L67" i="5"/>
  <c r="M67" i="5"/>
  <c r="U67" i="5" s="1"/>
  <c r="N67" i="5"/>
  <c r="O67" i="5"/>
  <c r="L91" i="5"/>
  <c r="O64" i="5"/>
  <c r="L68" i="5"/>
  <c r="G33" i="15"/>
  <c r="M68" i="5"/>
  <c r="K68" i="5" s="1"/>
  <c r="O68" i="5"/>
  <c r="L65" i="5"/>
  <c r="M91" i="5"/>
  <c r="U91" i="5" s="1"/>
  <c r="N66" i="5"/>
  <c r="M65" i="5"/>
  <c r="V65" i="5" s="1"/>
  <c r="N68" i="5"/>
  <c r="N92" i="5"/>
  <c r="K79" i="18"/>
  <c r="S115" i="5"/>
  <c r="C36" i="21"/>
  <c r="Q71" i="1"/>
  <c r="Q62" i="1"/>
  <c r="M100" i="5"/>
  <c r="U100" i="5" s="1"/>
  <c r="L100" i="5"/>
  <c r="M95" i="5"/>
  <c r="W95" i="5" s="1"/>
  <c r="R51" i="1"/>
  <c r="O79" i="18"/>
  <c r="G11" i="15"/>
  <c r="R63" i="1"/>
  <c r="BE108" i="11"/>
  <c r="AH108" i="11" s="1"/>
  <c r="S84" i="5"/>
  <c r="G63" i="15"/>
  <c r="O58" i="5"/>
  <c r="M59" i="5"/>
  <c r="K59" i="5" s="1"/>
  <c r="G65" i="15"/>
  <c r="N58" i="5"/>
  <c r="BE111" i="11"/>
  <c r="AH111" i="11" s="1"/>
  <c r="M88" i="5"/>
  <c r="K88" i="5" s="1"/>
  <c r="N88" i="5"/>
  <c r="S72" i="5"/>
  <c r="O59" i="5"/>
  <c r="L88" i="5"/>
  <c r="G60" i="15"/>
  <c r="O88" i="5"/>
  <c r="M87" i="5"/>
  <c r="K87" i="5" s="1"/>
  <c r="Y9" i="6"/>
  <c r="M61" i="5"/>
  <c r="U61" i="5" s="1"/>
  <c r="O90" i="5"/>
  <c r="O87" i="5"/>
  <c r="L59" i="5"/>
  <c r="N87" i="5"/>
  <c r="Q65" i="1"/>
  <c r="Q71" i="18"/>
  <c r="R65" i="1"/>
  <c r="G99" i="15"/>
  <c r="G58" i="5"/>
  <c r="H58" i="5" s="1"/>
  <c r="E58" i="5"/>
  <c r="D58" i="5"/>
  <c r="AE160" i="1"/>
  <c r="G58" i="15"/>
  <c r="BG76" i="11"/>
  <c r="D26" i="6"/>
  <c r="F70" i="5"/>
  <c r="O65" i="18"/>
  <c r="N65" i="18"/>
  <c r="M65" i="18"/>
  <c r="G198" i="1"/>
  <c r="S61" i="5"/>
  <c r="G53" i="15"/>
  <c r="Y171" i="1"/>
  <c r="AD20" i="18" s="1"/>
  <c r="BL62" i="11"/>
  <c r="BL96" i="11"/>
  <c r="BL116" i="11"/>
  <c r="BI50" i="11"/>
  <c r="BI94" i="11"/>
  <c r="BI114" i="11"/>
  <c r="BN37" i="11"/>
  <c r="BH35" i="11"/>
  <c r="N83" i="5"/>
  <c r="BI10" i="11"/>
  <c r="BI42" i="11"/>
  <c r="BL37" i="11"/>
  <c r="BH12" i="11"/>
  <c r="M86" i="5"/>
  <c r="W86" i="5" s="1"/>
  <c r="BH83" i="11"/>
  <c r="BI59" i="11"/>
  <c r="BN54" i="11"/>
  <c r="P65" i="18"/>
  <c r="BN38" i="11"/>
  <c r="Z172" i="1"/>
  <c r="BN25" i="11"/>
  <c r="BL49" i="11"/>
  <c r="N79" i="5"/>
  <c r="R71" i="18"/>
  <c r="Y170" i="1"/>
  <c r="L65" i="18"/>
  <c r="S65" i="18"/>
  <c r="L86" i="5"/>
  <c r="F175" i="1"/>
  <c r="AQ15" i="1"/>
  <c r="BE84" i="11"/>
  <c r="AH84" i="11" s="1"/>
  <c r="G68" i="15"/>
  <c r="E29" i="6"/>
  <c r="AB167" i="1"/>
  <c r="BE39" i="11"/>
  <c r="AH39" i="11" s="1"/>
  <c r="AB160" i="1"/>
  <c r="Z160" i="1"/>
  <c r="N65" i="5"/>
  <c r="BE105" i="11"/>
  <c r="AH105" i="11" s="1"/>
  <c r="G20" i="15"/>
  <c r="W160" i="1"/>
  <c r="Z9" i="18" s="1"/>
  <c r="H32" i="18" s="1"/>
  <c r="G84" i="15"/>
  <c r="M99" i="5"/>
  <c r="U99" i="5" s="1"/>
  <c r="AD160" i="1"/>
  <c r="BH28" i="11"/>
  <c r="AU15" i="11"/>
  <c r="F191" i="1"/>
  <c r="BE56" i="11"/>
  <c r="AH56" i="11" s="1"/>
  <c r="G88" i="15"/>
  <c r="G70" i="15"/>
  <c r="G22" i="15"/>
  <c r="AC160" i="1"/>
  <c r="BE74" i="11"/>
  <c r="AH74" i="11" s="1"/>
  <c r="S94" i="5"/>
  <c r="AB176" i="1"/>
  <c r="AG25" i="18" s="1"/>
  <c r="BE45" i="11"/>
  <c r="AH45" i="11" s="1"/>
  <c r="G82" i="15"/>
  <c r="G50" i="15"/>
  <c r="Y176" i="1"/>
  <c r="AD25" i="18" s="1"/>
  <c r="C31" i="21"/>
  <c r="C34" i="21"/>
  <c r="BG48" i="1"/>
  <c r="BJ48" i="1" s="1"/>
  <c r="L28" i="4" s="1"/>
  <c r="K24" i="25" s="1"/>
  <c r="BE89" i="11"/>
  <c r="AH89" i="11" s="1"/>
  <c r="U176" i="1"/>
  <c r="V176" i="1" s="1"/>
  <c r="C32" i="21"/>
  <c r="BK24" i="1"/>
  <c r="L109" i="5"/>
  <c r="M109" i="5"/>
  <c r="W109" i="5" s="1"/>
  <c r="M106" i="5"/>
  <c r="K106" i="5" s="1"/>
  <c r="L106" i="5"/>
  <c r="Z176" i="1"/>
  <c r="AE25" i="18" s="1"/>
  <c r="V33" i="18" s="1"/>
  <c r="V47" i="18" s="1"/>
  <c r="U31" i="21"/>
  <c r="D46" i="21"/>
  <c r="M110" i="5"/>
  <c r="U110" i="5" s="1"/>
  <c r="AB171" i="1"/>
  <c r="AG20" i="18" s="1"/>
  <c r="L110" i="5"/>
  <c r="O105" i="5"/>
  <c r="R66" i="1"/>
  <c r="N105" i="5"/>
  <c r="AQ12" i="1"/>
  <c r="BE63" i="11"/>
  <c r="AH63" i="11" s="1"/>
  <c r="G76" i="15"/>
  <c r="Q68" i="1"/>
  <c r="R68" i="1"/>
  <c r="AA176" i="1"/>
  <c r="AF25" i="18" s="1"/>
  <c r="V85" i="18" s="1"/>
  <c r="V102" i="18" s="1"/>
  <c r="M105" i="5"/>
  <c r="K105" i="5" s="1"/>
  <c r="O107" i="5"/>
  <c r="J31" i="6"/>
  <c r="H175" i="1" s="1"/>
  <c r="N175" i="1" s="1"/>
  <c r="BE43" i="11"/>
  <c r="AH43" i="11" s="1"/>
  <c r="G55" i="15"/>
  <c r="G52" i="15"/>
  <c r="BE23" i="11"/>
  <c r="AH23" i="11" s="1"/>
  <c r="BE49" i="11"/>
  <c r="AH49" i="11" s="1"/>
  <c r="G66" i="15"/>
  <c r="E86" i="5"/>
  <c r="AQ19" i="1"/>
  <c r="X160" i="1"/>
  <c r="BE26" i="11"/>
  <c r="AH26" i="11" s="1"/>
  <c r="P104" i="11"/>
  <c r="BE48" i="11"/>
  <c r="AH48" i="11" s="1"/>
  <c r="BE32" i="11"/>
  <c r="AH32" i="11" s="1"/>
  <c r="G17" i="15"/>
  <c r="N82" i="5"/>
  <c r="S114" i="5"/>
  <c r="Z167" i="1"/>
  <c r="G80" i="15"/>
  <c r="O112" i="5"/>
  <c r="BE25" i="11"/>
  <c r="AH25" i="11" s="1"/>
  <c r="G47" i="15"/>
  <c r="L80" i="5"/>
  <c r="E64" i="5"/>
  <c r="O79" i="5"/>
  <c r="Z171" i="1"/>
  <c r="AE20" i="18" s="1"/>
  <c r="R33" i="18" s="1"/>
  <c r="R41" i="18" s="1"/>
  <c r="D64" i="5"/>
  <c r="BH48" i="1"/>
  <c r="BK48" i="1" s="1"/>
  <c r="M28" i="4" s="1"/>
  <c r="L24" i="25" s="1"/>
  <c r="BE28" i="11"/>
  <c r="AH28" i="11" s="1"/>
  <c r="O77" i="5"/>
  <c r="O74" i="5"/>
  <c r="N77" i="5"/>
  <c r="M71" i="5"/>
  <c r="V71" i="5" s="1"/>
  <c r="M77" i="5"/>
  <c r="U77" i="5" s="1"/>
  <c r="L71" i="5"/>
  <c r="BD23" i="1"/>
  <c r="BE60" i="11"/>
  <c r="AH60" i="11" s="1"/>
  <c r="G77" i="15"/>
  <c r="G61" i="15"/>
  <c r="O78" i="5"/>
  <c r="AT53" i="11"/>
  <c r="AS23" i="1"/>
  <c r="AS28" i="1" s="1"/>
  <c r="N112" i="5"/>
  <c r="F177" i="1"/>
  <c r="BE34" i="11"/>
  <c r="AH34" i="11" s="1"/>
  <c r="AT75" i="11"/>
  <c r="G91" i="15"/>
  <c r="C30" i="21"/>
  <c r="L105" i="5"/>
  <c r="BE37" i="11"/>
  <c r="AH37" i="11" s="1"/>
  <c r="M80" i="5"/>
  <c r="V80" i="5" s="1"/>
  <c r="O106" i="5"/>
  <c r="U174" i="1"/>
  <c r="AD23" i="18" s="1"/>
  <c r="G188" i="1"/>
  <c r="AC174" i="1"/>
  <c r="H29" i="21"/>
  <c r="G195" i="1"/>
  <c r="G40" i="15"/>
  <c r="O80" i="5"/>
  <c r="G73" i="15"/>
  <c r="M119" i="5"/>
  <c r="U119" i="5" s="1"/>
  <c r="S105" i="5"/>
  <c r="BE24" i="1"/>
  <c r="AT24" i="1"/>
  <c r="AR50" i="1" s="1"/>
  <c r="C6" i="8" s="1"/>
  <c r="BH98" i="11"/>
  <c r="BH10" i="11"/>
  <c r="BH32" i="11"/>
  <c r="BI58" i="11"/>
  <c r="BJ23" i="1"/>
  <c r="G74" i="15"/>
  <c r="G59" i="15"/>
  <c r="L83" i="5"/>
  <c r="I32" i="6"/>
  <c r="G176" i="1" s="1"/>
  <c r="BM118" i="11"/>
  <c r="BH64" i="11"/>
  <c r="S79" i="5"/>
  <c r="BE115" i="11"/>
  <c r="AH115" i="11" s="1"/>
  <c r="S78" i="5"/>
  <c r="BE109" i="11"/>
  <c r="AH109" i="11" s="1"/>
  <c r="I18" i="6"/>
  <c r="J18" i="6" s="1"/>
  <c r="BM48" i="1" s="1"/>
  <c r="BO48" i="1" s="1"/>
  <c r="K28" i="4" s="1"/>
  <c r="J24" i="25" s="1"/>
  <c r="S100" i="5"/>
  <c r="G69" i="15"/>
  <c r="BH65" i="11"/>
  <c r="O83" i="5"/>
  <c r="AA161" i="1"/>
  <c r="N119" i="5"/>
  <c r="BM14" i="11"/>
  <c r="G83" i="15"/>
  <c r="G38" i="15"/>
  <c r="BM19" i="11"/>
  <c r="M118" i="5"/>
  <c r="W118" i="5" s="1"/>
  <c r="BN45" i="11"/>
  <c r="AP276" i="9"/>
  <c r="F28" i="4"/>
  <c r="E24" i="25" s="1"/>
  <c r="BI63" i="11"/>
  <c r="X172" i="1"/>
  <c r="AP278" i="9"/>
  <c r="BE75" i="11"/>
  <c r="AH75" i="11" s="1"/>
  <c r="BG48" i="11"/>
  <c r="AT45" i="11"/>
  <c r="L116" i="5"/>
  <c r="F194" i="1"/>
  <c r="BM51" i="11"/>
  <c r="W172" i="1"/>
  <c r="M84" i="5"/>
  <c r="BH13" i="11"/>
  <c r="BN47" i="11"/>
  <c r="O118" i="5"/>
  <c r="BI49" i="11"/>
  <c r="Z174" i="1"/>
  <c r="BL14" i="11"/>
  <c r="BM68" i="11"/>
  <c r="AR280" i="9"/>
  <c r="BM31" i="11"/>
  <c r="G201" i="1"/>
  <c r="Y166" i="1" s="1"/>
  <c r="BG44" i="11"/>
  <c r="G79" i="15"/>
  <c r="G64" i="15"/>
  <c r="G49" i="15"/>
  <c r="BG12" i="11"/>
  <c r="BH18" i="11"/>
  <c r="BG22" i="11"/>
  <c r="BI82" i="11"/>
  <c r="F181" i="1"/>
  <c r="BL25" i="1"/>
  <c r="BE36" i="11"/>
  <c r="AH36" i="11" s="1"/>
  <c r="BE33" i="11"/>
  <c r="AH33" i="11" s="1"/>
  <c r="BE21" i="11"/>
  <c r="AH21" i="11" s="1"/>
  <c r="O84" i="5"/>
  <c r="G189" i="1"/>
  <c r="Y172" i="1"/>
  <c r="Q50" i="1"/>
  <c r="G12" i="15"/>
  <c r="AP280" i="9"/>
  <c r="G86" i="15"/>
  <c r="S62" i="5"/>
  <c r="Y5" i="6"/>
  <c r="AR276" i="9"/>
  <c r="BE91" i="11"/>
  <c r="AH91" i="11" s="1"/>
  <c r="BE82" i="11"/>
  <c r="AH82" i="11" s="1"/>
  <c r="BE76" i="11"/>
  <c r="AH76" i="11" s="1"/>
  <c r="G41" i="15"/>
  <c r="M83" i="5"/>
  <c r="G39" i="15"/>
  <c r="M82" i="5"/>
  <c r="N76" i="5"/>
  <c r="S59" i="5"/>
  <c r="S118" i="5"/>
  <c r="AC170" i="1"/>
  <c r="S101" i="5"/>
  <c r="S80" i="5"/>
  <c r="O76" i="5"/>
  <c r="S77" i="5"/>
  <c r="S97" i="5"/>
  <c r="S76" i="5"/>
  <c r="C54" i="21"/>
  <c r="W171" i="1"/>
  <c r="G203" i="1"/>
  <c r="BE81" i="11"/>
  <c r="AH81" i="11" s="1"/>
  <c r="C49" i="21"/>
  <c r="C58" i="21"/>
  <c r="M115" i="5"/>
  <c r="U115" i="5" s="1"/>
  <c r="S112" i="5"/>
  <c r="F30" i="6"/>
  <c r="D174" i="1" s="1"/>
  <c r="E174" i="1" s="1"/>
  <c r="C41" i="21"/>
  <c r="M112" i="5"/>
  <c r="V112" i="5" s="1"/>
  <c r="S91" i="5"/>
  <c r="S67" i="5"/>
  <c r="AQ13" i="1"/>
  <c r="L66" i="5"/>
  <c r="AP273" i="9"/>
  <c r="S110" i="5"/>
  <c r="S109" i="5"/>
  <c r="AR284" i="9"/>
  <c r="L77" i="5"/>
  <c r="AD172" i="1"/>
  <c r="G45" i="15"/>
  <c r="S108" i="5"/>
  <c r="G86" i="5"/>
  <c r="S64" i="5"/>
  <c r="AP282" i="9"/>
  <c r="G89" i="15"/>
  <c r="AR281" i="9"/>
  <c r="G87" i="15"/>
  <c r="S106" i="5"/>
  <c r="R71" i="1"/>
  <c r="K73" i="5"/>
  <c r="W73" i="5"/>
  <c r="U73" i="5"/>
  <c r="V73" i="5"/>
  <c r="O73" i="5"/>
  <c r="D70" i="5"/>
  <c r="N73" i="5"/>
  <c r="G70" i="5"/>
  <c r="J70" i="5" s="1"/>
  <c r="L73" i="5"/>
  <c r="G57" i="15"/>
  <c r="M72" i="5"/>
  <c r="V72" i="5" s="1"/>
  <c r="F179" i="1"/>
  <c r="X165" i="1" s="1"/>
  <c r="BE118" i="11"/>
  <c r="AH118" i="11" s="1"/>
  <c r="G101" i="15"/>
  <c r="O66" i="5"/>
  <c r="O71" i="5"/>
  <c r="BE31" i="11"/>
  <c r="AH31" i="11" s="1"/>
  <c r="M66" i="5"/>
  <c r="K66" i="5" s="1"/>
  <c r="Z175" i="1"/>
  <c r="AE24" i="18" s="1"/>
  <c r="U33" i="18" s="1"/>
  <c r="U46" i="18" s="1"/>
  <c r="N71" i="5"/>
  <c r="BE58" i="11"/>
  <c r="AH58" i="11" s="1"/>
  <c r="BE55" i="11"/>
  <c r="AH55" i="11" s="1"/>
  <c r="BE40" i="11"/>
  <c r="AH40" i="11" s="1"/>
  <c r="G100" i="15"/>
  <c r="K22" i="5"/>
  <c r="O70" i="5"/>
  <c r="BM26" i="1"/>
  <c r="G25" i="15"/>
  <c r="AV41" i="11"/>
  <c r="N70" i="5"/>
  <c r="M70" i="5"/>
  <c r="F28" i="6"/>
  <c r="D172" i="1" s="1"/>
  <c r="E172" i="1" s="1"/>
  <c r="M76" i="5"/>
  <c r="W76" i="5" s="1"/>
  <c r="L70" i="5"/>
  <c r="G64" i="5"/>
  <c r="L76" i="5"/>
  <c r="N72" i="5"/>
  <c r="N74" i="5"/>
  <c r="G37" i="15"/>
  <c r="N100" i="5"/>
  <c r="BE54" i="11"/>
  <c r="AH54" i="11" s="1"/>
  <c r="M74" i="5"/>
  <c r="AQ6" i="1"/>
  <c r="U177" i="1"/>
  <c r="V177" i="1" s="1"/>
  <c r="BE57" i="11"/>
  <c r="AH57" i="11" s="1"/>
  <c r="L82" i="5"/>
  <c r="AT107" i="11"/>
  <c r="L72" i="5"/>
  <c r="L74" i="5"/>
  <c r="G21" i="15"/>
  <c r="L98" i="5"/>
  <c r="N84" i="5"/>
  <c r="X175" i="1"/>
  <c r="AC24" i="18" s="1"/>
  <c r="BH27" i="1"/>
  <c r="G18" i="15"/>
  <c r="M60" i="5"/>
  <c r="O72" i="5"/>
  <c r="G32" i="15"/>
  <c r="S113" i="5"/>
  <c r="N95" i="5"/>
  <c r="L60" i="5"/>
  <c r="G78" i="15"/>
  <c r="O113" i="5"/>
  <c r="O94" i="5"/>
  <c r="X163" i="1"/>
  <c r="AC12" i="18" s="1"/>
  <c r="G75" i="15"/>
  <c r="N59" i="5"/>
  <c r="Y6" i="6"/>
  <c r="R48" i="1"/>
  <c r="AD167" i="1"/>
  <c r="BE86" i="11"/>
  <c r="AH86" i="11" s="1"/>
  <c r="BE71" i="11"/>
  <c r="AH71" i="11" s="1"/>
  <c r="BE68" i="11"/>
  <c r="AH68" i="11" s="1"/>
  <c r="BE38" i="11"/>
  <c r="AH38" i="11" s="1"/>
  <c r="S74" i="5"/>
  <c r="S83" i="5"/>
  <c r="AC167" i="1"/>
  <c r="BE53" i="11"/>
  <c r="AH53" i="11" s="1"/>
  <c r="G29" i="15"/>
  <c r="G16" i="15"/>
  <c r="S58" i="5"/>
  <c r="E24" i="6"/>
  <c r="R72" i="1"/>
  <c r="F63" i="18"/>
  <c r="J103" i="5"/>
  <c r="I103" i="5"/>
  <c r="H103" i="5"/>
  <c r="V91" i="5"/>
  <c r="W91" i="5"/>
  <c r="I112" i="5"/>
  <c r="J112" i="5"/>
  <c r="H112" i="5"/>
  <c r="C73" i="21"/>
  <c r="G190" i="1"/>
  <c r="S65" i="5"/>
  <c r="C52" i="21"/>
  <c r="AR270" i="9"/>
  <c r="P79" i="18"/>
  <c r="O92" i="5"/>
  <c r="V92" i="5" s="1"/>
  <c r="M116" i="5"/>
  <c r="U116" i="5" s="1"/>
  <c r="G197" i="1"/>
  <c r="BE106" i="11"/>
  <c r="AH106" i="11" s="1"/>
  <c r="M94" i="5"/>
  <c r="V94" i="5" s="1"/>
  <c r="C51" i="21"/>
  <c r="AP284" i="9"/>
  <c r="M92" i="5"/>
  <c r="K92" i="5" s="1"/>
  <c r="N116" i="5"/>
  <c r="Y175" i="1"/>
  <c r="AD24" i="18" s="1"/>
  <c r="BE51" i="11"/>
  <c r="AH51" i="11" s="1"/>
  <c r="L115" i="5"/>
  <c r="BE112" i="11"/>
  <c r="AH112" i="11" s="1"/>
  <c r="H30" i="21"/>
  <c r="AR283" i="9"/>
  <c r="L92" i="5"/>
  <c r="O119" i="5"/>
  <c r="W159" i="1"/>
  <c r="Z8" i="18" s="1"/>
  <c r="G32" i="18" s="1"/>
  <c r="DH19" i="1"/>
  <c r="BE66" i="11"/>
  <c r="AH66" i="11" s="1"/>
  <c r="G24" i="15"/>
  <c r="BE20" i="11"/>
  <c r="AH20" i="11" s="1"/>
  <c r="N91" i="5"/>
  <c r="W177" i="1"/>
  <c r="Z26" i="18" s="1"/>
  <c r="W32" i="18" s="1"/>
  <c r="AP281" i="9"/>
  <c r="M79" i="18"/>
  <c r="DH16" i="1"/>
  <c r="O115" i="5"/>
  <c r="AB174" i="1"/>
  <c r="Z177" i="1"/>
  <c r="AE26" i="18" s="1"/>
  <c r="W33" i="18" s="1"/>
  <c r="W39" i="18" s="1"/>
  <c r="BE88" i="11"/>
  <c r="AH88" i="11" s="1"/>
  <c r="AW86" i="11"/>
  <c r="BE22" i="11"/>
  <c r="AH22" i="11" s="1"/>
  <c r="AC159" i="1"/>
  <c r="G98" i="15"/>
  <c r="S90" i="5"/>
  <c r="C44" i="21"/>
  <c r="AP279" i="9"/>
  <c r="O117" i="5"/>
  <c r="AB159" i="1"/>
  <c r="J7" i="6"/>
  <c r="K7" i="6" s="1"/>
  <c r="BN27" i="1"/>
  <c r="BE114" i="11"/>
  <c r="AH114" i="11" s="1"/>
  <c r="BE46" i="11"/>
  <c r="AH46" i="11" s="1"/>
  <c r="G23" i="15"/>
  <c r="J90" i="5"/>
  <c r="G97" i="15"/>
  <c r="G42" i="15"/>
  <c r="E90" i="5"/>
  <c r="H79" i="18"/>
  <c r="O114" i="5"/>
  <c r="F82" i="5"/>
  <c r="AD162" i="1"/>
  <c r="AR273" i="9"/>
  <c r="AR279" i="9"/>
  <c r="AH20" i="9" s="1"/>
  <c r="I20" i="9" s="1"/>
  <c r="J20" i="9" s="1"/>
  <c r="V79" i="18"/>
  <c r="AE159" i="1"/>
  <c r="F202" i="1"/>
  <c r="BE72" i="11"/>
  <c r="AH72" i="11" s="1"/>
  <c r="AW70" i="11"/>
  <c r="G96" i="15"/>
  <c r="S98" i="5"/>
  <c r="S87" i="5"/>
  <c r="T63" i="18"/>
  <c r="M114" i="5"/>
  <c r="U114" i="5" s="1"/>
  <c r="AB162" i="1"/>
  <c r="N62" i="5"/>
  <c r="S63" i="18"/>
  <c r="O116" i="5"/>
  <c r="H82" i="5"/>
  <c r="Z162" i="1"/>
  <c r="AR271" i="9"/>
  <c r="AP277" i="9"/>
  <c r="N118" i="5"/>
  <c r="M90" i="5"/>
  <c r="F164" i="1"/>
  <c r="S96" i="5"/>
  <c r="M62" i="5"/>
  <c r="H63" i="18"/>
  <c r="AE162" i="1"/>
  <c r="AP274" i="9"/>
  <c r="S95" i="5"/>
  <c r="S71" i="5"/>
  <c r="L62" i="5"/>
  <c r="G63" i="18"/>
  <c r="Y8" i="6"/>
  <c r="D82" i="5"/>
  <c r="Z159" i="1"/>
  <c r="H4" i="22"/>
  <c r="Y162" i="1"/>
  <c r="AU40" i="11"/>
  <c r="G186" i="1"/>
  <c r="AA162" i="1"/>
  <c r="AP283" i="9"/>
  <c r="G184" i="1"/>
  <c r="N113" i="5"/>
  <c r="G183" i="1"/>
  <c r="BG26" i="1"/>
  <c r="BE12" i="11"/>
  <c r="AH12" i="11" s="1"/>
  <c r="G51" i="15"/>
  <c r="BE44" i="11"/>
  <c r="AH44" i="11" s="1"/>
  <c r="E82" i="5"/>
  <c r="L119" i="5"/>
  <c r="I82" i="5"/>
  <c r="AT73" i="11"/>
  <c r="E48" i="18"/>
  <c r="L114" i="5"/>
  <c r="C67" i="21"/>
  <c r="L79" i="18"/>
  <c r="S82" i="5"/>
  <c r="L113" i="5"/>
  <c r="I94" i="5"/>
  <c r="AE171" i="1"/>
  <c r="W176" i="1"/>
  <c r="AR282" i="9"/>
  <c r="E180" i="1"/>
  <c r="N180" i="1" s="1"/>
  <c r="N79" i="18"/>
  <c r="M117" i="5"/>
  <c r="K117" i="5" s="1"/>
  <c r="G28" i="4"/>
  <c r="F24" i="25" s="1"/>
  <c r="U160" i="1"/>
  <c r="V160" i="1" s="1"/>
  <c r="BE67" i="11"/>
  <c r="AH67" i="11" s="1"/>
  <c r="G93" i="15"/>
  <c r="S119" i="5"/>
  <c r="L103" i="5"/>
  <c r="AA159" i="1"/>
  <c r="I79" i="18"/>
  <c r="AC162" i="1"/>
  <c r="C60" i="21"/>
  <c r="AR272" i="9"/>
  <c r="AR275" i="9"/>
  <c r="N117" i="5"/>
  <c r="C56" i="21"/>
  <c r="H94" i="5"/>
  <c r="X161" i="1"/>
  <c r="AD171" i="1"/>
  <c r="AE167" i="1"/>
  <c r="AE176" i="1"/>
  <c r="AP272" i="9"/>
  <c r="DH18" i="1"/>
  <c r="BE14" i="11"/>
  <c r="AH14" i="11" s="1"/>
  <c r="G102" i="15"/>
  <c r="S104" i="5"/>
  <c r="S68" i="5"/>
  <c r="BE24" i="11"/>
  <c r="AH24" i="11" s="1"/>
  <c r="N115" i="5"/>
  <c r="C50" i="21"/>
  <c r="AD176" i="1"/>
  <c r="M113" i="5"/>
  <c r="G182" i="1"/>
  <c r="Y167" i="1" s="1"/>
  <c r="BE69" i="11"/>
  <c r="AH69" i="11" s="1"/>
  <c r="G103" i="15"/>
  <c r="G28" i="15"/>
  <c r="M104" i="5"/>
  <c r="S60" i="5"/>
  <c r="AD159" i="1"/>
  <c r="N114" i="5"/>
  <c r="L118" i="5"/>
  <c r="M58" i="5"/>
  <c r="K58" i="5" s="1"/>
  <c r="AR277" i="9"/>
  <c r="S107" i="5"/>
  <c r="AC176" i="1"/>
  <c r="AH25" i="18" s="1"/>
  <c r="AU25" i="1"/>
  <c r="AS50" i="1" s="1"/>
  <c r="D6" i="8" s="1"/>
  <c r="G26" i="15"/>
  <c r="S116" i="5"/>
  <c r="L104" i="5"/>
  <c r="N94" i="5"/>
  <c r="N60" i="5"/>
  <c r="L64" i="5"/>
  <c r="R56" i="1"/>
  <c r="G177" i="1"/>
  <c r="B24" i="25"/>
  <c r="E28" i="4"/>
  <c r="D24" i="25" s="1"/>
  <c r="B23" i="25"/>
  <c r="B21" i="25"/>
  <c r="G199" i="1"/>
  <c r="F199" i="1"/>
  <c r="F180" i="1"/>
  <c r="X166" i="1" s="1"/>
  <c r="U175" i="1"/>
  <c r="V175" i="1" s="1"/>
  <c r="AC172" i="1"/>
  <c r="AC171" i="1"/>
  <c r="AH20" i="18" s="1"/>
  <c r="X171" i="1"/>
  <c r="AC20" i="18" s="1"/>
  <c r="AB170" i="1"/>
  <c r="U170" i="1"/>
  <c r="V170" i="1" s="1"/>
  <c r="Z161" i="1"/>
  <c r="AA160" i="1"/>
  <c r="U159" i="1"/>
  <c r="V159" i="1" s="1"/>
  <c r="AW27" i="1"/>
  <c r="AU50" i="1" s="1"/>
  <c r="F6" i="8" s="1"/>
  <c r="BE104" i="11"/>
  <c r="AH104" i="11" s="1"/>
  <c r="BE102" i="11"/>
  <c r="AH102" i="11" s="1"/>
  <c r="BE98" i="11"/>
  <c r="AH98" i="11" s="1"/>
  <c r="BE92" i="11"/>
  <c r="AH92" i="11" s="1"/>
  <c r="BE59" i="11"/>
  <c r="AH59" i="11" s="1"/>
  <c r="BE52" i="11"/>
  <c r="AH52" i="11" s="1"/>
  <c r="BE42" i="11"/>
  <c r="AH42" i="11" s="1"/>
  <c r="G85" i="15"/>
  <c r="G81" i="15"/>
  <c r="G72" i="15"/>
  <c r="G62" i="15"/>
  <c r="G43" i="15"/>
  <c r="G34" i="15"/>
  <c r="G27" i="15"/>
  <c r="G19" i="15"/>
  <c r="G15" i="15"/>
  <c r="G13" i="15"/>
  <c r="O98" i="5"/>
  <c r="L95" i="5"/>
  <c r="H90" i="5"/>
  <c r="D90" i="5"/>
  <c r="S86" i="5"/>
  <c r="F86" i="5"/>
  <c r="O82" i="5"/>
  <c r="S73" i="5"/>
  <c r="S70" i="5"/>
  <c r="AB172" i="1"/>
  <c r="X167" i="1"/>
  <c r="BE113" i="11"/>
  <c r="AH113" i="11" s="1"/>
  <c r="BE107" i="11"/>
  <c r="AH107" i="11" s="1"/>
  <c r="BE80" i="11"/>
  <c r="AH80" i="11" s="1"/>
  <c r="BE70" i="11"/>
  <c r="AH70" i="11" s="1"/>
  <c r="BE65" i="11"/>
  <c r="AH65" i="11" s="1"/>
  <c r="BE64" i="11"/>
  <c r="AH64" i="11" s="1"/>
  <c r="BE61" i="11"/>
  <c r="AH61" i="11" s="1"/>
  <c r="BE47" i="11"/>
  <c r="AH47" i="11" s="1"/>
  <c r="BE9" i="11"/>
  <c r="AH9" i="11" s="1"/>
  <c r="S103" i="5"/>
  <c r="O99" i="5"/>
  <c r="N98" i="5"/>
  <c r="S92" i="5"/>
  <c r="O86" i="5"/>
  <c r="L22" i="5"/>
  <c r="N64" i="5"/>
  <c r="E192" i="1"/>
  <c r="N192" i="1" s="1"/>
  <c r="E187" i="1"/>
  <c r="N187" i="1" s="1"/>
  <c r="AD175" i="1"/>
  <c r="Z170" i="1"/>
  <c r="U166" i="1"/>
  <c r="AV26" i="1"/>
  <c r="AV28" i="1" s="1"/>
  <c r="DH12" i="1"/>
  <c r="DH11" i="1"/>
  <c r="BE103" i="11"/>
  <c r="AH103" i="11" s="1"/>
  <c r="BE95" i="11"/>
  <c r="AH95" i="11" s="1"/>
  <c r="BE93" i="11"/>
  <c r="AH93" i="11" s="1"/>
  <c r="BE87" i="11"/>
  <c r="AH87" i="11" s="1"/>
  <c r="BE78" i="11"/>
  <c r="AH78" i="11" s="1"/>
  <c r="BE50" i="11"/>
  <c r="AH50" i="11" s="1"/>
  <c r="BE30" i="11"/>
  <c r="AH30" i="11" s="1"/>
  <c r="BE27" i="11"/>
  <c r="AH27" i="11" s="1"/>
  <c r="G94" i="15"/>
  <c r="G92" i="15"/>
  <c r="G90" i="15"/>
  <c r="G71" i="15"/>
  <c r="G67" i="15"/>
  <c r="G48" i="15"/>
  <c r="G44" i="15"/>
  <c r="G35" i="15"/>
  <c r="G31" i="15"/>
  <c r="G14" i="15"/>
  <c r="G10" i="15"/>
  <c r="O100" i="5"/>
  <c r="N99" i="5"/>
  <c r="M98" i="5"/>
  <c r="O97" i="5"/>
  <c r="O95" i="5"/>
  <c r="F90" i="5"/>
  <c r="S88" i="5"/>
  <c r="N103" i="5"/>
  <c r="G79" i="18"/>
  <c r="R69" i="1"/>
  <c r="T64" i="18"/>
  <c r="T80" i="18"/>
  <c r="M71" i="18"/>
  <c r="R80" i="18"/>
  <c r="L72" i="18"/>
  <c r="W73" i="18"/>
  <c r="Y90" i="18"/>
  <c r="W80" i="18"/>
  <c r="E49" i="18"/>
  <c r="I72" i="18"/>
  <c r="N80" i="18"/>
  <c r="S80" i="18"/>
  <c r="F72" i="18"/>
  <c r="H72" i="18"/>
  <c r="W72" i="18"/>
  <c r="K72" i="18"/>
  <c r="T72" i="18"/>
  <c r="W79" i="18"/>
  <c r="M72" i="18"/>
  <c r="J72" i="18"/>
  <c r="V63" i="18"/>
  <c r="S72" i="18"/>
  <c r="U63" i="18"/>
  <c r="Y101" i="18"/>
  <c r="G72" i="18"/>
  <c r="O72" i="18"/>
  <c r="V80" i="18"/>
  <c r="U80" i="18"/>
  <c r="AK7" i="9"/>
  <c r="G6" i="21" s="1"/>
  <c r="F73" i="18"/>
  <c r="L80" i="18"/>
  <c r="R63" i="18"/>
  <c r="Q63" i="18"/>
  <c r="P72" i="18"/>
  <c r="P63" i="18"/>
  <c r="M80" i="18"/>
  <c r="O63" i="18"/>
  <c r="K80" i="18"/>
  <c r="J80" i="18"/>
  <c r="I80" i="18"/>
  <c r="H80" i="18"/>
  <c r="V72" i="18"/>
  <c r="N63" i="18"/>
  <c r="Y99" i="18"/>
  <c r="G80" i="18"/>
  <c r="U72" i="18"/>
  <c r="M63" i="18"/>
  <c r="N72" i="18"/>
  <c r="K63" i="18"/>
  <c r="E202" i="1"/>
  <c r="N202" i="1" s="1"/>
  <c r="J10" i="22"/>
  <c r="Q195" i="1"/>
  <c r="B19" i="7" s="1"/>
  <c r="Q200" i="1"/>
  <c r="Q198" i="1"/>
  <c r="Q196" i="1"/>
  <c r="B20" i="7" s="1"/>
  <c r="Z165" i="1"/>
  <c r="AD165" i="1"/>
  <c r="Y165" i="1"/>
  <c r="AC165" i="1"/>
  <c r="Q203" i="1"/>
  <c r="AE165" i="1"/>
  <c r="U165" i="1"/>
  <c r="V165" i="1" s="1"/>
  <c r="Q194" i="1"/>
  <c r="B18" i="7" s="1"/>
  <c r="AB165" i="1"/>
  <c r="Q197" i="1"/>
  <c r="W165" i="1"/>
  <c r="BE62" i="11"/>
  <c r="AH62" i="11" s="1"/>
  <c r="BE99" i="11"/>
  <c r="AH99" i="11" s="1"/>
  <c r="AT86" i="11"/>
  <c r="BE94" i="11"/>
  <c r="AH94" i="11" s="1"/>
  <c r="BE90" i="11"/>
  <c r="AH90" i="11" s="1"/>
  <c r="C72" i="21"/>
  <c r="C37" i="21"/>
  <c r="C55" i="21"/>
  <c r="C38" i="21"/>
  <c r="C47" i="21"/>
  <c r="C39" i="21"/>
  <c r="C63" i="21"/>
  <c r="C65" i="21"/>
  <c r="C48" i="21"/>
  <c r="C66" i="21"/>
  <c r="C69" i="21"/>
  <c r="C22" i="6"/>
  <c r="M64" i="5"/>
  <c r="J22" i="5"/>
  <c r="F196" i="1"/>
  <c r="G196" i="1"/>
  <c r="F105" i="15"/>
  <c r="G105" i="15" s="1"/>
  <c r="G95" i="15"/>
  <c r="BE83" i="11"/>
  <c r="AH83" i="11" s="1"/>
  <c r="E196" i="1"/>
  <c r="N196" i="1" s="1"/>
  <c r="BG87" i="11"/>
  <c r="BM99" i="11"/>
  <c r="BG108" i="11"/>
  <c r="BN40" i="11"/>
  <c r="BN85" i="11"/>
  <c r="BM39" i="11"/>
  <c r="BI76" i="11"/>
  <c r="BI21" i="11"/>
  <c r="BI66" i="11"/>
  <c r="BN11" i="11"/>
  <c r="BI101" i="11"/>
  <c r="BL109" i="11"/>
  <c r="BN103" i="11"/>
  <c r="BN50" i="11"/>
  <c r="BL115" i="11"/>
  <c r="BN77" i="11"/>
  <c r="BH26" i="11"/>
  <c r="BN69" i="11"/>
  <c r="BG15" i="11"/>
  <c r="BL101" i="11"/>
  <c r="BG111" i="11"/>
  <c r="BL117" i="11"/>
  <c r="BL70" i="11"/>
  <c r="BL44" i="11"/>
  <c r="BH90" i="11"/>
  <c r="BI27" i="11"/>
  <c r="BG17" i="11"/>
  <c r="BM80" i="11"/>
  <c r="BM65" i="11"/>
  <c r="BI73" i="11"/>
  <c r="BI103" i="11"/>
  <c r="BG105" i="11"/>
  <c r="BI111" i="11"/>
  <c r="BM117" i="11"/>
  <c r="BM67" i="11"/>
  <c r="BL34" i="11"/>
  <c r="BG96" i="11"/>
  <c r="BN28" i="11"/>
  <c r="BL21" i="11"/>
  <c r="BM84" i="11"/>
  <c r="BN68" i="11"/>
  <c r="BL111" i="11"/>
  <c r="BI113" i="11"/>
  <c r="BG72" i="11"/>
  <c r="BG94" i="11"/>
  <c r="BG95" i="11"/>
  <c r="BH30" i="11"/>
  <c r="BH59" i="11"/>
  <c r="BN10" i="11"/>
  <c r="BG11" i="11"/>
  <c r="BN29" i="11"/>
  <c r="BM56" i="11"/>
  <c r="BL113" i="11"/>
  <c r="BG56" i="11"/>
  <c r="BN64" i="11"/>
  <c r="BM89" i="11"/>
  <c r="BH91" i="11"/>
  <c r="BM26" i="11"/>
  <c r="BM60" i="11"/>
  <c r="BH17" i="11"/>
  <c r="BN18" i="11"/>
  <c r="BH36" i="11"/>
  <c r="BN56" i="11"/>
  <c r="BG52" i="11"/>
  <c r="BL46" i="11"/>
  <c r="BN105" i="11"/>
  <c r="BM90" i="11"/>
  <c r="BL86" i="11"/>
  <c r="BL13" i="11"/>
  <c r="BG16" i="11"/>
  <c r="BG68" i="11"/>
  <c r="BG58" i="11"/>
  <c r="BG85" i="11"/>
  <c r="BI32" i="11"/>
  <c r="BN21" i="11"/>
  <c r="BN35" i="11"/>
  <c r="BG77" i="11"/>
  <c r="BL50" i="11"/>
  <c r="BM59" i="11"/>
  <c r="BN33" i="11"/>
  <c r="BG28" i="11"/>
  <c r="BN39" i="11"/>
  <c r="BM112" i="11"/>
  <c r="BI86" i="11"/>
  <c r="BL16" i="11"/>
  <c r="BI52" i="11"/>
  <c r="BM92" i="11"/>
  <c r="BL10" i="11"/>
  <c r="BH51" i="11"/>
  <c r="BG110" i="11"/>
  <c r="BN110" i="11"/>
  <c r="BL114" i="11"/>
  <c r="BL11" i="11"/>
  <c r="BG70" i="11"/>
  <c r="BL61" i="11"/>
  <c r="BI68" i="11"/>
  <c r="BM108" i="11"/>
  <c r="BH110" i="11"/>
  <c r="BI109" i="11"/>
  <c r="BI96" i="11"/>
  <c r="BG43" i="11"/>
  <c r="BL71" i="11"/>
  <c r="BG66" i="11"/>
  <c r="BL75" i="11"/>
  <c r="BN108" i="11"/>
  <c r="BM47" i="11"/>
  <c r="BN88" i="11"/>
  <c r="BN42" i="11"/>
  <c r="BG31" i="11"/>
  <c r="BN89" i="11"/>
  <c r="BM22" i="11"/>
  <c r="BL85" i="11"/>
  <c r="BN12" i="11"/>
  <c r="BL32" i="11"/>
  <c r="BG93" i="11"/>
  <c r="BI23" i="11"/>
  <c r="BH102" i="11"/>
  <c r="BN106" i="11"/>
  <c r="BL83" i="11"/>
  <c r="BM48" i="11"/>
  <c r="BI37" i="11"/>
  <c r="BL18" i="11"/>
  <c r="BG62" i="11"/>
  <c r="BI102" i="11"/>
  <c r="BN104" i="11"/>
  <c r="BH80" i="11"/>
  <c r="BM102" i="11"/>
  <c r="BN48" i="11"/>
  <c r="BH20" i="11"/>
  <c r="BN102" i="11"/>
  <c r="BI16" i="11"/>
  <c r="BN60" i="11"/>
  <c r="BI35" i="11"/>
  <c r="BI74" i="11"/>
  <c r="BH11" i="11"/>
  <c r="BG10" i="11"/>
  <c r="BG63" i="11"/>
  <c r="BG38" i="11"/>
  <c r="BH33" i="11"/>
  <c r="BN98" i="11"/>
  <c r="BL110" i="11"/>
  <c r="BI85" i="11"/>
  <c r="BM17" i="11"/>
  <c r="BH66" i="11"/>
  <c r="BG46" i="11"/>
  <c r="BM106" i="11"/>
  <c r="BN84" i="11"/>
  <c r="BI9" i="11"/>
  <c r="BN19" i="11"/>
  <c r="BL80" i="11"/>
  <c r="BN34" i="11"/>
  <c r="BI104" i="11"/>
  <c r="BH100" i="11"/>
  <c r="BI83" i="11"/>
  <c r="BG9" i="11"/>
  <c r="BH53" i="11"/>
  <c r="BM18" i="11"/>
  <c r="BM44" i="11"/>
  <c r="BI118" i="11"/>
  <c r="BH99" i="11"/>
  <c r="BN82" i="11"/>
  <c r="BI15" i="11"/>
  <c r="BG13" i="11"/>
  <c r="BM54" i="11"/>
  <c r="BI28" i="11"/>
  <c r="BH60" i="11"/>
  <c r="BH41" i="11"/>
  <c r="BL92" i="11"/>
  <c r="BI84" i="11"/>
  <c r="BI80" i="11"/>
  <c r="BH22" i="11"/>
  <c r="C45" i="21"/>
  <c r="C42" i="21"/>
  <c r="G185" i="1"/>
  <c r="AA163" i="1"/>
  <c r="AB163" i="1"/>
  <c r="AG12" i="18" s="1"/>
  <c r="W163" i="1"/>
  <c r="Z12" i="18" s="1"/>
  <c r="K32" i="18" s="1"/>
  <c r="AD163" i="1"/>
  <c r="AE163" i="1"/>
  <c r="Z163" i="1"/>
  <c r="AC163" i="1"/>
  <c r="AH12" i="18" s="1"/>
  <c r="Y163" i="1"/>
  <c r="AD12" i="18" s="1"/>
  <c r="BE15" i="11"/>
  <c r="AH15" i="11" s="1"/>
  <c r="BE10" i="11"/>
  <c r="AH10" i="11" s="1"/>
  <c r="K79" i="5"/>
  <c r="U79" i="5"/>
  <c r="V79" i="5"/>
  <c r="F192" i="1"/>
  <c r="G192" i="1"/>
  <c r="AT13" i="11"/>
  <c r="Z10" i="11"/>
  <c r="AX10" i="11"/>
  <c r="C68" i="21"/>
  <c r="AB168" i="1"/>
  <c r="W168" i="1"/>
  <c r="Z168" i="1"/>
  <c r="U168" i="1"/>
  <c r="V168" i="1" s="1"/>
  <c r="AC168" i="1"/>
  <c r="F79" i="18"/>
  <c r="E56" i="18"/>
  <c r="Q202" i="1"/>
  <c r="AE177" i="1"/>
  <c r="X177" i="1"/>
  <c r="AC26" i="18" s="1"/>
  <c r="BE101" i="11"/>
  <c r="AH101" i="11" s="1"/>
  <c r="BE29" i="11"/>
  <c r="AH29" i="11" s="1"/>
  <c r="S99" i="5"/>
  <c r="S66" i="5"/>
  <c r="S117" i="5"/>
  <c r="U172" i="1"/>
  <c r="DH14" i="1"/>
  <c r="BE116" i="11"/>
  <c r="AH116" i="11" s="1"/>
  <c r="BE85" i="11"/>
  <c r="AH85" i="11" s="1"/>
  <c r="F22" i="6"/>
  <c r="D166" i="1" s="1"/>
  <c r="E166" i="1" s="1"/>
  <c r="Y4" i="6"/>
  <c r="Y105" i="18"/>
  <c r="E184" i="1"/>
  <c r="N184" i="1" s="1"/>
  <c r="AD170" i="1"/>
  <c r="AE170" i="1"/>
  <c r="W170" i="1"/>
  <c r="G36" i="15"/>
  <c r="W175" i="1"/>
  <c r="Z24" i="18" s="1"/>
  <c r="U32" i="18" s="1"/>
  <c r="AQ16" i="1"/>
  <c r="BE96" i="11"/>
  <c r="AH96" i="11" s="1"/>
  <c r="BE73" i="11"/>
  <c r="AH73" i="11" s="1"/>
  <c r="G46" i="15"/>
  <c r="Q199" i="1"/>
  <c r="AP285" i="9"/>
  <c r="AR285" i="9"/>
  <c r="AR268" i="9"/>
  <c r="AP269" i="9"/>
  <c r="AR269" i="9"/>
  <c r="AP270" i="9"/>
  <c r="N80" i="5"/>
  <c r="L78" i="5"/>
  <c r="M78" i="5"/>
  <c r="N78" i="5"/>
  <c r="L79" i="5"/>
  <c r="F187" i="1"/>
  <c r="G187" i="1"/>
  <c r="AW38" i="11"/>
  <c r="G56" i="15"/>
  <c r="D27" i="6"/>
  <c r="N90" i="5"/>
  <c r="AE168" i="1"/>
  <c r="AC175" i="1"/>
  <c r="AH24" i="18" s="1"/>
  <c r="BE100" i="11"/>
  <c r="AH100" i="11" s="1"/>
  <c r="F178" i="1"/>
  <c r="I34" i="6"/>
  <c r="AC177" i="1"/>
  <c r="AH26" i="18" s="1"/>
  <c r="AD168" i="1"/>
  <c r="AA177" i="1"/>
  <c r="AF26" i="18" s="1"/>
  <c r="W85" i="18" s="1"/>
  <c r="W92" i="18" s="1"/>
  <c r="AA174" i="1"/>
  <c r="AC169" i="1"/>
  <c r="AE161" i="1"/>
  <c r="BF25" i="1"/>
  <c r="AB177" i="1"/>
  <c r="AG26" i="18" s="1"/>
  <c r="AB175" i="1"/>
  <c r="Y168" i="1"/>
  <c r="AD161" i="1"/>
  <c r="BE35" i="11"/>
  <c r="AH35" i="11" s="1"/>
  <c r="C71" i="21"/>
  <c r="C61" i="21"/>
  <c r="C46" i="21"/>
  <c r="C64" i="21"/>
  <c r="C70" i="21"/>
  <c r="C35" i="21"/>
  <c r="C53" i="21"/>
  <c r="C29" i="21"/>
  <c r="C57" i="21"/>
  <c r="C62" i="21"/>
  <c r="C74" i="21"/>
  <c r="C59" i="21"/>
  <c r="AA175" i="1"/>
  <c r="AF24" i="18" s="1"/>
  <c r="U85" i="18" s="1"/>
  <c r="U99" i="18" s="1"/>
  <c r="X168" i="1"/>
  <c r="H28" i="4"/>
  <c r="G24" i="25" s="1"/>
  <c r="G193" i="1"/>
  <c r="W174" i="1"/>
  <c r="Z23" i="18" s="1"/>
  <c r="T32" i="18" s="1"/>
  <c r="X174" i="1"/>
  <c r="U169" i="1"/>
  <c r="X169" i="1"/>
  <c r="Y169" i="1"/>
  <c r="AE169" i="1"/>
  <c r="Z169" i="1"/>
  <c r="AB169" i="1"/>
  <c r="Z166" i="1"/>
  <c r="AC161" i="1"/>
  <c r="BE77" i="11"/>
  <c r="AH77" i="11" s="1"/>
  <c r="G54" i="15"/>
  <c r="G200" i="1"/>
  <c r="AB161" i="1"/>
  <c r="N106" i="5"/>
  <c r="L107" i="5"/>
  <c r="M107" i="5"/>
  <c r="O104" i="5"/>
  <c r="N107" i="5"/>
  <c r="L108" i="5"/>
  <c r="M108" i="5"/>
  <c r="N108" i="5"/>
  <c r="O108" i="5"/>
  <c r="N109" i="5"/>
  <c r="O109" i="5"/>
  <c r="N110" i="5"/>
  <c r="N104" i="5"/>
  <c r="E203" i="1"/>
  <c r="N203" i="1" s="1"/>
  <c r="BE79" i="11"/>
  <c r="AH79" i="11" s="1"/>
  <c r="AB166" i="1"/>
  <c r="AC166" i="1"/>
  <c r="AD166" i="1"/>
  <c r="AE166" i="1"/>
  <c r="W161" i="1"/>
  <c r="Z10" i="18" s="1"/>
  <c r="I32" i="18" s="1"/>
  <c r="BE117" i="11"/>
  <c r="AH117" i="11" s="1"/>
  <c r="AD177" i="1"/>
  <c r="AX106" i="11"/>
  <c r="Z106" i="11"/>
  <c r="U161" i="1"/>
  <c r="E182" i="1"/>
  <c r="N182" i="1" s="1"/>
  <c r="AP275" i="9"/>
  <c r="AP268" i="9"/>
  <c r="W169" i="1"/>
  <c r="Y159" i="1"/>
  <c r="AE174" i="1"/>
  <c r="BE110" i="11"/>
  <c r="AH110" i="11" s="1"/>
  <c r="K103" i="5"/>
  <c r="U103" i="5"/>
  <c r="V103" i="5"/>
  <c r="AR274" i="9"/>
  <c r="AR278" i="9"/>
  <c r="AD174" i="1"/>
  <c r="DH9" i="1"/>
  <c r="BE97" i="11"/>
  <c r="AH97" i="11" s="1"/>
  <c r="L58" i="5"/>
  <c r="C29" i="6"/>
  <c r="K9" i="6"/>
  <c r="AW81" i="11"/>
  <c r="O62" i="5"/>
  <c r="P57" i="11"/>
  <c r="AT33" i="11"/>
  <c r="L99" i="5"/>
  <c r="BE19" i="11"/>
  <c r="AH19" i="11" s="1"/>
  <c r="N97" i="5"/>
  <c r="M97" i="5"/>
  <c r="O61" i="5"/>
  <c r="DH17" i="1"/>
  <c r="BE16" i="11"/>
  <c r="AH16" i="11" s="1"/>
  <c r="L97" i="5"/>
  <c r="N61" i="5"/>
  <c r="AB34" i="6"/>
  <c r="E18" i="6" s="1"/>
  <c r="E195" i="1"/>
  <c r="N195" i="1" s="1"/>
  <c r="W162" i="1"/>
  <c r="O101" i="5"/>
  <c r="L61" i="5"/>
  <c r="U162" i="1"/>
  <c r="N101" i="5"/>
  <c r="O96" i="5"/>
  <c r="AA34" i="6"/>
  <c r="D18" i="6" s="1"/>
  <c r="M101" i="5"/>
  <c r="N96" i="5"/>
  <c r="K75" i="11"/>
  <c r="L101" i="5"/>
  <c r="M96" i="5"/>
  <c r="BE13" i="11"/>
  <c r="AH13" i="11" s="1"/>
  <c r="I73" i="18"/>
  <c r="H73" i="18"/>
  <c r="F68" i="18"/>
  <c r="F80" i="18"/>
  <c r="Q64" i="18"/>
  <c r="E55" i="18"/>
  <c r="V78" i="18"/>
  <c r="H78" i="18"/>
  <c r="T73" i="18"/>
  <c r="O64" i="18"/>
  <c r="N64" i="18"/>
  <c r="M64" i="18"/>
  <c r="L64" i="18"/>
  <c r="Y89" i="18"/>
  <c r="O70" i="18"/>
  <c r="R78" i="18"/>
  <c r="W78" i="18"/>
  <c r="Q66" i="18"/>
  <c r="R66" i="18"/>
  <c r="F76" i="18"/>
  <c r="E51" i="10"/>
  <c r="I78" i="18"/>
  <c r="L78" i="18"/>
  <c r="F78" i="18"/>
  <c r="N70" i="18"/>
  <c r="M70" i="18"/>
  <c r="W70" i="18"/>
  <c r="E54" i="18"/>
  <c r="U78" i="18"/>
  <c r="G78" i="18"/>
  <c r="V70" i="18"/>
  <c r="P70" i="18"/>
  <c r="H70" i="18"/>
  <c r="G70" i="18"/>
  <c r="H66" i="18"/>
  <c r="S66" i="18"/>
  <c r="Q80" i="18"/>
  <c r="Y106" i="18"/>
  <c r="Q70" i="18"/>
  <c r="P80" i="18"/>
  <c r="K70" i="18"/>
  <c r="I70" i="18"/>
  <c r="O77" i="18"/>
  <c r="J70" i="18"/>
  <c r="P77" i="18"/>
  <c r="T78" i="18"/>
  <c r="Y103" i="18"/>
  <c r="M78" i="18"/>
  <c r="S78" i="18"/>
  <c r="K78" i="18"/>
  <c r="J78" i="18"/>
  <c r="D25" i="18"/>
  <c r="E48" i="10"/>
  <c r="F51" i="10"/>
  <c r="AF25" i="9"/>
  <c r="M77" i="18"/>
  <c r="N77" i="18"/>
  <c r="K69" i="18"/>
  <c r="E39" i="18"/>
  <c r="T77" i="18"/>
  <c r="S77" i="18"/>
  <c r="V77" i="18"/>
  <c r="R77" i="18"/>
  <c r="Q77" i="18"/>
  <c r="G76" i="18"/>
  <c r="W77" i="18"/>
  <c r="U73" i="18"/>
  <c r="F70" i="18"/>
  <c r="J69" i="18"/>
  <c r="G77" i="18"/>
  <c r="I60" i="18"/>
  <c r="D28" i="18"/>
  <c r="S73" i="18"/>
  <c r="H60" i="18"/>
  <c r="S17" i="9"/>
  <c r="N19" i="9" s="1"/>
  <c r="R73" i="18"/>
  <c r="U77" i="18"/>
  <c r="H77" i="18"/>
  <c r="G60" i="18"/>
  <c r="Q73" i="18"/>
  <c r="E47" i="18"/>
  <c r="I69" i="18"/>
  <c r="N69" i="18"/>
  <c r="W60" i="18"/>
  <c r="P73" i="18"/>
  <c r="I77" i="18"/>
  <c r="U60" i="18"/>
  <c r="Q72" i="18"/>
  <c r="R60" i="18"/>
  <c r="J77" i="18"/>
  <c r="T60" i="18"/>
  <c r="M69" i="18"/>
  <c r="K77" i="18"/>
  <c r="S60" i="18"/>
  <c r="L70" i="18"/>
  <c r="D27" i="18"/>
  <c r="E50" i="10"/>
  <c r="J24" i="9"/>
  <c r="J23" i="9"/>
  <c r="E49" i="10"/>
  <c r="D26" i="18"/>
  <c r="P69" i="18"/>
  <c r="Q75" i="18"/>
  <c r="J73" i="18"/>
  <c r="V73" i="18"/>
  <c r="W76" i="18"/>
  <c r="G73" i="18"/>
  <c r="N73" i="18"/>
  <c r="U76" i="18"/>
  <c r="O61" i="18"/>
  <c r="K73" i="18"/>
  <c r="T76" i="18"/>
  <c r="U66" i="18"/>
  <c r="E53" i="18"/>
  <c r="S76" i="18"/>
  <c r="R76" i="18"/>
  <c r="L73" i="18"/>
  <c r="U79" i="18"/>
  <c r="Q76" i="18"/>
  <c r="Y86" i="18"/>
  <c r="T79" i="18"/>
  <c r="P76" i="18"/>
  <c r="G69" i="18"/>
  <c r="K75" i="18"/>
  <c r="Q69" i="18"/>
  <c r="F61" i="18"/>
  <c r="E37" i="18"/>
  <c r="S79" i="18"/>
  <c r="O76" i="18"/>
  <c r="V76" i="18"/>
  <c r="R79" i="18"/>
  <c r="N76" i="18"/>
  <c r="Q79" i="18"/>
  <c r="M76" i="18"/>
  <c r="W69" i="18"/>
  <c r="J75" i="18"/>
  <c r="O73" i="18"/>
  <c r="L76" i="18"/>
  <c r="V69" i="18"/>
  <c r="O69" i="18"/>
  <c r="Q78" i="18"/>
  <c r="K76" i="18"/>
  <c r="U69" i="18"/>
  <c r="P78" i="18"/>
  <c r="J76" i="18"/>
  <c r="T69" i="18"/>
  <c r="I63" i="18"/>
  <c r="H69" i="18"/>
  <c r="L69" i="18"/>
  <c r="O78" i="18"/>
  <c r="I76" i="18"/>
  <c r="S69" i="18"/>
  <c r="Y93" i="18"/>
  <c r="F7" i="10"/>
  <c r="DE21" i="1"/>
  <c r="DG21" i="1"/>
  <c r="Q62" i="18"/>
  <c r="O66" i="18"/>
  <c r="L63" i="18"/>
  <c r="R64" i="18"/>
  <c r="G66" i="18"/>
  <c r="P66" i="18"/>
  <c r="J63" i="18"/>
  <c r="N66" i="18"/>
  <c r="E46" i="18"/>
  <c r="F69" i="18"/>
  <c r="E44" i="18"/>
  <c r="K66" i="18"/>
  <c r="J66" i="18"/>
  <c r="I66" i="18"/>
  <c r="G65" i="18"/>
  <c r="K65" i="18"/>
  <c r="J65" i="18"/>
  <c r="W65" i="18"/>
  <c r="V65" i="18"/>
  <c r="U65" i="18"/>
  <c r="T65" i="18"/>
  <c r="R65" i="18"/>
  <c r="Q65" i="18"/>
  <c r="I65" i="18"/>
  <c r="Y92" i="18"/>
  <c r="F66" i="18"/>
  <c r="D13" i="18"/>
  <c r="J15" i="9"/>
  <c r="F41" i="10" s="1"/>
  <c r="D18" i="18"/>
  <c r="J10" i="9"/>
  <c r="F36" i="10" s="1"/>
  <c r="D21" i="18"/>
  <c r="E44" i="10"/>
  <c r="J18" i="9"/>
  <c r="E40" i="10"/>
  <c r="D17" i="18"/>
  <c r="J14" i="9"/>
  <c r="J12" i="9"/>
  <c r="F38" i="10" s="1"/>
  <c r="D12" i="18"/>
  <c r="L62" i="18"/>
  <c r="M62" i="18"/>
  <c r="K62" i="18"/>
  <c r="G62" i="18"/>
  <c r="O62" i="18"/>
  <c r="H62" i="18"/>
  <c r="I62" i="18"/>
  <c r="W62" i="18"/>
  <c r="V62" i="18"/>
  <c r="U62" i="18"/>
  <c r="J62" i="18"/>
  <c r="P62" i="18"/>
  <c r="T62" i="18"/>
  <c r="S62" i="18"/>
  <c r="N62" i="18"/>
  <c r="J61" i="18"/>
  <c r="K61" i="18"/>
  <c r="L61" i="18"/>
  <c r="M61" i="18"/>
  <c r="R61" i="18"/>
  <c r="N61" i="18"/>
  <c r="I61" i="18"/>
  <c r="U61" i="18"/>
  <c r="H61" i="18"/>
  <c r="S61" i="18"/>
  <c r="Q61" i="18"/>
  <c r="P61" i="18"/>
  <c r="V61" i="18"/>
  <c r="G61" i="18"/>
  <c r="T61" i="18"/>
  <c r="F62" i="18"/>
  <c r="K108" i="11"/>
  <c r="AX21" i="11"/>
  <c r="P37" i="11"/>
  <c r="AX23" i="11"/>
  <c r="AW109" i="11"/>
  <c r="AT57" i="11"/>
  <c r="K26" i="11"/>
  <c r="Z32" i="11"/>
  <c r="AV77" i="11"/>
  <c r="AX30" i="11"/>
  <c r="K61" i="11"/>
  <c r="AX93" i="11"/>
  <c r="Z9" i="11"/>
  <c r="AQ5" i="1"/>
  <c r="C40" i="6" s="1"/>
  <c r="AQ8" i="1"/>
  <c r="DH10" i="1"/>
  <c r="DH5" i="1"/>
  <c r="DH7" i="1"/>
  <c r="AQ7" i="1"/>
  <c r="J21" i="9"/>
  <c r="D24" i="18"/>
  <c r="E47" i="10"/>
  <c r="L75" i="18"/>
  <c r="M75" i="18"/>
  <c r="O75" i="18"/>
  <c r="W75" i="18"/>
  <c r="N75" i="18"/>
  <c r="P75" i="18"/>
  <c r="V75" i="18"/>
  <c r="S75" i="18"/>
  <c r="I75" i="18"/>
  <c r="R75" i="18"/>
  <c r="T75" i="18"/>
  <c r="E52" i="18"/>
  <c r="U75" i="18"/>
  <c r="J22" i="9"/>
  <c r="G75" i="18"/>
  <c r="J6" i="9"/>
  <c r="D9" i="18"/>
  <c r="E32" i="10"/>
  <c r="D20" i="18"/>
  <c r="E43" i="10"/>
  <c r="J17" i="9"/>
  <c r="AF5" i="9"/>
  <c r="F31" i="10"/>
  <c r="E37" i="10"/>
  <c r="J11" i="9"/>
  <c r="D14" i="18"/>
  <c r="J16" i="9"/>
  <c r="D19" i="18"/>
  <c r="E42" i="10"/>
  <c r="Y87" i="18"/>
  <c r="N71" i="18"/>
  <c r="V60" i="18"/>
  <c r="W64" i="18"/>
  <c r="T67" i="18"/>
  <c r="O71" i="18"/>
  <c r="D15" i="18"/>
  <c r="F65" i="18"/>
  <c r="S67" i="18"/>
  <c r="D8" i="18"/>
  <c r="V64" i="18"/>
  <c r="E31" i="10"/>
  <c r="R67" i="18"/>
  <c r="V67" i="18"/>
  <c r="U64" i="18"/>
  <c r="Q67" i="18"/>
  <c r="Y97" i="18"/>
  <c r="P67" i="18"/>
  <c r="K71" i="18"/>
  <c r="P64" i="18"/>
  <c r="L71" i="18"/>
  <c r="J71" i="18"/>
  <c r="Y91" i="18"/>
  <c r="N67" i="18"/>
  <c r="I71" i="18"/>
  <c r="M67" i="18"/>
  <c r="H71" i="18"/>
  <c r="V71" i="18"/>
  <c r="M26" i="9"/>
  <c r="G71" i="18"/>
  <c r="U71" i="18"/>
  <c r="K67" i="18"/>
  <c r="P60" i="18"/>
  <c r="K64" i="18"/>
  <c r="L67" i="18"/>
  <c r="Q60" i="18"/>
  <c r="T71" i="18"/>
  <c r="J67" i="18"/>
  <c r="J8" i="9"/>
  <c r="O60" i="18"/>
  <c r="W67" i="18"/>
  <c r="J64" i="18"/>
  <c r="I67" i="18"/>
  <c r="D11" i="18"/>
  <c r="N60" i="18"/>
  <c r="U67" i="18"/>
  <c r="W66" i="18"/>
  <c r="I64" i="18"/>
  <c r="H67" i="18"/>
  <c r="M60" i="18"/>
  <c r="U70" i="18"/>
  <c r="V66" i="18"/>
  <c r="H64" i="18"/>
  <c r="L5" i="21"/>
  <c r="S71" i="18"/>
  <c r="P71" i="18"/>
  <c r="G67" i="18"/>
  <c r="J7" i="9"/>
  <c r="L60" i="18"/>
  <c r="T70" i="18"/>
  <c r="T66" i="18"/>
  <c r="G64" i="18"/>
  <c r="E41" i="18"/>
  <c r="D10" i="18"/>
  <c r="J9" i="9"/>
  <c r="K60" i="18"/>
  <c r="S70" i="18"/>
  <c r="M66" i="18"/>
  <c r="V163" i="1"/>
  <c r="BE11" i="11"/>
  <c r="AH11" i="11" s="1"/>
  <c r="BE18" i="11"/>
  <c r="AH18" i="11" s="1"/>
  <c r="BE17" i="11"/>
  <c r="AH17" i="11" s="1"/>
  <c r="Z34" i="11"/>
  <c r="K30" i="11"/>
  <c r="AV99" i="11"/>
  <c r="AW47" i="11"/>
  <c r="P21" i="11"/>
  <c r="Z20" i="11"/>
  <c r="Z19" i="11"/>
  <c r="AW104" i="11"/>
  <c r="K39" i="11"/>
  <c r="AV23" i="11"/>
  <c r="AW52" i="11"/>
  <c r="AX50" i="11"/>
  <c r="AT19" i="11"/>
  <c r="K60" i="11"/>
  <c r="AW25" i="11"/>
  <c r="P90" i="11"/>
  <c r="AV25" i="11"/>
  <c r="AW77" i="11"/>
  <c r="AW35" i="11"/>
  <c r="AV58" i="11"/>
  <c r="P73" i="11"/>
  <c r="K41" i="11"/>
  <c r="AW46" i="11"/>
  <c r="K90" i="11"/>
  <c r="AX70" i="11"/>
  <c r="AW50" i="11"/>
  <c r="Z62" i="11"/>
  <c r="Z89" i="11"/>
  <c r="AT88" i="11"/>
  <c r="AU117" i="11"/>
  <c r="AW84" i="11"/>
  <c r="AW58" i="11"/>
  <c r="AT104" i="11"/>
  <c r="AW111" i="11"/>
  <c r="AW72" i="11"/>
  <c r="AW20" i="11"/>
  <c r="AU45" i="11"/>
  <c r="Z51" i="11"/>
  <c r="AT46" i="11"/>
  <c r="Z27" i="11"/>
  <c r="Z71" i="11"/>
  <c r="AW15" i="11"/>
  <c r="P45" i="11"/>
  <c r="Z90" i="11"/>
  <c r="K77" i="11"/>
  <c r="AV83" i="11"/>
  <c r="AT81" i="11"/>
  <c r="P19" i="11"/>
  <c r="K83" i="11"/>
  <c r="AV95" i="11"/>
  <c r="Z91" i="11"/>
  <c r="AV100" i="11"/>
  <c r="BI57" i="11"/>
  <c r="BN74" i="11"/>
  <c r="BH72" i="11"/>
  <c r="BG57" i="11"/>
  <c r="BH55" i="11"/>
  <c r="AT49" i="11"/>
  <c r="AU101" i="11"/>
  <c r="AT47" i="11"/>
  <c r="Z60" i="11"/>
  <c r="Z95" i="11"/>
  <c r="AU107" i="11"/>
  <c r="P49" i="11"/>
  <c r="K80" i="11"/>
  <c r="P76" i="11"/>
  <c r="K97" i="11"/>
  <c r="AX15" i="11"/>
  <c r="AT29" i="11"/>
  <c r="AT103" i="11"/>
  <c r="K55" i="11"/>
  <c r="AU53" i="11"/>
  <c r="AV101" i="11"/>
  <c r="K59" i="11"/>
  <c r="AT55" i="11"/>
  <c r="AW53" i="11"/>
  <c r="P70" i="11"/>
  <c r="AV55" i="11"/>
  <c r="AW112" i="11"/>
  <c r="Z114" i="11"/>
  <c r="P87" i="11"/>
  <c r="K20" i="11"/>
  <c r="K23" i="11"/>
  <c r="AU65" i="11"/>
  <c r="Z87" i="11"/>
  <c r="AT82" i="11"/>
  <c r="Z104" i="11"/>
  <c r="AV46" i="11"/>
  <c r="K47" i="11"/>
  <c r="AV42" i="11"/>
  <c r="P27" i="11"/>
  <c r="BL33" i="11"/>
  <c r="AT65" i="11"/>
  <c r="Z35" i="11"/>
  <c r="AT61" i="11"/>
  <c r="K112" i="11"/>
  <c r="Z92" i="11"/>
  <c r="AW63" i="11"/>
  <c r="AW42" i="11"/>
  <c r="AX14" i="11"/>
  <c r="AW90" i="11"/>
  <c r="P63" i="11"/>
  <c r="AW12" i="11"/>
  <c r="AT98" i="11"/>
  <c r="K44" i="11"/>
  <c r="AW37" i="11"/>
  <c r="AW24" i="11"/>
  <c r="P40" i="11"/>
  <c r="K73" i="11"/>
  <c r="AX31" i="11"/>
  <c r="AT71" i="11"/>
  <c r="P56" i="11"/>
  <c r="AV79" i="11"/>
  <c r="AT96" i="11"/>
  <c r="P85" i="11"/>
  <c r="AW103" i="11"/>
  <c r="AW73" i="11"/>
  <c r="K22" i="11"/>
  <c r="AW93" i="11"/>
  <c r="AU27" i="11"/>
  <c r="P24" i="11"/>
  <c r="AW45" i="11"/>
  <c r="AU13" i="11"/>
  <c r="AX76" i="11"/>
  <c r="K67" i="11"/>
  <c r="AX38" i="11"/>
  <c r="AV65" i="11"/>
  <c r="U84" i="11"/>
  <c r="K29" i="11"/>
  <c r="K48" i="11"/>
  <c r="Z105" i="11"/>
  <c r="K87" i="11"/>
  <c r="AT40" i="11"/>
  <c r="Z102" i="11"/>
  <c r="K63" i="11"/>
  <c r="K100" i="11"/>
  <c r="AX12" i="11"/>
  <c r="AX18" i="11"/>
  <c r="AT90" i="11"/>
  <c r="AV88" i="11"/>
  <c r="U111" i="11"/>
  <c r="AV18" i="11"/>
  <c r="U50" i="11"/>
  <c r="AW115" i="11"/>
  <c r="AU74" i="11"/>
  <c r="AX45" i="11"/>
  <c r="Z98" i="11"/>
  <c r="P20" i="11"/>
  <c r="K52" i="11"/>
  <c r="K62" i="11"/>
  <c r="AV50" i="11"/>
  <c r="P66" i="11"/>
  <c r="AV117" i="11"/>
  <c r="AX107" i="11"/>
  <c r="AU28" i="11"/>
  <c r="AW43" i="11"/>
  <c r="K104" i="11"/>
  <c r="AX109" i="11"/>
  <c r="AX39" i="11"/>
  <c r="AV61" i="11"/>
  <c r="Z82" i="11"/>
  <c r="AV43" i="11"/>
  <c r="Z100" i="11"/>
  <c r="AU105" i="11"/>
  <c r="Z85" i="11"/>
  <c r="K57" i="11"/>
  <c r="AW30" i="11"/>
  <c r="AX26" i="11"/>
  <c r="U45" i="11"/>
  <c r="AU37" i="11"/>
  <c r="U20" i="11"/>
  <c r="AX118" i="11"/>
  <c r="AW95" i="11"/>
  <c r="P81" i="11"/>
  <c r="AW79" i="11"/>
  <c r="AW23" i="11"/>
  <c r="AW96" i="11"/>
  <c r="AW14" i="11"/>
  <c r="U24" i="11"/>
  <c r="AW18" i="11"/>
  <c r="Z78" i="11"/>
  <c r="AU85" i="11"/>
  <c r="K79" i="11"/>
  <c r="U35" i="11"/>
  <c r="AV82" i="11"/>
  <c r="AT91" i="11"/>
  <c r="AW40" i="11"/>
  <c r="AU86" i="11"/>
  <c r="K54" i="11"/>
  <c r="AU69" i="11"/>
  <c r="AW27" i="11"/>
  <c r="AX43" i="11"/>
  <c r="Z53" i="11"/>
  <c r="AW59" i="11"/>
  <c r="AX22" i="11"/>
  <c r="Z84" i="11"/>
  <c r="K33" i="11"/>
  <c r="K113" i="11"/>
  <c r="AV54" i="11"/>
  <c r="P107" i="11"/>
  <c r="Z115" i="11"/>
  <c r="P111" i="11"/>
  <c r="P59" i="11"/>
  <c r="K116" i="11"/>
  <c r="Z44" i="11"/>
  <c r="AW62" i="11"/>
  <c r="P33" i="11"/>
  <c r="Z64" i="11"/>
  <c r="AX59" i="11"/>
  <c r="AV14" i="11"/>
  <c r="Z56" i="11"/>
  <c r="Z94" i="11"/>
  <c r="U52" i="11"/>
  <c r="AU93" i="11"/>
  <c r="AU95" i="11"/>
  <c r="K68" i="11"/>
  <c r="AX79" i="11"/>
  <c r="AX61" i="11"/>
  <c r="AU99" i="11"/>
  <c r="P115" i="11"/>
  <c r="AT72" i="11"/>
  <c r="K58" i="11"/>
  <c r="AV118" i="11"/>
  <c r="AT111" i="11"/>
  <c r="AV75" i="11"/>
  <c r="P15" i="11"/>
  <c r="AV12" i="11"/>
  <c r="U109" i="11"/>
  <c r="AU102" i="11"/>
  <c r="U63" i="11"/>
  <c r="Z13" i="11"/>
  <c r="AU70" i="11"/>
  <c r="P106" i="11"/>
  <c r="U40" i="11"/>
  <c r="K34" i="11"/>
  <c r="Z111" i="11"/>
  <c r="AW87" i="11"/>
  <c r="AX88" i="11"/>
  <c r="P114" i="11"/>
  <c r="AW107" i="11"/>
  <c r="K94" i="11"/>
  <c r="AW65" i="11"/>
  <c r="AW32" i="11"/>
  <c r="AU98" i="11"/>
  <c r="AX36" i="11"/>
  <c r="U115" i="11"/>
  <c r="AX52" i="11"/>
  <c r="AV93" i="11"/>
  <c r="K88" i="11"/>
  <c r="U47" i="11"/>
  <c r="BM13" i="11"/>
  <c r="P36" i="11"/>
  <c r="P38" i="11"/>
  <c r="AW97" i="11"/>
  <c r="AU84" i="11"/>
  <c r="AW117" i="11"/>
  <c r="Z40" i="11"/>
  <c r="AU12" i="11"/>
  <c r="AX72" i="11"/>
  <c r="K110" i="11"/>
  <c r="P108" i="11"/>
  <c r="AT74" i="11"/>
  <c r="AX58" i="11"/>
  <c r="AW22" i="11"/>
  <c r="Z117" i="11"/>
  <c r="AV110" i="11"/>
  <c r="Z99" i="11"/>
  <c r="AV60" i="11"/>
  <c r="U38" i="11"/>
  <c r="AT62" i="11"/>
  <c r="P48" i="11"/>
  <c r="AW92" i="11"/>
  <c r="AT97" i="11"/>
  <c r="AU14" i="11"/>
  <c r="P64" i="11"/>
  <c r="AT99" i="11"/>
  <c r="AW108" i="11"/>
  <c r="AW99" i="11"/>
  <c r="AT76" i="11"/>
  <c r="K115" i="11"/>
  <c r="AU115" i="11"/>
  <c r="K106" i="11"/>
  <c r="AU106" i="11"/>
  <c r="AT106" i="11"/>
  <c r="AT12" i="11"/>
  <c r="U17" i="11"/>
  <c r="AW17" i="11"/>
  <c r="U15" i="11"/>
  <c r="U67" i="11"/>
  <c r="AW67" i="11"/>
  <c r="AT21" i="11"/>
  <c r="AT100" i="11"/>
  <c r="P71" i="11"/>
  <c r="AV71" i="11"/>
  <c r="AW71" i="11"/>
  <c r="AW82" i="11"/>
  <c r="U82" i="11"/>
  <c r="AX47" i="11"/>
  <c r="Z47" i="11"/>
  <c r="U69" i="11"/>
  <c r="AW69" i="11"/>
  <c r="AX49" i="11"/>
  <c r="Z49" i="11"/>
  <c r="U49" i="11"/>
  <c r="AW49" i="11"/>
  <c r="AX110" i="11"/>
  <c r="Z110" i="11"/>
  <c r="P51" i="11"/>
  <c r="AV51" i="11"/>
  <c r="AX67" i="11"/>
  <c r="Z67" i="11"/>
  <c r="AV98" i="11"/>
  <c r="AW98" i="11"/>
  <c r="P98" i="11"/>
  <c r="AW110" i="11"/>
  <c r="U110" i="11"/>
  <c r="Z101" i="11"/>
  <c r="AX101" i="11"/>
  <c r="U101" i="11"/>
  <c r="AW101" i="11"/>
  <c r="AU76" i="11"/>
  <c r="K76" i="11"/>
  <c r="AV17" i="11"/>
  <c r="P17" i="11"/>
  <c r="Z69" i="11"/>
  <c r="AX69" i="11"/>
  <c r="AU91" i="11"/>
  <c r="K91" i="11"/>
  <c r="AT58" i="11"/>
  <c r="AU32" i="11"/>
  <c r="BL23" i="11"/>
  <c r="BI14" i="11"/>
  <c r="BM24" i="11"/>
  <c r="BL68" i="11"/>
  <c r="BN67" i="11"/>
  <c r="BL108" i="11"/>
  <c r="AW16" i="11"/>
  <c r="BH15" i="11"/>
  <c r="BM55" i="11"/>
  <c r="BH29" i="11"/>
  <c r="BG98" i="11"/>
  <c r="BM105" i="11"/>
  <c r="BL105" i="11"/>
  <c r="BM37" i="11"/>
  <c r="BN27" i="11"/>
  <c r="BH42" i="11"/>
  <c r="BH19" i="11"/>
  <c r="BI65" i="11"/>
  <c r="BG18" i="11"/>
  <c r="AV78" i="11"/>
  <c r="AV30" i="11"/>
  <c r="BM70" i="11"/>
  <c r="BG20" i="11"/>
  <c r="BM88" i="11"/>
  <c r="BI90" i="11"/>
  <c r="BI69" i="11"/>
  <c r="BG67" i="11"/>
  <c r="BH67" i="11"/>
  <c r="BN97" i="11"/>
  <c r="AW33" i="11"/>
  <c r="BL40" i="11"/>
  <c r="BN75" i="11"/>
  <c r="BM113" i="11"/>
  <c r="K111" i="11"/>
  <c r="BH108" i="11"/>
  <c r="AW85" i="11"/>
  <c r="BN78" i="11"/>
  <c r="U77" i="11"/>
  <c r="U37" i="11"/>
  <c r="AV28" i="11"/>
  <c r="BL57" i="11"/>
  <c r="BG39" i="11"/>
  <c r="BN66" i="11"/>
  <c r="AW78" i="11"/>
  <c r="BG61" i="11"/>
  <c r="BH116" i="11"/>
  <c r="BN31" i="11"/>
  <c r="BH40" i="11"/>
  <c r="BI22" i="11"/>
  <c r="BN94" i="11"/>
  <c r="BH104" i="11"/>
  <c r="BG104" i="11"/>
  <c r="BG35" i="11"/>
  <c r="BG26" i="11"/>
  <c r="BM32" i="11"/>
  <c r="BL17" i="11"/>
  <c r="BL60" i="11"/>
  <c r="BN14" i="11"/>
  <c r="BH73" i="11"/>
  <c r="K64" i="11"/>
  <c r="BN71" i="11"/>
  <c r="BH50" i="11"/>
  <c r="BH114" i="11"/>
  <c r="BI89" i="11"/>
  <c r="BL91" i="11"/>
  <c r="BN80" i="11"/>
  <c r="BI78" i="11"/>
  <c r="BM101" i="11"/>
  <c r="BG54" i="11"/>
  <c r="BN63" i="11"/>
  <c r="BM98" i="11"/>
  <c r="BG116" i="11"/>
  <c r="BL97" i="11"/>
  <c r="BN81" i="11"/>
  <c r="BM78" i="11"/>
  <c r="BL66" i="11"/>
  <c r="AW54" i="11"/>
  <c r="P30" i="11"/>
  <c r="AX24" i="11"/>
  <c r="P13" i="11"/>
  <c r="BL99" i="11"/>
  <c r="BM43" i="11"/>
  <c r="BH44" i="11"/>
  <c r="BL89" i="11"/>
  <c r="BN111" i="11"/>
  <c r="BL12" i="11"/>
  <c r="BM33" i="11"/>
  <c r="BI11" i="11"/>
  <c r="BI93" i="11"/>
  <c r="BM94" i="11"/>
  <c r="BN100" i="11"/>
  <c r="BI25" i="11"/>
  <c r="BH21" i="11"/>
  <c r="BH31" i="11"/>
  <c r="BN15" i="11"/>
  <c r="BG59" i="11"/>
  <c r="BI13" i="11"/>
  <c r="K50" i="11"/>
  <c r="K78" i="11"/>
  <c r="K66" i="11"/>
  <c r="BN51" i="11"/>
  <c r="BI115" i="11"/>
  <c r="BI91" i="11"/>
  <c r="BG92" i="11"/>
  <c r="BH81" i="11"/>
  <c r="BH79" i="11"/>
  <c r="BL79" i="11"/>
  <c r="BL102" i="11"/>
  <c r="BI67" i="11"/>
  <c r="BG102" i="11"/>
  <c r="BM100" i="11"/>
  <c r="BI97" i="11"/>
  <c r="BM81" i="11"/>
  <c r="BL78" i="11"/>
  <c r="AU35" i="11"/>
  <c r="BH115" i="11"/>
  <c r="BL19" i="11"/>
  <c r="BH58" i="11"/>
  <c r="BH82" i="11"/>
  <c r="BL29" i="11"/>
  <c r="BI75" i="11"/>
  <c r="BH93" i="11"/>
  <c r="BI99" i="11"/>
  <c r="BM21" i="11"/>
  <c r="BG14" i="11"/>
  <c r="BL27" i="11"/>
  <c r="BM71" i="11"/>
  <c r="BN55" i="11"/>
  <c r="BM25" i="11"/>
  <c r="U107" i="11"/>
  <c r="BG25" i="11"/>
  <c r="AW118" i="11"/>
  <c r="K42" i="11"/>
  <c r="BG83" i="11"/>
  <c r="BL52" i="11"/>
  <c r="BH95" i="11"/>
  <c r="BL93" i="11"/>
  <c r="BN83" i="11"/>
  <c r="K81" i="11"/>
  <c r="BL81" i="11"/>
  <c r="Z48" i="11"/>
  <c r="BG103" i="11"/>
  <c r="BI61" i="11"/>
  <c r="BL76" i="11"/>
  <c r="BM104" i="11"/>
  <c r="BN109" i="11"/>
  <c r="BM103" i="11"/>
  <c r="BL100" i="11"/>
  <c r="BH97" i="11"/>
  <c r="AW80" i="11"/>
  <c r="BN73" i="11"/>
  <c r="AV72" i="11"/>
  <c r="BN46" i="11"/>
  <c r="AP11" i="11"/>
  <c r="AW11" i="11" s="1"/>
  <c r="AW61" i="11"/>
  <c r="BI33" i="11"/>
  <c r="BH14" i="11"/>
  <c r="AT24" i="11"/>
  <c r="BN86" i="11"/>
  <c r="P67" i="11"/>
  <c r="AP9" i="11"/>
  <c r="P9" i="11" s="1"/>
  <c r="BH78" i="11"/>
  <c r="BN26" i="11"/>
  <c r="BH71" i="11"/>
  <c r="BL88" i="11"/>
  <c r="BL84" i="11"/>
  <c r="BL94" i="11"/>
  <c r="BI18" i="11"/>
  <c r="BI12" i="11"/>
  <c r="BN24" i="11"/>
  <c r="BH70" i="11"/>
  <c r="BI54" i="11"/>
  <c r="BH24" i="11"/>
  <c r="BG27" i="11"/>
  <c r="AT17" i="11"/>
  <c r="BH84" i="11"/>
  <c r="BN59" i="11"/>
  <c r="BH96" i="11"/>
  <c r="BI95" i="11"/>
  <c r="BM85" i="11"/>
  <c r="BI81" i="11"/>
  <c r="BN90" i="11"/>
  <c r="P97" i="11"/>
  <c r="BL104" i="11"/>
  <c r="BM64" i="11"/>
  <c r="AW34" i="11"/>
  <c r="BN53" i="11"/>
  <c r="BH112" i="11"/>
  <c r="BN117" i="11"/>
  <c r="AW114" i="11"/>
  <c r="BN112" i="11"/>
  <c r="BM109" i="11"/>
  <c r="BL103" i="11"/>
  <c r="BI100" i="11"/>
  <c r="U99" i="11"/>
  <c r="AT94" i="11"/>
  <c r="P80" i="11"/>
  <c r="BM73" i="11"/>
  <c r="BL64" i="11"/>
  <c r="BL55" i="11"/>
  <c r="AV52" i="11"/>
  <c r="BM46" i="11"/>
  <c r="AT28" i="11"/>
  <c r="P22" i="11"/>
  <c r="BG109" i="11"/>
  <c r="BH103" i="11"/>
  <c r="BH62" i="11"/>
  <c r="BG60" i="11"/>
  <c r="BI88" i="11"/>
  <c r="BM9" i="11"/>
  <c r="BM49" i="11"/>
  <c r="BL25" i="11"/>
  <c r="BL20" i="11"/>
  <c r="BL90" i="11"/>
  <c r="BH77" i="11"/>
  <c r="BN95" i="11"/>
  <c r="BL22" i="11"/>
  <c r="AU17" i="11"/>
  <c r="BN36" i="11"/>
  <c r="BL67" i="11"/>
  <c r="BM57" i="11"/>
  <c r="BI29" i="11"/>
  <c r="BN58" i="11"/>
  <c r="BH75" i="11"/>
  <c r="BG75" i="11"/>
  <c r="BM76" i="11"/>
  <c r="BG51" i="11"/>
  <c r="BL48" i="11"/>
  <c r="BI70" i="11"/>
  <c r="BH48" i="11"/>
  <c r="BI43" i="11"/>
  <c r="BG24" i="11"/>
  <c r="P116" i="11"/>
  <c r="K92" i="11"/>
  <c r="P112" i="11"/>
  <c r="BM16" i="11"/>
  <c r="U27" i="11"/>
  <c r="K114" i="11"/>
  <c r="BG34" i="11"/>
  <c r="BG88" i="11"/>
  <c r="BN70" i="11"/>
  <c r="BM23" i="11"/>
  <c r="BM116" i="11"/>
  <c r="BM91" i="11"/>
  <c r="BN93" i="11"/>
  <c r="BM96" i="11"/>
  <c r="Z33" i="11"/>
  <c r="BI108" i="11"/>
  <c r="BN99" i="11"/>
  <c r="BN92" i="11"/>
  <c r="BH106" i="11"/>
  <c r="AT102" i="11"/>
  <c r="BG84" i="11"/>
  <c r="Z81" i="11"/>
  <c r="K31" i="11"/>
  <c r="BM12" i="11"/>
  <c r="BL112" i="11"/>
  <c r="BG79" i="11"/>
  <c r="BH23" i="11"/>
  <c r="BH87" i="11"/>
  <c r="BM20" i="11"/>
  <c r="BN91" i="11"/>
  <c r="BN107" i="11"/>
  <c r="Z28" i="11"/>
  <c r="AU10" i="11"/>
  <c r="BN52" i="11"/>
  <c r="BI40" i="11"/>
  <c r="BL26" i="11"/>
  <c r="BG55" i="11"/>
  <c r="BN72" i="11"/>
  <c r="BM72" i="11"/>
  <c r="BL72" i="11"/>
  <c r="BG41" i="11"/>
  <c r="BG47" i="11"/>
  <c r="BL65" i="11"/>
  <c r="BM38" i="11"/>
  <c r="BL38" i="11"/>
  <c r="BN20" i="11"/>
  <c r="Z86" i="11"/>
  <c r="BM36" i="11"/>
  <c r="AT63" i="11"/>
  <c r="BG89" i="11"/>
  <c r="U72" i="11"/>
  <c r="BH16" i="11"/>
  <c r="BH34" i="11"/>
  <c r="BH92" i="11"/>
  <c r="BH94" i="11"/>
  <c r="BG97" i="11"/>
  <c r="BL36" i="11"/>
  <c r="BH109" i="11"/>
  <c r="BH105" i="11"/>
  <c r="BL98" i="11"/>
  <c r="BM110" i="11"/>
  <c r="BM79" i="11"/>
  <c r="AV22" i="11"/>
  <c r="BL106" i="11"/>
  <c r="AW83" i="11"/>
  <c r="BM11" i="11"/>
  <c r="BN76" i="11"/>
  <c r="BI53" i="11"/>
  <c r="BN44" i="11"/>
  <c r="BM115" i="11"/>
  <c r="BM95" i="11"/>
  <c r="BM75" i="11"/>
  <c r="BI106" i="11"/>
  <c r="BM42" i="11"/>
  <c r="U42" i="11"/>
  <c r="BM50" i="11"/>
  <c r="BM29" i="11"/>
  <c r="BG23" i="11"/>
  <c r="BM53" i="11"/>
  <c r="BG71" i="11"/>
  <c r="BM69" i="11"/>
  <c r="BL69" i="11"/>
  <c r="BH25" i="11"/>
  <c r="BN43" i="11"/>
  <c r="BG64" i="11"/>
  <c r="BH37" i="11"/>
  <c r="BG37" i="11"/>
  <c r="BI19" i="11"/>
  <c r="U86" i="11"/>
  <c r="BM34" i="11"/>
  <c r="AW76" i="11"/>
  <c r="AX112" i="11"/>
  <c r="AT35" i="11"/>
  <c r="BM40" i="11"/>
  <c r="AW64" i="11"/>
  <c r="BG91" i="11"/>
  <c r="BM82" i="11"/>
  <c r="BI20" i="11"/>
  <c r="BH38" i="11"/>
  <c r="BM93" i="11"/>
  <c r="BL95" i="11"/>
  <c r="BI98" i="11"/>
  <c r="BH46" i="11"/>
  <c r="BH52" i="11"/>
  <c r="BN118" i="11"/>
  <c r="BI110" i="11"/>
  <c r="Z97" i="11"/>
  <c r="U81" i="11"/>
  <c r="BI71" i="11"/>
  <c r="U70" i="11"/>
  <c r="AT31" i="11"/>
  <c r="BN13" i="11"/>
  <c r="BL56" i="11"/>
  <c r="BH101" i="11"/>
  <c r="BN16" i="11"/>
  <c r="BG86" i="11"/>
  <c r="BL63" i="11"/>
  <c r="BL45" i="11"/>
  <c r="BN61" i="11"/>
  <c r="BL58" i="11"/>
  <c r="BH47" i="11"/>
  <c r="BM10" i="11"/>
  <c r="BN32" i="11"/>
  <c r="BG53" i="11"/>
  <c r="BG19" i="11"/>
  <c r="BH27" i="11"/>
  <c r="P29" i="11"/>
  <c r="BH54" i="11"/>
  <c r="BN23" i="11"/>
  <c r="BG32" i="11"/>
  <c r="BG114" i="11"/>
  <c r="BM86" i="11"/>
  <c r="AW56" i="11"/>
  <c r="P53" i="11"/>
  <c r="BN115" i="11"/>
  <c r="BG100" i="11"/>
  <c r="BG106" i="11"/>
  <c r="BH111" i="11"/>
  <c r="BH86" i="11"/>
  <c r="BM74" i="11"/>
  <c r="BG118" i="11"/>
  <c r="BG113" i="11"/>
  <c r="P109" i="11"/>
  <c r="BL107" i="11"/>
  <c r="BH74" i="11"/>
  <c r="BG65" i="11"/>
  <c r="BH61" i="11"/>
  <c r="BH56" i="11"/>
  <c r="AV44" i="11"/>
  <c r="BM30" i="11"/>
  <c r="BH63" i="11"/>
  <c r="BG99" i="11"/>
  <c r="K72" i="11"/>
  <c r="BH9" i="11"/>
  <c r="BM83" i="11"/>
  <c r="BI60" i="11"/>
  <c r="BM41" i="11"/>
  <c r="BM58" i="11"/>
  <c r="BG49" i="11"/>
  <c r="BH45" i="11"/>
  <c r="BL9" i="11"/>
  <c r="BI31" i="11"/>
  <c r="BN49" i="11"/>
  <c r="BM15" i="11"/>
  <c r="BI24" i="11"/>
  <c r="U23" i="11"/>
  <c r="AU82" i="11"/>
  <c r="BI72" i="11"/>
  <c r="BI26" i="11"/>
  <c r="AV35" i="11"/>
  <c r="Z65" i="11"/>
  <c r="BM35" i="11"/>
  <c r="BG115" i="11"/>
  <c r="BL87" i="11"/>
  <c r="BM62" i="11"/>
  <c r="K24" i="11"/>
  <c r="BN116" i="11"/>
  <c r="BN114" i="11"/>
  <c r="BI64" i="11"/>
  <c r="BI112" i="11"/>
  <c r="BI105" i="11"/>
  <c r="BN41" i="11"/>
  <c r="BG112" i="11"/>
  <c r="BI107" i="11"/>
  <c r="BI30" i="11"/>
  <c r="AX108" i="11"/>
  <c r="BL30" i="11"/>
  <c r="BL47" i="11"/>
  <c r="BM61" i="11"/>
  <c r="BG36" i="11"/>
  <c r="BL54" i="11"/>
  <c r="BL24" i="11"/>
  <c r="BN9" i="11"/>
  <c r="BM45" i="11"/>
  <c r="BI46" i="11"/>
  <c r="BN113" i="11"/>
  <c r="BH85" i="11"/>
  <c r="BM52" i="11"/>
  <c r="BM114" i="11"/>
  <c r="BG101" i="11"/>
  <c r="BL73" i="11"/>
  <c r="BH118" i="11"/>
  <c r="BH113" i="11"/>
  <c r="BM107" i="11"/>
  <c r="BL74" i="11"/>
  <c r="BI56" i="11"/>
  <c r="BN30" i="11"/>
  <c r="BN65" i="11"/>
  <c r="BG82" i="11"/>
  <c r="BL39" i="11"/>
  <c r="BL53" i="11"/>
  <c r="BI47" i="11"/>
  <c r="BH43" i="11"/>
  <c r="BI36" i="11"/>
  <c r="BM27" i="11"/>
  <c r="BI48" i="11"/>
  <c r="BI87" i="11"/>
  <c r="BN22" i="11"/>
  <c r="P69" i="11"/>
  <c r="BG73" i="11"/>
  <c r="BG29" i="11"/>
  <c r="BG40" i="11"/>
  <c r="AT83" i="11"/>
  <c r="BH88" i="11"/>
  <c r="BG69" i="11"/>
  <c r="BN62" i="11"/>
  <c r="BI34" i="11"/>
  <c r="BG117" i="11"/>
  <c r="BG107" i="11"/>
  <c r="BM63" i="11"/>
  <c r="K109" i="11"/>
  <c r="BH107" i="11"/>
  <c r="P91" i="11"/>
  <c r="AW21" i="11"/>
  <c r="Z17" i="11"/>
  <c r="AP10" i="11"/>
  <c r="AW10" i="11" s="1"/>
  <c r="BM66" i="11"/>
  <c r="BI51" i="11"/>
  <c r="BM28" i="11"/>
  <c r="BI77" i="11"/>
  <c r="BI62" i="11"/>
  <c r="BN79" i="11"/>
  <c r="BH57" i="11"/>
  <c r="BL35" i="11"/>
  <c r="BL51" i="11"/>
  <c r="BI45" i="11"/>
  <c r="BI41" i="11"/>
  <c r="BL31" i="11"/>
  <c r="BG21" i="11"/>
  <c r="BL43" i="11"/>
  <c r="BL82" i="11"/>
  <c r="BI17" i="11"/>
  <c r="AU19" i="11"/>
  <c r="AV86" i="11"/>
  <c r="AW88" i="11"/>
  <c r="BM77" i="11"/>
  <c r="AW48" i="11"/>
  <c r="BL42" i="11"/>
  <c r="BG45" i="11"/>
  <c r="BI116" i="11"/>
  <c r="BH89" i="11"/>
  <c r="BH68" i="11"/>
  <c r="BI38" i="11"/>
  <c r="BI92" i="11"/>
  <c r="BH117" i="11"/>
  <c r="BI117" i="11"/>
  <c r="BG74" i="11"/>
  <c r="K118" i="11"/>
  <c r="BH76" i="11"/>
  <c r="BM97" i="11"/>
  <c r="AU89" i="11"/>
  <c r="BN96" i="11"/>
  <c r="AV84" i="11"/>
  <c r="BL59" i="11"/>
  <c r="AT51" i="11"/>
  <c r="AV32" i="11"/>
  <c r="BL28" i="11"/>
  <c r="BN87" i="11"/>
  <c r="BN57" i="11"/>
  <c r="BG78" i="11"/>
  <c r="BI55" i="11"/>
  <c r="BG33" i="11"/>
  <c r="BH49" i="11"/>
  <c r="BI39" i="11"/>
  <c r="BH39" i="11"/>
  <c r="BG30" i="11"/>
  <c r="BN17" i="11"/>
  <c r="BG42" i="11"/>
  <c r="BG81" i="11"/>
  <c r="BL15" i="11"/>
  <c r="BI79" i="11"/>
  <c r="BG50" i="11"/>
  <c r="BM87" i="11"/>
  <c r="BG90" i="11"/>
  <c r="BG80" i="11"/>
  <c r="BH69" i="11"/>
  <c r="BI44" i="11"/>
  <c r="P92" i="11"/>
  <c r="BL118" i="11"/>
  <c r="BL77" i="11"/>
  <c r="BN101" i="11"/>
  <c r="BM111" i="11"/>
  <c r="Z103" i="11"/>
  <c r="Z73" i="11"/>
  <c r="AV47" i="11"/>
  <c r="Z25" i="11"/>
  <c r="AW19" i="11"/>
  <c r="U28" i="11"/>
  <c r="AW28" i="11"/>
  <c r="AW102" i="11"/>
  <c r="U102" i="11"/>
  <c r="AW105" i="11"/>
  <c r="AV105" i="11"/>
  <c r="P105" i="11"/>
  <c r="P102" i="11"/>
  <c r="AV102" i="11"/>
  <c r="AX77" i="11"/>
  <c r="Z77" i="11"/>
  <c r="Z80" i="11"/>
  <c r="AX80" i="11"/>
  <c r="AX37" i="11"/>
  <c r="Z37" i="11"/>
  <c r="AV39" i="11"/>
  <c r="AW39" i="11"/>
  <c r="AT48" i="11"/>
  <c r="Z55" i="11"/>
  <c r="AX55" i="11"/>
  <c r="U55" i="11"/>
  <c r="AW55" i="11"/>
  <c r="AT41" i="11"/>
  <c r="AT64" i="11"/>
  <c r="K71" i="11"/>
  <c r="P74" i="11"/>
  <c r="AX46" i="11"/>
  <c r="Z46" i="11"/>
  <c r="U13" i="11"/>
  <c r="AW13" i="11"/>
  <c r="AX75" i="11"/>
  <c r="Z75" i="11"/>
  <c r="U103" i="11"/>
  <c r="Z83" i="11"/>
  <c r="AT77" i="11"/>
  <c r="U75" i="11"/>
  <c r="AW75" i="11"/>
  <c r="AW44" i="11"/>
  <c r="U44" i="11"/>
  <c r="Z42" i="11"/>
  <c r="AW26" i="11"/>
  <c r="AV26" i="11"/>
  <c r="AX11" i="11"/>
  <c r="Z11" i="11"/>
  <c r="AT26" i="11"/>
  <c r="P103" i="11"/>
  <c r="AU18" i="11"/>
  <c r="K18" i="11"/>
  <c r="AT11" i="11"/>
  <c r="AW106" i="11"/>
  <c r="U106" i="11"/>
  <c r="AW51" i="11"/>
  <c r="U51" i="11"/>
  <c r="AT18" i="11"/>
  <c r="AV16" i="11"/>
  <c r="P16" i="11"/>
  <c r="K46" i="11"/>
  <c r="AU46" i="11"/>
  <c r="Z16" i="11"/>
  <c r="AU16" i="11"/>
  <c r="K16" i="11"/>
  <c r="AW91" i="11"/>
  <c r="U91" i="11"/>
  <c r="AX68" i="11"/>
  <c r="Z68" i="11"/>
  <c r="AU51" i="11"/>
  <c r="K51" i="11"/>
  <c r="AX29" i="11"/>
  <c r="AV31" i="11"/>
  <c r="AW31" i="11"/>
  <c r="AW68" i="11"/>
  <c r="U68" i="11"/>
  <c r="AU56" i="11"/>
  <c r="K56" i="11"/>
  <c r="AX54" i="11"/>
  <c r="Z54" i="11"/>
  <c r="P68" i="11"/>
  <c r="AX66" i="11"/>
  <c r="U54" i="11"/>
  <c r="K38" i="11"/>
  <c r="AU38" i="11"/>
  <c r="AW36" i="11"/>
  <c r="U36" i="11"/>
  <c r="AW29" i="11"/>
  <c r="U29" i="11"/>
  <c r="AW100" i="11"/>
  <c r="AT93" i="11"/>
  <c r="AX57" i="11"/>
  <c r="Z57" i="11"/>
  <c r="AW57" i="11"/>
  <c r="U57" i="11"/>
  <c r="AU36" i="11"/>
  <c r="K36" i="11"/>
  <c r="AV34" i="11"/>
  <c r="P34" i="11"/>
  <c r="AT14" i="11"/>
  <c r="U58" i="11"/>
  <c r="AW66" i="11"/>
  <c r="AT59" i="11"/>
  <c r="Z41" i="11"/>
  <c r="AX41" i="11"/>
  <c r="AU25" i="11"/>
  <c r="K25" i="11"/>
  <c r="AX63" i="11"/>
  <c r="AX113" i="11"/>
  <c r="AX116" i="11"/>
  <c r="AW113" i="11"/>
  <c r="AV113" i="11"/>
  <c r="Z96" i="11"/>
  <c r="AX96" i="11"/>
  <c r="AT25" i="11"/>
  <c r="AU103" i="11"/>
  <c r="AV89" i="11"/>
  <c r="AW89" i="11"/>
  <c r="AU43" i="11"/>
  <c r="K43" i="11"/>
  <c r="AW41" i="11"/>
  <c r="AT23" i="11"/>
  <c r="U46" i="11"/>
  <c r="AW116" i="11"/>
  <c r="AT113" i="11"/>
  <c r="Z74" i="11"/>
  <c r="AX74" i="11"/>
  <c r="AV62" i="11"/>
  <c r="P62" i="11"/>
  <c r="AT27" i="11"/>
  <c r="AU49" i="11"/>
  <c r="AV96" i="11"/>
  <c r="P96" i="11"/>
  <c r="AU21" i="11"/>
  <c r="K21" i="11"/>
  <c r="AU96" i="11"/>
  <c r="K96" i="11"/>
  <c r="AW94" i="11"/>
  <c r="AV94" i="11"/>
  <c r="P94" i="11"/>
  <c r="AW74" i="11"/>
  <c r="AW60" i="11"/>
  <c r="U60" i="11"/>
  <c r="U85" i="11"/>
  <c r="AT52" i="11"/>
  <c r="AT15" i="11"/>
  <c r="AU11" i="11"/>
  <c r="J13" i="9"/>
  <c r="D16" i="18"/>
  <c r="E39" i="10"/>
  <c r="W68" i="18"/>
  <c r="V68" i="18"/>
  <c r="U68" i="18"/>
  <c r="T68" i="18"/>
  <c r="Q68" i="18"/>
  <c r="S68" i="18"/>
  <c r="M68" i="18"/>
  <c r="L68" i="18"/>
  <c r="N68" i="18"/>
  <c r="K68" i="18"/>
  <c r="J68" i="18"/>
  <c r="I68" i="18"/>
  <c r="H68" i="18"/>
  <c r="O68" i="18"/>
  <c r="G68" i="18"/>
  <c r="P68" i="18"/>
  <c r="Y94" i="18"/>
  <c r="AY92" i="11" l="1"/>
  <c r="AE92" i="11" s="1"/>
  <c r="AY20" i="11"/>
  <c r="AE20" i="11" s="1"/>
  <c r="AY114" i="11"/>
  <c r="AE114" i="11" s="1"/>
  <c r="AY87" i="11"/>
  <c r="AE87" i="11" s="1"/>
  <c r="C50" i="6"/>
  <c r="AZ15" i="1"/>
  <c r="T15" i="4" s="1"/>
  <c r="AR15" i="1"/>
  <c r="BB15" i="1"/>
  <c r="R15" i="4" s="1"/>
  <c r="AY15" i="1"/>
  <c r="S15" i="4" s="1"/>
  <c r="BA15" i="1"/>
  <c r="U15" i="4" s="1"/>
  <c r="BC15" i="1"/>
  <c r="C54" i="6"/>
  <c r="AZ19" i="1"/>
  <c r="T19" i="4" s="1"/>
  <c r="AR19" i="1"/>
  <c r="BC19" i="1"/>
  <c r="BB19" i="1"/>
  <c r="R19" i="4" s="1"/>
  <c r="AY19" i="1"/>
  <c r="S19" i="4" s="1"/>
  <c r="BA19" i="1"/>
  <c r="U19" i="4" s="1"/>
  <c r="BA7" i="1"/>
  <c r="U7" i="4" s="1"/>
  <c r="BB7" i="1"/>
  <c r="R7" i="4" s="1"/>
  <c r="AY7" i="1"/>
  <c r="S7" i="4" s="1"/>
  <c r="AZ7" i="1"/>
  <c r="T7" i="4" s="1"/>
  <c r="BC7" i="1"/>
  <c r="AR7" i="1"/>
  <c r="AY6" i="1"/>
  <c r="S6" i="4" s="1"/>
  <c r="BC6" i="1"/>
  <c r="BB6" i="1"/>
  <c r="R6" i="4" s="1"/>
  <c r="BA6" i="1"/>
  <c r="U6" i="4" s="1"/>
  <c r="AR6" i="1"/>
  <c r="AZ6" i="1"/>
  <c r="T6" i="4" s="1"/>
  <c r="AR8" i="1"/>
  <c r="BC8" i="1"/>
  <c r="AY8" i="1"/>
  <c r="S8" i="4" s="1"/>
  <c r="BA8" i="1"/>
  <c r="U8" i="4" s="1"/>
  <c r="AZ8" i="1"/>
  <c r="T8" i="4" s="1"/>
  <c r="BB8" i="1"/>
  <c r="R8" i="4" s="1"/>
  <c r="AZ12" i="1"/>
  <c r="T12" i="4" s="1"/>
  <c r="BB12" i="1"/>
  <c r="R12" i="4" s="1"/>
  <c r="AR12" i="1"/>
  <c r="AY12" i="1"/>
  <c r="S12" i="4" s="1"/>
  <c r="BA12" i="1"/>
  <c r="U12" i="4" s="1"/>
  <c r="BC12" i="1"/>
  <c r="C46" i="6"/>
  <c r="BB11" i="1"/>
  <c r="R11" i="4" s="1"/>
  <c r="AR11" i="1"/>
  <c r="BA11" i="1"/>
  <c r="U11" i="4" s="1"/>
  <c r="AY11" i="1"/>
  <c r="S11" i="4" s="1"/>
  <c r="BC11" i="1"/>
  <c r="AZ11" i="1"/>
  <c r="T11" i="4" s="1"/>
  <c r="AR9" i="1"/>
  <c r="AY9" i="1"/>
  <c r="S9" i="4" s="1"/>
  <c r="BC9" i="1"/>
  <c r="BA9" i="1"/>
  <c r="U9" i="4" s="1"/>
  <c r="AZ9" i="1"/>
  <c r="T9" i="4" s="1"/>
  <c r="BB9" i="1"/>
  <c r="R9" i="4" s="1"/>
  <c r="C49" i="6"/>
  <c r="AZ14" i="1"/>
  <c r="T14" i="4" s="1"/>
  <c r="BB14" i="1"/>
  <c r="R14" i="4" s="1"/>
  <c r="AR14" i="1"/>
  <c r="BA14" i="1"/>
  <c r="U14" i="4" s="1"/>
  <c r="AY14" i="1"/>
  <c r="S14" i="4" s="1"/>
  <c r="BC14" i="1"/>
  <c r="AZ16" i="1"/>
  <c r="T16" i="4" s="1"/>
  <c r="BB16" i="1"/>
  <c r="R16" i="4" s="1"/>
  <c r="AY16" i="1"/>
  <c r="S16" i="4" s="1"/>
  <c r="AR16" i="1"/>
  <c r="J16" i="4" s="1"/>
  <c r="BC16" i="1"/>
  <c r="BA16" i="1"/>
  <c r="U16" i="4" s="1"/>
  <c r="AZ17" i="1"/>
  <c r="T17" i="4" s="1"/>
  <c r="BB17" i="1"/>
  <c r="R17" i="4" s="1"/>
  <c r="AR17" i="1"/>
  <c r="BU17" i="1" s="1"/>
  <c r="AY17" i="1"/>
  <c r="S17" i="4" s="1"/>
  <c r="BC17" i="1"/>
  <c r="BA17" i="1"/>
  <c r="U17" i="4" s="1"/>
  <c r="BB10" i="1"/>
  <c r="R10" i="4" s="1"/>
  <c r="AZ10" i="1"/>
  <c r="T10" i="4" s="1"/>
  <c r="AR10" i="1"/>
  <c r="AY10" i="1"/>
  <c r="S10" i="4" s="1"/>
  <c r="BA10" i="1"/>
  <c r="U10" i="4" s="1"/>
  <c r="BC10" i="1"/>
  <c r="BB13" i="1"/>
  <c r="R13" i="4" s="1"/>
  <c r="AZ13" i="1"/>
  <c r="T13" i="4" s="1"/>
  <c r="AR13" i="1"/>
  <c r="AY13" i="1"/>
  <c r="S13" i="4" s="1"/>
  <c r="BA13" i="1"/>
  <c r="U13" i="4" s="1"/>
  <c r="BC13" i="1"/>
  <c r="C53" i="6"/>
  <c r="AZ18" i="1"/>
  <c r="T18" i="4" s="1"/>
  <c r="AR18" i="1"/>
  <c r="BB18" i="1"/>
  <c r="R18" i="4" s="1"/>
  <c r="AY18" i="1"/>
  <c r="S18" i="4" s="1"/>
  <c r="BA18" i="1"/>
  <c r="U18" i="4" s="1"/>
  <c r="BC18" i="1"/>
  <c r="BA5" i="1"/>
  <c r="U5" i="4" s="1"/>
  <c r="AR5" i="1"/>
  <c r="AS5" i="1" s="1"/>
  <c r="AZ5" i="1"/>
  <c r="T5" i="4" s="1"/>
  <c r="BB5" i="1"/>
  <c r="R5" i="4" s="1"/>
  <c r="BC5" i="1"/>
  <c r="AY5" i="1"/>
  <c r="S5" i="4" s="1"/>
  <c r="C45" i="6"/>
  <c r="C44" i="6"/>
  <c r="C52" i="6"/>
  <c r="AH16" i="18"/>
  <c r="AG16" i="18"/>
  <c r="AC16" i="18"/>
  <c r="AD16" i="18"/>
  <c r="AE16" i="18"/>
  <c r="N33" i="18" s="1"/>
  <c r="N55" i="18" s="1"/>
  <c r="P203" i="1"/>
  <c r="P196" i="1"/>
  <c r="P202" i="1"/>
  <c r="P187" i="1"/>
  <c r="P180" i="1"/>
  <c r="P184" i="1"/>
  <c r="P195" i="1"/>
  <c r="P192" i="1"/>
  <c r="P182" i="1"/>
  <c r="O182" i="1"/>
  <c r="W167" i="1"/>
  <c r="AF167" i="1" s="1"/>
  <c r="X170" i="1"/>
  <c r="AC19" i="18" s="1"/>
  <c r="B23" i="7"/>
  <c r="B27" i="7"/>
  <c r="B26" i="7"/>
  <c r="B21" i="7"/>
  <c r="B22" i="7"/>
  <c r="B24" i="7"/>
  <c r="B25" i="7"/>
  <c r="W166" i="1"/>
  <c r="AD15" i="18"/>
  <c r="P172" i="1"/>
  <c r="O172" i="1"/>
  <c r="O166" i="1"/>
  <c r="P166" i="1"/>
  <c r="O171" i="1"/>
  <c r="P171" i="1"/>
  <c r="O174" i="1"/>
  <c r="P174" i="1"/>
  <c r="O180" i="1"/>
  <c r="O195" i="1"/>
  <c r="O187" i="1"/>
  <c r="O192" i="1"/>
  <c r="O203" i="1"/>
  <c r="O184" i="1"/>
  <c r="O196" i="1"/>
  <c r="O202" i="1"/>
  <c r="H76" i="5"/>
  <c r="I76" i="5"/>
  <c r="BJ57" i="11"/>
  <c r="AF57" i="11" s="1"/>
  <c r="BJ21" i="11"/>
  <c r="AF21" i="11" s="1"/>
  <c r="BJ117" i="11"/>
  <c r="AF117" i="11" s="1"/>
  <c r="K67" i="5"/>
  <c r="W67" i="5"/>
  <c r="V67" i="5"/>
  <c r="BJ28" i="11"/>
  <c r="AF28" i="11" s="1"/>
  <c r="BJ50" i="11"/>
  <c r="AF50" i="11" s="1"/>
  <c r="BJ107" i="11"/>
  <c r="AF107" i="11" s="1"/>
  <c r="BJ75" i="11"/>
  <c r="AF75" i="11" s="1"/>
  <c r="BJ105" i="11"/>
  <c r="AF105" i="11" s="1"/>
  <c r="BJ101" i="11"/>
  <c r="AF101" i="11" s="1"/>
  <c r="BJ29" i="11"/>
  <c r="AF29" i="11" s="1"/>
  <c r="BJ52" i="11"/>
  <c r="AF52" i="11" s="1"/>
  <c r="BJ78" i="11"/>
  <c r="AF78" i="11" s="1"/>
  <c r="BJ114" i="11"/>
  <c r="AF114" i="11" s="1"/>
  <c r="BJ30" i="11"/>
  <c r="AF30" i="11" s="1"/>
  <c r="BJ32" i="11"/>
  <c r="AF32" i="11" s="1"/>
  <c r="BJ109" i="11"/>
  <c r="AF109" i="11" s="1"/>
  <c r="BJ102" i="11"/>
  <c r="AF102" i="11" s="1"/>
  <c r="BJ92" i="11"/>
  <c r="AF92" i="11" s="1"/>
  <c r="BJ106" i="11"/>
  <c r="AF106" i="11" s="1"/>
  <c r="BJ59" i="11"/>
  <c r="AF59" i="11" s="1"/>
  <c r="BJ35" i="11"/>
  <c r="AF35" i="11" s="1"/>
  <c r="BJ88" i="11"/>
  <c r="AF88" i="11" s="1"/>
  <c r="BJ60" i="11"/>
  <c r="AF60" i="11" s="1"/>
  <c r="BJ104" i="11"/>
  <c r="AF104" i="11" s="1"/>
  <c r="BJ9" i="11"/>
  <c r="AF9" i="11" s="1"/>
  <c r="BJ55" i="11"/>
  <c r="AF55" i="11" s="1"/>
  <c r="BJ18" i="11"/>
  <c r="AF18" i="11" s="1"/>
  <c r="BJ33" i="11"/>
  <c r="AF33" i="11" s="1"/>
  <c r="BJ40" i="11"/>
  <c r="AF40" i="11" s="1"/>
  <c r="BJ36" i="11"/>
  <c r="AF36" i="11" s="1"/>
  <c r="BJ91" i="11"/>
  <c r="AF91" i="11" s="1"/>
  <c r="BJ56" i="11"/>
  <c r="AF56" i="11" s="1"/>
  <c r="BJ73" i="11"/>
  <c r="AF73" i="11" s="1"/>
  <c r="BJ25" i="11"/>
  <c r="AF25" i="11" s="1"/>
  <c r="BJ103" i="11"/>
  <c r="AF103" i="11" s="1"/>
  <c r="BJ61" i="11"/>
  <c r="AF61" i="11" s="1"/>
  <c r="BJ27" i="11"/>
  <c r="AF27" i="11" s="1"/>
  <c r="BJ69" i="11"/>
  <c r="AF69" i="11" s="1"/>
  <c r="BJ87" i="11"/>
  <c r="AF87" i="11" s="1"/>
  <c r="BJ67" i="11"/>
  <c r="AF67" i="11" s="1"/>
  <c r="BJ70" i="11"/>
  <c r="AF70" i="11" s="1"/>
  <c r="BJ22" i="11"/>
  <c r="AF22" i="11" s="1"/>
  <c r="BJ45" i="11"/>
  <c r="AF45" i="11" s="1"/>
  <c r="BJ100" i="11"/>
  <c r="AF100" i="11" s="1"/>
  <c r="BJ47" i="11"/>
  <c r="AF47" i="11" s="1"/>
  <c r="BJ81" i="11"/>
  <c r="AF81" i="11" s="1"/>
  <c r="BJ41" i="11"/>
  <c r="AF41" i="11" s="1"/>
  <c r="BJ26" i="11"/>
  <c r="AF26" i="11" s="1"/>
  <c r="BJ42" i="11"/>
  <c r="AF42" i="11" s="1"/>
  <c r="BJ20" i="11"/>
  <c r="AF20" i="11" s="1"/>
  <c r="BJ12" i="11"/>
  <c r="AF12" i="11" s="1"/>
  <c r="BJ62" i="11"/>
  <c r="AF62" i="11" s="1"/>
  <c r="BJ17" i="11"/>
  <c r="AF17" i="11" s="1"/>
  <c r="BJ110" i="11"/>
  <c r="AF110" i="11" s="1"/>
  <c r="BJ44" i="11"/>
  <c r="AF44" i="11" s="1"/>
  <c r="BJ111" i="11"/>
  <c r="AF111" i="11" s="1"/>
  <c r="BJ93" i="11"/>
  <c r="AF93" i="11" s="1"/>
  <c r="BJ15" i="11"/>
  <c r="AF15" i="11" s="1"/>
  <c r="BJ11" i="11"/>
  <c r="AF11" i="11" s="1"/>
  <c r="BJ53" i="11"/>
  <c r="AF53" i="11" s="1"/>
  <c r="BJ39" i="11"/>
  <c r="AF39" i="11" s="1"/>
  <c r="BJ46" i="11"/>
  <c r="AF46" i="11" s="1"/>
  <c r="BJ83" i="11"/>
  <c r="AF83" i="11" s="1"/>
  <c r="BJ98" i="11"/>
  <c r="AF98" i="11" s="1"/>
  <c r="BJ24" i="11"/>
  <c r="AF24" i="11" s="1"/>
  <c r="BJ112" i="11"/>
  <c r="AF112" i="11" s="1"/>
  <c r="BJ99" i="11"/>
  <c r="AF99" i="11" s="1"/>
  <c r="BJ116" i="11"/>
  <c r="AF116" i="11" s="1"/>
  <c r="BJ97" i="11"/>
  <c r="AF97" i="11" s="1"/>
  <c r="BJ79" i="11"/>
  <c r="AF79" i="11" s="1"/>
  <c r="BJ51" i="11"/>
  <c r="AF51" i="11" s="1"/>
  <c r="BJ95" i="11"/>
  <c r="AF95" i="11" s="1"/>
  <c r="BJ31" i="11"/>
  <c r="AF31" i="11" s="1"/>
  <c r="BJ77" i="11"/>
  <c r="AF77" i="11" s="1"/>
  <c r="BJ94" i="11"/>
  <c r="AF94" i="11" s="1"/>
  <c r="BJ72" i="11"/>
  <c r="AF72" i="11" s="1"/>
  <c r="BJ64" i="11"/>
  <c r="AF64" i="11" s="1"/>
  <c r="BJ37" i="11"/>
  <c r="AF37" i="11" s="1"/>
  <c r="BJ86" i="11"/>
  <c r="AF86" i="11" s="1"/>
  <c r="BJ38" i="11"/>
  <c r="AF38" i="11" s="1"/>
  <c r="BJ76" i="11"/>
  <c r="AF76" i="11" s="1"/>
  <c r="BJ34" i="11"/>
  <c r="AF34" i="11" s="1"/>
  <c r="BJ54" i="11"/>
  <c r="AF54" i="11" s="1"/>
  <c r="BJ82" i="11"/>
  <c r="AF82" i="11" s="1"/>
  <c r="BJ65" i="11"/>
  <c r="AF65" i="11" s="1"/>
  <c r="BJ84" i="11"/>
  <c r="AF84" i="11" s="1"/>
  <c r="BJ63" i="11"/>
  <c r="AF63" i="11" s="1"/>
  <c r="BJ85" i="11"/>
  <c r="AF85" i="11" s="1"/>
  <c r="BJ89" i="11"/>
  <c r="AF89" i="11" s="1"/>
  <c r="BJ10" i="11"/>
  <c r="AF10" i="11" s="1"/>
  <c r="BJ58" i="11"/>
  <c r="AF58" i="11" s="1"/>
  <c r="BJ49" i="11"/>
  <c r="AF49" i="11" s="1"/>
  <c r="BJ14" i="11"/>
  <c r="AF14" i="11" s="1"/>
  <c r="BJ66" i="11"/>
  <c r="AF66" i="11" s="1"/>
  <c r="BJ68" i="11"/>
  <c r="AF68" i="11" s="1"/>
  <c r="BJ71" i="11"/>
  <c r="AF71" i="11" s="1"/>
  <c r="BJ16" i="11"/>
  <c r="AF16" i="11" s="1"/>
  <c r="BJ48" i="11"/>
  <c r="AF48" i="11" s="1"/>
  <c r="BJ115" i="11"/>
  <c r="AF115" i="11" s="1"/>
  <c r="BJ113" i="11"/>
  <c r="AF113" i="11" s="1"/>
  <c r="BJ43" i="11"/>
  <c r="AF43" i="11" s="1"/>
  <c r="BJ96" i="11"/>
  <c r="AF96" i="11" s="1"/>
  <c r="BJ118" i="11"/>
  <c r="AF118" i="11" s="1"/>
  <c r="BJ19" i="11"/>
  <c r="AF19" i="11" s="1"/>
  <c r="BJ74" i="11"/>
  <c r="AF74" i="11" s="1"/>
  <c r="BJ23" i="11"/>
  <c r="AF23" i="11" s="1"/>
  <c r="BJ80" i="11"/>
  <c r="AF80" i="11" s="1"/>
  <c r="BJ13" i="11"/>
  <c r="AF13" i="11" s="1"/>
  <c r="BJ108" i="11"/>
  <c r="AF108" i="11" s="1"/>
  <c r="BJ90" i="11"/>
  <c r="AF90" i="11" s="1"/>
  <c r="E46" i="10"/>
  <c r="V59" i="5"/>
  <c r="D23" i="18"/>
  <c r="K65" i="5"/>
  <c r="C47" i="6"/>
  <c r="N11" i="5"/>
  <c r="K91" i="5"/>
  <c r="U65" i="5"/>
  <c r="W65" i="5"/>
  <c r="U68" i="5"/>
  <c r="U95" i="5"/>
  <c r="W68" i="5"/>
  <c r="C41" i="6"/>
  <c r="V68" i="5"/>
  <c r="W87" i="5"/>
  <c r="V95" i="5"/>
  <c r="K95" i="5"/>
  <c r="K100" i="5"/>
  <c r="W100" i="5"/>
  <c r="V100" i="5"/>
  <c r="U88" i="5"/>
  <c r="V91" i="18"/>
  <c r="V89" i="18"/>
  <c r="U59" i="5"/>
  <c r="W59" i="5"/>
  <c r="V94" i="18"/>
  <c r="V97" i="18"/>
  <c r="N10" i="5"/>
  <c r="W61" i="5"/>
  <c r="V61" i="5"/>
  <c r="V88" i="5"/>
  <c r="V93" i="18"/>
  <c r="V103" i="18"/>
  <c r="V86" i="18"/>
  <c r="V104" i="18"/>
  <c r="V96" i="18"/>
  <c r="V95" i="18"/>
  <c r="W88" i="5"/>
  <c r="V87" i="5"/>
  <c r="K61" i="5"/>
  <c r="U87" i="5"/>
  <c r="AH23" i="18"/>
  <c r="V174" i="1"/>
  <c r="W105" i="5"/>
  <c r="J58" i="5"/>
  <c r="I58" i="5"/>
  <c r="V106" i="18"/>
  <c r="V90" i="18"/>
  <c r="V99" i="18"/>
  <c r="V88" i="18"/>
  <c r="U109" i="5"/>
  <c r="V119" i="5"/>
  <c r="AF160" i="1"/>
  <c r="V105" i="5"/>
  <c r="U105" i="5"/>
  <c r="V98" i="18"/>
  <c r="V87" i="18"/>
  <c r="V101" i="18"/>
  <c r="V105" i="18"/>
  <c r="V92" i="18"/>
  <c r="AC23" i="18"/>
  <c r="V86" i="5"/>
  <c r="V50" i="18"/>
  <c r="V53" i="18"/>
  <c r="V39" i="18"/>
  <c r="K86" i="5"/>
  <c r="V44" i="18"/>
  <c r="V37" i="18"/>
  <c r="BO37" i="11"/>
  <c r="AG37" i="11" s="1"/>
  <c r="BO14" i="11"/>
  <c r="AG14" i="11" s="1"/>
  <c r="U86" i="5"/>
  <c r="AH160" i="1"/>
  <c r="K99" i="5"/>
  <c r="V77" i="5"/>
  <c r="W99" i="5"/>
  <c r="V99" i="5"/>
  <c r="AH172" i="1"/>
  <c r="U106" i="5"/>
  <c r="AC10" i="18"/>
  <c r="U76" i="5"/>
  <c r="AF172" i="1"/>
  <c r="V48" i="18"/>
  <c r="W110" i="5"/>
  <c r="V54" i="18"/>
  <c r="V110" i="5"/>
  <c r="V40" i="18"/>
  <c r="V52" i="18"/>
  <c r="K110" i="5"/>
  <c r="AY33" i="11"/>
  <c r="AE33" i="11" s="1"/>
  <c r="K119" i="5"/>
  <c r="K77" i="5"/>
  <c r="W77" i="5"/>
  <c r="U71" i="5"/>
  <c r="V106" i="5"/>
  <c r="W106" i="5"/>
  <c r="K71" i="5"/>
  <c r="AF176" i="1"/>
  <c r="V109" i="5"/>
  <c r="K112" i="5"/>
  <c r="V38" i="18"/>
  <c r="W71" i="5"/>
  <c r="AQ50" i="1"/>
  <c r="B6" i="8" s="1"/>
  <c r="V46" i="18"/>
  <c r="V55" i="18"/>
  <c r="AH171" i="1"/>
  <c r="AT28" i="1"/>
  <c r="V57" i="18"/>
  <c r="K109" i="5"/>
  <c r="V45" i="18"/>
  <c r="V41" i="18"/>
  <c r="V42" i="18"/>
  <c r="V49" i="18"/>
  <c r="K118" i="5"/>
  <c r="V56" i="18"/>
  <c r="V43" i="18"/>
  <c r="V118" i="5"/>
  <c r="W119" i="5"/>
  <c r="U118" i="5"/>
  <c r="G164" i="1"/>
  <c r="AH19" i="18"/>
  <c r="AF23" i="18"/>
  <c r="T85" i="18" s="1"/>
  <c r="T103" i="18" s="1"/>
  <c r="K80" i="5"/>
  <c r="AF171" i="1"/>
  <c r="U43" i="18"/>
  <c r="AE23" i="18"/>
  <c r="T33" i="18" s="1"/>
  <c r="T56" i="18" s="1"/>
  <c r="U49" i="18"/>
  <c r="U55" i="18"/>
  <c r="U47" i="18"/>
  <c r="W80" i="5"/>
  <c r="U44" i="18"/>
  <c r="U80" i="5"/>
  <c r="AH176" i="1"/>
  <c r="Z25" i="18"/>
  <c r="V32" i="18" s="1"/>
  <c r="W94" i="5"/>
  <c r="BL48" i="1"/>
  <c r="BN48" i="1" s="1"/>
  <c r="J28" i="4" s="1"/>
  <c r="I24" i="25" s="1"/>
  <c r="K114" i="5"/>
  <c r="AG23" i="18"/>
  <c r="N9" i="5"/>
  <c r="AE19" i="18"/>
  <c r="Q33" i="18" s="1"/>
  <c r="Q41" i="18" s="1"/>
  <c r="V76" i="5"/>
  <c r="K76" i="5"/>
  <c r="V117" i="5"/>
  <c r="W84" i="5"/>
  <c r="U84" i="5"/>
  <c r="V84" i="5"/>
  <c r="K84" i="5"/>
  <c r="G124" i="5" s="1"/>
  <c r="H164" i="1"/>
  <c r="N164" i="1" s="1"/>
  <c r="D121" i="5"/>
  <c r="U72" i="5"/>
  <c r="BO21" i="11"/>
  <c r="AG21" i="11" s="1"/>
  <c r="BO117" i="11"/>
  <c r="AG117" i="11" s="1"/>
  <c r="C25" i="5"/>
  <c r="AQ41" i="1" s="1"/>
  <c r="C48" i="6"/>
  <c r="J32" i="6"/>
  <c r="H176" i="1" s="1"/>
  <c r="N176" i="1" s="1"/>
  <c r="AG176" i="1"/>
  <c r="U82" i="5"/>
  <c r="W82" i="5"/>
  <c r="V82" i="5"/>
  <c r="K82" i="5"/>
  <c r="K83" i="5"/>
  <c r="U83" i="5"/>
  <c r="V83" i="5"/>
  <c r="W83" i="5"/>
  <c r="BO54" i="11"/>
  <c r="AG54" i="11" s="1"/>
  <c r="W112" i="5"/>
  <c r="N6" i="5"/>
  <c r="V115" i="5"/>
  <c r="W115" i="5"/>
  <c r="K115" i="5"/>
  <c r="E121" i="5"/>
  <c r="H86" i="5"/>
  <c r="J86" i="5"/>
  <c r="I86" i="5"/>
  <c r="AY73" i="11"/>
  <c r="AE73" i="11" s="1"/>
  <c r="AU28" i="1"/>
  <c r="N5" i="5"/>
  <c r="BO108" i="11"/>
  <c r="AG108" i="11" s="1"/>
  <c r="U92" i="5"/>
  <c r="U112" i="5"/>
  <c r="W117" i="5"/>
  <c r="V74" i="5"/>
  <c r="W74" i="5"/>
  <c r="U74" i="5"/>
  <c r="K74" i="5"/>
  <c r="U117" i="5"/>
  <c r="U58" i="5"/>
  <c r="U56" i="18"/>
  <c r="U57" i="18"/>
  <c r="U60" i="5"/>
  <c r="V60" i="5"/>
  <c r="W60" i="5"/>
  <c r="K60" i="5"/>
  <c r="BO106" i="11"/>
  <c r="AG106" i="11" s="1"/>
  <c r="U45" i="18"/>
  <c r="N15" i="5"/>
  <c r="H64" i="5"/>
  <c r="I64" i="5"/>
  <c r="J64" i="5"/>
  <c r="U41" i="18"/>
  <c r="U39" i="18"/>
  <c r="W66" i="5"/>
  <c r="BO34" i="11"/>
  <c r="AG34" i="11" s="1"/>
  <c r="AY111" i="11"/>
  <c r="AE111" i="11" s="1"/>
  <c r="BO60" i="11"/>
  <c r="AG60" i="11" s="1"/>
  <c r="U66" i="5"/>
  <c r="K70" i="5"/>
  <c r="U70" i="5"/>
  <c r="V70" i="5"/>
  <c r="W70" i="5"/>
  <c r="AG8" i="18"/>
  <c r="BO56" i="11"/>
  <c r="AG56" i="11" s="1"/>
  <c r="AY109" i="11"/>
  <c r="AE109" i="11" s="1"/>
  <c r="U42" i="18"/>
  <c r="I70" i="5"/>
  <c r="U50" i="18"/>
  <c r="AD19" i="18"/>
  <c r="BO84" i="11"/>
  <c r="AG84" i="11" s="1"/>
  <c r="U37" i="18"/>
  <c r="U53" i="18"/>
  <c r="W72" i="5"/>
  <c r="U48" i="18"/>
  <c r="K72" i="5"/>
  <c r="BO18" i="11"/>
  <c r="AG18" i="11" s="1"/>
  <c r="AC8" i="18"/>
  <c r="U40" i="18"/>
  <c r="U52" i="18"/>
  <c r="V66" i="5"/>
  <c r="U54" i="18"/>
  <c r="U38" i="18"/>
  <c r="H70" i="5"/>
  <c r="AH165" i="1"/>
  <c r="AF159" i="1"/>
  <c r="W49" i="18"/>
  <c r="AH159" i="1"/>
  <c r="W55" i="18"/>
  <c r="AG159" i="1"/>
  <c r="AF177" i="1"/>
  <c r="W40" i="18"/>
  <c r="AF162" i="1"/>
  <c r="W44" i="18"/>
  <c r="W54" i="18"/>
  <c r="AC9" i="18"/>
  <c r="W53" i="18"/>
  <c r="W52" i="18"/>
  <c r="AG19" i="18"/>
  <c r="W38" i="18"/>
  <c r="W41" i="18"/>
  <c r="W57" i="18"/>
  <c r="W45" i="18"/>
  <c r="W47" i="18"/>
  <c r="AE9" i="18"/>
  <c r="H33" i="18" s="1"/>
  <c r="H57" i="18" s="1"/>
  <c r="W48" i="18"/>
  <c r="AD9" i="18"/>
  <c r="W37" i="18"/>
  <c r="AG9" i="18"/>
  <c r="AH9" i="18"/>
  <c r="W43" i="18"/>
  <c r="W50" i="18"/>
  <c r="W46" i="18"/>
  <c r="AH21" i="18"/>
  <c r="W56" i="18"/>
  <c r="AF9" i="18"/>
  <c r="H85" i="18" s="1"/>
  <c r="H89" i="18" s="1"/>
  <c r="W42" i="18"/>
  <c r="V90" i="5"/>
  <c r="V93" i="5" s="1"/>
  <c r="J27" i="6" s="1"/>
  <c r="H171" i="1" s="1"/>
  <c r="N171" i="1" s="1"/>
  <c r="W90" i="5"/>
  <c r="U90" i="5"/>
  <c r="K90" i="5"/>
  <c r="W92" i="5"/>
  <c r="U113" i="5"/>
  <c r="V113" i="5"/>
  <c r="K113" i="5"/>
  <c r="W113" i="5"/>
  <c r="BO92" i="11"/>
  <c r="AG92" i="11" s="1"/>
  <c r="K104" i="5"/>
  <c r="U104" i="5"/>
  <c r="V104" i="5"/>
  <c r="W104" i="5"/>
  <c r="I25" i="5"/>
  <c r="AW41" i="1" s="1"/>
  <c r="BO48" i="11"/>
  <c r="AG48" i="11" s="1"/>
  <c r="BO47" i="11"/>
  <c r="AG47" i="11" s="1"/>
  <c r="AD8" i="18"/>
  <c r="AH11" i="18"/>
  <c r="AW28" i="1"/>
  <c r="AH8" i="18"/>
  <c r="AC15" i="18"/>
  <c r="W58" i="5"/>
  <c r="V58" i="5"/>
  <c r="AE8" i="18"/>
  <c r="G33" i="18" s="1"/>
  <c r="G52" i="18" s="1"/>
  <c r="V114" i="5"/>
  <c r="W114" i="5"/>
  <c r="K94" i="5"/>
  <c r="U94" i="5"/>
  <c r="AY38" i="11"/>
  <c r="AE38" i="11" s="1"/>
  <c r="AF8" i="18"/>
  <c r="G85" i="18" s="1"/>
  <c r="G103" i="18" s="1"/>
  <c r="AT50" i="1"/>
  <c r="E6" i="8" s="1"/>
  <c r="BO102" i="11"/>
  <c r="AG102" i="11" s="1"/>
  <c r="W62" i="5"/>
  <c r="K62" i="5"/>
  <c r="U62" i="5"/>
  <c r="V62" i="5"/>
  <c r="K116" i="5"/>
  <c r="V116" i="5"/>
  <c r="W116" i="5"/>
  <c r="J26" i="9"/>
  <c r="F52" i="10" s="1"/>
  <c r="G18" i="21"/>
  <c r="L3" i="21" s="1"/>
  <c r="AC18" i="18"/>
  <c r="BO10" i="11"/>
  <c r="AG10" i="11" s="1"/>
  <c r="BO11" i="11"/>
  <c r="AG11" i="11" s="1"/>
  <c r="AG160" i="1"/>
  <c r="N14" i="5"/>
  <c r="K98" i="5"/>
  <c r="U98" i="5"/>
  <c r="W98" i="5"/>
  <c r="V98" i="5"/>
  <c r="BO110" i="11"/>
  <c r="AG110" i="11" s="1"/>
  <c r="BO68" i="11"/>
  <c r="AG68" i="11" s="1"/>
  <c r="V166" i="1"/>
  <c r="AE15" i="18"/>
  <c r="M33" i="18" s="1"/>
  <c r="M49" i="18" s="1"/>
  <c r="BO81" i="11"/>
  <c r="AG81" i="11" s="1"/>
  <c r="N13" i="5"/>
  <c r="N121" i="5"/>
  <c r="AH15" i="18"/>
  <c r="E25" i="5"/>
  <c r="AS41" i="1" s="1"/>
  <c r="F121" i="5"/>
  <c r="AD10" i="18"/>
  <c r="Z11" i="18"/>
  <c r="J32" i="18" s="1"/>
  <c r="AH163" i="1"/>
  <c r="AF163" i="1"/>
  <c r="AG162" i="1"/>
  <c r="AF165" i="1"/>
  <c r="AG10" i="18"/>
  <c r="U95" i="18"/>
  <c r="V161" i="1"/>
  <c r="U93" i="18"/>
  <c r="AE10" i="18"/>
  <c r="I33" i="18" s="1"/>
  <c r="I38" i="18" s="1"/>
  <c r="AG15" i="18"/>
  <c r="U94" i="18"/>
  <c r="AH162" i="1"/>
  <c r="U91" i="18"/>
  <c r="AE12" i="18"/>
  <c r="K33" i="18" s="1"/>
  <c r="K44" i="18" s="1"/>
  <c r="U96" i="18"/>
  <c r="U86" i="18"/>
  <c r="U103" i="18"/>
  <c r="U97" i="18"/>
  <c r="U88" i="18"/>
  <c r="U89" i="18"/>
  <c r="U98" i="18"/>
  <c r="W91" i="18"/>
  <c r="AD18" i="18"/>
  <c r="AG17" i="18"/>
  <c r="W95" i="18"/>
  <c r="U92" i="18"/>
  <c r="U90" i="18"/>
  <c r="W101" i="18"/>
  <c r="W90" i="18"/>
  <c r="W93" i="18"/>
  <c r="AD21" i="18"/>
  <c r="AG177" i="1"/>
  <c r="V172" i="1"/>
  <c r="W106" i="18"/>
  <c r="W104" i="18"/>
  <c r="AF168" i="1"/>
  <c r="AF170" i="1"/>
  <c r="W96" i="18"/>
  <c r="AH174" i="1"/>
  <c r="AF161" i="1"/>
  <c r="U102" i="18"/>
  <c r="AG161" i="1"/>
  <c r="AH161" i="1"/>
  <c r="U104" i="18"/>
  <c r="AF10" i="18"/>
  <c r="I85" i="18" s="1"/>
  <c r="I95" i="18" s="1"/>
  <c r="U106" i="18"/>
  <c r="AE14" i="18"/>
  <c r="L33" i="18" s="1"/>
  <c r="L47" i="18" s="1"/>
  <c r="AG174" i="1"/>
  <c r="AG175" i="1"/>
  <c r="AH169" i="1"/>
  <c r="AH168" i="1"/>
  <c r="AF175" i="1"/>
  <c r="AH17" i="18"/>
  <c r="AG21" i="18"/>
  <c r="AD14" i="18"/>
  <c r="AF169" i="1"/>
  <c r="AE11" i="18"/>
  <c r="J33" i="18" s="1"/>
  <c r="J50" i="18" s="1"/>
  <c r="AG11" i="18"/>
  <c r="AF11" i="18"/>
  <c r="J85" i="18" s="1"/>
  <c r="J103" i="18" s="1"/>
  <c r="AE17" i="18"/>
  <c r="O33" i="18" s="1"/>
  <c r="O39" i="18" s="1"/>
  <c r="AG14" i="18"/>
  <c r="W89" i="18"/>
  <c r="AE21" i="18"/>
  <c r="S33" i="18" s="1"/>
  <c r="S48" i="18" s="1"/>
  <c r="AD17" i="18"/>
  <c r="W98" i="18"/>
  <c r="W87" i="18"/>
  <c r="AG163" i="1"/>
  <c r="AC21" i="18"/>
  <c r="W105" i="18"/>
  <c r="AC17" i="18"/>
  <c r="AD11" i="18"/>
  <c r="W97" i="18"/>
  <c r="V162" i="1"/>
  <c r="AC14" i="18"/>
  <c r="U101" i="18"/>
  <c r="W86" i="18"/>
  <c r="AC11" i="18"/>
  <c r="U87" i="18"/>
  <c r="W99" i="18"/>
  <c r="W94" i="18"/>
  <c r="U105" i="18"/>
  <c r="W103" i="18"/>
  <c r="AH14" i="18"/>
  <c r="AF174" i="1"/>
  <c r="G106" i="15"/>
  <c r="BO19" i="11"/>
  <c r="AG19" i="11" s="1"/>
  <c r="N4" i="5"/>
  <c r="L121" i="5"/>
  <c r="H25" i="5"/>
  <c r="K96" i="5"/>
  <c r="U96" i="5"/>
  <c r="V96" i="5"/>
  <c r="W96" i="5"/>
  <c r="K108" i="5"/>
  <c r="V108" i="5"/>
  <c r="U108" i="5"/>
  <c r="W108" i="5"/>
  <c r="F106" i="15"/>
  <c r="AF12" i="18"/>
  <c r="K85" i="18" s="1"/>
  <c r="K86" i="18" s="1"/>
  <c r="V169" i="1"/>
  <c r="AH18" i="18"/>
  <c r="BO44" i="11"/>
  <c r="AG44" i="11" s="1"/>
  <c r="AH175" i="1"/>
  <c r="AG24" i="18"/>
  <c r="G178" i="1"/>
  <c r="J34" i="6"/>
  <c r="H178" i="1" s="1"/>
  <c r="N178" i="1" s="1"/>
  <c r="BO39" i="11"/>
  <c r="AG39" i="11" s="1"/>
  <c r="K101" i="5"/>
  <c r="U101" i="5"/>
  <c r="V101" i="5"/>
  <c r="W101" i="5"/>
  <c r="F25" i="5"/>
  <c r="W97" i="5"/>
  <c r="U97" i="5"/>
  <c r="V97" i="5"/>
  <c r="K97" i="5"/>
  <c r="G25" i="5"/>
  <c r="N7" i="5"/>
  <c r="BO85" i="11"/>
  <c r="AG85" i="11" s="1"/>
  <c r="V64" i="5"/>
  <c r="W64" i="5"/>
  <c r="U64" i="5"/>
  <c r="K64" i="5"/>
  <c r="M121" i="5"/>
  <c r="V107" i="5"/>
  <c r="W107" i="5"/>
  <c r="U107" i="5"/>
  <c r="K107" i="5"/>
  <c r="BO89" i="11"/>
  <c r="AG89" i="11" s="1"/>
  <c r="AH177" i="1"/>
  <c r="O121" i="5"/>
  <c r="AH10" i="18"/>
  <c r="AE18" i="18"/>
  <c r="P33" i="18" s="1"/>
  <c r="P54" i="18" s="1"/>
  <c r="K78" i="5"/>
  <c r="U78" i="5"/>
  <c r="V78" i="5"/>
  <c r="W78" i="5"/>
  <c r="BO80" i="11"/>
  <c r="AG80" i="11" s="1"/>
  <c r="BO113" i="11"/>
  <c r="AG113" i="11" s="1"/>
  <c r="W88" i="18"/>
  <c r="W102" i="18"/>
  <c r="AG18" i="18"/>
  <c r="D25" i="5"/>
  <c r="C51" i="6"/>
  <c r="BO50" i="11"/>
  <c r="AG50" i="11" s="1"/>
  <c r="AY81" i="11"/>
  <c r="AE81" i="11" s="1"/>
  <c r="AH170" i="1"/>
  <c r="R56" i="18"/>
  <c r="R57" i="18"/>
  <c r="AF15" i="9"/>
  <c r="F49" i="10"/>
  <c r="AF23" i="9"/>
  <c r="F50" i="10"/>
  <c r="AF24" i="9"/>
  <c r="R81" i="18"/>
  <c r="AA20" i="18" s="1"/>
  <c r="AB20" i="18" s="1"/>
  <c r="AF12" i="9"/>
  <c r="AF10" i="9"/>
  <c r="F40" i="10"/>
  <c r="AF14" i="9"/>
  <c r="F44" i="10"/>
  <c r="AF18" i="9"/>
  <c r="BO38" i="11"/>
  <c r="AG38" i="11" s="1"/>
  <c r="R53" i="18"/>
  <c r="C43" i="6"/>
  <c r="R44" i="18"/>
  <c r="R43" i="18"/>
  <c r="R55" i="18"/>
  <c r="R38" i="18"/>
  <c r="R50" i="18"/>
  <c r="R37" i="18"/>
  <c r="R42" i="18"/>
  <c r="R48" i="18"/>
  <c r="R47" i="18"/>
  <c r="R54" i="18"/>
  <c r="R40" i="18"/>
  <c r="DB20" i="1"/>
  <c r="R52" i="18"/>
  <c r="R46" i="18"/>
  <c r="R39" i="18"/>
  <c r="C42" i="6"/>
  <c r="R49" i="18"/>
  <c r="R45" i="18"/>
  <c r="F48" i="10"/>
  <c r="AF22" i="9"/>
  <c r="AF21" i="9"/>
  <c r="F47" i="10"/>
  <c r="AF20" i="9"/>
  <c r="F46" i="10"/>
  <c r="R34" i="18"/>
  <c r="AG27" i="18"/>
  <c r="F37" i="10"/>
  <c r="AF11" i="9"/>
  <c r="F35" i="10"/>
  <c r="AF9" i="9"/>
  <c r="F34" i="10"/>
  <c r="AF8" i="9"/>
  <c r="AF7" i="9"/>
  <c r="F33" i="10"/>
  <c r="AF17" i="9"/>
  <c r="F43" i="10"/>
  <c r="F42" i="10"/>
  <c r="AF16" i="9"/>
  <c r="AF6" i="9"/>
  <c r="F32" i="10"/>
  <c r="AY104" i="11"/>
  <c r="AE104" i="11" s="1"/>
  <c r="BO94" i="11"/>
  <c r="AG94" i="11" s="1"/>
  <c r="AY79" i="11"/>
  <c r="AE79" i="11" s="1"/>
  <c r="AY53" i="11"/>
  <c r="AE53" i="11" s="1"/>
  <c r="AY70" i="11"/>
  <c r="AE70" i="11" s="1"/>
  <c r="AY42" i="11"/>
  <c r="AE42" i="11" s="1"/>
  <c r="AY27" i="11"/>
  <c r="AE27" i="11" s="1"/>
  <c r="AY50" i="11"/>
  <c r="AE50" i="11" s="1"/>
  <c r="AY85" i="11"/>
  <c r="AE85" i="11" s="1"/>
  <c r="AY26" i="11"/>
  <c r="AE26" i="11" s="1"/>
  <c r="BO63" i="11"/>
  <c r="AG63" i="11" s="1"/>
  <c r="AY86" i="11"/>
  <c r="AE86" i="11" s="1"/>
  <c r="AY105" i="11"/>
  <c r="AE105" i="11" s="1"/>
  <c r="AY72" i="11"/>
  <c r="AE72" i="11" s="1"/>
  <c r="AY112" i="11"/>
  <c r="AE112" i="11" s="1"/>
  <c r="AY95" i="11"/>
  <c r="AE95" i="11" s="1"/>
  <c r="AY90" i="11"/>
  <c r="AE90" i="11" s="1"/>
  <c r="AY100" i="11"/>
  <c r="AE100" i="11" s="1"/>
  <c r="AY57" i="11"/>
  <c r="AE57" i="11" s="1"/>
  <c r="AY15" i="11"/>
  <c r="AE15" i="11" s="1"/>
  <c r="BO61" i="11"/>
  <c r="AG61" i="11" s="1"/>
  <c r="AY37" i="11"/>
  <c r="AE37" i="11" s="1"/>
  <c r="AY84" i="11"/>
  <c r="AE84" i="11" s="1"/>
  <c r="AY71" i="11"/>
  <c r="AE71" i="11" s="1"/>
  <c r="AY117" i="11"/>
  <c r="AE117" i="11" s="1"/>
  <c r="AY103" i="11"/>
  <c r="AE103" i="11" s="1"/>
  <c r="BO25" i="11"/>
  <c r="AG25" i="11" s="1"/>
  <c r="AY65" i="11"/>
  <c r="AE65" i="11" s="1"/>
  <c r="AW9" i="11"/>
  <c r="AY69" i="11"/>
  <c r="AE69" i="11" s="1"/>
  <c r="AY67" i="11"/>
  <c r="AE67" i="11" s="1"/>
  <c r="AY13" i="11"/>
  <c r="AE13" i="11" s="1"/>
  <c r="AY45" i="11"/>
  <c r="AE45" i="11" s="1"/>
  <c r="BO31" i="11"/>
  <c r="AG31" i="11" s="1"/>
  <c r="BO33" i="11"/>
  <c r="AG33" i="11" s="1"/>
  <c r="BO83" i="11"/>
  <c r="AG83" i="11" s="1"/>
  <c r="AY115" i="11"/>
  <c r="AE115" i="11" s="1"/>
  <c r="BO43" i="11"/>
  <c r="AG43" i="11" s="1"/>
  <c r="AY118" i="11"/>
  <c r="AE118" i="11" s="1"/>
  <c r="AY107" i="11"/>
  <c r="AE107" i="11" s="1"/>
  <c r="BO100" i="11"/>
  <c r="AG100" i="11" s="1"/>
  <c r="BO105" i="11"/>
  <c r="AG105" i="11" s="1"/>
  <c r="AY24" i="11"/>
  <c r="AE24" i="11" s="1"/>
  <c r="AY76" i="11"/>
  <c r="AE76" i="11" s="1"/>
  <c r="AY99" i="11"/>
  <c r="AE99" i="11" s="1"/>
  <c r="AY82" i="11"/>
  <c r="AE82" i="11" s="1"/>
  <c r="BO16" i="11"/>
  <c r="AG16" i="11" s="1"/>
  <c r="BO88" i="11"/>
  <c r="AG88" i="11" s="1"/>
  <c r="AY48" i="11"/>
  <c r="AE48" i="11" s="1"/>
  <c r="AY40" i="11"/>
  <c r="AE40" i="11" s="1"/>
  <c r="AY108" i="11"/>
  <c r="AE108" i="11" s="1"/>
  <c r="AY43" i="11"/>
  <c r="AE43" i="11" s="1"/>
  <c r="BO101" i="11"/>
  <c r="AG101" i="11" s="1"/>
  <c r="BO15" i="11"/>
  <c r="AG15" i="11" s="1"/>
  <c r="BO115" i="11"/>
  <c r="AG115" i="11" s="1"/>
  <c r="AY88" i="11"/>
  <c r="AE88" i="11" s="1"/>
  <c r="BO111" i="11"/>
  <c r="AG111" i="11" s="1"/>
  <c r="AY61" i="11"/>
  <c r="AE61" i="11" s="1"/>
  <c r="BO78" i="11"/>
  <c r="AG78" i="11" s="1"/>
  <c r="AY55" i="11"/>
  <c r="AE55" i="11" s="1"/>
  <c r="BO107" i="11"/>
  <c r="AG107" i="11" s="1"/>
  <c r="BO42" i="11"/>
  <c r="AG42" i="11" s="1"/>
  <c r="BO103" i="11"/>
  <c r="AG103" i="11" s="1"/>
  <c r="BO9" i="11"/>
  <c r="AG9" i="11" s="1"/>
  <c r="BO75" i="11"/>
  <c r="AG75" i="11" s="1"/>
  <c r="AV11" i="11"/>
  <c r="AY11" i="11" s="1"/>
  <c r="AE11" i="11" s="1"/>
  <c r="P11" i="11"/>
  <c r="AY68" i="11"/>
  <c r="AE68" i="11" s="1"/>
  <c r="AY97" i="11"/>
  <c r="AE97" i="11" s="1"/>
  <c r="BO109" i="11"/>
  <c r="AG109" i="11" s="1"/>
  <c r="AY75" i="11"/>
  <c r="AE75" i="11" s="1"/>
  <c r="AY52" i="11"/>
  <c r="AE52" i="11" s="1"/>
  <c r="BO77" i="11"/>
  <c r="AG77" i="11" s="1"/>
  <c r="BO118" i="11"/>
  <c r="AG118" i="11" s="1"/>
  <c r="AY22" i="11"/>
  <c r="AE22" i="11" s="1"/>
  <c r="AY23" i="11"/>
  <c r="AE23" i="11" s="1"/>
  <c r="BO72" i="11"/>
  <c r="AG72" i="11" s="1"/>
  <c r="BO91" i="11"/>
  <c r="AG91" i="11" s="1"/>
  <c r="AY30" i="11"/>
  <c r="AE30" i="11" s="1"/>
  <c r="AY58" i="11"/>
  <c r="AE58" i="11" s="1"/>
  <c r="BO71" i="11"/>
  <c r="AG71" i="11" s="1"/>
  <c r="BO49" i="11"/>
  <c r="AG49" i="11" s="1"/>
  <c r="BO74" i="11"/>
  <c r="AG74" i="11" s="1"/>
  <c r="AY29" i="11"/>
  <c r="AE29" i="11" s="1"/>
  <c r="AY59" i="11"/>
  <c r="AE59" i="11" s="1"/>
  <c r="AY60" i="11"/>
  <c r="AE60" i="11" s="1"/>
  <c r="BO46" i="11"/>
  <c r="AG46" i="11" s="1"/>
  <c r="AY78" i="11"/>
  <c r="AE78" i="11" s="1"/>
  <c r="BO82" i="11"/>
  <c r="AG82" i="11" s="1"/>
  <c r="AY17" i="11"/>
  <c r="AE17" i="11" s="1"/>
  <c r="AY12" i="11"/>
  <c r="AE12" i="11" s="1"/>
  <c r="BO64" i="11"/>
  <c r="AG64" i="11" s="1"/>
  <c r="AY74" i="11"/>
  <c r="AE74" i="11" s="1"/>
  <c r="BO114" i="11"/>
  <c r="AG114" i="11" s="1"/>
  <c r="BO62" i="11"/>
  <c r="AG62" i="11" s="1"/>
  <c r="BO69" i="11"/>
  <c r="AG69" i="11" s="1"/>
  <c r="AY14" i="11"/>
  <c r="AE14" i="11" s="1"/>
  <c r="BO86" i="11"/>
  <c r="AG86" i="11" s="1"/>
  <c r="AY21" i="11"/>
  <c r="AE21" i="11" s="1"/>
  <c r="AY54" i="11"/>
  <c r="AE54" i="11" s="1"/>
  <c r="AY102" i="11"/>
  <c r="AE102" i="11" s="1"/>
  <c r="BO79" i="11"/>
  <c r="AG79" i="11" s="1"/>
  <c r="BO45" i="11"/>
  <c r="AG45" i="11" s="1"/>
  <c r="BO35" i="11"/>
  <c r="AG35" i="11" s="1"/>
  <c r="BO26" i="11"/>
  <c r="AG26" i="11" s="1"/>
  <c r="AY110" i="11"/>
  <c r="AE110" i="11" s="1"/>
  <c r="BO13" i="11"/>
  <c r="AG13" i="11" s="1"/>
  <c r="AY46" i="11"/>
  <c r="AE46" i="11" s="1"/>
  <c r="AY64" i="11"/>
  <c r="AE64" i="11" s="1"/>
  <c r="BO36" i="11"/>
  <c r="AG36" i="11" s="1"/>
  <c r="BO96" i="11"/>
  <c r="AG96" i="11" s="1"/>
  <c r="BO22" i="11"/>
  <c r="AG22" i="11" s="1"/>
  <c r="BO95" i="11"/>
  <c r="AG95" i="11" s="1"/>
  <c r="AY98" i="11"/>
  <c r="AE98" i="11" s="1"/>
  <c r="BO41" i="11"/>
  <c r="AG41" i="11" s="1"/>
  <c r="AY16" i="11"/>
  <c r="AE16" i="11" s="1"/>
  <c r="AY18" i="11"/>
  <c r="AE18" i="11" s="1"/>
  <c r="BO67" i="11"/>
  <c r="AG67" i="11" s="1"/>
  <c r="BO12" i="11"/>
  <c r="AG12" i="11" s="1"/>
  <c r="AY32" i="11"/>
  <c r="AE32" i="11" s="1"/>
  <c r="AY56" i="11"/>
  <c r="AE56" i="11" s="1"/>
  <c r="AY31" i="11"/>
  <c r="AE31" i="11" s="1"/>
  <c r="AY62" i="11"/>
  <c r="AE62" i="11" s="1"/>
  <c r="AY93" i="11"/>
  <c r="AE93" i="11" s="1"/>
  <c r="AY106" i="11"/>
  <c r="AE106" i="11" s="1"/>
  <c r="BO32" i="11"/>
  <c r="AG32" i="11" s="1"/>
  <c r="BO116" i="11"/>
  <c r="AG116" i="11" s="1"/>
  <c r="BO70" i="11"/>
  <c r="AG70" i="11" s="1"/>
  <c r="BO87" i="11"/>
  <c r="AG87" i="11" s="1"/>
  <c r="AY101" i="11"/>
  <c r="AE101" i="11" s="1"/>
  <c r="BO58" i="11"/>
  <c r="AG58" i="11" s="1"/>
  <c r="AY47" i="11"/>
  <c r="AE47" i="11" s="1"/>
  <c r="AY89" i="11"/>
  <c r="AE89" i="11" s="1"/>
  <c r="BO104" i="11"/>
  <c r="AG104" i="11" s="1"/>
  <c r="BO24" i="11"/>
  <c r="AG24" i="11" s="1"/>
  <c r="AY49" i="11"/>
  <c r="AE49" i="11" s="1"/>
  <c r="AY51" i="11"/>
  <c r="AE51" i="11" s="1"/>
  <c r="AY34" i="11"/>
  <c r="AE34" i="11" s="1"/>
  <c r="BO65" i="11"/>
  <c r="AG65" i="11" s="1"/>
  <c r="AY35" i="11"/>
  <c r="AE35" i="11" s="1"/>
  <c r="BO99" i="11"/>
  <c r="AG99" i="11" s="1"/>
  <c r="AY91" i="11"/>
  <c r="AE91" i="11" s="1"/>
  <c r="BO66" i="11"/>
  <c r="AG66" i="11" s="1"/>
  <c r="BO76" i="11"/>
  <c r="AG76" i="11" s="1"/>
  <c r="BO93" i="11"/>
  <c r="AG93" i="11" s="1"/>
  <c r="BO40" i="11"/>
  <c r="AG40" i="11" s="1"/>
  <c r="BO28" i="11"/>
  <c r="AG28" i="11" s="1"/>
  <c r="BO97" i="11"/>
  <c r="AG97" i="11" s="1"/>
  <c r="BO30" i="11"/>
  <c r="AG30" i="11" s="1"/>
  <c r="BO29" i="11"/>
  <c r="AG29" i="11" s="1"/>
  <c r="AY39" i="11"/>
  <c r="AE39" i="11" s="1"/>
  <c r="AY44" i="11"/>
  <c r="AE44" i="11" s="1"/>
  <c r="AY28" i="11"/>
  <c r="AE28" i="11" s="1"/>
  <c r="BO59" i="11"/>
  <c r="AG59" i="11" s="1"/>
  <c r="BO52" i="11"/>
  <c r="AG52" i="11" s="1"/>
  <c r="BO112" i="11"/>
  <c r="AG112" i="11" s="1"/>
  <c r="BO90" i="11"/>
  <c r="AG90" i="11" s="1"/>
  <c r="BO55" i="11"/>
  <c r="AG55" i="11" s="1"/>
  <c r="BO53" i="11"/>
  <c r="AG53" i="11" s="1"/>
  <c r="AY94" i="11"/>
  <c r="AE94" i="11" s="1"/>
  <c r="AY116" i="11"/>
  <c r="AE116" i="11" s="1"/>
  <c r="BO98" i="11"/>
  <c r="AG98" i="11" s="1"/>
  <c r="BO27" i="11"/>
  <c r="AG27" i="11" s="1"/>
  <c r="BO57" i="11"/>
  <c r="AG57" i="11" s="1"/>
  <c r="AY36" i="11"/>
  <c r="AE36" i="11" s="1"/>
  <c r="BO51" i="11"/>
  <c r="AG51" i="11" s="1"/>
  <c r="AY63" i="11"/>
  <c r="AE63" i="11" s="1"/>
  <c r="AY83" i="11"/>
  <c r="AE83" i="11" s="1"/>
  <c r="BO17" i="11"/>
  <c r="AG17" i="11" s="1"/>
  <c r="BO73" i="11"/>
  <c r="AG73" i="11" s="1"/>
  <c r="BO23" i="11"/>
  <c r="AG23" i="11" s="1"/>
  <c r="P10" i="11"/>
  <c r="AV10" i="11"/>
  <c r="AY10" i="11" s="1"/>
  <c r="AE10" i="11" s="1"/>
  <c r="AY19" i="11"/>
  <c r="AE19" i="11" s="1"/>
  <c r="AY41" i="11"/>
  <c r="AE41" i="11" s="1"/>
  <c r="AV9" i="11"/>
  <c r="AY80" i="11"/>
  <c r="AE80" i="11" s="1"/>
  <c r="BO20" i="11"/>
  <c r="AG20" i="11" s="1"/>
  <c r="AY113" i="11"/>
  <c r="AE113" i="11" s="1"/>
  <c r="AY96" i="11"/>
  <c r="AE96" i="11" s="1"/>
  <c r="AY66" i="11"/>
  <c r="AE66" i="11" s="1"/>
  <c r="AY77" i="11"/>
  <c r="AE77" i="11" s="1"/>
  <c r="AY25" i="11"/>
  <c r="AE25" i="11" s="1"/>
  <c r="AF13" i="9"/>
  <c r="F39" i="10"/>
  <c r="M81" i="18"/>
  <c r="AA15" i="18" s="1"/>
  <c r="M34" i="18"/>
  <c r="S34" i="18"/>
  <c r="S81" i="18"/>
  <c r="AA21" i="18" s="1"/>
  <c r="U81" i="18"/>
  <c r="AA24" i="18" s="1"/>
  <c r="U34" i="18"/>
  <c r="G81" i="18"/>
  <c r="AA8" i="18" s="1"/>
  <c r="G34" i="18"/>
  <c r="V34" i="18"/>
  <c r="V81" i="18"/>
  <c r="AA25" i="18" s="1"/>
  <c r="T81" i="18"/>
  <c r="AA23" i="18" s="1"/>
  <c r="T34" i="18"/>
  <c r="P81" i="18"/>
  <c r="AA18" i="18" s="1"/>
  <c r="P34" i="18"/>
  <c r="W81" i="18"/>
  <c r="AA26" i="18" s="1"/>
  <c r="W34" i="18"/>
  <c r="Q81" i="18"/>
  <c r="AA19" i="18" s="1"/>
  <c r="Q34" i="18"/>
  <c r="O34" i="18"/>
  <c r="O81" i="18"/>
  <c r="AA17" i="18" s="1"/>
  <c r="H81" i="18"/>
  <c r="AA9" i="18" s="1"/>
  <c r="H34" i="18"/>
  <c r="I34" i="18"/>
  <c r="I81" i="18"/>
  <c r="AA10" i="18" s="1"/>
  <c r="J81" i="18"/>
  <c r="AA11" i="18" s="1"/>
  <c r="J34" i="18"/>
  <c r="K34" i="18"/>
  <c r="K81" i="18"/>
  <c r="AA12" i="18" s="1"/>
  <c r="N81" i="18"/>
  <c r="AA16" i="18" s="1"/>
  <c r="N34" i="18"/>
  <c r="L81" i="18"/>
  <c r="AA14" i="18" s="1"/>
  <c r="L34" i="18"/>
  <c r="BJ7" i="1" l="1"/>
  <c r="BD7" i="1"/>
  <c r="AV7" i="1"/>
  <c r="BH7" i="1"/>
  <c r="AS7" i="1"/>
  <c r="BM7" i="1"/>
  <c r="AU7" i="1"/>
  <c r="BN7" i="1"/>
  <c r="BK7" i="1"/>
  <c r="AT7" i="1"/>
  <c r="BL7" i="1"/>
  <c r="BF7" i="1"/>
  <c r="BE7" i="1"/>
  <c r="AW7" i="1"/>
  <c r="BG7" i="1"/>
  <c r="AT13" i="1"/>
  <c r="BJ13" i="1"/>
  <c r="BN13" i="1"/>
  <c r="BD13" i="1"/>
  <c r="AV13" i="1"/>
  <c r="AW13" i="1"/>
  <c r="BF13" i="1"/>
  <c r="BG13" i="1"/>
  <c r="BL13" i="1"/>
  <c r="AU13" i="1"/>
  <c r="BH13" i="1"/>
  <c r="BK13" i="1"/>
  <c r="AS13" i="1"/>
  <c r="BE13" i="1"/>
  <c r="BM13" i="1"/>
  <c r="BL8" i="1"/>
  <c r="BH8" i="1"/>
  <c r="AV8" i="1"/>
  <c r="BK8" i="1"/>
  <c r="BD8" i="1"/>
  <c r="BN8" i="1"/>
  <c r="BF8" i="1"/>
  <c r="AS8" i="1"/>
  <c r="BM8" i="1"/>
  <c r="AU8" i="1"/>
  <c r="BJ8" i="1"/>
  <c r="AT8" i="1"/>
  <c r="BE8" i="1"/>
  <c r="AW8" i="1"/>
  <c r="BG8" i="1"/>
  <c r="AW5" i="1"/>
  <c r="AT11" i="1"/>
  <c r="F46" i="6" s="1"/>
  <c r="AW11" i="1"/>
  <c r="I46" i="6" s="1"/>
  <c r="BJ11" i="1"/>
  <c r="O46" i="6" s="1"/>
  <c r="BH11" i="1"/>
  <c r="BL11" i="1"/>
  <c r="AV11" i="1"/>
  <c r="H46" i="6" s="1"/>
  <c r="BF11" i="1"/>
  <c r="L46" i="6" s="1"/>
  <c r="BD11" i="1"/>
  <c r="BK11" i="1"/>
  <c r="AS11" i="1"/>
  <c r="E46" i="6" s="1"/>
  <c r="BN11" i="1"/>
  <c r="S46" i="6" s="1"/>
  <c r="AU11" i="1"/>
  <c r="BM11" i="1"/>
  <c r="BE11" i="1"/>
  <c r="BG11" i="1"/>
  <c r="BD5" i="1"/>
  <c r="BD6" i="1"/>
  <c r="J41" i="6" s="1"/>
  <c r="BK6" i="1"/>
  <c r="AU6" i="1"/>
  <c r="G41" i="6" s="1"/>
  <c r="BN6" i="1"/>
  <c r="S41" i="6" s="1"/>
  <c r="AV6" i="1"/>
  <c r="H41" i="6" s="1"/>
  <c r="BE6" i="1"/>
  <c r="K41" i="6" s="1"/>
  <c r="BF6" i="1"/>
  <c r="BM6" i="1"/>
  <c r="AS6" i="1"/>
  <c r="BJ6" i="1"/>
  <c r="BH6" i="1"/>
  <c r="N41" i="6" s="1"/>
  <c r="AT6" i="1"/>
  <c r="F41" i="6" s="1"/>
  <c r="BG6" i="1"/>
  <c r="AW6" i="1"/>
  <c r="BL6" i="1"/>
  <c r="Q41" i="6" s="1"/>
  <c r="AT10" i="1"/>
  <c r="F45" i="6" s="1"/>
  <c r="BG10" i="1"/>
  <c r="BL10" i="1"/>
  <c r="BD10" i="1"/>
  <c r="AV10" i="1"/>
  <c r="H45" i="6" s="1"/>
  <c r="BF10" i="1"/>
  <c r="L45" i="6" s="1"/>
  <c r="BJ10" i="1"/>
  <c r="BN10" i="1"/>
  <c r="S45" i="6" s="1"/>
  <c r="BH10" i="1"/>
  <c r="BK10" i="1"/>
  <c r="AS10" i="1"/>
  <c r="E45" i="6" s="1"/>
  <c r="AW10" i="1"/>
  <c r="AU10" i="1"/>
  <c r="G45" i="6" s="1"/>
  <c r="BM10" i="1"/>
  <c r="BE10" i="1"/>
  <c r="K45" i="6" s="1"/>
  <c r="AT5" i="1"/>
  <c r="F40" i="6" s="1"/>
  <c r="BN5" i="1"/>
  <c r="AT18" i="1"/>
  <c r="AW18" i="1"/>
  <c r="I53" i="6" s="1"/>
  <c r="BK18" i="1"/>
  <c r="BG18" i="1"/>
  <c r="AV18" i="1"/>
  <c r="H53" i="6" s="1"/>
  <c r="BF18" i="1"/>
  <c r="L53" i="6" s="1"/>
  <c r="BD18" i="1"/>
  <c r="J53" i="6" s="1"/>
  <c r="BN18" i="1"/>
  <c r="AU18" i="1"/>
  <c r="G53" i="6" s="1"/>
  <c r="BL18" i="1"/>
  <c r="BJ18" i="1"/>
  <c r="BH18" i="1"/>
  <c r="BE18" i="1"/>
  <c r="K53" i="6" s="1"/>
  <c r="AS18" i="1"/>
  <c r="E53" i="6" s="1"/>
  <c r="BM18" i="1"/>
  <c r="R53" i="6" s="1"/>
  <c r="BJ5" i="1"/>
  <c r="J5" i="4"/>
  <c r="AT19" i="1"/>
  <c r="F54" i="6" s="1"/>
  <c r="AW19" i="1"/>
  <c r="BJ19" i="1"/>
  <c r="BD19" i="1"/>
  <c r="AV19" i="1"/>
  <c r="BF19" i="1"/>
  <c r="BG19" i="1"/>
  <c r="BL19" i="1"/>
  <c r="AU19" i="1"/>
  <c r="G54" i="6" s="1"/>
  <c r="BN19" i="1"/>
  <c r="BM19" i="1"/>
  <c r="BH19" i="1"/>
  <c r="AS19" i="1"/>
  <c r="E54" i="6" s="1"/>
  <c r="BK19" i="1"/>
  <c r="P54" i="6" s="1"/>
  <c r="BE19" i="1"/>
  <c r="BM5" i="1"/>
  <c r="AT17" i="1"/>
  <c r="F52" i="6" s="1"/>
  <c r="BD17" i="1"/>
  <c r="BG17" i="1"/>
  <c r="M52" i="6" s="1"/>
  <c r="BN17" i="1"/>
  <c r="AW17" i="1"/>
  <c r="I52" i="6" s="1"/>
  <c r="BJ17" i="1"/>
  <c r="BL17" i="1"/>
  <c r="AV17" i="1"/>
  <c r="H52" i="6" s="1"/>
  <c r="BF17" i="1"/>
  <c r="BH17" i="1"/>
  <c r="BM17" i="1"/>
  <c r="AU17" i="1"/>
  <c r="BE17" i="1"/>
  <c r="BK17" i="1"/>
  <c r="AS17" i="1"/>
  <c r="BL5" i="1"/>
  <c r="Q40" i="6" s="1"/>
  <c r="J7" i="4"/>
  <c r="BK5" i="1"/>
  <c r="P40" i="6" s="1"/>
  <c r="BE5" i="1"/>
  <c r="AT12" i="1"/>
  <c r="F47" i="6" s="1"/>
  <c r="BJ12" i="1"/>
  <c r="BD12" i="1"/>
  <c r="AV12" i="1"/>
  <c r="H47" i="6" s="1"/>
  <c r="BF12" i="1"/>
  <c r="BK12" i="1"/>
  <c r="BL12" i="1"/>
  <c r="Q47" i="6" s="1"/>
  <c r="BE12" i="1"/>
  <c r="K47" i="6" s="1"/>
  <c r="BG12" i="1"/>
  <c r="BH12" i="1"/>
  <c r="N47" i="6" s="1"/>
  <c r="BN12" i="1"/>
  <c r="AW12" i="1"/>
  <c r="AS12" i="1"/>
  <c r="E47" i="6" s="1"/>
  <c r="BM12" i="1"/>
  <c r="R47" i="6" s="1"/>
  <c r="AU12" i="1"/>
  <c r="AT15" i="1"/>
  <c r="F50" i="6" s="1"/>
  <c r="BG15" i="1"/>
  <c r="M50" i="6" s="1"/>
  <c r="AW15" i="1"/>
  <c r="I50" i="6" s="1"/>
  <c r="BJ15" i="1"/>
  <c r="O50" i="6" s="1"/>
  <c r="AV15" i="1"/>
  <c r="BM15" i="1"/>
  <c r="AU15" i="1"/>
  <c r="G50" i="6" s="1"/>
  <c r="BN15" i="1"/>
  <c r="S50" i="6" s="1"/>
  <c r="BD15" i="1"/>
  <c r="J50" i="6" s="1"/>
  <c r="BF15" i="1"/>
  <c r="L50" i="6" s="1"/>
  <c r="BL15" i="1"/>
  <c r="BH15" i="1"/>
  <c r="BE15" i="1"/>
  <c r="AS15" i="1"/>
  <c r="E50" i="6" s="1"/>
  <c r="BK15" i="1"/>
  <c r="AT16" i="1"/>
  <c r="BG16" i="1"/>
  <c r="BM16" i="1"/>
  <c r="BE16" i="1"/>
  <c r="AW16" i="1"/>
  <c r="BN16" i="1"/>
  <c r="BF16" i="1"/>
  <c r="BJ16" i="1"/>
  <c r="BD16" i="1"/>
  <c r="AV16" i="1"/>
  <c r="BH16" i="1"/>
  <c r="AU16" i="1"/>
  <c r="BL16" i="1"/>
  <c r="BK16" i="1"/>
  <c r="AS16" i="1"/>
  <c r="J8" i="4"/>
  <c r="BJ9" i="1"/>
  <c r="O44" i="6" s="1"/>
  <c r="AT9" i="1"/>
  <c r="F44" i="6" s="1"/>
  <c r="BL9" i="1"/>
  <c r="Q44" i="6" s="1"/>
  <c r="AV9" i="1"/>
  <c r="BH9" i="1"/>
  <c r="BD9" i="1"/>
  <c r="J44" i="6" s="1"/>
  <c r="BF9" i="1"/>
  <c r="L44" i="6" s="1"/>
  <c r="BN9" i="1"/>
  <c r="S44" i="6" s="1"/>
  <c r="AS9" i="1"/>
  <c r="E44" i="6" s="1"/>
  <c r="BG9" i="1"/>
  <c r="M44" i="6" s="1"/>
  <c r="BK9" i="1"/>
  <c r="BM9" i="1"/>
  <c r="R44" i="6" s="1"/>
  <c r="AU9" i="1"/>
  <c r="G44" i="6" s="1"/>
  <c r="BE9" i="1"/>
  <c r="AW9" i="1"/>
  <c r="I44" i="6" s="1"/>
  <c r="BF5" i="1"/>
  <c r="J6" i="4"/>
  <c r="AT14" i="1"/>
  <c r="F49" i="6" s="1"/>
  <c r="AU14" i="1"/>
  <c r="G49" i="6" s="1"/>
  <c r="BJ14" i="1"/>
  <c r="BN14" i="1"/>
  <c r="AV14" i="1"/>
  <c r="H49" i="6" s="1"/>
  <c r="BD14" i="1"/>
  <c r="BG14" i="1"/>
  <c r="BF14" i="1"/>
  <c r="BL14" i="1"/>
  <c r="BH14" i="1"/>
  <c r="BM14" i="1"/>
  <c r="AS14" i="1"/>
  <c r="BK14" i="1"/>
  <c r="AW14" i="1"/>
  <c r="I49" i="6" s="1"/>
  <c r="BE14" i="1"/>
  <c r="K49" i="6" s="1"/>
  <c r="BH5" i="1"/>
  <c r="N40" i="6" s="1"/>
  <c r="AU5" i="1"/>
  <c r="J13" i="4"/>
  <c r="AV5" i="1"/>
  <c r="H40" i="6" s="1"/>
  <c r="BG5" i="1"/>
  <c r="D52" i="6"/>
  <c r="BT9" i="1"/>
  <c r="D44" i="6"/>
  <c r="DC9" i="1"/>
  <c r="J19" i="4"/>
  <c r="BU9" i="1"/>
  <c r="J15" i="4"/>
  <c r="BT18" i="1"/>
  <c r="BT10" i="1"/>
  <c r="DC10" i="1"/>
  <c r="BU18" i="1"/>
  <c r="BU10" i="1"/>
  <c r="J10" i="4"/>
  <c r="M53" i="6"/>
  <c r="D53" i="6"/>
  <c r="D46" i="6"/>
  <c r="J9" i="4"/>
  <c r="J12" i="4"/>
  <c r="DC11" i="1"/>
  <c r="D45" i="6"/>
  <c r="DC18" i="1"/>
  <c r="J11" i="4"/>
  <c r="DC17" i="1"/>
  <c r="J18" i="4"/>
  <c r="BT17" i="1"/>
  <c r="BT11" i="1"/>
  <c r="BU11" i="1"/>
  <c r="J14" i="4"/>
  <c r="J17" i="4"/>
  <c r="BT14" i="1"/>
  <c r="DC14" i="1"/>
  <c r="D49" i="6"/>
  <c r="BU14" i="1"/>
  <c r="D47" i="6"/>
  <c r="N38" i="18"/>
  <c r="N53" i="18"/>
  <c r="N39" i="18"/>
  <c r="N45" i="18"/>
  <c r="N54" i="18"/>
  <c r="N43" i="18"/>
  <c r="N40" i="18"/>
  <c r="N48" i="18"/>
  <c r="N46" i="18"/>
  <c r="N56" i="18"/>
  <c r="N42" i="18"/>
  <c r="N52" i="18"/>
  <c r="N57" i="18"/>
  <c r="N47" i="18"/>
  <c r="N44" i="18"/>
  <c r="N37" i="18"/>
  <c r="N49" i="18"/>
  <c r="N50" i="18"/>
  <c r="N41" i="18"/>
  <c r="AH167" i="1"/>
  <c r="AF166" i="1"/>
  <c r="AF186" i="1" s="1"/>
  <c r="AH166" i="1"/>
  <c r="DC6" i="1"/>
  <c r="D41" i="6"/>
  <c r="BU6" i="1"/>
  <c r="W89" i="5"/>
  <c r="M26" i="6" s="1"/>
  <c r="K170" i="1" s="1"/>
  <c r="BT6" i="1"/>
  <c r="V89" i="5"/>
  <c r="J26" i="6" s="1"/>
  <c r="H170" i="1" s="1"/>
  <c r="N170" i="1" s="1"/>
  <c r="E125" i="5"/>
  <c r="AS53" i="1" s="1"/>
  <c r="D9" i="8" s="1"/>
  <c r="U89" i="5"/>
  <c r="I26" i="6" s="1"/>
  <c r="G170" i="1" s="1"/>
  <c r="V107" i="18"/>
  <c r="AJ25" i="18" s="1"/>
  <c r="BU12" i="1"/>
  <c r="BT15" i="1"/>
  <c r="DC15" i="1"/>
  <c r="T44" i="18"/>
  <c r="T45" i="18"/>
  <c r="BU15" i="1"/>
  <c r="T98" i="18"/>
  <c r="D50" i="6"/>
  <c r="T86" i="18"/>
  <c r="DC12" i="1"/>
  <c r="BT12" i="1"/>
  <c r="T106" i="18"/>
  <c r="U81" i="5"/>
  <c r="I24" i="6" s="1"/>
  <c r="G168" i="1" s="1"/>
  <c r="Q44" i="18"/>
  <c r="BU19" i="1"/>
  <c r="Q40" i="18"/>
  <c r="Q50" i="18"/>
  <c r="Q49" i="18"/>
  <c r="D125" i="5"/>
  <c r="AR53" i="1" s="1"/>
  <c r="C9" i="8" s="1"/>
  <c r="Q57" i="18"/>
  <c r="Q55" i="18"/>
  <c r="Q46" i="18"/>
  <c r="D54" i="6"/>
  <c r="Q53" i="18"/>
  <c r="Q42" i="18"/>
  <c r="Q56" i="18"/>
  <c r="Q52" i="18"/>
  <c r="Q39" i="18"/>
  <c r="Q43" i="18"/>
  <c r="V69" i="5"/>
  <c r="J22" i="6" s="1"/>
  <c r="H166" i="1" s="1"/>
  <c r="N166" i="1" s="1"/>
  <c r="Q45" i="18"/>
  <c r="T42" i="18"/>
  <c r="T50" i="18"/>
  <c r="T88" i="18"/>
  <c r="T37" i="18"/>
  <c r="T53" i="18"/>
  <c r="T104" i="18"/>
  <c r="T48" i="18"/>
  <c r="T89" i="18"/>
  <c r="T102" i="18"/>
  <c r="W81" i="5"/>
  <c r="M24" i="6" s="1"/>
  <c r="K168" i="1" s="1"/>
  <c r="T54" i="18"/>
  <c r="T52" i="18"/>
  <c r="H125" i="5"/>
  <c r="H126" i="5" s="1"/>
  <c r="H26" i="5" s="1"/>
  <c r="AV42" i="1" s="1"/>
  <c r="DC19" i="1"/>
  <c r="T41" i="18"/>
  <c r="U93" i="5"/>
  <c r="I27" i="6" s="1"/>
  <c r="G171" i="1" s="1"/>
  <c r="F125" i="5"/>
  <c r="AT53" i="1" s="1"/>
  <c r="E9" i="8" s="1"/>
  <c r="T38" i="18"/>
  <c r="T93" i="18"/>
  <c r="T95" i="18"/>
  <c r="T55" i="18"/>
  <c r="T47" i="18"/>
  <c r="T40" i="18"/>
  <c r="T91" i="18"/>
  <c r="T94" i="18"/>
  <c r="T105" i="18"/>
  <c r="T96" i="18"/>
  <c r="T39" i="18"/>
  <c r="T92" i="18"/>
  <c r="T43" i="18"/>
  <c r="T99" i="18"/>
  <c r="W75" i="5"/>
  <c r="M23" i="6" s="1"/>
  <c r="K167" i="1" s="1"/>
  <c r="BT19" i="1"/>
  <c r="T46" i="18"/>
  <c r="T87" i="18"/>
  <c r="U75" i="5"/>
  <c r="I23" i="6" s="1"/>
  <c r="G167" i="1" s="1"/>
  <c r="T49" i="18"/>
  <c r="T57" i="18"/>
  <c r="T90" i="18"/>
  <c r="T101" i="18"/>
  <c r="T97" i="18"/>
  <c r="V81" i="5"/>
  <c r="J24" i="6" s="1"/>
  <c r="H168" i="1" s="1"/>
  <c r="N168" i="1" s="1"/>
  <c r="Q47" i="18"/>
  <c r="Q37" i="18"/>
  <c r="Q48" i="18"/>
  <c r="Q54" i="18"/>
  <c r="Q38" i="18"/>
  <c r="U63" i="5"/>
  <c r="I21" i="6" s="1"/>
  <c r="G165" i="1" s="1"/>
  <c r="G125" i="5"/>
  <c r="AU53" i="1" s="1"/>
  <c r="F9" i="8" s="1"/>
  <c r="AX50" i="1"/>
  <c r="I6" i="8"/>
  <c r="C124" i="5"/>
  <c r="AQ51" i="1" s="1"/>
  <c r="B7" i="8" s="1"/>
  <c r="D124" i="5"/>
  <c r="J121" i="5"/>
  <c r="W85" i="5"/>
  <c r="M25" i="6" s="1"/>
  <c r="K169" i="1" s="1"/>
  <c r="U69" i="5"/>
  <c r="I22" i="6" s="1"/>
  <c r="G166" i="1" s="1"/>
  <c r="AX28" i="1"/>
  <c r="H121" i="5"/>
  <c r="E124" i="5"/>
  <c r="W120" i="5"/>
  <c r="M30" i="6" s="1"/>
  <c r="K174" i="1" s="1"/>
  <c r="U120" i="5"/>
  <c r="I30" i="6" s="1"/>
  <c r="G174" i="1" s="1"/>
  <c r="F124" i="5"/>
  <c r="AT51" i="1" s="1"/>
  <c r="E7" i="8" s="1"/>
  <c r="V85" i="5"/>
  <c r="J25" i="6" s="1"/>
  <c r="H169" i="1" s="1"/>
  <c r="N169" i="1" s="1"/>
  <c r="D48" i="6"/>
  <c r="BT13" i="1"/>
  <c r="BU13" i="1"/>
  <c r="I121" i="5"/>
  <c r="U85" i="5"/>
  <c r="I25" i="6" s="1"/>
  <c r="G169" i="1" s="1"/>
  <c r="U111" i="5"/>
  <c r="I29" i="6" s="1"/>
  <c r="G173" i="1" s="1"/>
  <c r="R177" i="1"/>
  <c r="V75" i="5"/>
  <c r="J23" i="6" s="1"/>
  <c r="H167" i="1" s="1"/>
  <c r="N167" i="1" s="1"/>
  <c r="Q177" i="1"/>
  <c r="DC13" i="1"/>
  <c r="J27" i="9"/>
  <c r="F53" i="10" s="1"/>
  <c r="V63" i="5"/>
  <c r="J21" i="6" s="1"/>
  <c r="H165" i="1" s="1"/>
  <c r="N165" i="1" s="1"/>
  <c r="W63" i="5"/>
  <c r="M21" i="6" s="1"/>
  <c r="K165" i="1" s="1"/>
  <c r="W69" i="5"/>
  <c r="M22" i="6" s="1"/>
  <c r="K166" i="1" s="1"/>
  <c r="V111" i="5"/>
  <c r="J29" i="6" s="1"/>
  <c r="H173" i="1" s="1"/>
  <c r="N173" i="1" s="1"/>
  <c r="AI68" i="11"/>
  <c r="AJ68" i="11" s="1"/>
  <c r="AK68" i="11" s="1"/>
  <c r="AL68" i="11" s="1"/>
  <c r="V120" i="5"/>
  <c r="J30" i="6" s="1"/>
  <c r="H174" i="1" s="1"/>
  <c r="N174" i="1" s="1"/>
  <c r="M53" i="18"/>
  <c r="H103" i="18"/>
  <c r="H92" i="18"/>
  <c r="H90" i="18"/>
  <c r="H95" i="18"/>
  <c r="H54" i="18"/>
  <c r="H88" i="18"/>
  <c r="H52" i="18"/>
  <c r="M48" i="18"/>
  <c r="H53" i="18"/>
  <c r="M41" i="18"/>
  <c r="M56" i="18"/>
  <c r="H48" i="18"/>
  <c r="H55" i="18"/>
  <c r="H41" i="18"/>
  <c r="H49" i="18"/>
  <c r="H38" i="18"/>
  <c r="H47" i="18"/>
  <c r="H46" i="18"/>
  <c r="H39" i="18"/>
  <c r="H43" i="18"/>
  <c r="H42" i="18"/>
  <c r="H45" i="18"/>
  <c r="H44" i="18"/>
  <c r="H50" i="18"/>
  <c r="H40" i="18"/>
  <c r="H96" i="18"/>
  <c r="H106" i="18"/>
  <c r="H97" i="18"/>
  <c r="H98" i="18"/>
  <c r="H87" i="18"/>
  <c r="G56" i="18"/>
  <c r="H86" i="18"/>
  <c r="H104" i="18"/>
  <c r="H99" i="18"/>
  <c r="H93" i="18"/>
  <c r="H56" i="18"/>
  <c r="H101" i="18"/>
  <c r="H94" i="18"/>
  <c r="H91" i="18"/>
  <c r="H105" i="18"/>
  <c r="H37" i="18"/>
  <c r="L56" i="18"/>
  <c r="L43" i="18"/>
  <c r="G44" i="18"/>
  <c r="L55" i="18"/>
  <c r="L49" i="18"/>
  <c r="L50" i="18"/>
  <c r="G86" i="18"/>
  <c r="I55" i="18"/>
  <c r="M39" i="18"/>
  <c r="G99" i="18"/>
  <c r="M37" i="18"/>
  <c r="I43" i="18"/>
  <c r="M44" i="18"/>
  <c r="L42" i="18"/>
  <c r="I57" i="18"/>
  <c r="M57" i="18"/>
  <c r="I42" i="18"/>
  <c r="M47" i="18"/>
  <c r="G45" i="18"/>
  <c r="M50" i="18"/>
  <c r="H102" i="18"/>
  <c r="G40" i="18"/>
  <c r="G102" i="18"/>
  <c r="G95" i="18"/>
  <c r="G93" i="18"/>
  <c r="G41" i="18"/>
  <c r="G46" i="18"/>
  <c r="G94" i="18"/>
  <c r="G88" i="18"/>
  <c r="I47" i="18"/>
  <c r="M38" i="18"/>
  <c r="G39" i="18"/>
  <c r="G91" i="18"/>
  <c r="M46" i="18"/>
  <c r="G96" i="18"/>
  <c r="G98" i="18"/>
  <c r="AI10" i="11"/>
  <c r="AJ10" i="11" s="1"/>
  <c r="M45" i="18"/>
  <c r="G50" i="18"/>
  <c r="C125" i="5"/>
  <c r="AQ53" i="1" s="1"/>
  <c r="W93" i="5"/>
  <c r="M27" i="6" s="1"/>
  <c r="K171" i="1" s="1"/>
  <c r="G92" i="18"/>
  <c r="G97" i="18"/>
  <c r="M52" i="18"/>
  <c r="G106" i="18"/>
  <c r="W111" i="5"/>
  <c r="M29" i="6" s="1"/>
  <c r="K173" i="1" s="1"/>
  <c r="M40" i="18"/>
  <c r="G49" i="18"/>
  <c r="G89" i="18"/>
  <c r="G101" i="18"/>
  <c r="M54" i="18"/>
  <c r="G48" i="18"/>
  <c r="M42" i="18"/>
  <c r="G42" i="18"/>
  <c r="G54" i="18"/>
  <c r="G104" i="18"/>
  <c r="G55" i="18"/>
  <c r="M55" i="18"/>
  <c r="G57" i="18"/>
  <c r="G87" i="18"/>
  <c r="I125" i="5"/>
  <c r="M43" i="18"/>
  <c r="G105" i="18"/>
  <c r="G38" i="18"/>
  <c r="G43" i="18"/>
  <c r="G90" i="18"/>
  <c r="G47" i="18"/>
  <c r="G37" i="18"/>
  <c r="G53" i="18"/>
  <c r="I44" i="18"/>
  <c r="I54" i="18"/>
  <c r="S20" i="4"/>
  <c r="R20" i="4"/>
  <c r="E32" i="4" s="1"/>
  <c r="G32" i="4" s="1"/>
  <c r="AN18" i="1" s="1"/>
  <c r="T20" i="4"/>
  <c r="I53" i="18"/>
  <c r="I41" i="18"/>
  <c r="S40" i="18"/>
  <c r="S53" i="18"/>
  <c r="S41" i="18"/>
  <c r="I50" i="18"/>
  <c r="I39" i="18"/>
  <c r="I45" i="18"/>
  <c r="K41" i="18"/>
  <c r="I52" i="18"/>
  <c r="K56" i="18"/>
  <c r="K45" i="18"/>
  <c r="K47" i="18"/>
  <c r="K37" i="18"/>
  <c r="I46" i="18"/>
  <c r="I48" i="18"/>
  <c r="I40" i="18"/>
  <c r="K43" i="18"/>
  <c r="K50" i="18"/>
  <c r="L40" i="18"/>
  <c r="K39" i="18"/>
  <c r="K52" i="18"/>
  <c r="K40" i="18"/>
  <c r="K57" i="18"/>
  <c r="I37" i="18"/>
  <c r="K48" i="18"/>
  <c r="I49" i="18"/>
  <c r="I56" i="18"/>
  <c r="S54" i="18"/>
  <c r="L54" i="18"/>
  <c r="K49" i="18"/>
  <c r="L52" i="18"/>
  <c r="L53" i="18"/>
  <c r="K42" i="18"/>
  <c r="K55" i="18"/>
  <c r="K54" i="18"/>
  <c r="K46" i="18"/>
  <c r="K53" i="18"/>
  <c r="K38" i="18"/>
  <c r="J105" i="18"/>
  <c r="S38" i="18"/>
  <c r="K104" i="18"/>
  <c r="L37" i="18"/>
  <c r="S56" i="18"/>
  <c r="S55" i="18"/>
  <c r="S43" i="18"/>
  <c r="S45" i="18"/>
  <c r="S52" i="18"/>
  <c r="S46" i="18"/>
  <c r="L38" i="18"/>
  <c r="S57" i="18"/>
  <c r="S39" i="18"/>
  <c r="L46" i="18"/>
  <c r="J55" i="18"/>
  <c r="J46" i="18"/>
  <c r="I87" i="18"/>
  <c r="P47" i="18"/>
  <c r="I91" i="18"/>
  <c r="I104" i="18"/>
  <c r="J93" i="18"/>
  <c r="I98" i="18"/>
  <c r="I106" i="18"/>
  <c r="J95" i="18"/>
  <c r="I102" i="18"/>
  <c r="I97" i="18"/>
  <c r="J101" i="18"/>
  <c r="J94" i="18"/>
  <c r="I101" i="18"/>
  <c r="I90" i="18"/>
  <c r="I93" i="18"/>
  <c r="S47" i="18"/>
  <c r="L57" i="18"/>
  <c r="L39" i="18"/>
  <c r="J104" i="18"/>
  <c r="I88" i="18"/>
  <c r="I86" i="18"/>
  <c r="S49" i="18"/>
  <c r="J91" i="18"/>
  <c r="I99" i="18"/>
  <c r="I94" i="18"/>
  <c r="I92" i="18"/>
  <c r="S42" i="18"/>
  <c r="O41" i="18"/>
  <c r="L41" i="18"/>
  <c r="K106" i="18"/>
  <c r="J88" i="18"/>
  <c r="U107" i="18"/>
  <c r="AJ24" i="18" s="1"/>
  <c r="S50" i="18"/>
  <c r="J37" i="18"/>
  <c r="I105" i="18"/>
  <c r="O37" i="18"/>
  <c r="I89" i="18"/>
  <c r="I103" i="18"/>
  <c r="J106" i="18"/>
  <c r="J41" i="18"/>
  <c r="J49" i="18"/>
  <c r="S44" i="18"/>
  <c r="O57" i="18"/>
  <c r="I96" i="18"/>
  <c r="S37" i="18"/>
  <c r="O45" i="18"/>
  <c r="J48" i="18"/>
  <c r="O53" i="18"/>
  <c r="L44" i="18"/>
  <c r="J96" i="18"/>
  <c r="J99" i="18"/>
  <c r="L45" i="18"/>
  <c r="L48" i="18"/>
  <c r="W107" i="18"/>
  <c r="AJ26" i="18" s="1"/>
  <c r="J57" i="18"/>
  <c r="J39" i="18"/>
  <c r="O50" i="18"/>
  <c r="J40" i="18"/>
  <c r="O48" i="18"/>
  <c r="J53" i="18"/>
  <c r="O40" i="18"/>
  <c r="P43" i="18"/>
  <c r="O43" i="18"/>
  <c r="J42" i="18"/>
  <c r="O56" i="18"/>
  <c r="J98" i="18"/>
  <c r="J47" i="18"/>
  <c r="O44" i="18"/>
  <c r="J89" i="18"/>
  <c r="J102" i="18"/>
  <c r="O52" i="18"/>
  <c r="J87" i="18"/>
  <c r="J44" i="18"/>
  <c r="J45" i="18"/>
  <c r="O49" i="18"/>
  <c r="J92" i="18"/>
  <c r="O54" i="18"/>
  <c r="O38" i="18"/>
  <c r="J90" i="18"/>
  <c r="J38" i="18"/>
  <c r="J43" i="18"/>
  <c r="O42" i="18"/>
  <c r="J56" i="18"/>
  <c r="P57" i="18"/>
  <c r="O55" i="18"/>
  <c r="J54" i="18"/>
  <c r="O47" i="18"/>
  <c r="J97" i="18"/>
  <c r="J86" i="18"/>
  <c r="K87" i="18"/>
  <c r="J52" i="18"/>
  <c r="O46" i="18"/>
  <c r="P38" i="18"/>
  <c r="K101" i="18"/>
  <c r="K105" i="18"/>
  <c r="K94" i="18"/>
  <c r="AT41" i="1"/>
  <c r="P39" i="18"/>
  <c r="P46" i="18"/>
  <c r="BB20" i="1"/>
  <c r="P55" i="18"/>
  <c r="AU41" i="1"/>
  <c r="K88" i="18"/>
  <c r="P52" i="18"/>
  <c r="D40" i="6"/>
  <c r="P40" i="18"/>
  <c r="P53" i="18"/>
  <c r="P42" i="18"/>
  <c r="DC16" i="1"/>
  <c r="BT16" i="1"/>
  <c r="BU16" i="1"/>
  <c r="D51" i="6"/>
  <c r="BU5" i="1"/>
  <c r="P48" i="18"/>
  <c r="K96" i="18"/>
  <c r="P56" i="18"/>
  <c r="P50" i="18"/>
  <c r="AI85" i="11"/>
  <c r="AJ85" i="11" s="1"/>
  <c r="AK85" i="11" s="1"/>
  <c r="AL85" i="11" s="1"/>
  <c r="K90" i="18"/>
  <c r="DC5" i="1"/>
  <c r="AR41" i="1"/>
  <c r="W102" i="5"/>
  <c r="M28" i="6" s="1"/>
  <c r="K172" i="1" s="1"/>
  <c r="V102" i="5"/>
  <c r="J28" i="6" s="1"/>
  <c r="H172" i="1" s="1"/>
  <c r="N172" i="1" s="1"/>
  <c r="J25" i="5"/>
  <c r="AX41" i="1" s="1"/>
  <c r="U102" i="5"/>
  <c r="I28" i="6" s="1"/>
  <c r="G172" i="1" s="1"/>
  <c r="K89" i="18"/>
  <c r="D3" i="15"/>
  <c r="D5" i="15" s="1"/>
  <c r="K97" i="18"/>
  <c r="K93" i="18"/>
  <c r="K99" i="18"/>
  <c r="BC20" i="1"/>
  <c r="P44" i="18"/>
  <c r="AV41" i="1"/>
  <c r="BT5" i="1"/>
  <c r="K103" i="18"/>
  <c r="K102" i="18"/>
  <c r="K92" i="18"/>
  <c r="P41" i="18"/>
  <c r="P37" i="18"/>
  <c r="K91" i="18"/>
  <c r="P45" i="18"/>
  <c r="K98" i="18"/>
  <c r="AI80" i="11"/>
  <c r="AJ80" i="11" s="1"/>
  <c r="AK80" i="11" s="1"/>
  <c r="AL80" i="11" s="1"/>
  <c r="K95" i="18"/>
  <c r="P49" i="18"/>
  <c r="AZ20" i="1"/>
  <c r="AI171" i="1"/>
  <c r="AF26" i="9"/>
  <c r="F8" i="10" s="1"/>
  <c r="AI92" i="11"/>
  <c r="AJ92" i="11" s="1"/>
  <c r="AK92" i="11" s="1"/>
  <c r="AL92" i="11" s="1"/>
  <c r="AI38" i="11"/>
  <c r="AJ38" i="11" s="1"/>
  <c r="AK38" i="11" s="1"/>
  <c r="AL38" i="11" s="1"/>
  <c r="AI94" i="11"/>
  <c r="AJ94" i="11" s="1"/>
  <c r="AK94" i="11" s="1"/>
  <c r="AL94" i="11" s="1"/>
  <c r="AI50" i="11"/>
  <c r="AJ50" i="11" s="1"/>
  <c r="AK50" i="11" s="1"/>
  <c r="AL50" i="11" s="1"/>
  <c r="AY20" i="1"/>
  <c r="DC8" i="1"/>
  <c r="BU8" i="1"/>
  <c r="BT8" i="1"/>
  <c r="D43" i="6"/>
  <c r="BU7" i="1"/>
  <c r="DC7" i="1"/>
  <c r="D42" i="6"/>
  <c r="BT7" i="1"/>
  <c r="U20" i="4"/>
  <c r="T34" i="4" s="1"/>
  <c r="BA20" i="1"/>
  <c r="AI37" i="11"/>
  <c r="AJ37" i="11" s="1"/>
  <c r="AK37" i="11" s="1"/>
  <c r="AL37" i="11" s="1"/>
  <c r="AI39" i="11"/>
  <c r="AJ39" i="11" s="1"/>
  <c r="AK39" i="11" s="1"/>
  <c r="AL39" i="11" s="1"/>
  <c r="AI100" i="11"/>
  <c r="AJ100" i="11" s="1"/>
  <c r="AK100" i="11" s="1"/>
  <c r="AL100" i="11" s="1"/>
  <c r="AI72" i="11"/>
  <c r="AJ72" i="11" s="1"/>
  <c r="AK72" i="11" s="1"/>
  <c r="AL72" i="11" s="1"/>
  <c r="AI27" i="11"/>
  <c r="AJ27" i="11" s="1"/>
  <c r="AK27" i="11" s="1"/>
  <c r="AL27" i="11" s="1"/>
  <c r="AI111" i="11"/>
  <c r="AJ111" i="11" s="1"/>
  <c r="AK111" i="11" s="1"/>
  <c r="AL111" i="11" s="1"/>
  <c r="AI84" i="11"/>
  <c r="AJ84" i="11" s="1"/>
  <c r="AK84" i="11" s="1"/>
  <c r="AL84" i="11" s="1"/>
  <c r="AI44" i="11"/>
  <c r="AJ44" i="11" s="1"/>
  <c r="AK44" i="11" s="1"/>
  <c r="AL44" i="11" s="1"/>
  <c r="AI118" i="11"/>
  <c r="AJ118" i="11" s="1"/>
  <c r="AK118" i="11" s="1"/>
  <c r="AL118" i="11" s="1"/>
  <c r="AI33" i="11"/>
  <c r="AJ33" i="11" s="1"/>
  <c r="AK33" i="11" s="1"/>
  <c r="AL33" i="11" s="1"/>
  <c r="AI117" i="11"/>
  <c r="AJ117" i="11" s="1"/>
  <c r="AK117" i="11" s="1"/>
  <c r="AL117" i="11" s="1"/>
  <c r="AI15" i="11"/>
  <c r="AJ15" i="11" s="1"/>
  <c r="AK15" i="11" s="1"/>
  <c r="AL15" i="11" s="1"/>
  <c r="AI20" i="11"/>
  <c r="AJ20" i="11" s="1"/>
  <c r="AK20" i="11" s="1"/>
  <c r="AL20" i="11" s="1"/>
  <c r="AI86" i="11"/>
  <c r="AJ86" i="11" s="1"/>
  <c r="AK86" i="11" s="1"/>
  <c r="AL86" i="11" s="1"/>
  <c r="AI58" i="11"/>
  <c r="AJ58" i="11" s="1"/>
  <c r="AK58" i="11" s="1"/>
  <c r="AL58" i="11" s="1"/>
  <c r="AI67" i="11"/>
  <c r="AJ67" i="11" s="1"/>
  <c r="AK67" i="11" s="1"/>
  <c r="AL67" i="11" s="1"/>
  <c r="AI56" i="11"/>
  <c r="AJ56" i="11" s="1"/>
  <c r="AK56" i="11" s="1"/>
  <c r="AL56" i="11" s="1"/>
  <c r="AI79" i="11"/>
  <c r="AJ79" i="11" s="1"/>
  <c r="AK79" i="11" s="1"/>
  <c r="AL79" i="11" s="1"/>
  <c r="AI108" i="11"/>
  <c r="AJ108" i="11" s="1"/>
  <c r="AK108" i="11" s="1"/>
  <c r="AL108" i="11" s="1"/>
  <c r="AI61" i="11"/>
  <c r="AJ61" i="11" s="1"/>
  <c r="AK61" i="11" s="1"/>
  <c r="AL61" i="11" s="1"/>
  <c r="AI30" i="11"/>
  <c r="AJ30" i="11" s="1"/>
  <c r="AK30" i="11" s="1"/>
  <c r="AL30" i="11" s="1"/>
  <c r="AI55" i="11"/>
  <c r="AJ55" i="11" s="1"/>
  <c r="AK55" i="11" s="1"/>
  <c r="AL55" i="11" s="1"/>
  <c r="AI76" i="11"/>
  <c r="AJ76" i="11" s="1"/>
  <c r="AK76" i="11" s="1"/>
  <c r="AL76" i="11" s="1"/>
  <c r="AI71" i="11"/>
  <c r="AJ71" i="11" s="1"/>
  <c r="AK71" i="11" s="1"/>
  <c r="AL71" i="11" s="1"/>
  <c r="AI14" i="11"/>
  <c r="AJ14" i="11" s="1"/>
  <c r="AK14" i="11" s="1"/>
  <c r="AL14" i="11" s="1"/>
  <c r="AI73" i="11"/>
  <c r="AJ73" i="11" s="1"/>
  <c r="AK73" i="11" s="1"/>
  <c r="AL73" i="11" s="1"/>
  <c r="AI69" i="11"/>
  <c r="AJ69" i="11" s="1"/>
  <c r="AK69" i="11" s="1"/>
  <c r="AL69" i="11" s="1"/>
  <c r="AI13" i="11"/>
  <c r="AJ13" i="11" s="1"/>
  <c r="AK13" i="11" s="1"/>
  <c r="AL13" i="11" s="1"/>
  <c r="AI48" i="11"/>
  <c r="AJ48" i="11" s="1"/>
  <c r="AK48" i="11" s="1"/>
  <c r="AL48" i="11" s="1"/>
  <c r="AI42" i="11"/>
  <c r="AJ42" i="11" s="1"/>
  <c r="AK42" i="11" s="1"/>
  <c r="AL42" i="11" s="1"/>
  <c r="AI43" i="11"/>
  <c r="AJ43" i="11" s="1"/>
  <c r="AK43" i="11" s="1"/>
  <c r="AL43" i="11" s="1"/>
  <c r="AI16" i="11"/>
  <c r="AJ16" i="11" s="1"/>
  <c r="AK16" i="11" s="1"/>
  <c r="AL16" i="11" s="1"/>
  <c r="AI107" i="11"/>
  <c r="AJ107" i="11" s="1"/>
  <c r="AK107" i="11" s="1"/>
  <c r="AL107" i="11" s="1"/>
  <c r="AI62" i="11"/>
  <c r="AJ62" i="11" s="1"/>
  <c r="AK62" i="11" s="1"/>
  <c r="AL62" i="11" s="1"/>
  <c r="AI45" i="11"/>
  <c r="AJ45" i="11" s="1"/>
  <c r="AK45" i="11" s="1"/>
  <c r="AL45" i="11" s="1"/>
  <c r="AI31" i="11"/>
  <c r="AJ31" i="11" s="1"/>
  <c r="AK31" i="11" s="1"/>
  <c r="AL31" i="11" s="1"/>
  <c r="AI52" i="11"/>
  <c r="AJ52" i="11" s="1"/>
  <c r="AK52" i="11" s="1"/>
  <c r="AL52" i="11" s="1"/>
  <c r="AI53" i="11"/>
  <c r="AJ53" i="11" s="1"/>
  <c r="AK53" i="11" s="1"/>
  <c r="AL53" i="11" s="1"/>
  <c r="AI89" i="11"/>
  <c r="AJ89" i="11" s="1"/>
  <c r="AK89" i="11" s="1"/>
  <c r="AL89" i="11" s="1"/>
  <c r="AI17" i="11"/>
  <c r="AJ17" i="11" s="1"/>
  <c r="AK17" i="11" s="1"/>
  <c r="AL17" i="11" s="1"/>
  <c r="AI103" i="11"/>
  <c r="AJ103" i="11" s="1"/>
  <c r="AK103" i="11" s="1"/>
  <c r="AL103" i="11" s="1"/>
  <c r="AI18" i="11"/>
  <c r="AJ18" i="11" s="1"/>
  <c r="AK18" i="11" s="1"/>
  <c r="AL18" i="11" s="1"/>
  <c r="AI97" i="11"/>
  <c r="AJ97" i="11" s="1"/>
  <c r="AK97" i="11" s="1"/>
  <c r="AL97" i="11" s="1"/>
  <c r="AI82" i="11"/>
  <c r="AJ82" i="11" s="1"/>
  <c r="AK82" i="11" s="1"/>
  <c r="AL82" i="11" s="1"/>
  <c r="AI110" i="11"/>
  <c r="AJ110" i="11" s="1"/>
  <c r="AK110" i="11" s="1"/>
  <c r="AL110" i="11" s="1"/>
  <c r="AI60" i="11"/>
  <c r="AJ60" i="11" s="1"/>
  <c r="AK60" i="11" s="1"/>
  <c r="AL60" i="11" s="1"/>
  <c r="AI91" i="11"/>
  <c r="AJ91" i="11" s="1"/>
  <c r="AK91" i="11" s="1"/>
  <c r="AL91" i="11" s="1"/>
  <c r="AI81" i="11"/>
  <c r="AJ81" i="11" s="1"/>
  <c r="AK81" i="11" s="1"/>
  <c r="AL81" i="11" s="1"/>
  <c r="AI29" i="11"/>
  <c r="AJ29" i="11" s="1"/>
  <c r="AK29" i="11" s="1"/>
  <c r="AL29" i="11" s="1"/>
  <c r="AI74" i="11"/>
  <c r="AJ74" i="11" s="1"/>
  <c r="AK74" i="11" s="1"/>
  <c r="AL74" i="11" s="1"/>
  <c r="AI75" i="11"/>
  <c r="AJ75" i="11" s="1"/>
  <c r="AK75" i="11" s="1"/>
  <c r="AL75" i="11" s="1"/>
  <c r="AI102" i="11"/>
  <c r="AJ102" i="11" s="1"/>
  <c r="AK102" i="11" s="1"/>
  <c r="AL102" i="11" s="1"/>
  <c r="AI112" i="11"/>
  <c r="AJ112" i="11" s="1"/>
  <c r="AK112" i="11" s="1"/>
  <c r="AL112" i="11" s="1"/>
  <c r="AI105" i="11"/>
  <c r="AJ105" i="11" s="1"/>
  <c r="AK105" i="11" s="1"/>
  <c r="AL105" i="11" s="1"/>
  <c r="AI95" i="11"/>
  <c r="AJ95" i="11" s="1"/>
  <c r="AK95" i="11" s="1"/>
  <c r="AL95" i="11" s="1"/>
  <c r="AI70" i="11"/>
  <c r="AJ70" i="11" s="1"/>
  <c r="AK70" i="11" s="1"/>
  <c r="AL70" i="11" s="1"/>
  <c r="AI21" i="11"/>
  <c r="AJ21" i="11" s="1"/>
  <c r="AK21" i="11" s="1"/>
  <c r="AL21" i="11" s="1"/>
  <c r="AI26" i="11"/>
  <c r="AJ26" i="11" s="1"/>
  <c r="AK26" i="11" s="1"/>
  <c r="AL26" i="11" s="1"/>
  <c r="AI114" i="11"/>
  <c r="AJ114" i="11" s="1"/>
  <c r="AK114" i="11" s="1"/>
  <c r="AL114" i="11" s="1"/>
  <c r="AI98" i="11"/>
  <c r="AJ98" i="11" s="1"/>
  <c r="AK98" i="11" s="1"/>
  <c r="AL98" i="11" s="1"/>
  <c r="AI12" i="11"/>
  <c r="AJ12" i="11" s="1"/>
  <c r="AK12" i="11" s="1"/>
  <c r="AL12" i="11" s="1"/>
  <c r="AI87" i="11"/>
  <c r="AJ87" i="11" s="1"/>
  <c r="AK87" i="11" s="1"/>
  <c r="AL87" i="11" s="1"/>
  <c r="AI46" i="11"/>
  <c r="AJ46" i="11" s="1"/>
  <c r="AK46" i="11" s="1"/>
  <c r="AL46" i="11" s="1"/>
  <c r="AI22" i="11"/>
  <c r="AJ22" i="11" s="1"/>
  <c r="AK22" i="11" s="1"/>
  <c r="AL22" i="11" s="1"/>
  <c r="AI28" i="11"/>
  <c r="AJ28" i="11" s="1"/>
  <c r="AK28" i="11" s="1"/>
  <c r="AL28" i="11" s="1"/>
  <c r="AI36" i="11"/>
  <c r="AJ36" i="11" s="1"/>
  <c r="AK36" i="11" s="1"/>
  <c r="AL36" i="11" s="1"/>
  <c r="AI57" i="11"/>
  <c r="AJ57" i="11" s="1"/>
  <c r="AK57" i="11" s="1"/>
  <c r="AL57" i="11" s="1"/>
  <c r="AI51" i="11"/>
  <c r="AJ51" i="11" s="1"/>
  <c r="AK51" i="11" s="1"/>
  <c r="AL51" i="11" s="1"/>
  <c r="AI93" i="11"/>
  <c r="AJ93" i="11" s="1"/>
  <c r="AK93" i="11" s="1"/>
  <c r="AL93" i="11" s="1"/>
  <c r="AI32" i="11"/>
  <c r="AJ32" i="11" s="1"/>
  <c r="AK32" i="11" s="1"/>
  <c r="AL32" i="11" s="1"/>
  <c r="AI24" i="11"/>
  <c r="AJ24" i="11" s="1"/>
  <c r="AK24" i="11" s="1"/>
  <c r="AL24" i="11" s="1"/>
  <c r="AI99" i="11"/>
  <c r="AJ99" i="11" s="1"/>
  <c r="AK99" i="11" s="1"/>
  <c r="AL99" i="11" s="1"/>
  <c r="AI64" i="11"/>
  <c r="AJ64" i="11" s="1"/>
  <c r="AK64" i="11" s="1"/>
  <c r="AL64" i="11" s="1"/>
  <c r="AI115" i="11"/>
  <c r="AJ115" i="11" s="1"/>
  <c r="AK115" i="11" s="1"/>
  <c r="AL115" i="11" s="1"/>
  <c r="AI41" i="11"/>
  <c r="AJ41" i="11" s="1"/>
  <c r="AK41" i="11" s="1"/>
  <c r="AL41" i="11" s="1"/>
  <c r="AI65" i="11"/>
  <c r="AJ65" i="11" s="1"/>
  <c r="AK65" i="11" s="1"/>
  <c r="AL65" i="11" s="1"/>
  <c r="AI106" i="11"/>
  <c r="AJ106" i="11" s="1"/>
  <c r="AK106" i="11" s="1"/>
  <c r="AL106" i="11" s="1"/>
  <c r="AI101" i="11"/>
  <c r="AJ101" i="11" s="1"/>
  <c r="AK101" i="11" s="1"/>
  <c r="AL101" i="11" s="1"/>
  <c r="AI116" i="11"/>
  <c r="AJ116" i="11" s="1"/>
  <c r="AK116" i="11" s="1"/>
  <c r="AL116" i="11" s="1"/>
  <c r="AI104" i="11"/>
  <c r="AJ104" i="11" s="1"/>
  <c r="AK104" i="11" s="1"/>
  <c r="AL104" i="11" s="1"/>
  <c r="AI23" i="11"/>
  <c r="AJ23" i="11" s="1"/>
  <c r="AK23" i="11" s="1"/>
  <c r="AL23" i="11" s="1"/>
  <c r="AI49" i="11"/>
  <c r="AJ49" i="11" s="1"/>
  <c r="AK49" i="11" s="1"/>
  <c r="AL49" i="11" s="1"/>
  <c r="AI78" i="11"/>
  <c r="AJ78" i="11" s="1"/>
  <c r="AK78" i="11" s="1"/>
  <c r="AL78" i="11" s="1"/>
  <c r="AI47" i="11"/>
  <c r="AJ47" i="11" s="1"/>
  <c r="AK47" i="11" s="1"/>
  <c r="AL47" i="11" s="1"/>
  <c r="AI109" i="11"/>
  <c r="AJ109" i="11" s="1"/>
  <c r="AK109" i="11" s="1"/>
  <c r="AL109" i="11" s="1"/>
  <c r="AI90" i="11"/>
  <c r="AJ90" i="11" s="1"/>
  <c r="AK90" i="11" s="1"/>
  <c r="AL90" i="11" s="1"/>
  <c r="AI63" i="11"/>
  <c r="AJ63" i="11" s="1"/>
  <c r="AK63" i="11" s="1"/>
  <c r="AL63" i="11" s="1"/>
  <c r="AI11" i="11"/>
  <c r="AJ11" i="11" s="1"/>
  <c r="AK11" i="11" s="1"/>
  <c r="AL11" i="11" s="1"/>
  <c r="AI59" i="11"/>
  <c r="AJ59" i="11" s="1"/>
  <c r="AK59" i="11" s="1"/>
  <c r="AL59" i="11" s="1"/>
  <c r="AI34" i="11"/>
  <c r="AJ34" i="11" s="1"/>
  <c r="AK34" i="11" s="1"/>
  <c r="AL34" i="11" s="1"/>
  <c r="AI35" i="11"/>
  <c r="AJ35" i="11" s="1"/>
  <c r="AK35" i="11" s="1"/>
  <c r="AL35" i="11" s="1"/>
  <c r="AI54" i="11"/>
  <c r="AJ54" i="11" s="1"/>
  <c r="AK54" i="11" s="1"/>
  <c r="AL54" i="11" s="1"/>
  <c r="AI83" i="11"/>
  <c r="AJ83" i="11" s="1"/>
  <c r="AK83" i="11" s="1"/>
  <c r="AL83" i="11" s="1"/>
  <c r="AI19" i="11"/>
  <c r="AJ19" i="11" s="1"/>
  <c r="AK19" i="11" s="1"/>
  <c r="AL19" i="11" s="1"/>
  <c r="AI40" i="11"/>
  <c r="AJ40" i="11" s="1"/>
  <c r="AK40" i="11" s="1"/>
  <c r="AL40" i="11" s="1"/>
  <c r="AI88" i="11"/>
  <c r="AJ88" i="11" s="1"/>
  <c r="AK88" i="11" s="1"/>
  <c r="AL88" i="11" s="1"/>
  <c r="AI77" i="11"/>
  <c r="AJ77" i="11" s="1"/>
  <c r="AK77" i="11" s="1"/>
  <c r="AL77" i="11" s="1"/>
  <c r="AI25" i="11"/>
  <c r="AJ25" i="11" s="1"/>
  <c r="AK25" i="11" s="1"/>
  <c r="AL25" i="11" s="1"/>
  <c r="AI113" i="11"/>
  <c r="AJ113" i="11" s="1"/>
  <c r="AK113" i="11" s="1"/>
  <c r="AL113" i="11" s="1"/>
  <c r="AI66" i="11"/>
  <c r="AJ66" i="11" s="1"/>
  <c r="AK66" i="11" s="1"/>
  <c r="AL66" i="11" s="1"/>
  <c r="AI96" i="11"/>
  <c r="AJ96" i="11" s="1"/>
  <c r="AK96" i="11" s="1"/>
  <c r="AL96" i="11" s="1"/>
  <c r="AI160" i="1"/>
  <c r="AI9" i="18"/>
  <c r="AB9" i="18"/>
  <c r="AB17" i="18"/>
  <c r="AI168" i="1"/>
  <c r="AI165" i="1"/>
  <c r="Q179" i="1" s="1"/>
  <c r="AB18" i="18"/>
  <c r="AI169" i="1"/>
  <c r="AI167" i="1"/>
  <c r="AB23" i="18"/>
  <c r="AI23" i="18"/>
  <c r="AI174" i="1"/>
  <c r="AI26" i="18"/>
  <c r="AB26" i="18"/>
  <c r="AI177" i="1"/>
  <c r="AB12" i="18"/>
  <c r="AI12" i="18"/>
  <c r="AI163" i="1"/>
  <c r="AB25" i="18"/>
  <c r="AI25" i="18"/>
  <c r="AI176" i="1"/>
  <c r="AI170" i="1"/>
  <c r="AB19" i="18"/>
  <c r="AB24" i="18"/>
  <c r="AI24" i="18"/>
  <c r="AI175" i="1"/>
  <c r="AB8" i="18"/>
  <c r="AI8" i="18"/>
  <c r="AI159" i="1"/>
  <c r="AI162" i="1"/>
  <c r="AI11" i="18"/>
  <c r="AB11" i="18"/>
  <c r="AB21" i="18"/>
  <c r="AI172" i="1"/>
  <c r="AI10" i="18"/>
  <c r="AB10" i="18"/>
  <c r="AI161" i="1"/>
  <c r="AI166" i="1"/>
  <c r="AK10" i="11" l="1"/>
  <c r="AL10" i="11" s="1"/>
  <c r="AA10" i="11"/>
  <c r="CV5" i="1"/>
  <c r="CL5" i="1"/>
  <c r="CI13" i="1"/>
  <c r="CS13" i="1"/>
  <c r="CP14" i="1"/>
  <c r="CZ14" i="1"/>
  <c r="CL12" i="1"/>
  <c r="CV12" i="1"/>
  <c r="CI10" i="1"/>
  <c r="CS10" i="1"/>
  <c r="CI11" i="1"/>
  <c r="CS11" i="1"/>
  <c r="CL8" i="1"/>
  <c r="CV8" i="1"/>
  <c r="CN14" i="1"/>
  <c r="CX14" i="1"/>
  <c r="CK11" i="1"/>
  <c r="CU11" i="1"/>
  <c r="CL14" i="1"/>
  <c r="CV14" i="1"/>
  <c r="CH16" i="1"/>
  <c r="CR16" i="1"/>
  <c r="DA19" i="1"/>
  <c r="CQ19" i="1"/>
  <c r="CK14" i="1"/>
  <c r="CU14" i="1"/>
  <c r="CW16" i="1"/>
  <c r="CM16" i="1"/>
  <c r="CN12" i="1"/>
  <c r="CX12" i="1"/>
  <c r="CY13" i="1"/>
  <c r="CO13" i="1"/>
  <c r="CR14" i="1"/>
  <c r="CH14" i="1"/>
  <c r="CT16" i="1"/>
  <c r="CJ16" i="1"/>
  <c r="CT12" i="1"/>
  <c r="CJ12" i="1"/>
  <c r="CO19" i="1"/>
  <c r="CY19" i="1"/>
  <c r="CN10" i="1"/>
  <c r="CX10" i="1"/>
  <c r="CN11" i="1"/>
  <c r="CX11" i="1"/>
  <c r="CU13" i="1"/>
  <c r="CK13" i="1"/>
  <c r="DA16" i="1"/>
  <c r="CQ16" i="1"/>
  <c r="CK19" i="1"/>
  <c r="CU19" i="1"/>
  <c r="CL10" i="1"/>
  <c r="CV10" i="1"/>
  <c r="CR11" i="1"/>
  <c r="CH11" i="1"/>
  <c r="CT13" i="1"/>
  <c r="CJ13" i="1"/>
  <c r="L47" i="6"/>
  <c r="N45" i="6"/>
  <c r="CQ14" i="1"/>
  <c r="DA14" i="1"/>
  <c r="CR12" i="1"/>
  <c r="CH12" i="1"/>
  <c r="CJ19" i="1"/>
  <c r="CT19" i="1"/>
  <c r="DA10" i="1"/>
  <c r="CQ10" i="1"/>
  <c r="CT11" i="1"/>
  <c r="CJ11" i="1"/>
  <c r="CW14" i="1"/>
  <c r="CM14" i="1"/>
  <c r="CS16" i="1"/>
  <c r="CI16" i="1"/>
  <c r="CW12" i="1"/>
  <c r="CM12" i="1"/>
  <c r="CW10" i="1"/>
  <c r="CM10" i="1"/>
  <c r="CY8" i="1"/>
  <c r="CO8" i="1"/>
  <c r="CU12" i="1"/>
  <c r="CK12" i="1"/>
  <c r="CY14" i="1"/>
  <c r="CO14" i="1"/>
  <c r="CI12" i="1"/>
  <c r="CS12" i="1"/>
  <c r="CZ19" i="1"/>
  <c r="CP19" i="1"/>
  <c r="CV13" i="1"/>
  <c r="CL13" i="1"/>
  <c r="CT14" i="1"/>
  <c r="CJ14" i="1"/>
  <c r="CY12" i="1"/>
  <c r="CO12" i="1"/>
  <c r="DA11" i="1"/>
  <c r="CQ11" i="1"/>
  <c r="CP16" i="1"/>
  <c r="CZ16" i="1"/>
  <c r="CR19" i="1"/>
  <c r="CH19" i="1"/>
  <c r="CT10" i="1"/>
  <c r="CJ10" i="1"/>
  <c r="CY11" i="1"/>
  <c r="CO11" i="1"/>
  <c r="CR13" i="1"/>
  <c r="CH13" i="1"/>
  <c r="P45" i="6"/>
  <c r="CU16" i="1"/>
  <c r="CK16" i="1"/>
  <c r="CW19" i="1"/>
  <c r="CM19" i="1"/>
  <c r="CL11" i="1"/>
  <c r="CV11" i="1"/>
  <c r="DA13" i="1"/>
  <c r="CQ13" i="1"/>
  <c r="M47" i="6"/>
  <c r="CR10" i="1"/>
  <c r="CH10" i="1"/>
  <c r="CW11" i="1"/>
  <c r="CM11" i="1"/>
  <c r="CW13" i="1"/>
  <c r="CM13" i="1"/>
  <c r="P47" i="6"/>
  <c r="CN15" i="1"/>
  <c r="CX15" i="1"/>
  <c r="CY10" i="1"/>
  <c r="CO10" i="1"/>
  <c r="CS19" i="1"/>
  <c r="CI19" i="1"/>
  <c r="CK10" i="1"/>
  <c r="CU10" i="1"/>
  <c r="P49" i="6"/>
  <c r="M54" i="6"/>
  <c r="DA9" i="1"/>
  <c r="CQ9" i="1"/>
  <c r="CT17" i="1"/>
  <c r="CJ17" i="1"/>
  <c r="CO18" i="1"/>
  <c r="CY18" i="1"/>
  <c r="CM6" i="1"/>
  <c r="CW6" i="1"/>
  <c r="DA7" i="1"/>
  <c r="CQ7" i="1"/>
  <c r="CU7" i="1"/>
  <c r="CK7" i="1"/>
  <c r="CI7" i="1"/>
  <c r="CS7" i="1"/>
  <c r="Q49" i="6"/>
  <c r="R54" i="6"/>
  <c r="L54" i="6"/>
  <c r="CT9" i="1"/>
  <c r="CJ9" i="1"/>
  <c r="CP15" i="1"/>
  <c r="CZ15" i="1"/>
  <c r="CP8" i="1"/>
  <c r="CZ8" i="1"/>
  <c r="CY16" i="1"/>
  <c r="CO16" i="1"/>
  <c r="CP11" i="1"/>
  <c r="CZ11" i="1"/>
  <c r="CK8" i="1"/>
  <c r="CU8" i="1"/>
  <c r="CS17" i="1"/>
  <c r="CI17" i="1"/>
  <c r="CK6" i="1"/>
  <c r="CU6" i="1"/>
  <c r="CH15" i="1"/>
  <c r="CR15" i="1"/>
  <c r="CL17" i="1"/>
  <c r="CV17" i="1"/>
  <c r="J49" i="6"/>
  <c r="O47" i="6"/>
  <c r="CR9" i="1"/>
  <c r="CH9" i="1"/>
  <c r="CO17" i="1"/>
  <c r="CY17" i="1"/>
  <c r="DA18" i="1"/>
  <c r="CQ18" i="1"/>
  <c r="CP6" i="1"/>
  <c r="CZ6" i="1"/>
  <c r="CP7" i="1"/>
  <c r="CZ7" i="1"/>
  <c r="CR6" i="1"/>
  <c r="CH6" i="1"/>
  <c r="CN16" i="1"/>
  <c r="CX16" i="1"/>
  <c r="CN19" i="1"/>
  <c r="CX19" i="1"/>
  <c r="CL19" i="1"/>
  <c r="CV19" i="1"/>
  <c r="CN17" i="1"/>
  <c r="CX17" i="1"/>
  <c r="CT7" i="1"/>
  <c r="CJ7" i="1"/>
  <c r="Q46" i="6"/>
  <c r="CX9" i="1"/>
  <c r="CN9" i="1"/>
  <c r="CT15" i="1"/>
  <c r="CJ15" i="1"/>
  <c r="CS18" i="1"/>
  <c r="CI18" i="1"/>
  <c r="CL6" i="1"/>
  <c r="CV6" i="1"/>
  <c r="CL9" i="1"/>
  <c r="CV9" i="1"/>
  <c r="CW15" i="1"/>
  <c r="CM15" i="1"/>
  <c r="CW17" i="1"/>
  <c r="CM17" i="1"/>
  <c r="CR18" i="1"/>
  <c r="CH18" i="1"/>
  <c r="CT6" i="1"/>
  <c r="CJ6" i="1"/>
  <c r="CT8" i="1"/>
  <c r="CJ8" i="1"/>
  <c r="CP13" i="1"/>
  <c r="CZ13" i="1"/>
  <c r="DA12" i="1"/>
  <c r="CQ12" i="1"/>
  <c r="CL16" i="1"/>
  <c r="CV16" i="1"/>
  <c r="CY6" i="1"/>
  <c r="CO6" i="1"/>
  <c r="CY7" i="1"/>
  <c r="CO7" i="1"/>
  <c r="CX7" i="1"/>
  <c r="CN7" i="1"/>
  <c r="R46" i="6"/>
  <c r="S54" i="6"/>
  <c r="CJ18" i="1"/>
  <c r="CT18" i="1"/>
  <c r="CI6" i="1"/>
  <c r="CS6" i="1"/>
  <c r="DA8" i="1"/>
  <c r="CQ8" i="1"/>
  <c r="CL7" i="1"/>
  <c r="CV7" i="1"/>
  <c r="CP12" i="1"/>
  <c r="CZ12" i="1"/>
  <c r="CN13" i="1"/>
  <c r="CX13" i="1"/>
  <c r="CZ18" i="1"/>
  <c r="CP18" i="1"/>
  <c r="CY15" i="1"/>
  <c r="CO15" i="1"/>
  <c r="CM18" i="1"/>
  <c r="CW18" i="1"/>
  <c r="R48" i="6"/>
  <c r="N46" i="6"/>
  <c r="M45" i="6"/>
  <c r="CY9" i="1"/>
  <c r="CO9" i="1"/>
  <c r="CK15" i="1"/>
  <c r="CU15" i="1"/>
  <c r="DA17" i="1"/>
  <c r="CQ17" i="1"/>
  <c r="CR8" i="1"/>
  <c r="CH8" i="1"/>
  <c r="CI14" i="1"/>
  <c r="CS14" i="1"/>
  <c r="CV15" i="1"/>
  <c r="CL15" i="1"/>
  <c r="CK17" i="1"/>
  <c r="CU17" i="1"/>
  <c r="CU18" i="1"/>
  <c r="CK18" i="1"/>
  <c r="DA6" i="1"/>
  <c r="CQ6" i="1"/>
  <c r="CX8" i="1"/>
  <c r="CN8" i="1"/>
  <c r="CR7" i="1"/>
  <c r="CH7" i="1"/>
  <c r="CX6" i="1"/>
  <c r="CN6" i="1"/>
  <c r="CP10" i="1"/>
  <c r="CZ10" i="1"/>
  <c r="N50" i="6"/>
  <c r="CI9" i="1"/>
  <c r="CS9" i="1"/>
  <c r="CI15" i="1"/>
  <c r="CS15" i="1"/>
  <c r="M46" i="6"/>
  <c r="Q50" i="6"/>
  <c r="CP9" i="1"/>
  <c r="CZ9" i="1"/>
  <c r="CI8" i="1"/>
  <c r="CS8" i="1"/>
  <c r="P46" i="6"/>
  <c r="CK9" i="1"/>
  <c r="CU9" i="1"/>
  <c r="CP17" i="1"/>
  <c r="CZ17" i="1"/>
  <c r="CV18" i="1"/>
  <c r="CL18" i="1"/>
  <c r="DA15" i="1"/>
  <c r="CQ15" i="1"/>
  <c r="CW8" i="1"/>
  <c r="CM8" i="1"/>
  <c r="K54" i="6"/>
  <c r="R50" i="6"/>
  <c r="J45" i="6"/>
  <c r="J46" i="6"/>
  <c r="CW9" i="1"/>
  <c r="CM9" i="1"/>
  <c r="CR17" i="1"/>
  <c r="CH17" i="1"/>
  <c r="CN18" i="1"/>
  <c r="CX18" i="1"/>
  <c r="P53" i="6"/>
  <c r="CM7" i="1"/>
  <c r="CW7" i="1"/>
  <c r="CU5" i="1"/>
  <c r="CS5" i="1"/>
  <c r="CX5" i="1"/>
  <c r="CZ5" i="1"/>
  <c r="DA5" i="1"/>
  <c r="CR5" i="1"/>
  <c r="CY5" i="1"/>
  <c r="CK5" i="1"/>
  <c r="CI5" i="1"/>
  <c r="CN5" i="1"/>
  <c r="CP5" i="1"/>
  <c r="CQ5" i="1"/>
  <c r="CW5" i="1"/>
  <c r="CH5" i="1"/>
  <c r="CM5" i="1"/>
  <c r="CJ5" i="1"/>
  <c r="CT5" i="1"/>
  <c r="CO5" i="1"/>
  <c r="CB9" i="1"/>
  <c r="BV9" i="1"/>
  <c r="BZ9" i="1"/>
  <c r="BX9" i="1"/>
  <c r="CD9" i="1"/>
  <c r="BW9" i="1"/>
  <c r="BY9" i="1"/>
  <c r="BX18" i="1"/>
  <c r="S53" i="6"/>
  <c r="CC14" i="1"/>
  <c r="CC9" i="1"/>
  <c r="CF9" i="1"/>
  <c r="BW10" i="1"/>
  <c r="BV10" i="1"/>
  <c r="BY10" i="1"/>
  <c r="BW18" i="1"/>
  <c r="BO18" i="1"/>
  <c r="Q18" i="4" s="1"/>
  <c r="N53" i="6"/>
  <c r="CD18" i="1"/>
  <c r="CE18" i="1"/>
  <c r="BY18" i="1"/>
  <c r="CF18" i="1"/>
  <c r="CB18" i="1"/>
  <c r="AX11" i="1"/>
  <c r="BX10" i="1"/>
  <c r="BV18" i="1"/>
  <c r="Q53" i="6"/>
  <c r="BO9" i="1"/>
  <c r="Q9" i="4" s="1"/>
  <c r="BI9" i="1"/>
  <c r="P9" i="4" s="1"/>
  <c r="CD10" i="1"/>
  <c r="BX17" i="1"/>
  <c r="BV17" i="1"/>
  <c r="CC10" i="1"/>
  <c r="CE10" i="1"/>
  <c r="AX9" i="1"/>
  <c r="H44" i="6"/>
  <c r="Q45" i="6"/>
  <c r="CB11" i="1"/>
  <c r="AX10" i="1"/>
  <c r="BO11" i="1"/>
  <c r="Q11" i="4" s="1"/>
  <c r="O53" i="6"/>
  <c r="CB10" i="1"/>
  <c r="BZ18" i="1"/>
  <c r="K44" i="6"/>
  <c r="BO10" i="1"/>
  <c r="Q10" i="4" s="1"/>
  <c r="CE11" i="1"/>
  <c r="CC11" i="1"/>
  <c r="BI17" i="1"/>
  <c r="P17" i="4" s="1"/>
  <c r="BI11" i="1"/>
  <c r="P11" i="4" s="1"/>
  <c r="BI18" i="1"/>
  <c r="P18" i="4" s="1"/>
  <c r="P44" i="6"/>
  <c r="CE9" i="1"/>
  <c r="G46" i="6"/>
  <c r="F53" i="6"/>
  <c r="AX18" i="1"/>
  <c r="CF11" i="1"/>
  <c r="N44" i="6"/>
  <c r="CC18" i="1"/>
  <c r="BZ10" i="1"/>
  <c r="I45" i="6"/>
  <c r="BI10" i="1"/>
  <c r="P10" i="4" s="1"/>
  <c r="CF10" i="1"/>
  <c r="O45" i="6"/>
  <c r="BV11" i="1"/>
  <c r="BZ11" i="1"/>
  <c r="BW17" i="1"/>
  <c r="BY11" i="1"/>
  <c r="CC17" i="1"/>
  <c r="J47" i="6"/>
  <c r="BX11" i="1"/>
  <c r="CB14" i="1"/>
  <c r="CD11" i="1"/>
  <c r="CD17" i="1"/>
  <c r="BW11" i="1"/>
  <c r="AX17" i="1"/>
  <c r="CB17" i="1"/>
  <c r="BV14" i="1"/>
  <c r="E52" i="6"/>
  <c r="K46" i="6"/>
  <c r="R45" i="6"/>
  <c r="M49" i="6"/>
  <c r="CB15" i="1"/>
  <c r="N52" i="6"/>
  <c r="S52" i="6"/>
  <c r="G52" i="6"/>
  <c r="K52" i="6"/>
  <c r="P52" i="6"/>
  <c r="AX14" i="1"/>
  <c r="L52" i="6"/>
  <c r="S49" i="6"/>
  <c r="L49" i="6"/>
  <c r="R52" i="6"/>
  <c r="O52" i="6"/>
  <c r="N49" i="6"/>
  <c r="E49" i="6"/>
  <c r="CE17" i="1"/>
  <c r="CE14" i="1"/>
  <c r="BY17" i="1"/>
  <c r="BI14" i="1"/>
  <c r="P14" i="4" s="1"/>
  <c r="Q52" i="6"/>
  <c r="J52" i="6"/>
  <c r="BX14" i="1"/>
  <c r="BO17" i="1"/>
  <c r="Q17" i="4" s="1"/>
  <c r="BY14" i="1"/>
  <c r="BZ14" i="1"/>
  <c r="BV15" i="1"/>
  <c r="R49" i="6"/>
  <c r="BO14" i="1"/>
  <c r="Q14" i="4" s="1"/>
  <c r="CD14" i="1"/>
  <c r="BZ17" i="1"/>
  <c r="CF14" i="1"/>
  <c r="BW14" i="1"/>
  <c r="CF17" i="1"/>
  <c r="O49" i="6"/>
  <c r="P41" i="6"/>
  <c r="J40" i="6"/>
  <c r="AH186" i="1"/>
  <c r="Q201" i="1"/>
  <c r="Q180" i="1"/>
  <c r="Z14" i="18" s="1"/>
  <c r="B3" i="7"/>
  <c r="Q187" i="1"/>
  <c r="Q182" i="1"/>
  <c r="Q185" i="1"/>
  <c r="Q189" i="1"/>
  <c r="Q184" i="1"/>
  <c r="Q181" i="1"/>
  <c r="Q186" i="1"/>
  <c r="Q188" i="1"/>
  <c r="Q193" i="1"/>
  <c r="Q183" i="1"/>
  <c r="Q192" i="1"/>
  <c r="Q191" i="1"/>
  <c r="Q190" i="1"/>
  <c r="AD39" i="11"/>
  <c r="AB39" i="11" s="1"/>
  <c r="AD48" i="11"/>
  <c r="AB48" i="11" s="1"/>
  <c r="AD22" i="11"/>
  <c r="AB22" i="11" s="1"/>
  <c r="AD101" i="11"/>
  <c r="AB101" i="11" s="1"/>
  <c r="AD49" i="11"/>
  <c r="AB49" i="11" s="1"/>
  <c r="AD65" i="11"/>
  <c r="AB65" i="11" s="1"/>
  <c r="AD61" i="11"/>
  <c r="AB61" i="11" s="1"/>
  <c r="AD23" i="11"/>
  <c r="AB23" i="11" s="1"/>
  <c r="AD71" i="11"/>
  <c r="AB71" i="11" s="1"/>
  <c r="O41" i="6"/>
  <c r="AD105" i="11"/>
  <c r="AB105" i="11" s="1"/>
  <c r="M41" i="6"/>
  <c r="AD30" i="11"/>
  <c r="AB30" i="11" s="1"/>
  <c r="CF6" i="1"/>
  <c r="AD73" i="11"/>
  <c r="AB73" i="11" s="1"/>
  <c r="L41" i="6"/>
  <c r="AD80" i="11"/>
  <c r="AB80" i="11" s="1"/>
  <c r="AD69" i="11"/>
  <c r="AB69" i="11" s="1"/>
  <c r="AD103" i="11"/>
  <c r="AB103" i="11" s="1"/>
  <c r="AD110" i="11"/>
  <c r="AB110" i="11" s="1"/>
  <c r="AD36" i="11"/>
  <c r="AB36" i="11" s="1"/>
  <c r="AD21" i="11"/>
  <c r="AB21" i="11" s="1"/>
  <c r="BV6" i="1"/>
  <c r="AD14" i="11"/>
  <c r="AB14" i="11" s="1"/>
  <c r="AD109" i="11"/>
  <c r="AB109" i="11" s="1"/>
  <c r="AD55" i="11"/>
  <c r="AB55" i="11" s="1"/>
  <c r="AD100" i="11"/>
  <c r="AB100" i="11" s="1"/>
  <c r="AD99" i="11"/>
  <c r="AB99" i="11" s="1"/>
  <c r="AD52" i="11"/>
  <c r="AB52" i="11" s="1"/>
  <c r="AD111" i="11"/>
  <c r="AB111" i="11" s="1"/>
  <c r="I41" i="6"/>
  <c r="AD44" i="11"/>
  <c r="AB44" i="11" s="1"/>
  <c r="AD50" i="11"/>
  <c r="AB50" i="11" s="1"/>
  <c r="AD46" i="11"/>
  <c r="AB46" i="11" s="1"/>
  <c r="AD16" i="11"/>
  <c r="AB16" i="11" s="1"/>
  <c r="AD75" i="11"/>
  <c r="AB75" i="11" s="1"/>
  <c r="AD85" i="11"/>
  <c r="AB85" i="11" s="1"/>
  <c r="AD81" i="11"/>
  <c r="AB81" i="11" s="1"/>
  <c r="AD29" i="11"/>
  <c r="AB29" i="11" s="1"/>
  <c r="AD11" i="11"/>
  <c r="AB11" i="11" s="1"/>
  <c r="CD6" i="1"/>
  <c r="AD112" i="11"/>
  <c r="AB112" i="11" s="1"/>
  <c r="AD76" i="11"/>
  <c r="AB76" i="11" s="1"/>
  <c r="AD25" i="11"/>
  <c r="AB25" i="11" s="1"/>
  <c r="AD17" i="11"/>
  <c r="AB17" i="11" s="1"/>
  <c r="AD54" i="11"/>
  <c r="AB54" i="11" s="1"/>
  <c r="AD58" i="11"/>
  <c r="AB58" i="11" s="1"/>
  <c r="AD41" i="11"/>
  <c r="AB41" i="11" s="1"/>
  <c r="AD18" i="11"/>
  <c r="AB18" i="11" s="1"/>
  <c r="AD51" i="11"/>
  <c r="AB51" i="11" s="1"/>
  <c r="AD37" i="11"/>
  <c r="AB37" i="11" s="1"/>
  <c r="AD62" i="11"/>
  <c r="AB62" i="11" s="1"/>
  <c r="AD12" i="11"/>
  <c r="AB12" i="11" s="1"/>
  <c r="AD53" i="11"/>
  <c r="AB53" i="11" s="1"/>
  <c r="AD40" i="11"/>
  <c r="AB40" i="11" s="1"/>
  <c r="AD26" i="11"/>
  <c r="AB26" i="11" s="1"/>
  <c r="AD107" i="11"/>
  <c r="AB107" i="11" s="1"/>
  <c r="AD82" i="11"/>
  <c r="AB82" i="11" s="1"/>
  <c r="AD57" i="11"/>
  <c r="AB57" i="11" s="1"/>
  <c r="AD67" i="11"/>
  <c r="AB67" i="11" s="1"/>
  <c r="AD68" i="11"/>
  <c r="AB68" i="11" s="1"/>
  <c r="AD28" i="11"/>
  <c r="AB28" i="11" s="1"/>
  <c r="AD88" i="11"/>
  <c r="AB88" i="11" s="1"/>
  <c r="AD24" i="11"/>
  <c r="AB24" i="11" s="1"/>
  <c r="AD19" i="11"/>
  <c r="AB19" i="11" s="1"/>
  <c r="AD66" i="11"/>
  <c r="AB66" i="11" s="1"/>
  <c r="AD70" i="11"/>
  <c r="AB70" i="11" s="1"/>
  <c r="AD38" i="11"/>
  <c r="AB38" i="11" s="1"/>
  <c r="AD13" i="11"/>
  <c r="AB13" i="11" s="1"/>
  <c r="AD118" i="11"/>
  <c r="AB118" i="11" s="1"/>
  <c r="AD15" i="11"/>
  <c r="AB15" i="11" s="1"/>
  <c r="AD84" i="11"/>
  <c r="AB84" i="11" s="1"/>
  <c r="AD74" i="11"/>
  <c r="AB74" i="11" s="1"/>
  <c r="AD102" i="11"/>
  <c r="AB102" i="11" s="1"/>
  <c r="AD108" i="11"/>
  <c r="AB108" i="11" s="1"/>
  <c r="AD60" i="11"/>
  <c r="AB60" i="11" s="1"/>
  <c r="AD32" i="11"/>
  <c r="AB32" i="11" s="1"/>
  <c r="AD47" i="11"/>
  <c r="AB47" i="11" s="1"/>
  <c r="AD42" i="11"/>
  <c r="AB42" i="11" s="1"/>
  <c r="AD10" i="11"/>
  <c r="AB10" i="11" s="1"/>
  <c r="AD83" i="11"/>
  <c r="AB83" i="11" s="1"/>
  <c r="AD89" i="11"/>
  <c r="AB89" i="11" s="1"/>
  <c r="AD45" i="11"/>
  <c r="AB45" i="11" s="1"/>
  <c r="AD86" i="11"/>
  <c r="AB86" i="11" s="1"/>
  <c r="AD93" i="11"/>
  <c r="AB93" i="11" s="1"/>
  <c r="AD94" i="11"/>
  <c r="AB94" i="11" s="1"/>
  <c r="AD98" i="11"/>
  <c r="AB98" i="11" s="1"/>
  <c r="AD56" i="11"/>
  <c r="AB56" i="11" s="1"/>
  <c r="AD115" i="11"/>
  <c r="AB115" i="11" s="1"/>
  <c r="AD77" i="11"/>
  <c r="AB77" i="11" s="1"/>
  <c r="AD104" i="11"/>
  <c r="AB104" i="11" s="1"/>
  <c r="AD91" i="11"/>
  <c r="AB91" i="11" s="1"/>
  <c r="AD106" i="11"/>
  <c r="AB106" i="11" s="1"/>
  <c r="AD96" i="11"/>
  <c r="AB96" i="11" s="1"/>
  <c r="AD116" i="11"/>
  <c r="AB116" i="11" s="1"/>
  <c r="AD95" i="11"/>
  <c r="AB95" i="11" s="1"/>
  <c r="AD63" i="11"/>
  <c r="AB63" i="11" s="1"/>
  <c r="AD113" i="11"/>
  <c r="AB113" i="11" s="1"/>
  <c r="AX6" i="1"/>
  <c r="E41" i="6"/>
  <c r="BI6" i="1"/>
  <c r="P6" i="4" s="1"/>
  <c r="AD34" i="11"/>
  <c r="AB34" i="11" s="1"/>
  <c r="AD90" i="11"/>
  <c r="AB90" i="11" s="1"/>
  <c r="AD27" i="11"/>
  <c r="AB27" i="11" s="1"/>
  <c r="AD114" i="11"/>
  <c r="AB114" i="11" s="1"/>
  <c r="CB6" i="1"/>
  <c r="AD79" i="11"/>
  <c r="AB79" i="11" s="1"/>
  <c r="AD43" i="11"/>
  <c r="AB43" i="11" s="1"/>
  <c r="AD78" i="11"/>
  <c r="AB78" i="11" s="1"/>
  <c r="AD87" i="11"/>
  <c r="AB87" i="11" s="1"/>
  <c r="AD64" i="11"/>
  <c r="AB64" i="11" s="1"/>
  <c r="CE6" i="1"/>
  <c r="AD35" i="11"/>
  <c r="AB35" i="11" s="1"/>
  <c r="AD59" i="11"/>
  <c r="AB59" i="11" s="1"/>
  <c r="AD31" i="11"/>
  <c r="AB31" i="11" s="1"/>
  <c r="AD20" i="11"/>
  <c r="AB20" i="11" s="1"/>
  <c r="AD33" i="11"/>
  <c r="AB33" i="11" s="1"/>
  <c r="AD72" i="11"/>
  <c r="AB72" i="11" s="1"/>
  <c r="AD117" i="11"/>
  <c r="AB117" i="11" s="1"/>
  <c r="AD97" i="11"/>
  <c r="AB97" i="11" s="1"/>
  <c r="AD92" i="11"/>
  <c r="AB92" i="11" s="1"/>
  <c r="BO6" i="1"/>
  <c r="Q6" i="4" s="1"/>
  <c r="R41" i="6"/>
  <c r="BW6" i="1"/>
  <c r="CC6" i="1"/>
  <c r="BX6" i="1"/>
  <c r="BZ6" i="1"/>
  <c r="BY6" i="1"/>
  <c r="BW15" i="1"/>
  <c r="E126" i="5"/>
  <c r="E26" i="5" s="1"/>
  <c r="E27" i="5" s="1"/>
  <c r="AS43" i="1" s="1"/>
  <c r="AS62" i="1" s="1"/>
  <c r="BX15" i="1"/>
  <c r="BY15" i="1"/>
  <c r="CF12" i="1"/>
  <c r="CD12" i="1"/>
  <c r="BI15" i="1"/>
  <c r="P15" i="4" s="1"/>
  <c r="CC15" i="1"/>
  <c r="H50" i="6"/>
  <c r="S47" i="6"/>
  <c r="CD15" i="1"/>
  <c r="P50" i="6"/>
  <c r="CB12" i="1"/>
  <c r="I47" i="6"/>
  <c r="G47" i="6"/>
  <c r="BV12" i="1"/>
  <c r="AX12" i="1"/>
  <c r="AX15" i="1"/>
  <c r="BZ12" i="1"/>
  <c r="CE12" i="1"/>
  <c r="BY12" i="1"/>
  <c r="O54" i="6"/>
  <c r="BI12" i="1"/>
  <c r="P12" i="4" s="1"/>
  <c r="BW12" i="1"/>
  <c r="CC12" i="1"/>
  <c r="BX12" i="1"/>
  <c r="BO15" i="1"/>
  <c r="Q15" i="4" s="1"/>
  <c r="K50" i="6"/>
  <c r="CF15" i="1"/>
  <c r="CE15" i="1"/>
  <c r="BZ15" i="1"/>
  <c r="BO12" i="1"/>
  <c r="Q12" i="4" s="1"/>
  <c r="AV53" i="1"/>
  <c r="AV54" i="1" s="1"/>
  <c r="AV61" i="1" s="1"/>
  <c r="BY19" i="1"/>
  <c r="F18" i="10"/>
  <c r="CB19" i="1"/>
  <c r="BO19" i="1"/>
  <c r="Q19" i="4" s="1"/>
  <c r="H54" i="6"/>
  <c r="CD19" i="1"/>
  <c r="CF19" i="1"/>
  <c r="CE19" i="1"/>
  <c r="CC19" i="1"/>
  <c r="N54" i="6"/>
  <c r="Q54" i="6"/>
  <c r="T107" i="18"/>
  <c r="AJ23" i="18" s="1"/>
  <c r="BZ19" i="1"/>
  <c r="I54" i="6"/>
  <c r="BW19" i="1"/>
  <c r="D126" i="5"/>
  <c r="D26" i="5" s="1"/>
  <c r="AR42" i="1" s="1"/>
  <c r="AX19" i="1"/>
  <c r="J54" i="6"/>
  <c r="BI19" i="1"/>
  <c r="P19" i="4" s="1"/>
  <c r="AG28" i="18"/>
  <c r="BV19" i="1"/>
  <c r="BX19" i="1"/>
  <c r="AS51" i="1"/>
  <c r="D7" i="8" s="1"/>
  <c r="G126" i="5"/>
  <c r="G26" i="5" s="1"/>
  <c r="AU42" i="1" s="1"/>
  <c r="F126" i="5"/>
  <c r="F26" i="5" s="1"/>
  <c r="AT42" i="1" s="1"/>
  <c r="J124" i="5"/>
  <c r="AR51" i="1"/>
  <c r="C7" i="8" s="1"/>
  <c r="K48" i="6"/>
  <c r="BY13" i="1"/>
  <c r="CE13" i="1"/>
  <c r="H48" i="6"/>
  <c r="O48" i="6"/>
  <c r="BO13" i="1"/>
  <c r="Q13" i="4" s="1"/>
  <c r="J48" i="6"/>
  <c r="BI13" i="1"/>
  <c r="P13" i="4" s="1"/>
  <c r="L48" i="6"/>
  <c r="G48" i="6"/>
  <c r="BX13" i="1"/>
  <c r="CD13" i="1"/>
  <c r="N48" i="6"/>
  <c r="E48" i="6"/>
  <c r="CB13" i="1"/>
  <c r="AX13" i="1"/>
  <c r="BV13" i="1"/>
  <c r="S48" i="6"/>
  <c r="F48" i="6"/>
  <c r="BW13" i="1"/>
  <c r="CC13" i="1"/>
  <c r="Q48" i="6"/>
  <c r="I48" i="6"/>
  <c r="BZ13" i="1"/>
  <c r="CF13" i="1"/>
  <c r="P48" i="6"/>
  <c r="M48" i="6"/>
  <c r="J125" i="5"/>
  <c r="C126" i="5"/>
  <c r="C26" i="5" s="1"/>
  <c r="H107" i="18"/>
  <c r="AJ9" i="18" s="1"/>
  <c r="G107" i="18"/>
  <c r="AJ8" i="18" s="1"/>
  <c r="T32" i="4"/>
  <c r="I126" i="5"/>
  <c r="I26" i="5" s="1"/>
  <c r="AW53" i="1"/>
  <c r="BX5" i="1"/>
  <c r="R40" i="6"/>
  <c r="BV5" i="1"/>
  <c r="BL20" i="1"/>
  <c r="BL28" i="1" s="1"/>
  <c r="CE5" i="1"/>
  <c r="F52" i="18"/>
  <c r="Y52" i="18" s="1"/>
  <c r="F57" i="18"/>
  <c r="E28" i="18" s="1"/>
  <c r="F28" i="18" s="1"/>
  <c r="G40" i="6"/>
  <c r="CB5" i="1"/>
  <c r="F44" i="18"/>
  <c r="Y44" i="18" s="1"/>
  <c r="BW5" i="1"/>
  <c r="CD5" i="1"/>
  <c r="E40" i="6"/>
  <c r="BN20" i="1"/>
  <c r="BN28" i="1" s="1"/>
  <c r="AX5" i="1"/>
  <c r="O5" i="4" s="1"/>
  <c r="BY5" i="1"/>
  <c r="S40" i="6"/>
  <c r="K40" i="6"/>
  <c r="BJ20" i="1"/>
  <c r="BJ28" i="1" s="1"/>
  <c r="CC5" i="1"/>
  <c r="F55" i="18"/>
  <c r="E26" i="18" s="1"/>
  <c r="F26" i="18" s="1"/>
  <c r="F48" i="18"/>
  <c r="Y48" i="18" s="1"/>
  <c r="F37" i="18"/>
  <c r="Y37" i="18" s="1"/>
  <c r="I107" i="18"/>
  <c r="AJ10" i="18" s="1"/>
  <c r="F50" i="18"/>
  <c r="Y50" i="18" s="1"/>
  <c r="F54" i="18"/>
  <c r="E25" i="18" s="1"/>
  <c r="F25" i="18" s="1"/>
  <c r="F46" i="18"/>
  <c r="Y46" i="18" s="1"/>
  <c r="F45" i="18"/>
  <c r="E16" i="18" s="1"/>
  <c r="F16" i="18" s="1"/>
  <c r="F53" i="18"/>
  <c r="E24" i="18" s="1"/>
  <c r="F24" i="18" s="1"/>
  <c r="J107" i="18"/>
  <c r="AJ11" i="18" s="1"/>
  <c r="F39" i="18"/>
  <c r="E10" i="18" s="1"/>
  <c r="F10" i="18" s="1"/>
  <c r="F56" i="18"/>
  <c r="E27" i="18" s="1"/>
  <c r="F27" i="18" s="1"/>
  <c r="F47" i="18"/>
  <c r="Y47" i="18" s="1"/>
  <c r="F41" i="18"/>
  <c r="Y41" i="18" s="1"/>
  <c r="F43" i="18"/>
  <c r="Y43" i="18" s="1"/>
  <c r="F38" i="18"/>
  <c r="E9" i="18" s="1"/>
  <c r="F9" i="18" s="1"/>
  <c r="F42" i="18"/>
  <c r="E13" i="18" s="1"/>
  <c r="F13" i="18" s="1"/>
  <c r="F40" i="18"/>
  <c r="E11" i="18" s="1"/>
  <c r="F11" i="18" s="1"/>
  <c r="F49" i="18"/>
  <c r="Y49" i="18" s="1"/>
  <c r="BY16" i="1"/>
  <c r="CE16" i="1"/>
  <c r="H51" i="6"/>
  <c r="L51" i="6"/>
  <c r="N51" i="6"/>
  <c r="M51" i="6"/>
  <c r="L40" i="6"/>
  <c r="BI16" i="1"/>
  <c r="P16" i="4" s="1"/>
  <c r="J51" i="6"/>
  <c r="K51" i="6"/>
  <c r="K107" i="18"/>
  <c r="CF5" i="1"/>
  <c r="P51" i="6"/>
  <c r="BZ5" i="1"/>
  <c r="H27" i="5"/>
  <c r="AV43" i="1" s="1"/>
  <c r="AV62" i="1" s="1"/>
  <c r="G51" i="6"/>
  <c r="BX16" i="1"/>
  <c r="CD16" i="1"/>
  <c r="I40" i="6"/>
  <c r="F51" i="6"/>
  <c r="BW16" i="1"/>
  <c r="CC16" i="1"/>
  <c r="E51" i="6"/>
  <c r="BV16" i="1"/>
  <c r="AX16" i="1"/>
  <c r="CB16" i="1"/>
  <c r="B9" i="8"/>
  <c r="Q51" i="6"/>
  <c r="S51" i="6"/>
  <c r="R51" i="6"/>
  <c r="BI5" i="1"/>
  <c r="P5" i="4" s="1"/>
  <c r="I51" i="6"/>
  <c r="BZ16" i="1"/>
  <c r="CF16" i="1"/>
  <c r="BG20" i="1"/>
  <c r="BG28" i="1" s="1"/>
  <c r="BK20" i="1"/>
  <c r="BK28" i="1" s="1"/>
  <c r="BF20" i="1"/>
  <c r="BF28" i="1" s="1"/>
  <c r="O51" i="6"/>
  <c r="BO16" i="1"/>
  <c r="Q16" i="4" s="1"/>
  <c r="AV20" i="1"/>
  <c r="AT48" i="1" s="1"/>
  <c r="O40" i="6"/>
  <c r="M40" i="6"/>
  <c r="BO5" i="1"/>
  <c r="Q5" i="4" s="1"/>
  <c r="CB7" i="1"/>
  <c r="BV7" i="1"/>
  <c r="AX7" i="1"/>
  <c r="E42" i="6"/>
  <c r="R43" i="6"/>
  <c r="N42" i="6"/>
  <c r="J43" i="6"/>
  <c r="BI8" i="1"/>
  <c r="P8" i="4" s="1"/>
  <c r="E43" i="6"/>
  <c r="AX8" i="1"/>
  <c r="CB8" i="1"/>
  <c r="BV8" i="1"/>
  <c r="L42" i="6"/>
  <c r="R42" i="6"/>
  <c r="BH20" i="1"/>
  <c r="BH28" i="1" s="1"/>
  <c r="AS20" i="1"/>
  <c r="H42" i="6"/>
  <c r="BY7" i="1"/>
  <c r="CE7" i="1"/>
  <c r="P43" i="6"/>
  <c r="S42" i="6"/>
  <c r="G42" i="6"/>
  <c r="BX7" i="1"/>
  <c r="CD7" i="1"/>
  <c r="Q42" i="6"/>
  <c r="BO8" i="1"/>
  <c r="Q8" i="4" s="1"/>
  <c r="O43" i="6"/>
  <c r="K43" i="6"/>
  <c r="BE20" i="1"/>
  <c r="BE28" i="1" s="1"/>
  <c r="BZ7" i="1"/>
  <c r="CF7" i="1"/>
  <c r="I42" i="6"/>
  <c r="I43" i="6"/>
  <c r="CF8" i="1"/>
  <c r="BZ8" i="1"/>
  <c r="BM20" i="1"/>
  <c r="BM28" i="1" s="1"/>
  <c r="M42" i="6"/>
  <c r="Q43" i="6"/>
  <c r="BW7" i="1"/>
  <c r="CC7" i="1"/>
  <c r="F42" i="6"/>
  <c r="O42" i="6"/>
  <c r="BO7" i="1"/>
  <c r="Q7" i="4" s="1"/>
  <c r="L43" i="6"/>
  <c r="AU20" i="1"/>
  <c r="G43" i="6"/>
  <c r="CD8" i="1"/>
  <c r="BX8" i="1"/>
  <c r="P42" i="6"/>
  <c r="F43" i="6"/>
  <c r="CC8" i="1"/>
  <c r="BW8" i="1"/>
  <c r="AW20" i="1"/>
  <c r="M43" i="6"/>
  <c r="H43" i="6"/>
  <c r="BY8" i="1"/>
  <c r="CE8" i="1"/>
  <c r="K42" i="6"/>
  <c r="N43" i="6"/>
  <c r="BD20" i="1"/>
  <c r="AT20" i="1"/>
  <c r="J42" i="6"/>
  <c r="BI7" i="1"/>
  <c r="P7" i="4" s="1"/>
  <c r="S43" i="6"/>
  <c r="O12" i="4" l="1"/>
  <c r="DE12" i="1"/>
  <c r="DG12" i="1"/>
  <c r="O17" i="4"/>
  <c r="DE17" i="1"/>
  <c r="DG17" i="1"/>
  <c r="O11" i="4"/>
  <c r="DE11" i="1"/>
  <c r="DG11" i="1"/>
  <c r="O13" i="4"/>
  <c r="DG13" i="1"/>
  <c r="DE13" i="1"/>
  <c r="O6" i="4"/>
  <c r="DG6" i="1"/>
  <c r="DE6" i="1"/>
  <c r="O10" i="4"/>
  <c r="DE10" i="1"/>
  <c r="DG10" i="1"/>
  <c r="O7" i="4"/>
  <c r="DG7" i="1"/>
  <c r="DE7" i="1"/>
  <c r="O19" i="4"/>
  <c r="DE19" i="1"/>
  <c r="DG19" i="1"/>
  <c r="O14" i="4"/>
  <c r="DE14" i="1"/>
  <c r="DG14" i="1"/>
  <c r="O18" i="4"/>
  <c r="DE18" i="1"/>
  <c r="DG18" i="1"/>
  <c r="O9" i="4"/>
  <c r="DG9" i="1"/>
  <c r="DE9" i="1"/>
  <c r="O15" i="4"/>
  <c r="DE15" i="1"/>
  <c r="DG15" i="1"/>
  <c r="O8" i="4"/>
  <c r="DG8" i="1"/>
  <c r="DE8" i="1"/>
  <c r="DE5" i="1"/>
  <c r="O16" i="4"/>
  <c r="DE16" i="1"/>
  <c r="DG16" i="1"/>
  <c r="DG5" i="1"/>
  <c r="CA9" i="1"/>
  <c r="V9" i="4" s="1"/>
  <c r="CG9" i="1"/>
  <c r="W9" i="4" s="1"/>
  <c r="CG18" i="1"/>
  <c r="W18" i="4" s="1"/>
  <c r="CA18" i="1"/>
  <c r="V18" i="4" s="1"/>
  <c r="CA10" i="1"/>
  <c r="V10" i="4" s="1"/>
  <c r="CG10" i="1"/>
  <c r="W10" i="4" s="1"/>
  <c r="CA11" i="1"/>
  <c r="V11" i="4" s="1"/>
  <c r="CA14" i="1"/>
  <c r="V14" i="4" s="1"/>
  <c r="CA17" i="1"/>
  <c r="V17" i="4" s="1"/>
  <c r="CG11" i="1"/>
  <c r="W11" i="4" s="1"/>
  <c r="CG14" i="1"/>
  <c r="W14" i="4" s="1"/>
  <c r="CG17" i="1"/>
  <c r="W17" i="4" s="1"/>
  <c r="CH20" i="1"/>
  <c r="Z16" i="18"/>
  <c r="AB16" i="18" s="1"/>
  <c r="Z17" i="18"/>
  <c r="Z21" i="18"/>
  <c r="Z18" i="18"/>
  <c r="Z19" i="18"/>
  <c r="Z20" i="18"/>
  <c r="B4" i="7"/>
  <c r="Z15" i="18"/>
  <c r="AA171" i="1"/>
  <c r="AA166" i="1"/>
  <c r="AA167" i="1"/>
  <c r="AA168" i="1"/>
  <c r="AA169" i="1"/>
  <c r="AA170" i="1"/>
  <c r="AA172" i="1"/>
  <c r="L32" i="18"/>
  <c r="AB14" i="18"/>
  <c r="AI14" i="18"/>
  <c r="B11" i="7"/>
  <c r="B16" i="7"/>
  <c r="B5" i="7"/>
  <c r="B14" i="7"/>
  <c r="B6" i="7"/>
  <c r="B9" i="7"/>
  <c r="B10" i="7"/>
  <c r="B12" i="7"/>
  <c r="B15" i="7"/>
  <c r="B7" i="7"/>
  <c r="B13" i="7"/>
  <c r="B17" i="7"/>
  <c r="B8" i="7"/>
  <c r="O179" i="1"/>
  <c r="AA165" i="1"/>
  <c r="CG6" i="1"/>
  <c r="W6" i="4" s="1"/>
  <c r="CA6" i="1"/>
  <c r="V6" i="4" s="1"/>
  <c r="AS42" i="1"/>
  <c r="CA15" i="1"/>
  <c r="V15" i="4" s="1"/>
  <c r="AX53" i="1"/>
  <c r="CG12" i="1"/>
  <c r="W12" i="4" s="1"/>
  <c r="CG15" i="1"/>
  <c r="W15" i="4" s="1"/>
  <c r="CA12" i="1"/>
  <c r="V12" i="4" s="1"/>
  <c r="CG19" i="1"/>
  <c r="W19" i="4" s="1"/>
  <c r="G9" i="8"/>
  <c r="F27" i="5"/>
  <c r="AT43" i="1" s="1"/>
  <c r="AT62" i="1" s="1"/>
  <c r="E15" i="8" s="1"/>
  <c r="CA19" i="1"/>
  <c r="V19" i="4" s="1"/>
  <c r="D27" i="5"/>
  <c r="AR43" i="1" s="1"/>
  <c r="AR62" i="1" s="1"/>
  <c r="C15" i="8" s="1"/>
  <c r="I7" i="8"/>
  <c r="G27" i="5"/>
  <c r="AU43" i="1" s="1"/>
  <c r="AU62" i="1" s="1"/>
  <c r="AU65" i="1" s="1"/>
  <c r="AX51" i="1"/>
  <c r="CA13" i="1"/>
  <c r="V13" i="4" s="1"/>
  <c r="CG13" i="1"/>
  <c r="W13" i="4" s="1"/>
  <c r="J126" i="5"/>
  <c r="CI20" i="1"/>
  <c r="CO20" i="1"/>
  <c r="AW54" i="1"/>
  <c r="AW61" i="1" s="1"/>
  <c r="H9" i="8"/>
  <c r="P55" i="6"/>
  <c r="AW42" i="1"/>
  <c r="I27" i="5"/>
  <c r="AW43" i="1" s="1"/>
  <c r="AW62" i="1" s="1"/>
  <c r="CY20" i="1"/>
  <c r="R55" i="6"/>
  <c r="CA16" i="1"/>
  <c r="V16" i="4" s="1"/>
  <c r="CF20" i="1"/>
  <c r="AU49" i="1" s="1"/>
  <c r="F4" i="8" s="1"/>
  <c r="J55" i="6"/>
  <c r="H55" i="6"/>
  <c r="Q55" i="6"/>
  <c r="BX20" i="1"/>
  <c r="CG16" i="1"/>
  <c r="W16" i="4" s="1"/>
  <c r="K55" i="6"/>
  <c r="CS20" i="1"/>
  <c r="E23" i="18"/>
  <c r="F23" i="18" s="1"/>
  <c r="DA20" i="1"/>
  <c r="CD20" i="1"/>
  <c r="AS49" i="1" s="1"/>
  <c r="D4" i="8" s="1"/>
  <c r="G55" i="6"/>
  <c r="E12" i="18"/>
  <c r="F12" i="18" s="1"/>
  <c r="E14" i="18"/>
  <c r="F14" i="18" s="1"/>
  <c r="Y57" i="18"/>
  <c r="CT20" i="1"/>
  <c r="CL20" i="1"/>
  <c r="CA5" i="1"/>
  <c r="V5" i="4" s="1"/>
  <c r="M55" i="6"/>
  <c r="E55" i="6"/>
  <c r="CU20" i="1"/>
  <c r="Y54" i="18"/>
  <c r="CK20" i="1"/>
  <c r="E19" i="18"/>
  <c r="F19" i="18" s="1"/>
  <c r="CG5" i="1"/>
  <c r="W5" i="4" s="1"/>
  <c r="E15" i="18"/>
  <c r="F15" i="18" s="1"/>
  <c r="Y55" i="18"/>
  <c r="BO28" i="1"/>
  <c r="BO20" i="1"/>
  <c r="BZ20" i="1"/>
  <c r="BZ21" i="1" s="1"/>
  <c r="BZ22" i="1" s="1"/>
  <c r="E21" i="18"/>
  <c r="F21" i="18" s="1"/>
  <c r="Y56" i="18"/>
  <c r="Y45" i="18"/>
  <c r="Y39" i="18"/>
  <c r="E17" i="18"/>
  <c r="F17" i="18" s="1"/>
  <c r="E8" i="18"/>
  <c r="F8" i="18" s="1"/>
  <c r="Y53" i="18"/>
  <c r="Y38" i="18"/>
  <c r="Y42" i="18"/>
  <c r="E20" i="18"/>
  <c r="F20" i="18" s="1"/>
  <c r="E18" i="18"/>
  <c r="F18" i="18" s="1"/>
  <c r="AJ12" i="18"/>
  <c r="Y40" i="18"/>
  <c r="CZ20" i="1"/>
  <c r="S55" i="6"/>
  <c r="D15" i="8"/>
  <c r="AS65" i="1"/>
  <c r="AV63" i="1"/>
  <c r="G14" i="8"/>
  <c r="CQ20" i="1"/>
  <c r="AQ42" i="1"/>
  <c r="J26" i="5"/>
  <c r="AX42" i="1" s="1"/>
  <c r="C27" i="5"/>
  <c r="CJ20" i="1"/>
  <c r="I55" i="6"/>
  <c r="CM20" i="1"/>
  <c r="CC20" i="1"/>
  <c r="AR49" i="1" s="1"/>
  <c r="C4" i="8" s="1"/>
  <c r="L55" i="6"/>
  <c r="F55" i="6"/>
  <c r="CP20" i="1"/>
  <c r="G15" i="8"/>
  <c r="AV65" i="1"/>
  <c r="CW20" i="1"/>
  <c r="P20" i="4"/>
  <c r="CV20" i="1"/>
  <c r="CR20" i="1"/>
  <c r="CE20" i="1"/>
  <c r="AT49" i="1" s="1"/>
  <c r="E4" i="8" s="1"/>
  <c r="BW20" i="1"/>
  <c r="BW21" i="1" s="1"/>
  <c r="BW22" i="1" s="1"/>
  <c r="N55" i="6"/>
  <c r="CN20" i="1"/>
  <c r="CX20" i="1"/>
  <c r="BY20" i="1"/>
  <c r="BY21" i="1" s="1"/>
  <c r="BY22" i="1" s="1"/>
  <c r="Q20" i="4"/>
  <c r="O55" i="6"/>
  <c r="BD28" i="1"/>
  <c r="BI20" i="1"/>
  <c r="AU48" i="1"/>
  <c r="AR48" i="1"/>
  <c r="CG7" i="1"/>
  <c r="W7" i="4" s="1"/>
  <c r="CA7" i="1"/>
  <c r="V7" i="4" s="1"/>
  <c r="CG8" i="1"/>
  <c r="W8" i="4" s="1"/>
  <c r="AS48" i="1"/>
  <c r="CA8" i="1"/>
  <c r="V8" i="4" s="1"/>
  <c r="AQ48" i="1"/>
  <c r="AX20" i="1"/>
  <c r="E3" i="8"/>
  <c r="BV20" i="1"/>
  <c r="CB20" i="1"/>
  <c r="AX21" i="1"/>
  <c r="R32" i="18" l="1"/>
  <c r="AI20" i="18"/>
  <c r="Q32" i="18"/>
  <c r="AI19" i="18"/>
  <c r="S32" i="18"/>
  <c r="AI21" i="18"/>
  <c r="M32" i="18"/>
  <c r="AB15" i="18"/>
  <c r="AI15" i="18"/>
  <c r="P32" i="18"/>
  <c r="AI18" i="18"/>
  <c r="O32" i="18"/>
  <c r="AI17" i="18"/>
  <c r="N32" i="18"/>
  <c r="AI16" i="18"/>
  <c r="AF18" i="18"/>
  <c r="P85" i="18" s="1"/>
  <c r="AG169" i="1"/>
  <c r="AF17" i="18"/>
  <c r="O85" i="18" s="1"/>
  <c r="AG168" i="1"/>
  <c r="AG172" i="1"/>
  <c r="AF21" i="18"/>
  <c r="S85" i="18" s="1"/>
  <c r="AF16" i="18"/>
  <c r="N85" i="18" s="1"/>
  <c r="AG167" i="1"/>
  <c r="AF19" i="18"/>
  <c r="Q85" i="18" s="1"/>
  <c r="AG170" i="1"/>
  <c r="AF15" i="18"/>
  <c r="M85" i="18" s="1"/>
  <c r="AG166" i="1"/>
  <c r="AF20" i="18"/>
  <c r="R85" i="18" s="1"/>
  <c r="AG171" i="1"/>
  <c r="AF14" i="18"/>
  <c r="L85" i="18" s="1"/>
  <c r="AG165" i="1"/>
  <c r="AX31" i="1"/>
  <c r="AR65" i="1"/>
  <c r="AT65" i="1"/>
  <c r="I9" i="8"/>
  <c r="BG29" i="1"/>
  <c r="M56" i="6" s="1"/>
  <c r="F15" i="8"/>
  <c r="BE29" i="1"/>
  <c r="K56" i="6" s="1"/>
  <c r="CF21" i="1"/>
  <c r="CF22" i="1" s="1"/>
  <c r="AW65" i="1"/>
  <c r="H15" i="8"/>
  <c r="CS22" i="1"/>
  <c r="L29" i="4" s="1"/>
  <c r="AU35" i="1"/>
  <c r="G56" i="6" s="1"/>
  <c r="CD21" i="1"/>
  <c r="CD22" i="1" s="1"/>
  <c r="AW63" i="1"/>
  <c r="H14" i="8"/>
  <c r="BL29" i="1"/>
  <c r="BX21" i="1"/>
  <c r="BX22" i="1" s="1"/>
  <c r="BH29" i="1"/>
  <c r="N56" i="6" s="1"/>
  <c r="BN29" i="1"/>
  <c r="BN30" i="1" s="1"/>
  <c r="E8" i="6" s="1"/>
  <c r="AJ20" i="6" s="1"/>
  <c r="AW35" i="1"/>
  <c r="I56" i="6" s="1"/>
  <c r="BJ29" i="1"/>
  <c r="O56" i="6" s="1"/>
  <c r="CX22" i="1"/>
  <c r="M29" i="4" s="1"/>
  <c r="BF29" i="1"/>
  <c r="BF30" i="1" s="1"/>
  <c r="D6" i="6" s="1"/>
  <c r="CN22" i="1"/>
  <c r="AH190" i="1" s="1"/>
  <c r="Y58" i="18"/>
  <c r="AJ28" i="18" s="1"/>
  <c r="BD29" i="1"/>
  <c r="CI22" i="1"/>
  <c r="BM29" i="1"/>
  <c r="AQ43" i="1"/>
  <c r="AQ62" i="1" s="1"/>
  <c r="J27" i="5"/>
  <c r="AX43" i="1" s="1"/>
  <c r="AT35" i="1"/>
  <c r="F56" i="6" s="1"/>
  <c r="DG20" i="1"/>
  <c r="DG23" i="1" s="1"/>
  <c r="DE20" i="1"/>
  <c r="DE24" i="1" s="1"/>
  <c r="AV35" i="1"/>
  <c r="AV36" i="1" s="1"/>
  <c r="C7" i="6" s="1"/>
  <c r="BK29" i="1"/>
  <c r="CC21" i="1"/>
  <c r="CC22" i="1" s="1"/>
  <c r="AV66" i="1"/>
  <c r="G16" i="8"/>
  <c r="CE21" i="1"/>
  <c r="CE22" i="1" s="1"/>
  <c r="O20" i="4"/>
  <c r="AT54" i="1"/>
  <c r="AT61" i="1" s="1"/>
  <c r="E14" i="8" s="1"/>
  <c r="AQ49" i="1"/>
  <c r="AQ54" i="1" s="1"/>
  <c r="CB21" i="1"/>
  <c r="CA20" i="1"/>
  <c r="BV21" i="1"/>
  <c r="AS35" i="1"/>
  <c r="C3" i="8"/>
  <c r="AR54" i="1"/>
  <c r="AR61" i="1" s="1"/>
  <c r="D3" i="8"/>
  <c r="AS54" i="1"/>
  <c r="AS61" i="1" s="1"/>
  <c r="V20" i="4"/>
  <c r="B3" i="8"/>
  <c r="AX48" i="1"/>
  <c r="W20" i="4"/>
  <c r="CG20" i="1"/>
  <c r="F9" i="10"/>
  <c r="F3" i="8"/>
  <c r="AU54" i="1"/>
  <c r="AU61" i="1" s="1"/>
  <c r="BI28" i="1"/>
  <c r="AG186" i="1" l="1"/>
  <c r="AG190" i="1" s="1"/>
  <c r="R98" i="18"/>
  <c r="R105" i="18"/>
  <c r="R101" i="18"/>
  <c r="R97" i="18"/>
  <c r="R89" i="18"/>
  <c r="R87" i="18"/>
  <c r="R92" i="18"/>
  <c r="R99" i="18"/>
  <c r="R93" i="18"/>
  <c r="R106" i="18"/>
  <c r="R88" i="18"/>
  <c r="R96" i="18"/>
  <c r="R103" i="18"/>
  <c r="R91" i="18"/>
  <c r="R102" i="18"/>
  <c r="R90" i="18"/>
  <c r="R104" i="18"/>
  <c r="R86" i="18"/>
  <c r="R94" i="18"/>
  <c r="R95" i="18"/>
  <c r="M97" i="18"/>
  <c r="M102" i="18"/>
  <c r="M88" i="18"/>
  <c r="M96" i="18"/>
  <c r="M87" i="18"/>
  <c r="M89" i="18"/>
  <c r="M91" i="18"/>
  <c r="M98" i="18"/>
  <c r="M86" i="18"/>
  <c r="M95" i="18"/>
  <c r="M101" i="18"/>
  <c r="M90" i="18"/>
  <c r="M92" i="18"/>
  <c r="M93" i="18"/>
  <c r="M104" i="18"/>
  <c r="M106" i="18"/>
  <c r="M105" i="18"/>
  <c r="M103" i="18"/>
  <c r="M94" i="18"/>
  <c r="M99" i="18"/>
  <c r="Q94" i="18"/>
  <c r="Q106" i="18"/>
  <c r="Q91" i="18"/>
  <c r="Q89" i="18"/>
  <c r="Q90" i="18"/>
  <c r="Q86" i="18"/>
  <c r="Q95" i="18"/>
  <c r="Q87" i="18"/>
  <c r="Q104" i="18"/>
  <c r="Q105" i="18"/>
  <c r="Q103" i="18"/>
  <c r="Q98" i="18"/>
  <c r="Q99" i="18"/>
  <c r="Q93" i="18"/>
  <c r="Q96" i="18"/>
  <c r="Q101" i="18"/>
  <c r="Q102" i="18"/>
  <c r="Q88" i="18"/>
  <c r="Q97" i="18"/>
  <c r="Q92" i="18"/>
  <c r="N90" i="18"/>
  <c r="N99" i="18"/>
  <c r="N88" i="18"/>
  <c r="N86" i="18"/>
  <c r="N105" i="18"/>
  <c r="N96" i="18"/>
  <c r="N92" i="18"/>
  <c r="N106" i="18"/>
  <c r="N95" i="18"/>
  <c r="N104" i="18"/>
  <c r="N103" i="18"/>
  <c r="N97" i="18"/>
  <c r="N93" i="18"/>
  <c r="N101" i="18"/>
  <c r="N89" i="18"/>
  <c r="N98" i="18"/>
  <c r="N94" i="18"/>
  <c r="N102" i="18"/>
  <c r="N91" i="18"/>
  <c r="N87" i="18"/>
  <c r="S94" i="18"/>
  <c r="S90" i="18"/>
  <c r="S95" i="18"/>
  <c r="S93" i="18"/>
  <c r="S104" i="18"/>
  <c r="S99" i="18"/>
  <c r="S98" i="18"/>
  <c r="S103" i="18"/>
  <c r="S89" i="18"/>
  <c r="S101" i="18"/>
  <c r="S87" i="18"/>
  <c r="S88" i="18"/>
  <c r="S92" i="18"/>
  <c r="S106" i="18"/>
  <c r="S105" i="18"/>
  <c r="S96" i="18"/>
  <c r="S91" i="18"/>
  <c r="S97" i="18"/>
  <c r="S102" i="18"/>
  <c r="S86" i="18"/>
  <c r="O87" i="18"/>
  <c r="O104" i="18"/>
  <c r="O98" i="18"/>
  <c r="O93" i="18"/>
  <c r="O92" i="18"/>
  <c r="O99" i="18"/>
  <c r="O94" i="18"/>
  <c r="O88" i="18"/>
  <c r="O89" i="18"/>
  <c r="O97" i="18"/>
  <c r="O90" i="18"/>
  <c r="O103" i="18"/>
  <c r="O95" i="18"/>
  <c r="O91" i="18"/>
  <c r="O105" i="18"/>
  <c r="O106" i="18"/>
  <c r="O86" i="18"/>
  <c r="O96" i="18"/>
  <c r="O101" i="18"/>
  <c r="O102" i="18"/>
  <c r="P87" i="18"/>
  <c r="P102" i="18"/>
  <c r="P95" i="18"/>
  <c r="P104" i="18"/>
  <c r="P86" i="18"/>
  <c r="P89" i="18"/>
  <c r="P101" i="18"/>
  <c r="P105" i="18"/>
  <c r="P103" i="18"/>
  <c r="P99" i="18"/>
  <c r="P94" i="18"/>
  <c r="P88" i="18"/>
  <c r="P91" i="18"/>
  <c r="P98" i="18"/>
  <c r="P92" i="18"/>
  <c r="P96" i="18"/>
  <c r="P97" i="18"/>
  <c r="P106" i="18"/>
  <c r="P93" i="18"/>
  <c r="P90" i="18"/>
  <c r="L97" i="18"/>
  <c r="L93" i="18"/>
  <c r="L101" i="18"/>
  <c r="L95" i="18"/>
  <c r="L103" i="18"/>
  <c r="L89" i="18"/>
  <c r="L94" i="18"/>
  <c r="L106" i="18"/>
  <c r="L105" i="18"/>
  <c r="L92" i="18"/>
  <c r="L98" i="18"/>
  <c r="L99" i="18"/>
  <c r="L102" i="18"/>
  <c r="L90" i="18"/>
  <c r="L87" i="18"/>
  <c r="L88" i="18"/>
  <c r="L104" i="18"/>
  <c r="L86" i="18"/>
  <c r="L96" i="18"/>
  <c r="L91" i="18"/>
  <c r="AU36" i="1"/>
  <c r="C6" i="6" s="1"/>
  <c r="AR18" i="6" s="1"/>
  <c r="AS18" i="6" s="1"/>
  <c r="AT18" i="6" s="1"/>
  <c r="BE30" i="1"/>
  <c r="D5" i="6" s="1"/>
  <c r="AI17" i="6" s="1"/>
  <c r="BG30" i="1"/>
  <c r="D7" i="6" s="1"/>
  <c r="AC19" i="6" s="1"/>
  <c r="S56" i="6"/>
  <c r="BL30" i="1"/>
  <c r="E6" i="6" s="1"/>
  <c r="Q56" i="6"/>
  <c r="AW66" i="1"/>
  <c r="H16" i="8"/>
  <c r="BH30" i="1"/>
  <c r="D8" i="6" s="1"/>
  <c r="BI29" i="1"/>
  <c r="L56" i="6"/>
  <c r="AW36" i="1"/>
  <c r="C8" i="6" s="1"/>
  <c r="Z20" i="6" s="1"/>
  <c r="BJ30" i="1"/>
  <c r="E4" i="6" s="1"/>
  <c r="BD30" i="1"/>
  <c r="D4" i="6" s="1"/>
  <c r="J56" i="6"/>
  <c r="AD20" i="6"/>
  <c r="BO29" i="1"/>
  <c r="AB33" i="6"/>
  <c r="AV20" i="6"/>
  <c r="AP20" i="6"/>
  <c r="AT36" i="1"/>
  <c r="C5" i="6" s="1"/>
  <c r="AR17" i="6" s="1"/>
  <c r="DG24" i="1"/>
  <c r="H56" i="6"/>
  <c r="AT63" i="1"/>
  <c r="E16" i="8" s="1"/>
  <c r="DE23" i="1"/>
  <c r="R56" i="6"/>
  <c r="BM30" i="1"/>
  <c r="E7" i="6" s="1"/>
  <c r="I3" i="8"/>
  <c r="P56" i="6"/>
  <c r="BK30" i="1"/>
  <c r="E5" i="6" s="1"/>
  <c r="AV73" i="1"/>
  <c r="G18" i="8"/>
  <c r="B15" i="8"/>
  <c r="I15" i="8" s="1"/>
  <c r="AX62" i="1"/>
  <c r="AQ65" i="1"/>
  <c r="AX65" i="1" s="1"/>
  <c r="F13" i="10" s="1"/>
  <c r="F14" i="8"/>
  <c r="AU63" i="1"/>
  <c r="CB22" i="1"/>
  <c r="CG22" i="1" s="1"/>
  <c r="K29" i="4" s="1"/>
  <c r="CG21" i="1"/>
  <c r="J29" i="4" s="1"/>
  <c r="AL19" i="6"/>
  <c r="Z19" i="6"/>
  <c r="AF19" i="6"/>
  <c r="AR19" i="6"/>
  <c r="BV22" i="1"/>
  <c r="CA22" i="1" s="1"/>
  <c r="CA21" i="1"/>
  <c r="AU18" i="6"/>
  <c r="AC18" i="6"/>
  <c r="AO18" i="6"/>
  <c r="AI18" i="6"/>
  <c r="E56" i="6"/>
  <c r="AX35" i="1"/>
  <c r="AS36" i="1"/>
  <c r="B4" i="8"/>
  <c r="I4" i="8" s="1"/>
  <c r="AX49" i="1"/>
  <c r="AX54" i="1" s="1"/>
  <c r="C14" i="8"/>
  <c r="AR63" i="1"/>
  <c r="AQ61" i="1"/>
  <c r="BA54" i="1"/>
  <c r="D14" i="8"/>
  <c r="AS63" i="1"/>
  <c r="I29" i="4"/>
  <c r="AX30" i="1"/>
  <c r="E17" i="6" l="1"/>
  <c r="L17" i="6" s="1"/>
  <c r="J163" i="1" s="1"/>
  <c r="P163" i="1" s="1"/>
  <c r="F104" i="18"/>
  <c r="F94" i="18"/>
  <c r="F87" i="18"/>
  <c r="F96" i="18"/>
  <c r="M107" i="18"/>
  <c r="AJ15" i="18" s="1"/>
  <c r="F92" i="18"/>
  <c r="N107" i="18"/>
  <c r="AJ16" i="18" s="1"/>
  <c r="R107" i="18"/>
  <c r="AJ20" i="18" s="1"/>
  <c r="F95" i="18"/>
  <c r="F101" i="18"/>
  <c r="F93" i="18"/>
  <c r="F88" i="18"/>
  <c r="P107" i="18"/>
  <c r="AJ18" i="18" s="1"/>
  <c r="F99" i="18"/>
  <c r="F98" i="18"/>
  <c r="F105" i="18"/>
  <c r="F103" i="18"/>
  <c r="Q107" i="18"/>
  <c r="AJ19" i="18" s="1"/>
  <c r="S107" i="18"/>
  <c r="AJ21" i="18" s="1"/>
  <c r="O107" i="18"/>
  <c r="AJ17" i="18" s="1"/>
  <c r="F90" i="18"/>
  <c r="F106" i="18"/>
  <c r="F89" i="18"/>
  <c r="F97" i="18"/>
  <c r="F102" i="18"/>
  <c r="F91" i="18"/>
  <c r="L107" i="18"/>
  <c r="F86" i="18"/>
  <c r="Z18" i="6"/>
  <c r="AA18" i="6" s="1"/>
  <c r="AB18" i="6" s="1"/>
  <c r="AF18" i="6"/>
  <c r="AG18" i="6" s="1"/>
  <c r="AH18" i="6" s="1"/>
  <c r="AL18" i="6"/>
  <c r="AM18" i="6" s="1"/>
  <c r="AN18" i="6" s="1"/>
  <c r="DD22" i="1"/>
  <c r="H32" i="4" s="1"/>
  <c r="AU17" i="6"/>
  <c r="AO17" i="6"/>
  <c r="AC17" i="6"/>
  <c r="AI19" i="6"/>
  <c r="AU19" i="6"/>
  <c r="AO19" i="6"/>
  <c r="H27" i="4"/>
  <c r="G23" i="25" s="1"/>
  <c r="BI30" i="1"/>
  <c r="H18" i="8"/>
  <c r="AW73" i="1"/>
  <c r="AV18" i="6"/>
  <c r="AJ18" i="6"/>
  <c r="AD18" i="6"/>
  <c r="AP18" i="6"/>
  <c r="AR20" i="6"/>
  <c r="AS20" i="6" s="1"/>
  <c r="AT20" i="6" s="1"/>
  <c r="AC20" i="6"/>
  <c r="AO20" i="6"/>
  <c r="AI20" i="6"/>
  <c r="AA33" i="6"/>
  <c r="AU20" i="6"/>
  <c r="AL20" i="6"/>
  <c r="AM20" i="6" s="1"/>
  <c r="AN20" i="6" s="1"/>
  <c r="AF20" i="6"/>
  <c r="AG20" i="6" s="1"/>
  <c r="AH20" i="6" s="1"/>
  <c r="Z33" i="6"/>
  <c r="C17" i="6" s="1"/>
  <c r="Z17" i="6"/>
  <c r="AA17" i="6" s="1"/>
  <c r="AB17" i="6" s="1"/>
  <c r="AF17" i="6"/>
  <c r="AG17" i="6" s="1"/>
  <c r="AH17" i="6" s="1"/>
  <c r="AL17" i="6"/>
  <c r="AM17" i="6" s="1"/>
  <c r="AN17" i="6" s="1"/>
  <c r="AT66" i="1"/>
  <c r="E18" i="8" s="1"/>
  <c r="F27" i="10"/>
  <c r="DD23" i="1"/>
  <c r="B27" i="10" s="1"/>
  <c r="BO30" i="1"/>
  <c r="AJ19" i="6"/>
  <c r="AD19" i="6"/>
  <c r="AV19" i="6"/>
  <c r="AP19" i="6"/>
  <c r="G25" i="8"/>
  <c r="AV75" i="1"/>
  <c r="G27" i="8" s="1"/>
  <c r="AJ17" i="6"/>
  <c r="AP17" i="6"/>
  <c r="AV17" i="6"/>
  <c r="AD17" i="6"/>
  <c r="B14" i="8"/>
  <c r="I14" i="8" s="1"/>
  <c r="AQ63" i="1"/>
  <c r="AX61" i="1"/>
  <c r="CG23" i="1"/>
  <c r="AF190" i="1"/>
  <c r="C4" i="6"/>
  <c r="AX36" i="1"/>
  <c r="AG19" i="6"/>
  <c r="AH19" i="6" s="1"/>
  <c r="AS19" i="6"/>
  <c r="AT19" i="6" s="1"/>
  <c r="AA19" i="6"/>
  <c r="AB19" i="6" s="1"/>
  <c r="C16" i="8"/>
  <c r="AR66" i="1"/>
  <c r="AD16" i="6"/>
  <c r="AP16" i="6"/>
  <c r="AV16" i="6"/>
  <c r="AJ16" i="6"/>
  <c r="AM19" i="6"/>
  <c r="AN19" i="6" s="1"/>
  <c r="AU66" i="1"/>
  <c r="F16" i="8"/>
  <c r="D16" i="8"/>
  <c r="AS66" i="1"/>
  <c r="AS17" i="6"/>
  <c r="AT17" i="6" s="1"/>
  <c r="AA20" i="6"/>
  <c r="AB20" i="6" s="1"/>
  <c r="AI16" i="6"/>
  <c r="AU16" i="6"/>
  <c r="AC16" i="6"/>
  <c r="AO16" i="6"/>
  <c r="BH47" i="1" l="1"/>
  <c r="BK47" i="1" s="1"/>
  <c r="M27" i="4" s="1"/>
  <c r="L23" i="25" s="1"/>
  <c r="D17" i="6"/>
  <c r="K17" i="6" s="1"/>
  <c r="BG47" i="1" s="1"/>
  <c r="BJ47" i="1" s="1"/>
  <c r="L27" i="4" s="1"/>
  <c r="K23" i="25" s="1"/>
  <c r="H17" i="6"/>
  <c r="F107" i="18"/>
  <c r="AJ14" i="18"/>
  <c r="Y107" i="18"/>
  <c r="AJ27" i="18" s="1"/>
  <c r="Z107" i="18"/>
  <c r="AT73" i="1"/>
  <c r="AT75" i="1" s="1"/>
  <c r="E27" i="8" s="1"/>
  <c r="AO22" i="6"/>
  <c r="D15" i="6" s="1"/>
  <c r="K15" i="6" s="1"/>
  <c r="G25" i="4" s="1"/>
  <c r="F21" i="25" s="1"/>
  <c r="AC22" i="6"/>
  <c r="AU22" i="6"/>
  <c r="D27" i="4"/>
  <c r="C23" i="25" s="1"/>
  <c r="G27" i="4"/>
  <c r="F23" i="25" s="1"/>
  <c r="AW75" i="1"/>
  <c r="H27" i="8" s="1"/>
  <c r="H25" i="8"/>
  <c r="AI22" i="6"/>
  <c r="D14" i="6" s="1"/>
  <c r="K14" i="6" s="1"/>
  <c r="G24" i="4" s="1"/>
  <c r="F20" i="25" s="1"/>
  <c r="AJ22" i="6"/>
  <c r="E14" i="6" s="1"/>
  <c r="L14" i="6" s="1"/>
  <c r="H24" i="4" s="1"/>
  <c r="G20" i="25" s="1"/>
  <c r="AV22" i="6"/>
  <c r="AP22" i="6"/>
  <c r="E15" i="6" s="1"/>
  <c r="L15" i="6" s="1"/>
  <c r="H25" i="4" s="1"/>
  <c r="G21" i="25" s="1"/>
  <c r="AD22" i="6"/>
  <c r="C18" i="8"/>
  <c r="AR73" i="1"/>
  <c r="D18" i="8"/>
  <c r="AS73" i="1"/>
  <c r="AR16" i="6"/>
  <c r="Z16" i="6"/>
  <c r="AL16" i="6"/>
  <c r="AF16" i="6"/>
  <c r="F18" i="8"/>
  <c r="AU73" i="1"/>
  <c r="AX63" i="1"/>
  <c r="AQ66" i="1"/>
  <c r="B16" i="8"/>
  <c r="I16" i="8" s="1"/>
  <c r="BH44" i="1" l="1"/>
  <c r="BK44" i="1" s="1"/>
  <c r="M24" i="4" s="1"/>
  <c r="L20" i="25" s="1"/>
  <c r="J160" i="1"/>
  <c r="P160" i="1" s="1"/>
  <c r="BG44" i="1"/>
  <c r="BJ44" i="1" s="1"/>
  <c r="L24" i="4" s="1"/>
  <c r="K20" i="25" s="1"/>
  <c r="I160" i="1"/>
  <c r="O160" i="1" s="1"/>
  <c r="BF47" i="1"/>
  <c r="BI47" i="1" s="1"/>
  <c r="I27" i="4" s="1"/>
  <c r="H23" i="25" s="1"/>
  <c r="J161" i="1"/>
  <c r="P161" i="1" s="1"/>
  <c r="BH45" i="1"/>
  <c r="BK45" i="1" s="1"/>
  <c r="M25" i="4" s="1"/>
  <c r="L21" i="25" s="1"/>
  <c r="BG45" i="1"/>
  <c r="BJ45" i="1" s="1"/>
  <c r="L25" i="4" s="1"/>
  <c r="K21" i="25" s="1"/>
  <c r="I161" i="1"/>
  <c r="O161" i="1" s="1"/>
  <c r="I163" i="1"/>
  <c r="O163" i="1" s="1"/>
  <c r="E13" i="6"/>
  <c r="L13" i="6" s="1"/>
  <c r="D16" i="6"/>
  <c r="K16" i="6" s="1"/>
  <c r="E16" i="6"/>
  <c r="L16" i="6" s="1"/>
  <c r="D13" i="6"/>
  <c r="K13" i="6" s="1"/>
  <c r="G23" i="4" s="1"/>
  <c r="F19" i="25" s="1"/>
  <c r="F163" i="1"/>
  <c r="I17" i="6"/>
  <c r="G163" i="1" s="1"/>
  <c r="AA29" i="18"/>
  <c r="E25" i="8"/>
  <c r="E27" i="4"/>
  <c r="D23" i="25" s="1"/>
  <c r="H23" i="4"/>
  <c r="G19" i="25" s="1"/>
  <c r="AX66" i="1"/>
  <c r="B18" i="8"/>
  <c r="I18" i="8" s="1"/>
  <c r="AQ73" i="1"/>
  <c r="F25" i="8"/>
  <c r="AU75" i="1"/>
  <c r="F27" i="8" s="1"/>
  <c r="AL22" i="6"/>
  <c r="C15" i="6" s="1"/>
  <c r="AM16" i="6"/>
  <c r="Z22" i="6"/>
  <c r="AA16" i="6"/>
  <c r="AS16" i="6"/>
  <c r="AR22" i="6"/>
  <c r="AG16" i="6"/>
  <c r="AF22" i="6"/>
  <c r="C14" i="6" s="1"/>
  <c r="H14" i="6" s="1"/>
  <c r="D24" i="4" s="1"/>
  <c r="C20" i="25" s="1"/>
  <c r="AS75" i="1"/>
  <c r="D27" i="8" s="1"/>
  <c r="D25" i="8"/>
  <c r="C25" i="8"/>
  <c r="AR75" i="1"/>
  <c r="C27" i="8" s="1"/>
  <c r="BF44" i="1" l="1"/>
  <c r="BI44" i="1" s="1"/>
  <c r="I24" i="4" s="1"/>
  <c r="H20" i="25" s="1"/>
  <c r="F160" i="1"/>
  <c r="J162" i="1"/>
  <c r="P162" i="1" s="1"/>
  <c r="H26" i="4"/>
  <c r="G22" i="25" s="1"/>
  <c r="I162" i="1"/>
  <c r="O162" i="1" s="1"/>
  <c r="G26" i="4"/>
  <c r="F22" i="25" s="1"/>
  <c r="H15" i="6"/>
  <c r="D25" i="4" s="1"/>
  <c r="C21" i="25" s="1"/>
  <c r="BH46" i="1"/>
  <c r="BK46" i="1" s="1"/>
  <c r="M26" i="4" s="1"/>
  <c r="L22" i="25" s="1"/>
  <c r="BG46" i="1"/>
  <c r="BJ46" i="1" s="1"/>
  <c r="L26" i="4" s="1"/>
  <c r="K22" i="25" s="1"/>
  <c r="BG43" i="1"/>
  <c r="BJ43" i="1" s="1"/>
  <c r="L23" i="4" s="1"/>
  <c r="K19" i="25" s="1"/>
  <c r="I159" i="1"/>
  <c r="O159" i="1" s="1"/>
  <c r="BH43" i="1"/>
  <c r="BK43" i="1" s="1"/>
  <c r="J159" i="1"/>
  <c r="P159" i="1" s="1"/>
  <c r="AE16" i="6"/>
  <c r="AE23" i="6" s="1"/>
  <c r="C13" i="6"/>
  <c r="AW16" i="6"/>
  <c r="AU23" i="6" s="1"/>
  <c r="C16" i="6"/>
  <c r="J17" i="6"/>
  <c r="H163" i="1" s="1"/>
  <c r="N163" i="1" s="1"/>
  <c r="BL47" i="1"/>
  <c r="BN47" i="1" s="1"/>
  <c r="J27" i="4" s="1"/>
  <c r="I23" i="25" s="1"/>
  <c r="F27" i="4"/>
  <c r="E23" i="25" s="1"/>
  <c r="AK21" i="6"/>
  <c r="AK18" i="6"/>
  <c r="AK17" i="6"/>
  <c r="AK19" i="6"/>
  <c r="AK20" i="6"/>
  <c r="AW21" i="6"/>
  <c r="AW18" i="6"/>
  <c r="AW20" i="6"/>
  <c r="AW19" i="6"/>
  <c r="AW17" i="6"/>
  <c r="AB16" i="6"/>
  <c r="AB22" i="6" s="1"/>
  <c r="J13" i="6" s="1"/>
  <c r="AA22" i="6"/>
  <c r="I13" i="6" s="1"/>
  <c r="AG22" i="6"/>
  <c r="I14" i="6" s="1"/>
  <c r="E24" i="4" s="1"/>
  <c r="D20" i="25" s="1"/>
  <c r="AH16" i="6"/>
  <c r="AH22" i="6" s="1"/>
  <c r="J14" i="6" s="1"/>
  <c r="F24" i="4" s="1"/>
  <c r="E20" i="25" s="1"/>
  <c r="AS22" i="6"/>
  <c r="I16" i="6" s="1"/>
  <c r="AT16" i="6"/>
  <c r="AT22" i="6" s="1"/>
  <c r="J16" i="6" s="1"/>
  <c r="AQ21" i="6"/>
  <c r="AQ18" i="6"/>
  <c r="AQ19" i="6"/>
  <c r="AQ17" i="6"/>
  <c r="AQ20" i="6"/>
  <c r="AQ75" i="1"/>
  <c r="B25" i="8"/>
  <c r="I25" i="8" s="1"/>
  <c r="AQ16" i="6"/>
  <c r="AK16" i="6"/>
  <c r="AE21" i="6"/>
  <c r="AE18" i="6"/>
  <c r="AE19" i="6"/>
  <c r="AE20" i="6"/>
  <c r="AE17" i="6"/>
  <c r="AM22" i="6"/>
  <c r="I15" i="6" s="1"/>
  <c r="E25" i="4" s="1"/>
  <c r="D21" i="25" s="1"/>
  <c r="AN16" i="6"/>
  <c r="AN22" i="6" s="1"/>
  <c r="J15" i="6" s="1"/>
  <c r="F25" i="4" s="1"/>
  <c r="E21" i="25" s="1"/>
  <c r="O205" i="1" l="1"/>
  <c r="AG188" i="1" s="1"/>
  <c r="BM44" i="1"/>
  <c r="BO44" i="1" s="1"/>
  <c r="K24" i="4" s="1"/>
  <c r="J20" i="25" s="1"/>
  <c r="H160" i="1"/>
  <c r="N160" i="1" s="1"/>
  <c r="BL44" i="1"/>
  <c r="BN44" i="1" s="1"/>
  <c r="J24" i="4" s="1"/>
  <c r="I20" i="25" s="1"/>
  <c r="G160" i="1"/>
  <c r="P205" i="1"/>
  <c r="AH188" i="1" s="1"/>
  <c r="F161" i="1"/>
  <c r="BF45" i="1"/>
  <c r="BI45" i="1" s="1"/>
  <c r="I25" i="4" s="1"/>
  <c r="H21" i="25" s="1"/>
  <c r="BL45" i="1"/>
  <c r="BN45" i="1" s="1"/>
  <c r="J25" i="4" s="1"/>
  <c r="I21" i="25" s="1"/>
  <c r="G161" i="1"/>
  <c r="BM45" i="1"/>
  <c r="BO45" i="1" s="1"/>
  <c r="K25" i="4" s="1"/>
  <c r="J21" i="25" s="1"/>
  <c r="H161" i="1"/>
  <c r="N161" i="1" s="1"/>
  <c r="BK49" i="1"/>
  <c r="BO31" i="1" s="1"/>
  <c r="BO32" i="1" s="1"/>
  <c r="AW23" i="6"/>
  <c r="BJ49" i="1"/>
  <c r="BI31" i="1" s="1"/>
  <c r="BI32" i="1" s="1"/>
  <c r="M23" i="4"/>
  <c r="L19" i="25" s="1"/>
  <c r="AC23" i="6"/>
  <c r="BM47" i="1"/>
  <c r="BO47" i="1" s="1"/>
  <c r="K27" i="4" s="1"/>
  <c r="J23" i="25" s="1"/>
  <c r="H16" i="6"/>
  <c r="H13" i="6"/>
  <c r="D26" i="4"/>
  <c r="C22" i="25" s="1"/>
  <c r="G162" i="1"/>
  <c r="E26" i="4"/>
  <c r="D22" i="25" s="1"/>
  <c r="BL46" i="1"/>
  <c r="BN46" i="1" s="1"/>
  <c r="J26" i="4" s="1"/>
  <c r="I22" i="25" s="1"/>
  <c r="H162" i="1"/>
  <c r="N162" i="1" s="1"/>
  <c r="F26" i="4"/>
  <c r="E22" i="25" s="1"/>
  <c r="BM46" i="1"/>
  <c r="BO46" i="1" s="1"/>
  <c r="K26" i="4" s="1"/>
  <c r="J22" i="25" s="1"/>
  <c r="AW22" i="6"/>
  <c r="AE22" i="6"/>
  <c r="BM43" i="1"/>
  <c r="BO43" i="1" s="1"/>
  <c r="F23" i="4"/>
  <c r="E19" i="25" s="1"/>
  <c r="H159" i="1"/>
  <c r="N159" i="1" s="1"/>
  <c r="D23" i="4"/>
  <c r="C19" i="25" s="1"/>
  <c r="BL43" i="1"/>
  <c r="BN43" i="1" s="1"/>
  <c r="E23" i="4"/>
  <c r="D19" i="25" s="1"/>
  <c r="G159" i="1"/>
  <c r="AO28" i="6"/>
  <c r="AQ28" i="6"/>
  <c r="AC26" i="6"/>
  <c r="AE26" i="6"/>
  <c r="AC28" i="6"/>
  <c r="AE28" i="6"/>
  <c r="AQ25" i="6"/>
  <c r="AO25" i="6"/>
  <c r="AW26" i="6"/>
  <c r="AU26" i="6"/>
  <c r="AI27" i="6"/>
  <c r="AK27" i="6"/>
  <c r="AI23" i="6"/>
  <c r="AK23" i="6"/>
  <c r="AK22" i="6"/>
  <c r="AK25" i="6"/>
  <c r="AI25" i="6"/>
  <c r="AU24" i="6"/>
  <c r="AW24" i="6"/>
  <c r="AW27" i="6"/>
  <c r="AU27" i="6"/>
  <c r="AK26" i="6"/>
  <c r="AI26" i="6"/>
  <c r="AO23" i="6"/>
  <c r="AQ23" i="6"/>
  <c r="AQ22" i="6"/>
  <c r="AE24" i="6"/>
  <c r="AC24" i="6"/>
  <c r="AC27" i="6"/>
  <c r="AE27" i="6"/>
  <c r="AC25" i="6"/>
  <c r="AE25" i="6"/>
  <c r="AW25" i="6"/>
  <c r="AU25" i="6"/>
  <c r="AW28" i="6"/>
  <c r="AU28" i="6"/>
  <c r="AK24" i="6"/>
  <c r="AI24" i="6"/>
  <c r="B27" i="8"/>
  <c r="I27" i="8" s="1"/>
  <c r="AX75" i="1"/>
  <c r="AK28" i="6"/>
  <c r="AI28" i="6"/>
  <c r="AO27" i="6"/>
  <c r="AQ27" i="6"/>
  <c r="AQ24" i="6"/>
  <c r="AO24" i="6"/>
  <c r="AQ26" i="6"/>
  <c r="AO26" i="6"/>
  <c r="AG187" i="1" l="1"/>
  <c r="AH187" i="1"/>
  <c r="F162" i="1"/>
  <c r="BF46" i="1"/>
  <c r="BI46" i="1" s="1"/>
  <c r="I26" i="4" s="1"/>
  <c r="H22" i="25" s="1"/>
  <c r="BF43" i="1"/>
  <c r="BI43" i="1" s="1"/>
  <c r="I23" i="4" s="1"/>
  <c r="H19" i="25" s="1"/>
  <c r="F159" i="1"/>
  <c r="AO29" i="6"/>
  <c r="P15" i="6" s="1"/>
  <c r="AQ29" i="6"/>
  <c r="M15" i="6" s="1"/>
  <c r="K161" i="1" s="1"/>
  <c r="AU29" i="6"/>
  <c r="P16" i="6" s="1"/>
  <c r="N205" i="1"/>
  <c r="AF187" i="1" s="1"/>
  <c r="AW29" i="6"/>
  <c r="M16" i="6" s="1"/>
  <c r="K162" i="1" s="1"/>
  <c r="AK29" i="6"/>
  <c r="M14" i="6" s="1"/>
  <c r="K160" i="1" s="1"/>
  <c r="AI29" i="6"/>
  <c r="P14" i="6" s="1"/>
  <c r="AC29" i="6"/>
  <c r="P13" i="6" s="1"/>
  <c r="AE29" i="6"/>
  <c r="M13" i="6" s="1"/>
  <c r="K159" i="1" s="1"/>
  <c r="J23" i="4"/>
  <c r="I19" i="25" s="1"/>
  <c r="BN49" i="1"/>
  <c r="AX68" i="1" s="1"/>
  <c r="K23" i="4"/>
  <c r="J19" i="25" s="1"/>
  <c r="BO49" i="1"/>
  <c r="AX77" i="1" s="1"/>
  <c r="I29" i="8" s="1"/>
  <c r="AI187" i="1" l="1"/>
  <c r="BI49" i="1"/>
  <c r="AX29" i="1" s="1"/>
  <c r="AX32" i="1" s="1"/>
  <c r="AF188" i="1"/>
  <c r="I19" i="8"/>
  <c r="AX55" i="1" l="1"/>
  <c r="I5" i="8" s="1"/>
  <c r="I10" i="8" s="1"/>
  <c r="AX33" i="1"/>
  <c r="F12" i="10" s="1"/>
  <c r="F11" i="10" s="1"/>
  <c r="A11" i="6" s="1"/>
  <c r="F10" i="10"/>
  <c r="AX56" i="1" l="1"/>
  <c r="E33" i="4" s="1"/>
  <c r="O4" i="6" s="1"/>
  <c r="R27" i="6"/>
  <c r="F23" i="10"/>
  <c r="G33" i="4"/>
  <c r="H33" i="4" s="1"/>
  <c r="O6" i="6" l="1"/>
  <c r="AT9" i="11" l="1"/>
  <c r="AY9" i="11" s="1"/>
  <c r="AE9" i="11" s="1"/>
  <c r="AI9" i="11" l="1"/>
  <c r="AJ9" i="11" s="1"/>
  <c r="AD9" i="11" l="1"/>
  <c r="AB9" i="11" s="1"/>
  <c r="AK9" i="11"/>
  <c r="AL9" i="11" l="1"/>
  <c r="AA9" i="11" s="1"/>
  <c r="AJ4" i="11"/>
  <c r="AJ1" i="11" s="1"/>
  <c r="AX67" i="1" l="1"/>
  <c r="AX69" i="1" s="1"/>
  <c r="I21" i="8" s="1"/>
  <c r="AX76" i="1" l="1"/>
  <c r="AX78" i="1" s="1"/>
  <c r="J28" i="9" s="1"/>
  <c r="I20" i="8"/>
  <c r="E34" i="4"/>
  <c r="G34" i="4" s="1"/>
  <c r="M4" i="7" s="1"/>
  <c r="F16" i="10"/>
  <c r="AN21" i="1" l="1"/>
  <c r="H34" i="4" s="1"/>
  <c r="AN20" i="1"/>
  <c r="F15" i="10"/>
  <c r="F24" i="10" s="1"/>
  <c r="AE191" i="1"/>
  <c r="I30" i="8"/>
  <c r="AF191" i="1"/>
  <c r="F17" i="10"/>
  <c r="I28" i="8"/>
  <c r="F14" i="10"/>
  <c r="AX79" i="1"/>
  <c r="AF189" i="1" s="1"/>
  <c r="J29" i="9"/>
  <c r="M3" i="7" s="1"/>
  <c r="F54" i="10"/>
  <c r="C29" i="9" l="1"/>
  <c r="E35" i="4"/>
  <c r="F19" i="10"/>
  <c r="F25" i="10" s="1"/>
  <c r="F55" i="10"/>
  <c r="B55" i="10" l="1"/>
  <c r="G35" i="4"/>
  <c r="AO12" i="1"/>
  <c r="BI33" i="1"/>
  <c r="M27" i="9" s="1"/>
  <c r="N23" i="9" l="1"/>
  <c r="M28" i="9"/>
  <c r="AO11" i="1"/>
  <c r="M29" i="9"/>
  <c r="M5" i="7" l="1"/>
  <c r="N26" i="9"/>
  <c r="F20" i="10"/>
  <c r="F26" i="10" s="1"/>
  <c r="N29" i="9"/>
  <c r="BO33" i="1"/>
  <c r="L4" i="21" s="1"/>
  <c r="L6" i="21" s="1"/>
  <c r="M7" i="7" s="1"/>
</calcChain>
</file>

<file path=xl/comments1.xml><?xml version="1.0" encoding="utf-8"?>
<comments xmlns="http://schemas.openxmlformats.org/spreadsheetml/2006/main">
  <authors>
    <author/>
    <author>Kriegner-Schramml Simon</author>
  </authors>
  <commentList>
    <comment ref="F5" authorId="0" shapeId="0">
      <text>
        <r>
          <rPr>
            <sz val="10"/>
            <color rgb="FF000000"/>
            <rFont val="Arial"/>
            <family val="2"/>
          </rPr>
          <t>Wählen Sie eine Ertragslage aus!</t>
        </r>
      </text>
    </comment>
    <comment ref="G5" authorId="1" shapeId="0">
      <text>
        <r>
          <rPr>
            <b/>
            <sz val="9"/>
            <color indexed="81"/>
            <rFont val="Segoe UI"/>
            <family val="2"/>
          </rPr>
          <t>Ertragslage in t/ha</t>
        </r>
      </text>
    </comment>
    <comment ref="H5" authorId="0" shapeId="0">
      <text>
        <r>
          <rPr>
            <sz val="8"/>
            <color rgb="FF000000"/>
            <rFont val="Tahoma"/>
            <family val="2"/>
          </rPr>
          <t>Wird der N-Bedarfswert nicht automatisch eingespielt, muss er hier eigenhändig eingetragen werden (bei allen eingetippten Kulturen).</t>
        </r>
      </text>
    </comment>
    <comment ref="F6" authorId="0" shapeId="0">
      <text>
        <r>
          <rPr>
            <sz val="10"/>
            <rFont val="Arial"/>
            <family val="2"/>
          </rPr>
          <t>Wählen Sie eine Ertragslage aus!</t>
        </r>
      </text>
    </comment>
    <comment ref="F8" authorId="0" shapeId="0">
      <text>
        <r>
          <rPr>
            <sz val="10"/>
            <rFont val="Arial"/>
            <family val="2"/>
          </rPr>
          <t>Wählen Sie eine Ertragslage aus!</t>
        </r>
      </text>
    </comment>
    <comment ref="G20" authorId="1" shapeId="0">
      <text>
        <r>
          <rPr>
            <b/>
            <sz val="9"/>
            <color indexed="81"/>
            <rFont val="Segoe UI"/>
            <family val="2"/>
          </rPr>
          <t>Ertragslage in t/ha</t>
        </r>
      </text>
    </comment>
  </commentList>
</comments>
</file>

<file path=xl/comments2.xml><?xml version="1.0" encoding="utf-8"?>
<comments xmlns="http://schemas.openxmlformats.org/spreadsheetml/2006/main">
  <authors>
    <author>Kriegner-Schramml Simon</author>
  </authors>
  <commentList>
    <comment ref="B5" authorId="0" shapeId="0">
      <text>
        <r>
          <rPr>
            <b/>
            <sz val="9"/>
            <color indexed="81"/>
            <rFont val="Segoe UI"/>
            <family val="2"/>
          </rPr>
          <t>in einem ersten Schritt muss die Tierkategorie gewählt werden. Bei erneutem Öffnen des DropDown Menüs erscheint die Liste der gewählten Tierkategorie
- Rinder,- Schweine,- Geflügel,- Schafe, - Ziegen, - Pferde, ......
Sie können aber auch einfach einen Suchbegriff eingeben um das Menü zu filtern.</t>
        </r>
      </text>
    </comment>
  </commentList>
</comments>
</file>

<file path=xl/comments3.xml><?xml version="1.0" encoding="utf-8"?>
<comments xmlns="http://schemas.openxmlformats.org/spreadsheetml/2006/main">
  <authors>
    <author/>
  </authors>
  <commentList>
    <comment ref="B13" authorId="0" shapeId="0">
      <text>
        <r>
          <rPr>
            <sz val="10"/>
            <rFont val="Arial"/>
            <family val="2"/>
          </rPr>
          <t>Geben Sie dem Dünger in dieser Lagerstätte einen Namen!</t>
        </r>
      </text>
    </comment>
    <comment ref="F13" authorId="0" shapeId="0">
      <text>
        <r>
          <rPr>
            <sz val="10"/>
            <rFont val="Arial"/>
            <family val="2"/>
          </rPr>
          <t>Schätzen Sie den Jahresanfall ab und tragen diesen hier ein.</t>
        </r>
      </text>
    </comment>
  </commentList>
</comments>
</file>

<file path=xl/comments4.xml><?xml version="1.0" encoding="utf-8"?>
<comments xmlns="http://schemas.openxmlformats.org/spreadsheetml/2006/main">
  <authors>
    <author>Kriegner-Schramml Simon</author>
  </authors>
  <commentList>
    <comment ref="A18" authorId="0" shapeId="0">
      <text>
        <r>
          <rPr>
            <b/>
            <sz val="9"/>
            <color indexed="81"/>
            <rFont val="Segoe UI"/>
            <family val="2"/>
          </rPr>
          <t>HIER können Sie einen eigenen Dünger anlegen</t>
        </r>
      </text>
    </comment>
  </commentList>
</comments>
</file>

<file path=xl/comments5.xml><?xml version="1.0" encoding="utf-8"?>
<comments xmlns="http://schemas.openxmlformats.org/spreadsheetml/2006/main">
  <authors>
    <author>Ziegler Elisabeth</author>
  </authors>
  <commentList>
    <comment ref="F56" authorId="0" shapeId="0">
      <text>
        <r>
          <rPr>
            <b/>
            <sz val="10"/>
            <color indexed="81"/>
            <rFont val="Segoe UI"/>
            <family val="2"/>
          </rPr>
          <t xml:space="preserve">Achtung!
Wenn hier die Anzahl gleicher Silozellen eingegeben wird, dann können im Tabellenblatt </t>
        </r>
        <r>
          <rPr>
            <b/>
            <i/>
            <sz val="10"/>
            <color indexed="81"/>
            <rFont val="Segoe UI"/>
            <family val="2"/>
          </rPr>
          <t>Ertragsermittlung</t>
        </r>
        <r>
          <rPr>
            <b/>
            <sz val="10"/>
            <color indexed="81"/>
            <rFont val="Segoe UI"/>
            <family val="2"/>
          </rPr>
          <t xml:space="preserve"> bei den </t>
        </r>
        <r>
          <rPr>
            <b/>
            <i/>
            <sz val="10"/>
            <color indexed="81"/>
            <rFont val="Segoe UI"/>
            <family val="2"/>
          </rPr>
          <t>Lagerstätten</t>
        </r>
        <r>
          <rPr>
            <b/>
            <sz val="10"/>
            <color indexed="81"/>
            <rFont val="Segoe UI"/>
            <family val="2"/>
          </rPr>
          <t xml:space="preserve"> die Silos/Silozellen nur in ihrer Gesamtheit (also mit der Gesamtkubatur) ausgewählt werden!</t>
        </r>
      </text>
    </comment>
  </commentList>
</comments>
</file>

<file path=xl/comments6.xml><?xml version="1.0" encoding="utf-8"?>
<comments xmlns="http://schemas.openxmlformats.org/spreadsheetml/2006/main">
  <authors>
    <author>Kriegner-Schramml Simon</author>
  </authors>
  <commentList>
    <comment ref="A6" authorId="0" shapeId="0">
      <text>
        <r>
          <rPr>
            <sz val="8"/>
            <color rgb="FF000000"/>
            <rFont val="Segoe UI"/>
            <family val="2"/>
          </rPr>
          <t>Bitte geben Sie hier die Daten des Wirtschaftsdüngerabnehmers ein</t>
        </r>
      </text>
    </comment>
  </commentList>
</comments>
</file>

<file path=xl/comments7.xml><?xml version="1.0" encoding="utf-8"?>
<comments xmlns="http://schemas.openxmlformats.org/spreadsheetml/2006/main">
  <authors>
    <author>Kriegner-Schramml Simon</author>
  </authors>
  <commentList>
    <comment ref="A15" authorId="0" shapeId="0">
      <text>
        <r>
          <rPr>
            <b/>
            <sz val="12"/>
            <color indexed="81"/>
            <rFont val="Segoe UI"/>
            <family val="2"/>
          </rPr>
          <t>Hier bitte den Namen des Produktes auswählen - Es werden nur jene Produktnamen angezeigt, welche auch in der Dokumentation (Tabelle LINKS) erfasst wuden. Nachdem ein Prduktname in der Tabelle gewählt wurde, ist dieser weiter Unten nicht mehr im Drop Down Menü enthalten.</t>
        </r>
      </text>
    </comment>
    <comment ref="B15" authorId="0" shapeId="0">
      <text>
        <r>
          <rPr>
            <b/>
            <sz val="12"/>
            <color indexed="81"/>
            <rFont val="Segoe UI"/>
            <family val="2"/>
          </rPr>
          <t>Hier bitte den ANFANGSBESTAND eintragen (=Endbestand aus Vorjahr)</t>
        </r>
      </text>
    </comment>
    <comment ref="C15" authorId="0" shapeId="0">
      <text>
        <r>
          <rPr>
            <b/>
            <sz val="12"/>
            <color indexed="81"/>
            <rFont val="Segoe UI"/>
            <family val="2"/>
          </rPr>
          <t>Hier bitte die ZUKAUFSMENGEN im Dokumentationszeitraum eintragen</t>
        </r>
      </text>
    </comment>
    <comment ref="D15" authorId="0" shapeId="0">
      <text>
        <r>
          <rPr>
            <b/>
            <sz val="12"/>
            <color indexed="81"/>
            <rFont val="Segoe UI"/>
            <family val="2"/>
          </rPr>
          <t>in dieser Spalte wid der Verbrauch je Produkt im Dokumenattionszeitraum berechnet.</t>
        </r>
      </text>
    </comment>
    <comment ref="E15" authorId="0" shapeId="0">
      <text>
        <r>
          <rPr>
            <b/>
            <sz val="12"/>
            <color indexed="81"/>
            <rFont val="Segoe UI"/>
            <family val="2"/>
          </rPr>
          <t>Dieser Wert dient zur Querprüfung mit den Beständen im Lager</t>
        </r>
      </text>
    </comment>
  </commentList>
</comments>
</file>

<file path=xl/sharedStrings.xml><?xml version="1.0" encoding="utf-8"?>
<sst xmlns="http://schemas.openxmlformats.org/spreadsheetml/2006/main" count="9148" uniqueCount="2519">
  <si>
    <t xml:space="preserve">diese Planung ist nicht verpflichtend! </t>
  </si>
  <si>
    <r>
      <t xml:space="preserve">Harnstoff </t>
    </r>
    <r>
      <rPr>
        <sz val="10"/>
        <rFont val="Arial"/>
        <family val="2"/>
      </rPr>
      <t>(Urea 46)</t>
    </r>
  </si>
  <si>
    <r>
      <rPr>
        <b/>
        <sz val="12"/>
        <rFont val="Arial"/>
        <family val="2"/>
      </rPr>
      <t xml:space="preserve">Energie- und
Futtergräser </t>
    </r>
    <r>
      <rPr>
        <sz val="12"/>
        <rFont val="Arial"/>
        <family val="2"/>
      </rPr>
      <t xml:space="preserve">
&gt; 90% Futtergräser
&lt; 10% Leguminosenanteil</t>
    </r>
  </si>
  <si>
    <r>
      <rPr>
        <b/>
        <sz val="12"/>
        <rFont val="Arial"/>
        <family val="2"/>
      </rPr>
      <t>Sonstiges Feldfutter</t>
    </r>
    <r>
      <rPr>
        <sz val="12"/>
        <rFont val="Arial"/>
        <family val="2"/>
      </rPr>
      <t xml:space="preserve">
unter 40 % Leguminosenanteil</t>
    </r>
  </si>
  <si>
    <r>
      <rPr>
        <b/>
        <sz val="11"/>
        <rFont val="Arial"/>
        <family val="2"/>
      </rPr>
      <t xml:space="preserve">Sonstiges 
Feldfutter </t>
    </r>
    <r>
      <rPr>
        <b/>
        <sz val="12"/>
        <rFont val="Arial"/>
        <family val="2"/>
      </rPr>
      <t xml:space="preserve">
</t>
    </r>
    <r>
      <rPr>
        <sz val="12"/>
        <rFont val="Arial"/>
        <family val="2"/>
      </rPr>
      <t>40 - 90 % 
Leguminosen</t>
    </r>
  </si>
  <si>
    <r>
      <rPr>
        <b/>
        <sz val="12"/>
        <rFont val="Arial"/>
        <family val="2"/>
      </rPr>
      <t>Wechselwiese</t>
    </r>
    <r>
      <rPr>
        <sz val="12"/>
        <rFont val="Arial"/>
        <family val="2"/>
      </rPr>
      <t xml:space="preserve"> 
10 bis 40 % Leguminosenanteil</t>
    </r>
  </si>
  <si>
    <r>
      <rPr>
        <b/>
        <sz val="12"/>
        <rFont val="Arial"/>
        <family val="2"/>
      </rPr>
      <t>Wechselwiese</t>
    </r>
    <r>
      <rPr>
        <sz val="12"/>
        <rFont val="Arial"/>
        <family val="2"/>
      </rPr>
      <t xml:space="preserve"> 
40 bis 60 % 
Leguminosenanteil</t>
    </r>
  </si>
  <si>
    <r>
      <rPr>
        <b/>
        <sz val="12"/>
        <rFont val="Arial"/>
        <family val="2"/>
      </rPr>
      <t xml:space="preserve">Kleegras
</t>
    </r>
    <r>
      <rPr>
        <sz val="12"/>
        <rFont val="Arial"/>
        <family val="2"/>
      </rPr>
      <t>60 - 90 %
Leguminosenanteil</t>
    </r>
  </si>
  <si>
    <r>
      <rPr>
        <b/>
        <sz val="12"/>
        <rFont val="Arial"/>
        <family val="2"/>
      </rPr>
      <t>Klee und Luzerne</t>
    </r>
    <r>
      <rPr>
        <sz val="12"/>
        <rFont val="Arial"/>
        <family val="2"/>
      </rPr>
      <t xml:space="preserve"> 
mehr als 90 % 
Leguminosen</t>
    </r>
  </si>
  <si>
    <r>
      <rPr>
        <b/>
        <sz val="14"/>
        <rFont val="Arial"/>
        <family val="2"/>
      </rPr>
      <t>Grünland:</t>
    </r>
    <r>
      <rPr>
        <sz val="12"/>
        <rFont val="Arial"/>
        <family val="2"/>
      </rPr>
      <t xml:space="preserve">  Düngung nach Bodenuntersuchung</t>
    </r>
  </si>
  <si>
    <t>laut AP-Nitrat  und SGD 7</t>
  </si>
  <si>
    <r>
      <t>N-Werte</t>
    </r>
    <r>
      <rPr>
        <sz val="12"/>
        <rFont val="Arial"/>
        <family val="2"/>
      </rPr>
      <t xml:space="preserve"> 
</t>
    </r>
    <r>
      <rPr>
        <b/>
        <sz val="12"/>
        <rFont val="Arial"/>
        <family val="2"/>
      </rPr>
      <t>GW-Schutz</t>
    </r>
  </si>
  <si>
    <r>
      <rPr>
        <b/>
        <sz val="12"/>
        <rFont val="Arial"/>
        <family val="2"/>
      </rPr>
      <t>Grünland</t>
    </r>
    <r>
      <rPr>
        <sz val="12"/>
        <rFont val="Arial"/>
        <family val="2"/>
      </rPr>
      <t xml:space="preserve">
Mähwiesen und
Mähweiden
weniger als 40 % 
Leguminosenanteil</t>
    </r>
  </si>
  <si>
    <r>
      <rPr>
        <sz val="12"/>
        <rFont val="Symbol"/>
        <family val="1"/>
        <charset val="2"/>
      </rPr>
      <t>³</t>
    </r>
    <r>
      <rPr>
        <sz val="12"/>
        <rFont val="Arial"/>
        <family val="2"/>
      </rPr>
      <t xml:space="preserve"> 2,5</t>
    </r>
  </si>
  <si>
    <t>&lt; 5,5</t>
  </si>
  <si>
    <r>
      <rPr>
        <sz val="12"/>
        <rFont val="Symbol"/>
        <family val="1"/>
        <charset val="2"/>
      </rPr>
      <t>³</t>
    </r>
    <r>
      <rPr>
        <sz val="12"/>
        <rFont val="Arial"/>
        <family val="2"/>
      </rPr>
      <t xml:space="preserve"> 5,5</t>
    </r>
  </si>
  <si>
    <r>
      <rPr>
        <sz val="12"/>
        <rFont val="Symbol"/>
        <family val="1"/>
        <charset val="2"/>
      </rPr>
      <t>³</t>
    </r>
    <r>
      <rPr>
        <sz val="12"/>
        <rFont val="Arial"/>
        <family val="2"/>
      </rPr>
      <t xml:space="preserve"> 8,0</t>
    </r>
  </si>
  <si>
    <r>
      <rPr>
        <sz val="12"/>
        <rFont val="Symbol"/>
        <family val="1"/>
        <charset val="2"/>
      </rPr>
      <t>³</t>
    </r>
    <r>
      <rPr>
        <sz val="12"/>
        <rFont val="Arial"/>
        <family val="2"/>
      </rPr>
      <t xml:space="preserve"> 9,5</t>
    </r>
  </si>
  <si>
    <r>
      <rPr>
        <sz val="12"/>
        <rFont val="Symbol"/>
        <family val="1"/>
        <charset val="2"/>
      </rPr>
      <t>³</t>
    </r>
    <r>
      <rPr>
        <sz val="12"/>
        <rFont val="Arial"/>
        <family val="2"/>
      </rPr>
      <t xml:space="preserve"> 11,0</t>
    </r>
  </si>
  <si>
    <r>
      <rPr>
        <sz val="12"/>
        <rFont val="Symbol"/>
        <family val="1"/>
        <charset val="2"/>
      </rPr>
      <t>³</t>
    </r>
    <r>
      <rPr>
        <sz val="12"/>
        <rFont val="Arial"/>
        <family val="2"/>
      </rPr>
      <t xml:space="preserve"> 12,5</t>
    </r>
  </si>
  <si>
    <r>
      <rPr>
        <b/>
        <sz val="12"/>
        <rFont val="Arial"/>
        <family val="2"/>
      </rPr>
      <t>Grünland, kleereich</t>
    </r>
    <r>
      <rPr>
        <sz val="12"/>
        <rFont val="Arial"/>
        <family val="2"/>
      </rPr>
      <t xml:space="preserve">
Mähwiesen und
Mähweiden
mehr als  40 % Leguminosenanteil</t>
    </r>
  </si>
  <si>
    <r>
      <t>Almfutterfläche</t>
    </r>
    <r>
      <rPr>
        <b/>
        <sz val="11"/>
        <rFont val="Arial"/>
        <family val="2"/>
      </rPr>
      <t xml:space="preserve"> </t>
    </r>
    <r>
      <rPr>
        <sz val="11"/>
        <rFont val="Arial"/>
        <family val="2"/>
      </rPr>
      <t>mit zusätzlicher Düngung</t>
    </r>
  </si>
  <si>
    <r>
      <rPr>
        <sz val="12"/>
        <rFont val="Symbol"/>
        <family val="1"/>
        <charset val="2"/>
      </rPr>
      <t>³</t>
    </r>
    <r>
      <rPr>
        <sz val="12"/>
        <rFont val="Arial"/>
        <family val="2"/>
      </rPr>
      <t xml:space="preserve"> 2,0</t>
    </r>
  </si>
  <si>
    <r>
      <t>Almfutterfläche</t>
    </r>
    <r>
      <rPr>
        <sz val="11"/>
        <rFont val="Arial"/>
        <family val="2"/>
      </rPr>
      <t xml:space="preserve"> ohne zusätzliche Düngung</t>
    </r>
  </si>
  <si>
    <t>&lt;2,0</t>
  </si>
  <si>
    <r>
      <t xml:space="preserve">Bergmähder </t>
    </r>
    <r>
      <rPr>
        <sz val="12"/>
        <rFont val="Arial"/>
        <family val="2"/>
      </rPr>
      <t>mit Code "BM0"</t>
    </r>
  </si>
  <si>
    <r>
      <t xml:space="preserve">Bergmähder </t>
    </r>
    <r>
      <rPr>
        <sz val="12"/>
        <rFont val="Arial"/>
        <family val="2"/>
      </rPr>
      <t>mit Code "BM 1/ 2 / 3"</t>
    </r>
  </si>
  <si>
    <t>6,5 - 9,5</t>
  </si>
  <si>
    <r>
      <t xml:space="preserve">Hutweide </t>
    </r>
    <r>
      <rPr>
        <sz val="11"/>
        <rFont val="Arial"/>
        <family val="2"/>
      </rPr>
      <t>mit zusätzlicher Düngung</t>
    </r>
  </si>
  <si>
    <r>
      <rPr>
        <sz val="12"/>
        <rFont val="Symbol"/>
        <family val="1"/>
        <charset val="2"/>
      </rPr>
      <t>³</t>
    </r>
    <r>
      <rPr>
        <sz val="12"/>
        <rFont val="Arial"/>
        <family val="2"/>
      </rPr>
      <t xml:space="preserve"> 2</t>
    </r>
  </si>
  <si>
    <r>
      <t xml:space="preserve">Hutweide </t>
    </r>
    <r>
      <rPr>
        <sz val="11"/>
        <rFont val="Arial"/>
        <family val="2"/>
      </rPr>
      <t>ohne zusätzliche Düngung</t>
    </r>
  </si>
  <si>
    <t>&gt; 2</t>
  </si>
  <si>
    <t>Sonstige Hutweideflächen</t>
  </si>
  <si>
    <t>Sonstige Grünlandflächen</t>
  </si>
  <si>
    <t xml:space="preserve"> -</t>
  </si>
  <si>
    <t>Weitere Ackerkulturen</t>
  </si>
  <si>
    <r>
      <t xml:space="preserve">Stickstoffwerte </t>
    </r>
    <r>
      <rPr>
        <sz val="12"/>
        <rFont val="Arial"/>
        <family val="2"/>
      </rPr>
      <t xml:space="preserve">                            </t>
    </r>
  </si>
  <si>
    <r>
      <t>N-Werte</t>
    </r>
    <r>
      <rPr>
        <sz val="12"/>
        <rFont val="Arial"/>
        <family val="2"/>
      </rPr>
      <t xml:space="preserve">
</t>
    </r>
    <r>
      <rPr>
        <b/>
        <sz val="12"/>
        <rFont val="Arial"/>
        <family val="2"/>
      </rPr>
      <t>GW-Schutz</t>
    </r>
  </si>
  <si>
    <t>laut AP-Nitrat und Richtlinien fue die Sachgerechte Düngung Auflage 7</t>
  </si>
  <si>
    <t>Ackerbohnen - Getreide Gemenge</t>
  </si>
  <si>
    <t>manuelle Eingabe erforderlich</t>
  </si>
  <si>
    <t>Amaranth</t>
  </si>
  <si>
    <t>1,0 - 1,5</t>
  </si>
  <si>
    <t>1,5 - 2,0</t>
  </si>
  <si>
    <t>2,0 - 2,5</t>
  </si>
  <si>
    <t>Bienentrachtbrache</t>
  </si>
  <si>
    <t>Bitterlupinen</t>
  </si>
  <si>
    <t>2,0 - 4,5</t>
  </si>
  <si>
    <t>4,5 - 5,0</t>
  </si>
  <si>
    <t>5,0 - 5,5</t>
  </si>
  <si>
    <t>&gt; 5,5</t>
  </si>
  <si>
    <t>Buchweizen</t>
  </si>
  <si>
    <t>&lt; 1</t>
  </si>
  <si>
    <t>Elefantengras (Chinaschilf, Miscanthus sinensis)</t>
  </si>
  <si>
    <t>20 - 25</t>
  </si>
  <si>
    <t>&gt; 30</t>
  </si>
  <si>
    <t>Emmer oder Einkorn</t>
  </si>
  <si>
    <t>&lt;3,0</t>
  </si>
  <si>
    <t>3,0 - 4,5</t>
  </si>
  <si>
    <t>Erbsen - Getreide Gemenge</t>
  </si>
  <si>
    <t>Flachs (Faserlein) zur Fasererzeugung</t>
  </si>
  <si>
    <t>10.0 -12.0</t>
  </si>
  <si>
    <t>12.0 -14.0</t>
  </si>
  <si>
    <t>14 - 15</t>
  </si>
  <si>
    <t>&gt; 15</t>
  </si>
  <si>
    <t>Futterkartoffeln</t>
  </si>
  <si>
    <t>&lt; 25</t>
  </si>
  <si>
    <t>25 - 35</t>
  </si>
  <si>
    <t>35 - 45</t>
  </si>
  <si>
    <t>&gt; 55</t>
  </si>
  <si>
    <t>Gingko</t>
  </si>
  <si>
    <t>Grünmais</t>
  </si>
  <si>
    <t>Grünschnittroggen</t>
  </si>
  <si>
    <t>Hanf</t>
  </si>
  <si>
    <t>&lt;0,8</t>
  </si>
  <si>
    <t>0,8-1</t>
  </si>
  <si>
    <t>&gt;1</t>
  </si>
  <si>
    <t>Iberischer Drachenkopf</t>
  </si>
  <si>
    <t>Kanariensaat</t>
  </si>
  <si>
    <t>3 - 3,5</t>
  </si>
  <si>
    <t>3,5 - 4</t>
  </si>
  <si>
    <t>4 - 4,5</t>
  </si>
  <si>
    <t>&gt; 4,5</t>
  </si>
  <si>
    <t>Kichererbsen</t>
  </si>
  <si>
    <t>4,0 - 6,0</t>
  </si>
  <si>
    <t>6,0 - 6,5</t>
  </si>
  <si>
    <t xml:space="preserve">6,5 - 8,0 </t>
  </si>
  <si>
    <t>Leindotter</t>
  </si>
  <si>
    <t>3,0 - 5</t>
  </si>
  <si>
    <t>5 - 6,5</t>
  </si>
  <si>
    <t>6,5 - 8</t>
  </si>
  <si>
    <t>Linsen</t>
  </si>
  <si>
    <t>Mais-Käferbohne</t>
  </si>
  <si>
    <t>Mariendisteln</t>
  </si>
  <si>
    <t>&lt; 1,5</t>
  </si>
  <si>
    <t>2,5 - 3</t>
  </si>
  <si>
    <t>&gt; 3</t>
  </si>
  <si>
    <t>Öllein</t>
  </si>
  <si>
    <t>Ölrettich</t>
  </si>
  <si>
    <t>Phacelia</t>
  </si>
  <si>
    <t>Platterbsen</t>
  </si>
  <si>
    <t>2,5 - 4,5</t>
  </si>
  <si>
    <t>Quinoa</t>
  </si>
  <si>
    <t>Rollrasen</t>
  </si>
  <si>
    <t>Saatgutvermehrung Zuckerrübe</t>
  </si>
  <si>
    <t>&lt; 3,0</t>
  </si>
  <si>
    <t>4, 0 - 4,5</t>
  </si>
  <si>
    <t>4, 5 - 5,0</t>
  </si>
  <si>
    <t>Saatkartoffeln, Pflanzkartoffeln</t>
  </si>
  <si>
    <t>Senf</t>
  </si>
  <si>
    <t>Sommermenggetreide</t>
  </si>
  <si>
    <t>Bedarf nach Zusammensetzung</t>
  </si>
  <si>
    <t>Sommerrübsen</t>
  </si>
  <si>
    <t>Speiseindustriekartoffeln</t>
  </si>
  <si>
    <t>Stärkeindustriekartoffeln</t>
  </si>
  <si>
    <t>Sudangras</t>
  </si>
  <si>
    <t>57,5 - 65</t>
  </si>
  <si>
    <t>Süßlupinen</t>
  </si>
  <si>
    <t>Topinambur (Süßkartoffel)</t>
  </si>
  <si>
    <t>3,5 - 6,0</t>
  </si>
  <si>
    <t>Wicken - Getreide Gemenge</t>
  </si>
  <si>
    <t>Wintermenggetreide</t>
  </si>
  <si>
    <t>Winterrübsen</t>
  </si>
  <si>
    <t>Wicken</t>
  </si>
  <si>
    <t>Gemüse</t>
  </si>
  <si>
    <t>Stickstoffwerte</t>
  </si>
  <si>
    <t>N-Werte
für GW</t>
  </si>
  <si>
    <t xml:space="preserve">für  GW </t>
  </si>
  <si>
    <t>Artischocke</t>
  </si>
  <si>
    <t>12 - 20</t>
  </si>
  <si>
    <t>Brokkoli</t>
  </si>
  <si>
    <t>Buschbohne (gedroschen)</t>
  </si>
  <si>
    <t>&lt; 8</t>
  </si>
  <si>
    <t>8 - 12</t>
  </si>
  <si>
    <t>Buschbohne (gepflückt)</t>
  </si>
  <si>
    <t>&lt; 14</t>
  </si>
  <si>
    <t>14 - 18</t>
  </si>
  <si>
    <t>&gt; 18</t>
  </si>
  <si>
    <t>Chicoree</t>
  </si>
  <si>
    <t>&lt; 20</t>
  </si>
  <si>
    <t>20 - 45</t>
  </si>
  <si>
    <t>&gt; 45</t>
  </si>
  <si>
    <t>Chinakohl</t>
  </si>
  <si>
    <t>&lt; 50</t>
  </si>
  <si>
    <t>50 - 70</t>
  </si>
  <si>
    <t>&gt; 70</t>
  </si>
  <si>
    <t>Dill</t>
  </si>
  <si>
    <t>&lt; 17</t>
  </si>
  <si>
    <t>17 - 22</t>
  </si>
  <si>
    <t>&gt; 22</t>
  </si>
  <si>
    <t>Eichblattsalat</t>
  </si>
  <si>
    <t>&gt; 35</t>
  </si>
  <si>
    <t>Eichblattsalat (geschützt)</t>
  </si>
  <si>
    <t>Eichblattsalat (Vlies)</t>
  </si>
  <si>
    <t>Eissalat</t>
  </si>
  <si>
    <t>30 - 35</t>
  </si>
  <si>
    <t>Eissalat (Vlies 1. Satz)</t>
  </si>
  <si>
    <t>Endivie</t>
  </si>
  <si>
    <t>30 - 40</t>
  </si>
  <si>
    <t>&gt; 40</t>
  </si>
  <si>
    <t>Erbsen</t>
  </si>
  <si>
    <t>4 - 6</t>
  </si>
  <si>
    <t>&gt; 6</t>
  </si>
  <si>
    <t>Grünkohl</t>
  </si>
  <si>
    <t>Grünsoja</t>
  </si>
  <si>
    <t>3,5 - 5</t>
  </si>
  <si>
    <t>&gt; 5</t>
  </si>
  <si>
    <t>Gurke (Einlegegurke)</t>
  </si>
  <si>
    <t>&gt; 50</t>
  </si>
  <si>
    <t>Gurke (Einlegegurke Tröpfchenbewässerung)</t>
  </si>
  <si>
    <t>&lt; 45</t>
  </si>
  <si>
    <t>Gurken (Salat-) (Freiland)</t>
  </si>
  <si>
    <t>45 - 60</t>
  </si>
  <si>
    <t>&gt; 60</t>
  </si>
  <si>
    <t>Gurken (Salat-) (ungeheizt, Kurzkultur)</t>
  </si>
  <si>
    <t>&lt; 130</t>
  </si>
  <si>
    <t>130 - 160</t>
  </si>
  <si>
    <t>&gt; 160</t>
  </si>
  <si>
    <t>Karfiol</t>
  </si>
  <si>
    <t>20 - 30</t>
  </si>
  <si>
    <t>Karotten (Bund oder Vlies)</t>
  </si>
  <si>
    <t>&lt; 70</t>
  </si>
  <si>
    <t>70 - 85</t>
  </si>
  <si>
    <t>&gt; 85</t>
  </si>
  <si>
    <t>Karotten (Industrie)</t>
  </si>
  <si>
    <t>Karotten (Lager)</t>
  </si>
  <si>
    <t>Kerbel</t>
  </si>
  <si>
    <t>Knoblauch (Frühjahr)</t>
  </si>
  <si>
    <t>4 - 5</t>
  </si>
  <si>
    <t>Knoblauch (Herbst)</t>
  </si>
  <si>
    <t>&lt; 5</t>
  </si>
  <si>
    <t>5 - 9</t>
  </si>
  <si>
    <t>&gt; 9</t>
  </si>
  <si>
    <t>Knollenfenchel</t>
  </si>
  <si>
    <t>Kochsalat</t>
  </si>
  <si>
    <t>Kohl (Herbst)</t>
  </si>
  <si>
    <t>Kohl (Vlies, Sommer)</t>
  </si>
  <si>
    <t>Kohlrabi</t>
  </si>
  <si>
    <t>Kohlrabi (geschützt, Herbst)</t>
  </si>
  <si>
    <t>&lt; 35</t>
  </si>
  <si>
    <t>35 - 40</t>
  </si>
  <si>
    <t>Kohlrabi (Industrie)</t>
  </si>
  <si>
    <t>Kohlrabi (Vlies)</t>
  </si>
  <si>
    <t>Kopfsalat</t>
  </si>
  <si>
    <t>Kopfsalat (geschützt)</t>
  </si>
  <si>
    <t>Kopfsalat (Vlies)</t>
  </si>
  <si>
    <t>Kraut (Früh, Vlies)</t>
  </si>
  <si>
    <t>Kraut (Herbst)</t>
  </si>
  <si>
    <t>&lt; 65</t>
  </si>
  <si>
    <t>65 - 75</t>
  </si>
  <si>
    <t>&gt; 75</t>
  </si>
  <si>
    <t>Kraut (Industrie, früh)</t>
  </si>
  <si>
    <t>&lt; 75</t>
  </si>
  <si>
    <t>Kraut (Industrie, spät)</t>
  </si>
  <si>
    <t>&lt; 90</t>
  </si>
  <si>
    <t>90 - 110</t>
  </si>
  <si>
    <t>&gt; 110</t>
  </si>
  <si>
    <t>Kraut (Lager)</t>
  </si>
  <si>
    <t>Kraut (Sommer)</t>
  </si>
  <si>
    <t>Kren (Meerettich)</t>
  </si>
  <si>
    <t>8 - 10</t>
  </si>
  <si>
    <t>Lollo</t>
  </si>
  <si>
    <t>Lollo (geschützt)</t>
  </si>
  <si>
    <t>Lollo (Vlies)</t>
  </si>
  <si>
    <t>&gt; 25</t>
  </si>
  <si>
    <t>Mangold</t>
  </si>
  <si>
    <t>Melanzani, Aubergine (Freiland)</t>
  </si>
  <si>
    <t>30 -50</t>
  </si>
  <si>
    <t>Melanzani, Aubergine (geschützt)</t>
  </si>
  <si>
    <t>&lt; 80</t>
  </si>
  <si>
    <t>80 - 100</t>
  </si>
  <si>
    <t>Melone</t>
  </si>
  <si>
    <t>Paprika</t>
  </si>
  <si>
    <t>40 - 60</t>
  </si>
  <si>
    <t>Pastinak</t>
  </si>
  <si>
    <t>Petersilie</t>
  </si>
  <si>
    <t>Porree (früh, Folie)</t>
  </si>
  <si>
    <t>Porree (Herbst, Winter)</t>
  </si>
  <si>
    <t>Porree (Hybrid)</t>
  </si>
  <si>
    <t>Radicchio</t>
  </si>
  <si>
    <t>Radieschen (Frühjahr)</t>
  </si>
  <si>
    <t>Radieschen (Frühjahr/Herbst)</t>
  </si>
  <si>
    <t>Radieschen (Sommer)</t>
  </si>
  <si>
    <t>Rettich schwarz</t>
  </si>
  <si>
    <t>Rettich schwarz (ungeheizt, Frühjahr)</t>
  </si>
  <si>
    <t>30 - 50</t>
  </si>
  <si>
    <t>Rettich weiß (Bierrettich)</t>
  </si>
  <si>
    <t>Rettich weiß (ungeheizt, Frühjahr)</t>
  </si>
  <si>
    <t>Rhabarber</t>
  </si>
  <si>
    <t>Rote Rüben (Frischmarkt)</t>
  </si>
  <si>
    <t>Rote Rüben (Industrie)</t>
  </si>
  <si>
    <t>70 - 80</t>
  </si>
  <si>
    <t>&gt; 80</t>
  </si>
  <si>
    <t>Rucola</t>
  </si>
  <si>
    <t>Schnittlauch</t>
  </si>
  <si>
    <t>Schwarzwurzel</t>
  </si>
  <si>
    <t>&lt; 22</t>
  </si>
  <si>
    <t>22 - 28</t>
  </si>
  <si>
    <t>&gt; 28</t>
  </si>
  <si>
    <t>Sellerie (Knollen)</t>
  </si>
  <si>
    <t>Sellerie (Stangen-, Bleich-)</t>
  </si>
  <si>
    <t>Sonstige Flächen: Geschützter Anbau</t>
  </si>
  <si>
    <t>Spargel (Ertragsanlage)</t>
  </si>
  <si>
    <t>4 - 7</t>
  </si>
  <si>
    <t>&gt; 7</t>
  </si>
  <si>
    <t>Speisekürbis, Zierkürbis</t>
  </si>
  <si>
    <t>Spinat (Blattspinat)</t>
  </si>
  <si>
    <t>12 - 18</t>
  </si>
  <si>
    <t>Spinat (Passierspinat)</t>
  </si>
  <si>
    <t>20 - 28</t>
  </si>
  <si>
    <t>Spinat (Überwinterung)</t>
  </si>
  <si>
    <t>25 - 34</t>
  </si>
  <si>
    <t>&gt; 34</t>
  </si>
  <si>
    <t>Sprossenkohl</t>
  </si>
  <si>
    <t>10 - 15</t>
  </si>
  <si>
    <t>Stangenbohne frisch (Fisole)</t>
  </si>
  <si>
    <t>Stangenbohne, Käferbohne (trocken)</t>
  </si>
  <si>
    <t>&lt; 1,8</t>
  </si>
  <si>
    <t>1,8 - 2,2</t>
  </si>
  <si>
    <t>&gt; 2,2</t>
  </si>
  <si>
    <t>Tomate, Paradeiser (Freiland)</t>
  </si>
  <si>
    <t>50 - 80</t>
  </si>
  <si>
    <t>Tomate, Paradeiser (geschützt)</t>
  </si>
  <si>
    <t>&lt; 140</t>
  </si>
  <si>
    <t>140 - 160</t>
  </si>
  <si>
    <t>Vogerlsalat (Rapunzel)</t>
  </si>
  <si>
    <t>6,5 - 8,5</t>
  </si>
  <si>
    <t>Zucchini</t>
  </si>
  <si>
    <t>Zuckerhut</t>
  </si>
  <si>
    <t>Zuckermais (Körner)</t>
  </si>
  <si>
    <t>12 - 14</t>
  </si>
  <si>
    <t>&gt; 14</t>
  </si>
  <si>
    <t>Zwiebel (Bund)</t>
  </si>
  <si>
    <t>40 - 55</t>
  </si>
  <si>
    <t>Zwiebel (trocken)</t>
  </si>
  <si>
    <t>Phosphor (als ÖPUL Mindeststandard)</t>
  </si>
  <si>
    <t>Kalium (nur als Empfehlung)</t>
  </si>
  <si>
    <t>Obst und Hopfen:</t>
  </si>
  <si>
    <t>Brombeere</t>
  </si>
  <si>
    <t xml:space="preserve"> 8 -14</t>
  </si>
  <si>
    <t>Edelkastanien</t>
  </si>
  <si>
    <t xml:space="preserve"> 2 - 3</t>
  </si>
  <si>
    <t>Einjährige Baumschulen</t>
  </si>
  <si>
    <t>Energieholz ohne Robinie</t>
  </si>
  <si>
    <t>Energieholz  Robinie</t>
  </si>
  <si>
    <t>Heidelbeere</t>
  </si>
  <si>
    <t>5 - 8</t>
  </si>
  <si>
    <t>Himbeere</t>
  </si>
  <si>
    <t xml:space="preserve"> 8 - 10</t>
  </si>
  <si>
    <t>Holunder</t>
  </si>
  <si>
    <t>Hopfen</t>
  </si>
  <si>
    <t>1,5 - 1,8</t>
  </si>
  <si>
    <t>&gt; 1,8</t>
  </si>
  <si>
    <t>Kirschen</t>
  </si>
  <si>
    <t xml:space="preserve"> 8 - 12</t>
  </si>
  <si>
    <t>Marille</t>
  </si>
  <si>
    <t>Mehrjährige Baumschulen</t>
  </si>
  <si>
    <t>Nektarinen</t>
  </si>
  <si>
    <t>Anderes Obst</t>
  </si>
  <si>
    <t xml:space="preserve"> 30 - 40</t>
  </si>
  <si>
    <t>Obst/Hopfen Bodengesundung</t>
  </si>
  <si>
    <t>Pfirsiche</t>
  </si>
  <si>
    <t>Pflaumen</t>
  </si>
  <si>
    <t>Preiselbeere</t>
  </si>
  <si>
    <t>Quitten</t>
  </si>
  <si>
    <t>Rebschulen</t>
  </si>
  <si>
    <t>Johannisbeere</t>
  </si>
  <si>
    <t>Schalenfrüchte (Walnüsse, Haselnüsse,...)</t>
  </si>
  <si>
    <t>0,5 - 4</t>
  </si>
  <si>
    <t>&gt;  4</t>
  </si>
  <si>
    <t>Apfelbeere, Aronia</t>
  </si>
  <si>
    <t>6 - 8</t>
  </si>
  <si>
    <t>Sonstige Spezialkulturflächen</t>
  </si>
  <si>
    <t>Stachelbeere</t>
  </si>
  <si>
    <t xml:space="preserve"> 6 - 10</t>
  </si>
  <si>
    <t>Tafeläpfel</t>
  </si>
  <si>
    <t>Tafelbirnen</t>
  </si>
  <si>
    <t>Weichseln</t>
  </si>
  <si>
    <t>Zwetschken</t>
  </si>
  <si>
    <t>Wein (inkl. Schnittweingarten):</t>
  </si>
  <si>
    <t>Aufdüngung von Neuanlagen</t>
  </si>
  <si>
    <t>Sonstige Weinflächen</t>
  </si>
  <si>
    <t>Wein - Triebwachstum schwach - Oberbodendüngung</t>
  </si>
  <si>
    <t>5-10</t>
  </si>
  <si>
    <t>Wein - Triebwachstum schwach - Unterbodendüngung</t>
  </si>
  <si>
    <t>Wein - Triebwachstum schwach - Ober- und Unterbodendüngung</t>
  </si>
  <si>
    <t>Wein - Triebwachstum mittel - Oberbodendüngung</t>
  </si>
  <si>
    <t>Wein - Triebwachstum mittel - Unterbodendüngung</t>
  </si>
  <si>
    <t>Wein - Triebwachstum mittel - Ober- und Unterbodendüngung</t>
  </si>
  <si>
    <t>Wein - Triebwachstum stark - Oberbodendüngung</t>
  </si>
  <si>
    <t>Wein - Triebwachstum stark - Unterbodendüngung</t>
  </si>
  <si>
    <t>Wein - Triebwachstum stark - Ober- und Unterbodendüngung</t>
  </si>
  <si>
    <t>Wein Bodengesundung</t>
  </si>
  <si>
    <t>Grundwasser</t>
  </si>
  <si>
    <t xml:space="preserve">Heil- und Gewürzpflanzen:     </t>
  </si>
  <si>
    <t>Ackerstiefmütterchen</t>
  </si>
  <si>
    <t>Alant</t>
  </si>
  <si>
    <t>Anis</t>
  </si>
  <si>
    <t>Arnika (Berg-)</t>
  </si>
  <si>
    <t>Artemisia-Arten</t>
  </si>
  <si>
    <t>Baldrian</t>
  </si>
  <si>
    <t xml:space="preserve">Basilikum </t>
  </si>
  <si>
    <t>Bibernelle</t>
  </si>
  <si>
    <t>Bockshornklee</t>
  </si>
  <si>
    <t>Bohnenkraut</t>
  </si>
  <si>
    <t>Borretsch</t>
  </si>
  <si>
    <t>Brennnessel</t>
  </si>
  <si>
    <t>Eibisch</t>
  </si>
  <si>
    <t>Engelwurz</t>
  </si>
  <si>
    <t>Fingerhut</t>
  </si>
  <si>
    <t>Flohsamen</t>
  </si>
  <si>
    <t>Gelber Enzian 1. Jahr</t>
  </si>
  <si>
    <t>Gelber Enzian 2. Jahr</t>
  </si>
  <si>
    <t>Gelber Enzian 3. Jahr</t>
  </si>
  <si>
    <t>Gewürzfenchel</t>
  </si>
  <si>
    <t>Ginseng</t>
  </si>
  <si>
    <t>Goldmelisse</t>
  </si>
  <si>
    <t>Johanniskraut</t>
  </si>
  <si>
    <t>Kamille</t>
  </si>
  <si>
    <t>Klatschmohn</t>
  </si>
  <si>
    <t>Königskerze</t>
  </si>
  <si>
    <t>Koriander</t>
  </si>
  <si>
    <t>Kornblume</t>
  </si>
  <si>
    <t>Lavendel</t>
  </si>
  <si>
    <t>Liebstöckel</t>
  </si>
  <si>
    <t>Majoran</t>
  </si>
  <si>
    <t xml:space="preserve">Malve (incl. Stockmalve) </t>
  </si>
  <si>
    <t>Maralwurzel</t>
  </si>
  <si>
    <t>Minze</t>
  </si>
  <si>
    <t>Mutterkraut</t>
  </si>
  <si>
    <t>Nachtkerze</t>
  </si>
  <si>
    <t>Oregano</t>
  </si>
  <si>
    <t>Rainfarn</t>
  </si>
  <si>
    <t>Ringelblume</t>
  </si>
  <si>
    <t>Saflor</t>
  </si>
  <si>
    <t>Salbei</t>
  </si>
  <si>
    <t>Schabzigerklee</t>
  </si>
  <si>
    <t>Schafgarbe</t>
  </si>
  <si>
    <t>Schisandra</t>
  </si>
  <si>
    <t>Schlüsselblume</t>
  </si>
  <si>
    <t>Schöllkraut</t>
  </si>
  <si>
    <t>Schwarzkümmel</t>
  </si>
  <si>
    <t>Sonnenhut</t>
  </si>
  <si>
    <t>Spitzwegerich</t>
  </si>
  <si>
    <t>Stechapfel</t>
  </si>
  <si>
    <t>Steinklee</t>
  </si>
  <si>
    <t>Studentenblume</t>
  </si>
  <si>
    <t>Thymian</t>
  </si>
  <si>
    <t>Timothe</t>
  </si>
  <si>
    <t>Tollkirsche</t>
  </si>
  <si>
    <t>Wallwurz</t>
  </si>
  <si>
    <t>Weidenröschen</t>
  </si>
  <si>
    <t>Ysop</t>
  </si>
  <si>
    <t>Zitronenmelisse</t>
  </si>
  <si>
    <t>Sonstige Nutzungen:</t>
  </si>
  <si>
    <r>
      <t>Christbäume - Tanne/Fichte - 1 Jahr Kulturalter 4</t>
    </r>
    <r>
      <rPr>
        <i/>
        <sz val="12"/>
        <rFont val="Arial"/>
        <family val="2"/>
      </rPr>
      <t>)</t>
    </r>
  </si>
  <si>
    <r>
      <t>Christbäume - Tanne/Fichte - 2 Jahre Kulturalter 4</t>
    </r>
    <r>
      <rPr>
        <i/>
        <sz val="12"/>
        <rFont val="Arial"/>
        <family val="2"/>
      </rPr>
      <t>)</t>
    </r>
  </si>
  <si>
    <r>
      <t>Christbäume - Tanne/Fichte - 3 Jahre Kulturalter 4</t>
    </r>
    <r>
      <rPr>
        <i/>
        <sz val="12"/>
        <rFont val="Arial"/>
        <family val="2"/>
      </rPr>
      <t>)</t>
    </r>
  </si>
  <si>
    <r>
      <t>Christbäume - Tanne - 4 Jahre Kulturalter 4</t>
    </r>
    <r>
      <rPr>
        <i/>
        <sz val="12"/>
        <rFont val="Arial"/>
        <family val="2"/>
      </rPr>
      <t>)</t>
    </r>
  </si>
  <si>
    <r>
      <t>Christbäume - Tanne - 5 Jahre Kulturalter 4</t>
    </r>
    <r>
      <rPr>
        <i/>
        <sz val="12"/>
        <rFont val="Arial"/>
        <family val="2"/>
      </rPr>
      <t>)</t>
    </r>
  </si>
  <si>
    <r>
      <t>Christbäume - Tanne - 6 Jahre Kulturalter 4</t>
    </r>
    <r>
      <rPr>
        <i/>
        <sz val="12"/>
        <rFont val="Arial"/>
        <family val="2"/>
      </rPr>
      <t>)</t>
    </r>
  </si>
  <si>
    <r>
      <t>Christbäume - Tanne - 7 Jahre Kulturalter 4</t>
    </r>
    <r>
      <rPr>
        <i/>
        <sz val="12"/>
        <rFont val="Arial"/>
        <family val="2"/>
      </rPr>
      <t>)</t>
    </r>
  </si>
  <si>
    <r>
      <t>Christbäume - Tanne - 8 Jahre Kulturalter 4</t>
    </r>
    <r>
      <rPr>
        <i/>
        <sz val="12"/>
        <rFont val="Arial"/>
        <family val="2"/>
      </rPr>
      <t>)</t>
    </r>
  </si>
  <si>
    <r>
      <t>Christbäume - Tanne - 9 Jahre Kulturalter 4</t>
    </r>
    <r>
      <rPr>
        <i/>
        <sz val="12"/>
        <rFont val="Arial"/>
        <family val="2"/>
      </rPr>
      <t>)</t>
    </r>
  </si>
  <si>
    <r>
      <t>Christbäume - Tanne - 10 Jahre Kulturalter 4</t>
    </r>
    <r>
      <rPr>
        <i/>
        <sz val="12"/>
        <rFont val="Arial"/>
        <family val="2"/>
      </rPr>
      <t>)</t>
    </r>
  </si>
  <si>
    <r>
      <t>Christbäume - Tanne - älter als 10 Jahre 4</t>
    </r>
    <r>
      <rPr>
        <i/>
        <sz val="12"/>
        <rFont val="Arial"/>
        <family val="2"/>
      </rPr>
      <t>)</t>
    </r>
  </si>
  <si>
    <r>
      <t>Christbäume - Fichte - 4 Jahre Kulturalter 4</t>
    </r>
    <r>
      <rPr>
        <i/>
        <sz val="12"/>
        <rFont val="Arial"/>
        <family val="2"/>
      </rPr>
      <t>)</t>
    </r>
  </si>
  <si>
    <r>
      <t>Christbäume - Fichte - 5 Jahre Kulturalter 4</t>
    </r>
    <r>
      <rPr>
        <i/>
        <sz val="12"/>
        <rFont val="Arial"/>
        <family val="2"/>
      </rPr>
      <t>)</t>
    </r>
  </si>
  <si>
    <r>
      <t>Christbäume - Fichte - 6 Jahre Kulturalter 4</t>
    </r>
    <r>
      <rPr>
        <i/>
        <sz val="12"/>
        <rFont val="Arial"/>
        <family val="2"/>
      </rPr>
      <t>)</t>
    </r>
  </si>
  <si>
    <r>
      <t>Christbäume - Fichte - 7 Jahre Kulturalter 4</t>
    </r>
    <r>
      <rPr>
        <i/>
        <sz val="12"/>
        <rFont val="Arial"/>
        <family val="2"/>
      </rPr>
      <t>)</t>
    </r>
  </si>
  <si>
    <r>
      <t>Christbäume - Fichte - 8 Jahre Kulturalter 4</t>
    </r>
    <r>
      <rPr>
        <i/>
        <sz val="12"/>
        <rFont val="Arial"/>
        <family val="2"/>
      </rPr>
      <t>)</t>
    </r>
  </si>
  <si>
    <r>
      <t>Christbäume - Fichte - 9 Jahre Kulturalter 4</t>
    </r>
    <r>
      <rPr>
        <i/>
        <sz val="12"/>
        <rFont val="Arial"/>
        <family val="2"/>
      </rPr>
      <t>)</t>
    </r>
  </si>
  <si>
    <r>
      <t>Christbäume - Fichte - 10 Jahre Kulturalter 4</t>
    </r>
    <r>
      <rPr>
        <i/>
        <sz val="12"/>
        <rFont val="Arial"/>
        <family val="2"/>
      </rPr>
      <t>)</t>
    </r>
  </si>
  <si>
    <r>
      <t>Christbäume - Fichte - älter als 10 Jahre 4</t>
    </r>
    <r>
      <rPr>
        <i/>
        <sz val="12"/>
        <rFont val="Arial"/>
        <family val="2"/>
      </rPr>
      <t>)</t>
    </r>
  </si>
  <si>
    <t>Erstaufforstung</t>
  </si>
  <si>
    <t>Neuaufforstungspflege</t>
  </si>
  <si>
    <t>Sonstige Aufforstungsfläche</t>
  </si>
  <si>
    <t>Waldumweltmaßnahmen</t>
  </si>
  <si>
    <t xml:space="preserve">1) Grundsätzlich keine mineralische Düngung; bei niedriger Wasserlöslichkeit ist eine Düngung in der Höhe von 50 % des Wertes der mittleren Ertragslage möglich; bei Böden über 15 % Tongehalt ist eine Unterfußdüngung bis zu 50 % des Wertes der mittleren Ertragslage möglich; </t>
  </si>
  <si>
    <t xml:space="preserve">   Nährstoffe aus hofeigenen Wirtschaftsdüngern sind in der Höhe des Pflanzenentzuges tolerierbar.</t>
  </si>
  <si>
    <t>2) Eine weitere Nährstoffzufuhr ist nicht zu empfehlen; Nährstoffe aus hofeigenen Wirtschaftsdüngern sind in der Höhe des Pflanzenentzuges tolerierbar.</t>
  </si>
  <si>
    <t>3) Keine Düngung, Rückführung von Phosphor aus Wirtschaftsdüngern möglich.</t>
  </si>
  <si>
    <t>4) Differenzierte Anweisungen zur Einzelpflanzendüngung und zur Interpretation von Nadelanalysen sind den "Empfehlungen für die sachgerechte Düngung von Christbaumkulturen" des Fachbeirates für Bodenfruchtbarkeit und Bodenschutz in der geltenden Fassung zu entnehmen.</t>
  </si>
  <si>
    <t>5) Nutzung: eine Nutzung zur Saatgutgewinnung zählt wie 2 Schnittnutzungen; Gräserbestände mit einer Schnitt- und einer Samennutzung sind daher als 3 Nutzungen einzustufen.</t>
  </si>
  <si>
    <t>6) Abschlag von 50 % des Wertes der mittleren Ertragslage möglich; keine mineralische Düngung zu Getreide; Nährstoffe aus hofeigenen Wirtschaftsdüngern sind in der Höhe des Pflanzenentzuges tolerierbar.</t>
  </si>
  <si>
    <t>Bei Doppelnutzungen ist der Wert der jeweils angebauten Kulturen zusammenzuzählen.</t>
  </si>
  <si>
    <t>Für Kulturen im geschützten Anbau gelten die Werte wie bei Ackerkulturen, Gemüse, Heil- und Gewürzpflanzen oder Obst und Hopfen.</t>
  </si>
  <si>
    <t>&gt;3,5</t>
  </si>
  <si>
    <t>&lt; 2</t>
  </si>
  <si>
    <t>2,0 - 3,0</t>
  </si>
  <si>
    <t>&gt;3</t>
  </si>
  <si>
    <t>2 - 3</t>
  </si>
  <si>
    <t>&gt; 3,0</t>
  </si>
  <si>
    <t>3,0 - 4,0</t>
  </si>
  <si>
    <t>4,0 - 5,0</t>
  </si>
  <si>
    <t>&lt; 60</t>
  </si>
  <si>
    <t>60 - 100</t>
  </si>
  <si>
    <t>&gt; 100</t>
  </si>
  <si>
    <t>55 - 75</t>
  </si>
  <si>
    <t>75 - 85</t>
  </si>
  <si>
    <t>85 - 95</t>
  </si>
  <si>
    <t>&gt; 95</t>
  </si>
  <si>
    <t>&lt; 15</t>
  </si>
  <si>
    <t>15 - 20</t>
  </si>
  <si>
    <t>&gt; 20</t>
  </si>
  <si>
    <t>&lt; 30</t>
  </si>
  <si>
    <t>30 - 45</t>
  </si>
  <si>
    <t>45 - 55</t>
  </si>
  <si>
    <t>55- 65</t>
  </si>
  <si>
    <t>&gt; 65</t>
  </si>
  <si>
    <t>&lt; 10</t>
  </si>
  <si>
    <t xml:space="preserve"> 10-18</t>
  </si>
  <si>
    <t>&gt;18</t>
  </si>
  <si>
    <t>&lt; 1,0</t>
  </si>
  <si>
    <t>1-1,5</t>
  </si>
  <si>
    <t>1,5 - 1,7</t>
  </si>
  <si>
    <t>1,7-1,9</t>
  </si>
  <si>
    <t>&gt; 1,9</t>
  </si>
  <si>
    <t>&lt; 0,6</t>
  </si>
  <si>
    <t>0,6 - 0,8</t>
  </si>
  <si>
    <t>0,8 - 0,9</t>
  </si>
  <si>
    <t>0,9 - 1</t>
  </si>
  <si>
    <t>&gt; 1</t>
  </si>
  <si>
    <t>&gt; 0,6</t>
  </si>
  <si>
    <t>&gt; 0,8</t>
  </si>
  <si>
    <t>Ackerfutterkulturen:</t>
  </si>
  <si>
    <t xml:space="preserve"> Stickstoffwerte</t>
  </si>
  <si>
    <r>
      <t>N-Werte</t>
    </r>
    <r>
      <rPr>
        <sz val="12"/>
        <rFont val="Arial"/>
        <family val="2"/>
      </rPr>
      <t xml:space="preserve">
</t>
    </r>
    <r>
      <rPr>
        <b/>
        <sz val="12"/>
        <rFont val="Arial"/>
        <family val="2"/>
      </rPr>
      <t>Grundwasser
Schutz</t>
    </r>
  </si>
  <si>
    <r>
      <t>Phosphor</t>
    </r>
    <r>
      <rPr>
        <sz val="12"/>
        <rFont val="Arial"/>
        <family val="2"/>
      </rPr>
      <t xml:space="preserve"> (als ÖPUL Mindeststandard)</t>
    </r>
  </si>
  <si>
    <r>
      <t xml:space="preserve">Kalium </t>
    </r>
    <r>
      <rPr>
        <sz val="12"/>
        <rFont val="Arial"/>
        <family val="2"/>
      </rPr>
      <t>(nur als Empfehlung)</t>
    </r>
  </si>
  <si>
    <t>Düngung nach Bodenuntersuchung</t>
  </si>
  <si>
    <t>Ertragslage</t>
  </si>
  <si>
    <t xml:space="preserve">hoch </t>
  </si>
  <si>
    <t>maximale Nährstoffmengen in kg/ha</t>
  </si>
  <si>
    <t>In den blauen Spalten wird die Dauer des offenen (nicht begrünten) Boden angezeigt. Wird dort ein 
Rautezechen (#) angezeigt - bedeutet das, dass noch ein Umbruchs- oder Anbaudatum fehlen.</t>
  </si>
  <si>
    <t>zur Tierliste</t>
  </si>
  <si>
    <t>Masthendl</t>
  </si>
  <si>
    <t>Tabelle zur Errechnung des durchschnittlichen Tierbestandes</t>
  </si>
  <si>
    <t>Durchschnittlicher Tierbestand</t>
  </si>
  <si>
    <t>Küken und Junghennen</t>
  </si>
  <si>
    <t>während eines Jahres  © 2004 by VLV</t>
  </si>
  <si>
    <t>Nährstoffbestimmender Tierbestand</t>
  </si>
  <si>
    <t>Bestandsveränderungen</t>
  </si>
  <si>
    <t>Bedienungshinweise</t>
  </si>
  <si>
    <t>Zugang</t>
  </si>
  <si>
    <t>Abgang</t>
  </si>
  <si>
    <t>Aktueller Bestand</t>
  </si>
  <si>
    <t>Tage Diff</t>
  </si>
  <si>
    <t>Bestand*Diff</t>
  </si>
  <si>
    <t>Anfangsbestand</t>
  </si>
  <si>
    <r>
      <t xml:space="preserve">Tierart auswählen und  Anfangstierbestand in Zelle </t>
    </r>
    <r>
      <rPr>
        <b/>
        <sz val="12"/>
        <rFont val="Arial"/>
        <family val="2"/>
      </rPr>
      <t>'D9'</t>
    </r>
    <r>
      <rPr>
        <sz val="12"/>
        <rFont val="Arial"/>
        <family val="2"/>
      </rPr>
      <t xml:space="preserve"> eintragen</t>
    </r>
  </si>
  <si>
    <t>Der Durchschnittsbestand wird automatisch für ein Jahr ab diesem Datum berechnet</t>
  </si>
  <si>
    <t>Die Eintragungen haben in chronolgischer Reihenfolge zu erfolgen</t>
  </si>
  <si>
    <t>Leerzeilen sind zu vermeiden</t>
  </si>
  <si>
    <t>Zu jeder Erfassung eines Zu- und Abganges ist die Erfassung des zugehörigen Datums notwendig</t>
  </si>
  <si>
    <t>Für Programmfehler wird keine Haftung übernommen!</t>
  </si>
  <si>
    <t>Verbesserungsvorschläge werden gerne entgegengenommen.</t>
  </si>
  <si>
    <t>N ab Lager = Stickstoffanfall nach Abzug der Stall- und Lagerverluste</t>
  </si>
  <si>
    <t>Tierart</t>
  </si>
  <si>
    <t>Mist        Anteil</t>
  </si>
  <si>
    <t xml:space="preserve">Tiefstall-  mist             </t>
  </si>
  <si>
    <t>Mist Anteil</t>
  </si>
  <si>
    <t xml:space="preserve">Tiefstall mist             </t>
  </si>
  <si>
    <r>
      <t>Gülle</t>
    </r>
    <r>
      <rPr>
        <b/>
        <vertAlign val="superscript"/>
        <sz val="12"/>
        <rFont val="Arial"/>
        <family val="2"/>
      </rPr>
      <t>3)</t>
    </r>
    <r>
      <rPr>
        <sz val="12"/>
        <rFont val="Arial"/>
        <family val="2"/>
      </rPr>
      <t xml:space="preserve"> uvb.*  </t>
    </r>
  </si>
  <si>
    <r>
      <t>Jauche</t>
    </r>
    <r>
      <rPr>
        <b/>
        <vertAlign val="superscript"/>
        <sz val="12"/>
        <rFont val="Arial"/>
        <family val="2"/>
      </rPr>
      <t xml:space="preserve">2) </t>
    </r>
    <r>
      <rPr>
        <sz val="12"/>
        <rFont val="Arial"/>
        <family val="2"/>
      </rPr>
      <t>uvb.*</t>
    </r>
  </si>
  <si>
    <r>
      <t>Mist</t>
    </r>
    <r>
      <rPr>
        <b/>
        <vertAlign val="superscript"/>
        <sz val="12"/>
        <rFont val="Arial"/>
        <family val="2"/>
      </rPr>
      <t>1)</t>
    </r>
  </si>
  <si>
    <r>
      <t>Tiefstallmist</t>
    </r>
    <r>
      <rPr>
        <b/>
        <vertAlign val="superscript"/>
        <sz val="12"/>
        <rFont val="Arial"/>
        <family val="2"/>
      </rPr>
      <t>4)</t>
    </r>
    <r>
      <rPr>
        <b/>
        <sz val="12"/>
        <rFont val="Arial"/>
        <family val="2"/>
      </rPr>
      <t xml:space="preserve">  </t>
    </r>
  </si>
  <si>
    <t>Jungrinder</t>
  </si>
  <si>
    <t>Kälber und Jungrinder unter 1/2 Jahr</t>
  </si>
  <si>
    <t>andere Kälber und Jungrinder unter 1/2 Jahr</t>
  </si>
  <si>
    <t>Jungvieh 1/2 bis 1 Jahr</t>
  </si>
  <si>
    <r>
      <t>Aufteilung bei Stiermast</t>
    </r>
    <r>
      <rPr>
        <sz val="8"/>
        <rFont val="Arial"/>
        <family val="2"/>
      </rPr>
      <t>:</t>
    </r>
  </si>
  <si>
    <t>Jungvieh 1 bis 2 Jahr</t>
  </si>
  <si>
    <t xml:space="preserve">Rinder ab 2 Jahre </t>
  </si>
  <si>
    <t>Ochsen, Stiere</t>
  </si>
  <si>
    <t>Kalbinnen</t>
  </si>
  <si>
    <t>Milchkühe ohne Nachzucht</t>
  </si>
  <si>
    <t>Milchleistung  Kuh = gelieferte u. direkt vermarktete zuzüglich 320 kg je Kuh für verfütterte u. verbrauchte Milch</t>
  </si>
  <si>
    <t>Milch- bzw. Mutterkühe (3000 kg Milch)</t>
  </si>
  <si>
    <t>Milchkühe (5000 kg Milch)</t>
  </si>
  <si>
    <t>Milch- bzw. Ammenkühe (4000 kg Milch)</t>
  </si>
  <si>
    <t>von 3.500 - 4.499</t>
  </si>
  <si>
    <t>Milchkühe (6000 kg Milch)</t>
  </si>
  <si>
    <t>von 4.500 - 5.499</t>
  </si>
  <si>
    <t>Milchkühe (7000 kg Milch)</t>
  </si>
  <si>
    <t>von 5.500 - 6.499</t>
  </si>
  <si>
    <t>Milchkühe (8000 kg Milch)</t>
  </si>
  <si>
    <t>von 6.500 - 7.499</t>
  </si>
  <si>
    <t>Milchkühe (9000 kg Milch)</t>
  </si>
  <si>
    <t>von 7.500 - 8.499</t>
  </si>
  <si>
    <t>Milchkühe (&gt; 10.000 kg Milch)</t>
  </si>
  <si>
    <t>von 8.500 - 9.499</t>
  </si>
  <si>
    <t>Mutter- und Ammenkühe ohne Nachzucht</t>
  </si>
  <si>
    <t>ab   9.500</t>
  </si>
  <si>
    <t>Mutter- und Ammenkühe</t>
  </si>
  <si>
    <t>Ferkel</t>
  </si>
  <si>
    <t>Ferkelanzahl =</t>
  </si>
  <si>
    <t>Ferkel 8 bis 32 kg Lebendgewicht (LG) Standard-Fütterung</t>
  </si>
  <si>
    <t>für unter 18 verkaufte Ferkel gilt Zuchtsauen x 2,6</t>
  </si>
  <si>
    <t>Ferkel 8 bis 32 kg Lebendgewicht (LG) N-reduzierte-Fütterung</t>
  </si>
  <si>
    <t>für 18 bis 20 verkaufte Ferkel gilt Zuchtsauen x 2,9</t>
  </si>
  <si>
    <t>Mastschweine und Jungsauen auf der Basis von 2,5 Zyklen pro Jahr</t>
  </si>
  <si>
    <t xml:space="preserve">für über 20 verkaufte Ferkel gilt Zuchtsauen x 3,2 </t>
  </si>
  <si>
    <t>Mastschweine und Jungsauen</t>
  </si>
  <si>
    <t>ab 32 kg LG bis Mastende/Belegung</t>
  </si>
  <si>
    <t>Tierliste x 1,26</t>
  </si>
  <si>
    <t>ab 32 kg LG bis Mastende/Belegung -N-reduzierte-Fütterung</t>
  </si>
  <si>
    <t>ab 32 kg LG bis Mastende/Belegung - stark-N-reduzierte-Fütterung</t>
  </si>
  <si>
    <t>Zuchtschweine (ab Belegung) inkl. Ferkel bis 8 kg</t>
  </si>
  <si>
    <t>Zuchtschweine - Standard-Fütterung</t>
  </si>
  <si>
    <t>Zuchtschweine - N-reduzierte Fütterung</t>
  </si>
  <si>
    <t>Eber</t>
  </si>
  <si>
    <t>Zuchteber - Standard-Fütterung</t>
  </si>
  <si>
    <t>Zuchteber - N-reduzierte Fütterung</t>
  </si>
  <si>
    <r>
      <t xml:space="preserve">Gülle </t>
    </r>
    <r>
      <rPr>
        <sz val="7"/>
        <rFont val="Arial"/>
        <family val="2"/>
      </rPr>
      <t xml:space="preserve">(pumpfähig) </t>
    </r>
  </si>
  <si>
    <t>130 Haltetage pro Umtrieb &gt;&gt; 2,0 Umtriebe</t>
  </si>
  <si>
    <t>Legehennen, Hähne</t>
  </si>
  <si>
    <t>40 Haltetage pro Umtrieb &gt;&gt; 7,0 Umtriebe</t>
  </si>
  <si>
    <t>Truthühner (Puten)</t>
  </si>
  <si>
    <t>150 Haltetage pro Umtrieb &gt;&gt; 2,0 Umtriebe</t>
  </si>
  <si>
    <r>
      <t>Kleinpferde (</t>
    </r>
    <r>
      <rPr>
        <sz val="7"/>
        <rFont val="Arial"/>
        <family val="2"/>
      </rPr>
      <t xml:space="preserve">Widerristhöhe bis 1,48 m) </t>
    </r>
    <r>
      <rPr>
        <b/>
        <sz val="7"/>
        <rFont val="Arial"/>
        <family val="2"/>
      </rPr>
      <t xml:space="preserve"> Endgewicht &lt; 300 kg</t>
    </r>
  </si>
  <si>
    <r>
      <t>Kleinpferde</t>
    </r>
    <r>
      <rPr>
        <b/>
        <vertAlign val="superscript"/>
        <sz val="10"/>
        <rFont val="Arial"/>
        <family val="2"/>
      </rPr>
      <t>5)</t>
    </r>
    <r>
      <rPr>
        <b/>
        <sz val="10"/>
        <rFont val="Arial"/>
        <family val="2"/>
      </rPr>
      <t xml:space="preserve"> incl. Ponys, Esel, Maultiere,   - Endgewicht &lt; 300 kg</t>
    </r>
  </si>
  <si>
    <t>1/2 bis 3 Jahre</t>
  </si>
  <si>
    <t>&gt; 3 Jahre incl. Fohlen bis 1/2 Jahr</t>
  </si>
  <si>
    <r>
      <t>Kleinpferde (</t>
    </r>
    <r>
      <rPr>
        <sz val="7"/>
        <rFont val="Arial"/>
        <family val="2"/>
      </rPr>
      <t>Widerristhöhe bis 1,48 m)</t>
    </r>
    <r>
      <rPr>
        <b/>
        <sz val="7"/>
        <rFont val="Arial"/>
        <family val="2"/>
      </rPr>
      <t xml:space="preserve"> über 300 kg - Endgewicht &gt; 300 kg</t>
    </r>
  </si>
  <si>
    <r>
      <t>Kleinpferde</t>
    </r>
    <r>
      <rPr>
        <b/>
        <vertAlign val="superscript"/>
        <sz val="10"/>
        <rFont val="Arial"/>
        <family val="2"/>
      </rPr>
      <t>5)</t>
    </r>
    <r>
      <rPr>
        <b/>
        <sz val="10"/>
        <rFont val="Arial"/>
        <family val="2"/>
      </rPr>
      <t xml:space="preserve"> über 300 kg - Haflinger, Reitponys, ... - Endgewicht &gt; 300 kg</t>
    </r>
  </si>
  <si>
    <r>
      <t>Pferde (</t>
    </r>
    <r>
      <rPr>
        <sz val="7"/>
        <rFont val="Arial"/>
        <family val="2"/>
      </rPr>
      <t>Widerristhöhe &gt; 1,48 m)</t>
    </r>
    <r>
      <rPr>
        <b/>
        <sz val="7"/>
        <rFont val="Arial"/>
        <family val="2"/>
      </rPr>
      <t xml:space="preserve"> - Endgewicht &gt; 500 kg</t>
    </r>
  </si>
  <si>
    <r>
      <t>Pferde</t>
    </r>
    <r>
      <rPr>
        <b/>
        <vertAlign val="superscript"/>
        <sz val="10"/>
        <rFont val="Arial"/>
        <family val="2"/>
      </rPr>
      <t>6)</t>
    </r>
    <r>
      <rPr>
        <b/>
        <sz val="10"/>
        <rFont val="Arial"/>
        <family val="2"/>
      </rPr>
      <t xml:space="preserve"> - Endgewicht &gt; 500 kg</t>
    </r>
  </si>
  <si>
    <t>Schafe</t>
  </si>
  <si>
    <t>Anzahl = Mutterschafe x Faktor (aufgezogene Lämmer x Haltedauer dividiert durch 12 Monate)</t>
  </si>
  <si>
    <t>Lämmer bis 1/2 Jahr</t>
  </si>
  <si>
    <t>ab 1/2 Jahr bis 1,5 Jahre</t>
  </si>
  <si>
    <t>15 - 25 % Nachzucht im Normalfall</t>
  </si>
  <si>
    <t>Ziegen</t>
  </si>
  <si>
    <t>ab 1/2 Jahr</t>
  </si>
  <si>
    <t>wie bei den Schafen</t>
  </si>
  <si>
    <t>Damwild, Lamas, Alpacas, ...</t>
  </si>
  <si>
    <t>Alttier inkl. Nachzucht bis 14 Monate:</t>
  </si>
  <si>
    <t>Hirsch:</t>
  </si>
  <si>
    <t>Rotwild:</t>
  </si>
  <si>
    <t xml:space="preserve">Hirsch: </t>
  </si>
  <si>
    <t>Kaninchen</t>
  </si>
  <si>
    <t>Kaninchenmast </t>
  </si>
  <si>
    <t>6,89 Umtriebe zu je 53 Aufmasttagen</t>
  </si>
  <si>
    <t>Häsin (inkl.Hasen bis Absetzen)</t>
  </si>
  <si>
    <t>Strauße</t>
  </si>
  <si>
    <t>Straußenküken bis 1/2 Jahr</t>
  </si>
  <si>
    <t>Jungstrauße 0,5 - 1,5 Jahre</t>
  </si>
  <si>
    <t>Zuchtstraußenhenne &gt; 1,5 Jahre</t>
  </si>
  <si>
    <t>Zuchtstraußenhahn &gt; 1,5 Jahre</t>
  </si>
  <si>
    <t>Zwergzebu und andere Zwergrinder</t>
  </si>
  <si>
    <t xml:space="preserve">Zwergrind - andere Kälber und Jungrinder unter 1/2 Jahr </t>
  </si>
  <si>
    <t xml:space="preserve">Zwergrind - Jungvieh 1/2 bis 1 Jahr </t>
  </si>
  <si>
    <t xml:space="preserve">Zwergrind - Jungvieh 1 bis 2 Jahr </t>
  </si>
  <si>
    <t>Zwergrind - Ochsen, Stiere</t>
  </si>
  <si>
    <t xml:space="preserve">Zwergrind - Kalbinnen </t>
  </si>
  <si>
    <t xml:space="preserve">Zwergrind - Milch- bzw. Mutterkühe (3000 kg Milch)  </t>
  </si>
  <si>
    <t xml:space="preserve">Zwergrind - Mutter- und Ammenkühe </t>
  </si>
  <si>
    <t xml:space="preserve">Zwergrind - Milch- bzw. Ammenkühe (4000 kg Milch) </t>
  </si>
  <si>
    <t xml:space="preserve">Zwergrind - Milchkühe (5000 kg Milch) </t>
  </si>
  <si>
    <t xml:space="preserve">Zwergrind - Milchkühe (6000 kg Milch) </t>
  </si>
  <si>
    <t>Zwergrind - Milchkühe (7000 kg Milch)</t>
  </si>
  <si>
    <t>Zwergrind - Milchkühe (8000 kg Milch)</t>
  </si>
  <si>
    <t>Zwergrind - Milchkühe (9000 kg Milch)</t>
  </si>
  <si>
    <t>* “uvb“ = unverdünnt berechnet: das heißt, dass  die Jauche bzw. die Gülle nicht oder nur geringfügig durch in die Grube eingeleitete Spül- und Reinigungswässer verdünnt ist</t>
  </si>
  <si>
    <t>1) Stallmist: Stallmist ist ein Gemisch aus Kot, Einstreu und geringen Mengen an Harn aus  der Anbinde-  und Boxenhaltung.</t>
  </si>
  <si>
    <t>2) Jauche: Jauche ist der mit Kot und Einstreuteilchen (mitunter auch mit Spülwasser) versetzte Harn der   Tiere.</t>
  </si>
  <si>
    <t>3) Gülle: Gülle ist ein Gemisch aus Kot, Harn, Wasser, Einstreu- und Futterresten.</t>
  </si>
  <si>
    <t>4) Tiefstallmist: Tiefstallmist ist das in Freilaufhaltung anfallende Gemisch aus tierischen Ausscheidungen und hohen Einstreumengen. Das Gemisch wird von den Tieren selbst festgetreten und feucht gehalten, wodurch über die Verdunstung ein erheblicher Teil des Wassergehaltes verloren geht.</t>
  </si>
  <si>
    <t>5) Kleinpferde mit Widerristhöhe bis 1,48 m</t>
  </si>
  <si>
    <t>6) Pferde mit einer Widerristhöhe &gt; 1,48 m</t>
  </si>
  <si>
    <t xml:space="preserve">Mutterkühe </t>
  </si>
  <si>
    <t>Ammenkühe</t>
  </si>
  <si>
    <t>Ferkel 8 bis 32 kg Lebendgewicht (LG), P-Standardfütterung</t>
  </si>
  <si>
    <t>Ferkel 8 bis 32 kg Lebendgewicht (LG), P-reduzierte Fütterung</t>
  </si>
  <si>
    <r>
      <t>Mastschweine und Jungsauen auf der Basis von 2,5 Zyklen pro Jahr</t>
    </r>
    <r>
      <rPr>
        <sz val="11"/>
        <rFont val="Trebuchet MS"/>
        <family val="2"/>
      </rPr>
      <t> </t>
    </r>
  </si>
  <si>
    <t>ab 32 kg LG bis Mastende/Belegung, P-Standardfütterung</t>
  </si>
  <si>
    <t>ab 32 kg LG bis Mastende/Belegung, P-reduzierte Fütterung</t>
  </si>
  <si>
    <t>Zuchtschweine - P-Standardfütterung</t>
  </si>
  <si>
    <t>Zuchtschweine - P-reduzierte Fütterung</t>
  </si>
  <si>
    <t>Zuchteber - P-Standardfütterung</t>
  </si>
  <si>
    <t>Zuchteber - P-reduzierte Fütterung</t>
  </si>
  <si>
    <t xml:space="preserve">Küken u. Junghennen für Legezwecke </t>
  </si>
  <si>
    <t>Mastküken und Jungmasthühner</t>
  </si>
  <si>
    <t xml:space="preserve">Kleinpferde incl. Ponys, Esel, Maultiere, ... </t>
  </si>
  <si>
    <t>Widerristhöhe bis 1,48 m, Endgewicht &lt; 300 kg</t>
  </si>
  <si>
    <t xml:space="preserve">Kleinpferde über 300 kg - Haflinger, Reitponys, ... </t>
  </si>
  <si>
    <t>Widerristhöhe bis 1,48 m, Endgewicht &gt; 300 kg</t>
  </si>
  <si>
    <t>Widerristhöhe &gt; 1,48 m, Endgewicht &gt; 500 kg</t>
  </si>
  <si>
    <t>vorge-geben</t>
  </si>
  <si>
    <t>Durchschnittstierbestand für Schweine und Geflügel</t>
  </si>
  <si>
    <t>seit (Datum):</t>
  </si>
  <si>
    <r>
      <t xml:space="preserve">Das Anfangsdatum für den Berechnungszeitraum ist in der Zelle </t>
    </r>
    <r>
      <rPr>
        <b/>
        <sz val="12"/>
        <rFont val="Arial"/>
        <family val="2"/>
      </rPr>
      <t>'D2'</t>
    </r>
    <r>
      <rPr>
        <sz val="12"/>
        <rFont val="Arial"/>
        <family val="2"/>
      </rPr>
      <t xml:space="preserve"> einzutragen. </t>
    </r>
  </si>
  <si>
    <t>im Durchschnitt zB. 4 Kälber 12 Wochen, 
oder 8 Kälber nur 6 Wochen am Betrieb</t>
  </si>
  <si>
    <t>20 % Kälber, 40 % Jungvieh 1/2 bis 1 Jahr, 
40 % 1 bis 2 Jahre</t>
  </si>
  <si>
    <t>Jahresbestand inkl. durchschnittl. 
Leerstehzeit von 14 Tagen</t>
  </si>
  <si>
    <t>Achtung Biobetriebe! Für die angegebenen Tiere wird nach EU Bio-Verordnung ungefähr folgende Fläche (ha) benötigt:</t>
  </si>
  <si>
    <t>Formatierungen korrigiert (N-Bedarf, Syst. I.)</t>
  </si>
  <si>
    <t>Dünger am Betrieb</t>
  </si>
  <si>
    <t>Ertrags-lage</t>
  </si>
  <si>
    <t>max. 
N kg</t>
  </si>
  <si>
    <t>Saldo</t>
  </si>
  <si>
    <t>N jw geplant</t>
  </si>
  <si>
    <t>Sonstige organische Dünger</t>
  </si>
  <si>
    <t>N ab
Lager</t>
  </si>
  <si>
    <r>
      <t xml:space="preserve">N -
</t>
    </r>
    <r>
      <rPr>
        <sz val="8"/>
        <color indexed="8"/>
        <rFont val="Arial"/>
        <family val="2"/>
      </rPr>
      <t>feldfall.</t>
    </r>
  </si>
  <si>
    <t>schnell 
wirk.</t>
  </si>
  <si>
    <t>Menge
kg / m³</t>
  </si>
  <si>
    <t>Verplante Menge x ha</t>
  </si>
  <si>
    <t>verpl. Menge</t>
  </si>
  <si>
    <t xml:space="preserve">   Menge x N jw</t>
  </si>
  <si>
    <t>Mengensumme</t>
  </si>
  <si>
    <t>Geplante / vorhandene Mineraldünger</t>
  </si>
  <si>
    <t>Anmerkungen</t>
  </si>
  <si>
    <t xml:space="preserve">   Menge x  P x ha</t>
  </si>
  <si>
    <t>Summe P gesamt</t>
  </si>
  <si>
    <r>
      <rPr>
        <sz val="9"/>
        <color indexed="8"/>
        <rFont val="Arial"/>
        <family val="2"/>
      </rPr>
      <t>geplante</t>
    </r>
    <r>
      <rPr>
        <b/>
        <sz val="9"/>
        <color indexed="8"/>
        <rFont val="Arial"/>
        <family val="2"/>
      </rPr>
      <t xml:space="preserve">
Phosphor
Menge kg</t>
    </r>
  </si>
  <si>
    <t>geplante Mengen</t>
  </si>
  <si>
    <r>
      <rPr>
        <sz val="8"/>
        <rFont val="Arial"/>
        <family val="2"/>
      </rPr>
      <t>geplante</t>
    </r>
    <r>
      <rPr>
        <sz val="9"/>
        <rFont val="Arial"/>
        <family val="2"/>
      </rPr>
      <t xml:space="preserve">
Menge</t>
    </r>
  </si>
  <si>
    <t>Summe 
Zukauf
O164 - P177</t>
  </si>
  <si>
    <t>geplante Dünger</t>
  </si>
  <si>
    <t>org. Dünger</t>
  </si>
  <si>
    <t>Neu! Düngeplanung</t>
  </si>
  <si>
    <r>
      <rPr>
        <b/>
        <sz val="11"/>
        <rFont val="Arial"/>
        <family val="2"/>
      </rPr>
      <t>Ackerkulturen</t>
    </r>
    <r>
      <rPr>
        <b/>
        <sz val="9"/>
        <rFont val="Arial"/>
        <family val="2"/>
      </rPr>
      <t xml:space="preserve"> </t>
    </r>
    <r>
      <rPr>
        <sz val="9"/>
        <rFont val="Arial"/>
        <family val="2"/>
      </rPr>
      <t xml:space="preserve">
laut Tab. N-Bedarf</t>
    </r>
  </si>
  <si>
    <t>Sonstige 1</t>
  </si>
  <si>
    <t>Sonstige 2</t>
  </si>
  <si>
    <t>Sonstige 3</t>
  </si>
  <si>
    <t xml:space="preserve">Mist  </t>
  </si>
  <si>
    <r>
      <rPr>
        <sz val="10"/>
        <color indexed="8"/>
        <rFont val="Arial"/>
        <family val="2"/>
      </rPr>
      <t>verplante</t>
    </r>
    <r>
      <rPr>
        <b/>
        <sz val="11"/>
        <color indexed="8"/>
        <rFont val="Arial"/>
        <family val="2"/>
      </rPr>
      <t>Menge</t>
    </r>
  </si>
  <si>
    <t>Füllen Sie zuerst die Tabellenblätter "N-Bedarf", bei Tierhaltung auch "Tiere" und "Hofdung" aus, dann kann geplant werden!</t>
  </si>
  <si>
    <t>Stickstoff-Bedarf der Kulturen:</t>
  </si>
  <si>
    <t>Summe N verplant</t>
  </si>
  <si>
    <t>Phosphor Bedarf der Kulturen:</t>
  </si>
  <si>
    <r>
      <t>Geplante Düngegaben in kg oder m</t>
    </r>
    <r>
      <rPr>
        <b/>
        <vertAlign val="superscript"/>
        <sz val="11"/>
        <rFont val="Arial"/>
        <family val="2"/>
      </rPr>
      <t>3</t>
    </r>
    <r>
      <rPr>
        <b/>
        <sz val="11"/>
        <rFont val="Arial"/>
        <family val="2"/>
      </rPr>
      <t xml:space="preserve"> je ha - </t>
    </r>
    <r>
      <rPr>
        <sz val="10"/>
        <rFont val="Arial"/>
        <family val="2"/>
      </rPr>
      <t>Achtung der Saldo darf nicht größer als Null sein!</t>
    </r>
  </si>
  <si>
    <r>
      <t xml:space="preserve">Differenz
zum 
</t>
    </r>
    <r>
      <rPr>
        <b/>
        <sz val="9"/>
        <color indexed="8"/>
        <rFont val="Arial"/>
        <family val="2"/>
      </rPr>
      <t>Bestand</t>
    </r>
  </si>
  <si>
    <t>Hilfsblatt für die Düngeplanung</t>
  </si>
  <si>
    <r>
      <t xml:space="preserve">Geplante / vorhandene </t>
    </r>
    <r>
      <rPr>
        <b/>
        <sz val="12"/>
        <rFont val="Arial"/>
        <family val="2"/>
      </rPr>
      <t>Dünger</t>
    </r>
  </si>
  <si>
    <t>kleine Fehlerkorrekturen zB N-Bedarf GL etc…</t>
  </si>
  <si>
    <t>fehlende P-Werte Feldfutter</t>
  </si>
  <si>
    <t>Diese Blatt ist als Hilfe bei der Düngeplanung gedacht! Sie 
können nach der Anbauplanung (am N-Bedarf) hier die 
Wirtschaftsdünger - zuerst am Blatt "Hofdung" die Menge 
abschätzen - auf die düngebedürftigen Kulturen aufteilen 
und dann überlegen welche Mineral- oder organischen 
Dünger noch gebraucht werden.</t>
  </si>
  <si>
    <r>
      <rPr>
        <b/>
        <sz val="10"/>
        <rFont val="Arial"/>
        <family val="2"/>
      </rPr>
      <t xml:space="preserve">Stickstoff-Einsatz </t>
    </r>
    <r>
      <rPr>
        <b/>
        <sz val="9"/>
        <rFont val="Arial"/>
        <family val="2"/>
      </rPr>
      <t xml:space="preserve">
lt. Planung</t>
    </r>
    <r>
      <rPr>
        <sz val="9"/>
        <rFont val="Arial"/>
        <family val="2"/>
      </rPr>
      <t xml:space="preserve"> (incl VF) </t>
    </r>
  </si>
  <si>
    <t xml:space="preserve">Phosphor-Einsatz 
laut Planung * </t>
  </si>
  <si>
    <t>Listenfelder  verbessert</t>
  </si>
  <si>
    <t>neu - Junghennenaufzucht mit Faktor 1,7</t>
  </si>
  <si>
    <t>Junghennenaufzucht</t>
  </si>
  <si>
    <t xml:space="preserve">42 Haltetage pro Umtrieb – 5,0 Umtriebe </t>
  </si>
  <si>
    <t>42 Haltetage pro Umtrieb – 5,0 Umtriebe – (= 210 Belegtage je Platz und Jahr) &gt;&gt; Faktor 1,7 nährstoffbest.</t>
  </si>
  <si>
    <t>Mastkücken u. Jungmasthühner - 40 Haltetage pro Umtrieb &gt;&gt; 7,0 Umtriebe &gt;&gt; Faktor 1,3 nährstoffbest.</t>
  </si>
  <si>
    <r>
      <t xml:space="preserve">N </t>
    </r>
    <r>
      <rPr>
        <b/>
        <sz val="11"/>
        <color indexed="8"/>
        <rFont val="Arial"/>
        <family val="2"/>
      </rPr>
      <t xml:space="preserve"> </t>
    </r>
    <r>
      <rPr>
        <sz val="11"/>
        <color indexed="8"/>
        <rFont val="Arial"/>
        <family val="2"/>
      </rPr>
      <t>jw</t>
    </r>
  </si>
  <si>
    <t>Düngewerte für 2015 und 2016</t>
  </si>
  <si>
    <t>Düngeplanung Phosphormeldung korrigiert</t>
  </si>
  <si>
    <t>mineral. Phosphor</t>
  </si>
  <si>
    <t>Weideblatt Zellen freigegeben</t>
  </si>
  <si>
    <t>Es wurden ungültige Werte eingegeben, wie zB. 10 Stück, Hektar, Kilogramm usw.  
Excel kann nur mit Zahlen rechnen, nicht aber mit Wörtern wie Stück usw. 
Es dürfen nur  Zahlen bei Mengenangaben eingegeben werden! Wird statt 
einem Komma ein Punkt geschrieben, wird aus dieser Zahl ein Datum!</t>
  </si>
  <si>
    <r>
      <rPr>
        <b/>
        <sz val="14"/>
        <rFont val="Arial"/>
        <family val="2"/>
      </rPr>
      <t xml:space="preserve">Störungen durch Verschieben von Zellen können nur mit dem 
Bearbeitungs-Befehl  "Rückgängig" korrigiert werden!  </t>
    </r>
    <r>
      <rPr>
        <b/>
        <sz val="12"/>
        <rFont val="Arial"/>
        <family val="2"/>
      </rPr>
      <t xml:space="preserve">
</t>
    </r>
    <r>
      <rPr>
        <sz val="12"/>
        <rFont val="Arial"/>
        <family val="2"/>
      </rPr>
      <t>Sobald gespeichert wurde, ist die Datei nicht mehr korrigierbar und muss neu 
angelegt werden. Machen Sie daher gelegentlich Sicherungskopien von 
ihrer Datei. 
Tauchen in Berechnungsfeldern Fehlerzeichen, wie #NV (= nicht vorhanden) auf, 
kann die Ursache im Fehlen oder Änderungen von Grunddaten liegen. 
Wählen Sie die zugrunde liegenden Kulturen, Dünger etc. noch einmal neu aus 
und der Fehler wird meist wieder  behoben sein.</t>
    </r>
  </si>
  <si>
    <t>Ergänzungen in der Beschreibung</t>
  </si>
  <si>
    <t>Das LK-Düngeberechnungsprogramm soll nur von Personen verwendet werden, 
die über den aktuellen Stand der Richtlinien geschult sind. 
Die Tabellenblätter sollen bei Kontrollen nur in Papierform vorgelegt werden. 
Falsche Ergebnisse können auch durch fehlerhafte Eingaben auftreten!</t>
  </si>
  <si>
    <t>zu "Hofdung"</t>
  </si>
  <si>
    <t>zu "Mineral"</t>
  </si>
  <si>
    <t>Junghennenaufzucht (bis 6 Wochen)</t>
  </si>
  <si>
    <t>Körnerhirse/-sorghum</t>
  </si>
  <si>
    <t>Silohirse/sorghum (FM)</t>
  </si>
  <si>
    <t>Körnererbsen</t>
  </si>
  <si>
    <t>Sojabohnen</t>
  </si>
  <si>
    <t>Sonnenblumen</t>
  </si>
  <si>
    <t>Erdbeeren</t>
  </si>
  <si>
    <t>Klee u. Luzerne  2 Nutzungen</t>
  </si>
  <si>
    <t>Klee u. Luzerne  3 Nutzungen</t>
  </si>
  <si>
    <t>Klee u. Luzerne  4 Nutzungen</t>
  </si>
  <si>
    <t>Klee u. Luzerne  5 Nutzungen</t>
  </si>
  <si>
    <t>Klee u. Luzerne  6 Nutzungen</t>
  </si>
  <si>
    <t>Weizen &lt; 14 % Rohprotein</t>
  </si>
  <si>
    <t>Weizen ≥ 14 % Rohprotein</t>
  </si>
  <si>
    <t>Neue Düngewerte aus SGD 7. Auflage</t>
  </si>
  <si>
    <t>Sämereienvermehrung mit Alpingräser 5)</t>
  </si>
  <si>
    <t>Sämereienvermehrung mit Rotklee</t>
  </si>
  <si>
    <t>Durum - Hartweizen</t>
  </si>
  <si>
    <t>Silomais</t>
  </si>
  <si>
    <t>Triticale</t>
  </si>
  <si>
    <t xml:space="preserve">Hafer </t>
  </si>
  <si>
    <t>Ackerbohnen</t>
  </si>
  <si>
    <t>Futterrüben (Runkel-, Kohlrüben)</t>
  </si>
  <si>
    <t>https://www.ama.at/Fachliche-Informationen/Oepul/Listen</t>
  </si>
  <si>
    <t>Die AMA hat auf www.ama.at ein Formular zur Berechnung 
des durchschnittlichen Tierbestandes zur Verfügung gestellt.</t>
  </si>
  <si>
    <t>siehe auch:</t>
  </si>
  <si>
    <r>
      <t xml:space="preserve">1a  </t>
    </r>
    <r>
      <rPr>
        <b/>
        <sz val="11"/>
        <rFont val="Arial"/>
        <family val="2"/>
      </rPr>
      <t>Die gesamte landwirtschaftliche Nutzfläche des Betriebes</t>
    </r>
  </si>
  <si>
    <r>
      <t xml:space="preserve">2a  </t>
    </r>
    <r>
      <rPr>
        <b/>
        <sz val="11"/>
        <rFont val="Arial"/>
        <family val="2"/>
      </rPr>
      <t xml:space="preserve">Stickstoff </t>
    </r>
    <r>
      <rPr>
        <sz val="9"/>
        <rFont val="Arial"/>
        <family val="2"/>
      </rPr>
      <t>ab Lager</t>
    </r>
    <r>
      <rPr>
        <b/>
        <sz val="9"/>
        <rFont val="Arial"/>
        <family val="2"/>
      </rPr>
      <t xml:space="preserve">  </t>
    </r>
    <r>
      <rPr>
        <b/>
        <sz val="11"/>
        <rFont val="Arial"/>
        <family val="2"/>
      </rPr>
      <t>aus der eigenen Tierhaltung</t>
    </r>
  </si>
  <si>
    <r>
      <t xml:space="preserve">2b  </t>
    </r>
    <r>
      <rPr>
        <b/>
        <sz val="11"/>
        <rFont val="Arial"/>
        <family val="2"/>
      </rPr>
      <t xml:space="preserve">Wirtschaftsdüngerstickstoff </t>
    </r>
    <r>
      <rPr>
        <sz val="9"/>
        <rFont val="Arial"/>
        <family val="2"/>
      </rPr>
      <t>ab Lager</t>
    </r>
    <r>
      <rPr>
        <b/>
        <sz val="9"/>
        <rFont val="Arial"/>
        <family val="2"/>
      </rPr>
      <t xml:space="preserve"> - </t>
    </r>
    <r>
      <rPr>
        <b/>
        <sz val="10"/>
        <rFont val="Arial"/>
        <family val="2"/>
      </rPr>
      <t>der an andere Betriebe 
       abgegeben oder von anderen übernommen wurde</t>
    </r>
    <r>
      <rPr>
        <b/>
        <sz val="9"/>
        <rFont val="Arial"/>
        <family val="2"/>
      </rPr>
      <t xml:space="preserve"> </t>
    </r>
  </si>
  <si>
    <r>
      <t xml:space="preserve">2c  </t>
    </r>
    <r>
      <rPr>
        <b/>
        <sz val="11"/>
        <rFont val="Arial"/>
        <family val="2"/>
      </rPr>
      <t xml:space="preserve">Wirtschaftsdüngerstickstoff </t>
    </r>
    <r>
      <rPr>
        <sz val="9"/>
        <rFont val="Arial"/>
        <family val="2"/>
      </rPr>
      <t>ab Lager</t>
    </r>
    <r>
      <rPr>
        <sz val="11"/>
        <rFont val="Arial"/>
        <family val="2"/>
      </rPr>
      <t xml:space="preserve"> 
      </t>
    </r>
    <r>
      <rPr>
        <b/>
        <sz val="11"/>
        <rFont val="Arial"/>
        <family val="2"/>
      </rPr>
      <t>der am Betrieb ausgebracht wurde</t>
    </r>
  </si>
  <si>
    <r>
      <t xml:space="preserve">3a  </t>
    </r>
    <r>
      <rPr>
        <b/>
        <sz val="11"/>
        <rFont val="Arial"/>
        <family val="2"/>
      </rPr>
      <t xml:space="preserve">Stickstoff aus organischen Düngern </t>
    </r>
    <r>
      <rPr>
        <sz val="9"/>
        <rFont val="Arial"/>
        <family val="2"/>
      </rPr>
      <t>feldfallend</t>
    </r>
    <r>
      <rPr>
        <b/>
        <sz val="11"/>
        <rFont val="Arial"/>
        <family val="2"/>
      </rPr>
      <t xml:space="preserve">, </t>
    </r>
    <r>
      <rPr>
        <sz val="11"/>
        <rFont val="Arial"/>
        <family val="2"/>
      </rPr>
      <t>nichttierischer Herkunft</t>
    </r>
  </si>
  <si>
    <r>
      <t xml:space="preserve">3b  </t>
    </r>
    <r>
      <rPr>
        <b/>
        <sz val="11"/>
        <rFont val="Arial"/>
        <family val="2"/>
      </rPr>
      <t xml:space="preserve">Stickstoff aus mineralischen Handelsdüngern </t>
    </r>
    <r>
      <rPr>
        <sz val="9"/>
        <rFont val="Arial"/>
        <family val="2"/>
      </rPr>
      <t>feldfallend</t>
    </r>
  </si>
  <si>
    <r>
      <t xml:space="preserve">3c  </t>
    </r>
    <r>
      <rPr>
        <b/>
        <sz val="11"/>
        <rFont val="Arial"/>
        <family val="2"/>
      </rPr>
      <t xml:space="preserve">Gesamter feldfallender Stickstoffeinsatz </t>
    </r>
    <r>
      <rPr>
        <sz val="11"/>
        <rFont val="Arial"/>
        <family val="2"/>
      </rPr>
      <t>am Betrieb</t>
    </r>
  </si>
  <si>
    <r>
      <t xml:space="preserve">3d  </t>
    </r>
    <r>
      <rPr>
        <b/>
        <sz val="11"/>
        <rFont val="Arial"/>
        <family val="2"/>
      </rPr>
      <t>Gesamter jahreswirksamer Stickstoffeinsatz</t>
    </r>
    <r>
      <rPr>
        <sz val="11"/>
        <rFont val="Arial"/>
        <family val="2"/>
      </rPr>
      <t xml:space="preserve"> am Betrieb</t>
    </r>
  </si>
  <si>
    <r>
      <t xml:space="preserve">7.  </t>
    </r>
    <r>
      <rPr>
        <b/>
        <sz val="11"/>
        <rFont val="Arial"/>
        <family val="2"/>
      </rPr>
      <t>Stickstoffbedarf der Kulturen</t>
    </r>
    <r>
      <rPr>
        <sz val="11"/>
        <rFont val="Arial"/>
        <family val="2"/>
      </rPr>
      <t xml:space="preserve"> am Betrieb minus Vorfruchtwirkung</t>
    </r>
  </si>
  <si>
    <t>8.  N-Saldo - Gegenüberstellung N-Einsatz und N-Bedarf</t>
  </si>
  <si>
    <t>9.  P-Saldo - Gegenüberstellung P-Einsatz und P-Bedarf</t>
  </si>
  <si>
    <t>* Durch eine P-reduzierte Fütterung von Geflügel kann der Phosphatgehalt je nach Tiergruppe in einem Ausmaß zwischen 13% und 39% gesenkt werden.</t>
  </si>
  <si>
    <r>
      <t>P</t>
    </r>
    <r>
      <rPr>
        <b/>
        <vertAlign val="subscript"/>
        <sz val="11"/>
        <rFont val="Trebuchet MS"/>
        <family val="2"/>
      </rPr>
      <t>2</t>
    </r>
    <r>
      <rPr>
        <b/>
        <sz val="11"/>
        <rFont val="Trebuchet MS"/>
        <family val="2"/>
      </rPr>
      <t>O</t>
    </r>
    <r>
      <rPr>
        <b/>
        <vertAlign val="subscript"/>
        <sz val="11"/>
        <rFont val="Trebuchet MS"/>
        <family val="2"/>
      </rPr>
      <t xml:space="preserve">5 </t>
    </r>
    <r>
      <rPr>
        <b/>
        <sz val="14"/>
        <rFont val="Trebuchet MS"/>
        <family val="2"/>
      </rPr>
      <t>*</t>
    </r>
  </si>
  <si>
    <t xml:space="preserve">Zwergrind - Kälber und Jungrinder unter 1/2 Jahr </t>
  </si>
  <si>
    <t xml:space="preserve">Zwergrind -Kälber und Jungrinder unter 1/2 Jahr </t>
  </si>
  <si>
    <t>N-Bedarf
je ha</t>
  </si>
  <si>
    <t>N-Bedarf 
je Kultur</t>
  </si>
  <si>
    <t>Die Düngung ist auf langjährige Durchschnittserträge abzustimmen. 
Es gelten für alle Betriebe die Düngezahlen des Aktionsprogramm Nitrat. 
Bei der Teilnahme an der ÖPUL-Maßnahme "Vorbeugender Grundwasserschutz" 
in Salzburg gelten die Düngeobergrenzen 
für den vorbeugenden Grundwasserschutz!</t>
  </si>
  <si>
    <t>abzüglich Stickstoffnachlieferung aus Vorfrüchten (siehe nebenan)</t>
  </si>
  <si>
    <t>Bergmähder mit Code "BM 1/ 2 / 3"</t>
  </si>
  <si>
    <t>Phosphor je ha</t>
  </si>
  <si>
    <t>Vorfruchtwirkung</t>
  </si>
  <si>
    <t>landw. Nutzfläche lt. Tabellenblatt "Betrieb"</t>
  </si>
  <si>
    <t>Grünland lt. Tabellenblatt "Betrieb"</t>
  </si>
  <si>
    <t xml:space="preserve">Summe Grünland 
laut Kulturliste: </t>
  </si>
  <si>
    <t>Kultur hier auswählen oder händisch laut unteren Tabellen eintragen</t>
  </si>
  <si>
    <r>
      <t xml:space="preserve">Lagerraumbedarf </t>
    </r>
    <r>
      <rPr>
        <sz val="10"/>
        <color indexed="9"/>
        <rFont val="Arial"/>
        <family val="2"/>
      </rPr>
      <t xml:space="preserve">für 6 Monate gemäß Aktionsprogramm </t>
    </r>
  </si>
  <si>
    <t>Durchschnittstierliste der Tiere am Betrieb</t>
  </si>
  <si>
    <t>* Die Nährstoffausscheidungen auf Almen und Weiden werden nicht zu den Hofdüngern gezählt, sondern werden in Zeile29 extra angeführt!</t>
  </si>
  <si>
    <t>bitte eine 
Bezeichnung eingeben!</t>
  </si>
  <si>
    <t>Name 
des Produktes</t>
  </si>
  <si>
    <t>……</t>
  </si>
  <si>
    <t>…..</t>
  </si>
  <si>
    <t>Feststoff 1</t>
  </si>
  <si>
    <t>….</t>
  </si>
  <si>
    <t xml:space="preserve">Nährstoffe aus Biogas und sek. Rohstoffen und org. Zukaufsdüngern: </t>
  </si>
  <si>
    <r>
      <t>Raumgewicht</t>
    </r>
    <r>
      <rPr>
        <sz val="12"/>
        <color indexed="8"/>
        <rFont val="Profile-RegularItalic"/>
        <family val="4"/>
      </rPr>
      <t xml:space="preserve"> von Wirtschaftsdüngern und Komposten laut Tabelle 50 SGD</t>
    </r>
  </si>
  <si>
    <r>
      <t xml:space="preserve">N-Anfall feldfallend         </t>
    </r>
    <r>
      <rPr>
        <sz val="12"/>
        <color indexed="9"/>
        <rFont val="Arial"/>
        <family val="2"/>
      </rPr>
      <t xml:space="preserve"> je Platz</t>
    </r>
  </si>
  <si>
    <r>
      <t xml:space="preserve">Wirtschaftsdüngeranfallsmengen in 6 Monate                       </t>
    </r>
    <r>
      <rPr>
        <sz val="11"/>
        <color indexed="9"/>
        <rFont val="Arial"/>
        <family val="2"/>
      </rPr>
      <t>je Stallplatz in m3 &gt;&gt; entspricht vorgeschriebene Lagerkapazität</t>
    </r>
  </si>
  <si>
    <r>
      <t>Anfallsmengen an P</t>
    </r>
    <r>
      <rPr>
        <b/>
        <vertAlign val="subscript"/>
        <sz val="11"/>
        <color indexed="9"/>
        <rFont val="Trebuchet MS"/>
        <family val="2"/>
      </rPr>
      <t>2</t>
    </r>
    <r>
      <rPr>
        <b/>
        <sz val="11"/>
        <color indexed="9"/>
        <rFont val="Trebuchet MS"/>
        <family val="2"/>
      </rPr>
      <t>O</t>
    </r>
    <r>
      <rPr>
        <b/>
        <vertAlign val="subscript"/>
        <sz val="11"/>
        <color indexed="9"/>
        <rFont val="Trebuchet MS"/>
        <family val="2"/>
      </rPr>
      <t>5</t>
    </r>
    <r>
      <rPr>
        <b/>
        <sz val="11"/>
        <color indexed="9"/>
        <rFont val="Trebuchet MS"/>
        <family val="2"/>
      </rPr>
      <t xml:space="preserve"> und K</t>
    </r>
    <r>
      <rPr>
        <b/>
        <vertAlign val="subscript"/>
        <sz val="11"/>
        <color indexed="9"/>
        <rFont val="Trebuchet MS"/>
        <family val="2"/>
      </rPr>
      <t>2</t>
    </r>
    <r>
      <rPr>
        <b/>
        <sz val="11"/>
        <color indexed="9"/>
        <rFont val="Trebuchet MS"/>
        <family val="2"/>
      </rPr>
      <t>O aus der Tierhaltung (in kg je Stallplatz und Jahr)</t>
    </r>
  </si>
  <si>
    <t>Stickstoff-Anfall nach Abzug der Verluste im Stall und am Lager = N ab Lager</t>
  </si>
  <si>
    <t>Angaben können nur in den gelben Zellen eingetragen werden</t>
  </si>
  <si>
    <t>Standard-Kali-Bedarfswerte</t>
  </si>
  <si>
    <t>Nährstoffe aus Mineraldünger</t>
  </si>
  <si>
    <t>Saldo P-Bedarf</t>
  </si>
  <si>
    <t>N-feld-fallend je ha</t>
  </si>
  <si>
    <t>P mineralisch je ha</t>
  </si>
  <si>
    <t>Saldo-Kali Bedarf</t>
  </si>
  <si>
    <r>
      <t>% P</t>
    </r>
    <r>
      <rPr>
        <b/>
        <vertAlign val="subscript"/>
        <sz val="11"/>
        <rFont val="Arial"/>
        <family val="2"/>
      </rPr>
      <t>2</t>
    </r>
    <r>
      <rPr>
        <b/>
        <sz val="11"/>
        <rFont val="Arial"/>
        <family val="2"/>
      </rPr>
      <t>O</t>
    </r>
    <r>
      <rPr>
        <b/>
        <vertAlign val="subscript"/>
        <sz val="11"/>
        <rFont val="Arial"/>
        <family val="2"/>
      </rPr>
      <t>5</t>
    </r>
  </si>
  <si>
    <r>
      <t>% K</t>
    </r>
    <r>
      <rPr>
        <b/>
        <vertAlign val="subscript"/>
        <sz val="11"/>
        <rFont val="Arial"/>
        <family val="2"/>
      </rPr>
      <t>2</t>
    </r>
    <r>
      <rPr>
        <b/>
        <sz val="11"/>
        <rFont val="Arial"/>
        <family val="2"/>
      </rPr>
      <t>O</t>
    </r>
  </si>
  <si>
    <r>
      <t>kg P</t>
    </r>
    <r>
      <rPr>
        <b/>
        <vertAlign val="subscript"/>
        <sz val="11"/>
        <rFont val="Arial"/>
        <family val="2"/>
      </rPr>
      <t>2</t>
    </r>
    <r>
      <rPr>
        <b/>
        <sz val="11"/>
        <rFont val="Arial"/>
        <family val="2"/>
      </rPr>
      <t>O</t>
    </r>
    <r>
      <rPr>
        <b/>
        <vertAlign val="subscript"/>
        <sz val="11"/>
        <rFont val="Arial"/>
        <family val="2"/>
      </rPr>
      <t>5</t>
    </r>
  </si>
  <si>
    <r>
      <t>kg K</t>
    </r>
    <r>
      <rPr>
        <b/>
        <vertAlign val="subscript"/>
        <sz val="11"/>
        <rFont val="Arial"/>
        <family val="2"/>
      </rPr>
      <t>2</t>
    </r>
    <r>
      <rPr>
        <b/>
        <sz val="11"/>
        <rFont val="Arial"/>
        <family val="2"/>
      </rPr>
      <t>O</t>
    </r>
  </si>
  <si>
    <t>Teilnahme vorbeugender Grundwasserschutz 
Grünland in Salzburg</t>
  </si>
  <si>
    <r>
      <t xml:space="preserve">LK-Dünger-
</t>
    </r>
    <r>
      <rPr>
        <b/>
        <sz val="18"/>
        <color indexed="9"/>
        <rFont val="Arial"/>
        <family val="2"/>
      </rPr>
      <t>Aufzeichnungsprogramm</t>
    </r>
  </si>
  <si>
    <t>Klee, Luzerne einjährig nach Umbruch</t>
  </si>
  <si>
    <t>Wechselwiese, Kleegras nach Umbruch</t>
  </si>
  <si>
    <t>Klee, mehrjährige  Leguminosen nach Umbruch</t>
  </si>
  <si>
    <t>bitte zur Berechnung der Reinnährstoffpreise in den rot umrahmten Zellen aktuelle Verkaufspreise eingeben!</t>
  </si>
  <si>
    <r>
      <t xml:space="preserve">Kultur   </t>
    </r>
    <r>
      <rPr>
        <sz val="11"/>
        <rFont val="Arial"/>
        <family val="2"/>
      </rPr>
      <t>siehe N-Bedarf</t>
    </r>
  </si>
  <si>
    <t>Getreide
stroh</t>
  </si>
  <si>
    <t>Getreide-stroh bliebt am Feld 
= "ja"
Stroh wird abgefahren = "nein"</t>
  </si>
  <si>
    <t>Kalisaldo</t>
  </si>
  <si>
    <r>
      <t xml:space="preserve">Kali-Rücklieferung
</t>
    </r>
    <r>
      <rPr>
        <sz val="10"/>
        <rFont val="Arial"/>
        <family val="2"/>
      </rPr>
      <t>aus Ernteresten u. Stroh</t>
    </r>
  </si>
  <si>
    <r>
      <t xml:space="preserve">Kalibedarf </t>
    </r>
    <r>
      <rPr>
        <b/>
        <sz val="14"/>
        <color indexed="9"/>
        <rFont val="Arial"/>
        <family val="2"/>
      </rPr>
      <t xml:space="preserve"> (Richtwerte für mittelschwere Böden)</t>
    </r>
  </si>
  <si>
    <t>für mittelschwere Böden</t>
  </si>
  <si>
    <t>Der Kalibedarf kann auf
leichten Böden um bis
zu 50% geringer,
auf schweren Böden um
bis zu 160% höher sein!</t>
  </si>
  <si>
    <t>diese Werte sind die Grundlage für die Berechnung</t>
  </si>
  <si>
    <t>Kostenberechnung</t>
  </si>
  <si>
    <r>
      <t>P</t>
    </r>
    <r>
      <rPr>
        <b/>
        <vertAlign val="subscript"/>
        <sz val="10"/>
        <rFont val="Arial"/>
        <family val="2"/>
      </rPr>
      <t>2</t>
    </r>
    <r>
      <rPr>
        <b/>
        <sz val="10"/>
        <rFont val="Arial"/>
        <family val="2"/>
      </rPr>
      <t>O</t>
    </r>
    <r>
      <rPr>
        <b/>
        <vertAlign val="subscript"/>
        <sz val="10"/>
        <rFont val="Arial"/>
        <family val="2"/>
      </rPr>
      <t>5</t>
    </r>
  </si>
  <si>
    <r>
      <t>K</t>
    </r>
    <r>
      <rPr>
        <b/>
        <vertAlign val="subscript"/>
        <sz val="10"/>
        <rFont val="Arial"/>
        <family val="2"/>
      </rPr>
      <t>2</t>
    </r>
    <r>
      <rPr>
        <b/>
        <sz val="10"/>
        <rFont val="Arial"/>
        <family val="2"/>
      </rPr>
      <t>O</t>
    </r>
  </si>
  <si>
    <t>Achtung!
Wird Mist kurz vor der Ausbringung verflüssigt, so behält er seine Schnellwirksamkeit von 15%.
In diesem Fall kann er einer leeren Grube zugeordet werden. Beim Einmischen in eine andere Gülle oder Jauche wird das gewichtete Mittel der Schnellwirksamkeit berechnet.
Wird Mist regelmaßig verflüssigt müssen die Tiere auf Gülle eingegeben werden, denn es stellt sich eine Dynamik wie bei Gülle ein!</t>
  </si>
  <si>
    <t>Preise</t>
  </si>
  <si>
    <t>Wert</t>
  </si>
  <si>
    <t xml:space="preserve">Mehrkosten (+) oder Ersparnis (-) je t </t>
  </si>
  <si>
    <r>
      <t xml:space="preserve">Preise der Dünger in €
</t>
    </r>
    <r>
      <rPr>
        <b/>
        <sz val="12"/>
        <color indexed="9"/>
        <rFont val="Arial"/>
        <family val="2"/>
      </rPr>
      <t>Wert der Nährstoffe N, P u. K</t>
    </r>
  </si>
  <si>
    <t>biotauglich und 40 % Kalk</t>
  </si>
  <si>
    <t>hier zusätzliche Nährstoffe 
bei der 
Kalkulation berücksichtigen</t>
  </si>
  <si>
    <t>zusätzliche Nährstoffe (wie Kalk, Schwefel etc...) verursachen  Mehrkosten</t>
  </si>
  <si>
    <t>24% Schwefel</t>
  </si>
  <si>
    <t>Bei der Kostenberechnung werden nur Stickstoff, Phosphor und Kali bewertet, weitere Nährstoffe, wie Kalk, Schwefel, Magnesium und Spurenelemente und zusätzliche Ausbringkosten sind nicht berücksichtigt. 
Legen sie auf diese weiteren Nährstoffe 
wert, dann sind mögliche Mehrkosten gerechtfertigt.</t>
  </si>
  <si>
    <t>* Eine Fruchtfolge ist stickstoffzehrend, wenn 2/3 der Ackerfläche nicht mit Leguminosen, Braugerste, Sonnenblumen oder Öllein bebaut ist</t>
  </si>
  <si>
    <t>Ackerkultur / Nutzung</t>
  </si>
  <si>
    <t>…</t>
  </si>
  <si>
    <t xml:space="preserve">Stapelhöhe: </t>
  </si>
  <si>
    <t xml:space="preserve">Mist-Stapelfläche: </t>
  </si>
  <si>
    <r>
      <t xml:space="preserve">Mit dem Ausdruck des Tabellenblattes "Ergebnis" sind die verpflichtenden Aufzeichnungen dokumentiert. 
</t>
    </r>
    <r>
      <rPr>
        <sz val="10"/>
        <color indexed="8"/>
        <rFont val="Arial"/>
        <family val="2"/>
      </rPr>
      <t xml:space="preserve">Die Plausibilität des Ergebnisses kann mit den Blättern "Betrieb", "N_Bedarf", "Tiere", "Mineral", und eventuell "Organ_Dü" untermauert werden. </t>
    </r>
  </si>
  <si>
    <t>Aufzeichungsblatt  - Bodennahe Ausbringung flüssiger Wirtschaftsdünger und Biogasgülle</t>
  </si>
  <si>
    <t>Maßnahme Bodennahe Wirtschaftsdünger und Biogasgülle</t>
  </si>
  <si>
    <r>
      <t xml:space="preserve">Gesamte am Betrieb ausgebrachte Menge an flüssigen Wirtschaftsdüngern </t>
    </r>
    <r>
      <rPr>
        <sz val="10"/>
        <rFont val="Arial"/>
        <family val="2"/>
      </rPr>
      <t>(inkl. Biogasgülle)</t>
    </r>
    <r>
      <rPr>
        <b/>
        <sz val="10"/>
        <rFont val="Arial"/>
        <family val="2"/>
      </rPr>
      <t xml:space="preserve"> in m³: </t>
    </r>
  </si>
  <si>
    <r>
      <t xml:space="preserve">Datum
Aus-
</t>
    </r>
    <r>
      <rPr>
        <b/>
        <sz val="10"/>
        <rFont val="Arial"/>
        <family val="2"/>
      </rPr>
      <t>bringung</t>
    </r>
  </si>
  <si>
    <t>Feldstücks-
nummern /
Feldstücksname</t>
  </si>
  <si>
    <t>Düngerart</t>
  </si>
  <si>
    <t>Verfahren</t>
  </si>
  <si>
    <r>
      <t>Menge 
je ha 
in m</t>
    </r>
    <r>
      <rPr>
        <b/>
        <vertAlign val="superscript"/>
        <sz val="11"/>
        <rFont val="Arial"/>
        <family val="2"/>
      </rPr>
      <t>3</t>
    </r>
  </si>
  <si>
    <r>
      <t>Gesamte
Menge 
= ha x m</t>
    </r>
    <r>
      <rPr>
        <b/>
        <sz val="14"/>
        <rFont val="Arial"/>
        <family val="2"/>
      </rPr>
      <t>³</t>
    </r>
  </si>
  <si>
    <t>Gülle / 
Jauche</t>
  </si>
  <si>
    <t>Biogas-
gülle</t>
  </si>
  <si>
    <t>Gülle-injektion</t>
  </si>
  <si>
    <t>Hinweis: Summe muss mehr als die Hälfte der oben angegebenen am Betrieb ausgebrachten Menge an flüssigen Wirtschaftsdüngern ausmachen!</t>
  </si>
  <si>
    <t xml:space="preserve">Summe bodennah ausgebrachte Dünger: </t>
  </si>
  <si>
    <t>Beispiel</t>
  </si>
  <si>
    <t>Nr. 1 - Hausfeld</t>
  </si>
  <si>
    <t>Winterweizen</t>
  </si>
  <si>
    <t>x</t>
  </si>
  <si>
    <r>
      <t>Pflanzenschutz Registernummer</t>
    </r>
    <r>
      <rPr>
        <sz val="9"/>
        <rFont val="Arial"/>
        <family val="2"/>
      </rPr>
      <t xml:space="preserve">
(nicht verpflichtend)</t>
    </r>
  </si>
  <si>
    <t>Menge / Konzentration              je ha</t>
  </si>
  <si>
    <t>Produkt</t>
  </si>
  <si>
    <t>Schlag-bezeichnung</t>
  </si>
  <si>
    <t>Behandelte Kultur</t>
  </si>
  <si>
    <t>(Datum bzw. Zeitraum, Anzahl der Tiere und Kennzeichnung):</t>
  </si>
  <si>
    <t>wie z.B. Witterungsextreme, Verkaufsvorbereitung, Tierschauen, Abkalbung, Brunst, Krankheit</t>
  </si>
  <si>
    <t>Hinderungen, Unterbrechungen und besondere Vorkommnisse</t>
  </si>
  <si>
    <t>Name, Adresse</t>
  </si>
  <si>
    <t>Fremdweiden und Almen, auf die aufgetrieben wird:</t>
  </si>
  <si>
    <r>
      <t xml:space="preserve">weibliche
Ziegen
</t>
    </r>
    <r>
      <rPr>
        <sz val="10"/>
        <rFont val="Arial"/>
        <family val="2"/>
      </rPr>
      <t>ab 1 Jahr</t>
    </r>
  </si>
  <si>
    <r>
      <t xml:space="preserve">weibliche
Schafe
</t>
    </r>
    <r>
      <rPr>
        <sz val="10"/>
        <rFont val="Arial"/>
        <family val="2"/>
      </rPr>
      <t>ab 1 Jahr</t>
    </r>
  </si>
  <si>
    <r>
      <t xml:space="preserve">weibliche
Rinder
</t>
    </r>
    <r>
      <rPr>
        <sz val="10"/>
        <rFont val="Arial"/>
        <family val="2"/>
      </rPr>
      <t>ab 2 Jahr</t>
    </r>
  </si>
  <si>
    <r>
      <t xml:space="preserve">weibliche
Jungrinder
</t>
    </r>
    <r>
      <rPr>
        <sz val="9"/>
        <rFont val="Arial"/>
        <family val="2"/>
      </rPr>
      <t xml:space="preserve">1/2 bis &lt;2 J </t>
    </r>
  </si>
  <si>
    <r>
      <t xml:space="preserve">männliche
Rinder
</t>
    </r>
    <r>
      <rPr>
        <sz val="10"/>
        <rFont val="Arial"/>
        <family val="2"/>
      </rPr>
      <t>ab 1/2 Jahr</t>
    </r>
  </si>
  <si>
    <r>
      <t xml:space="preserve">Weideort
</t>
    </r>
    <r>
      <rPr>
        <sz val="11"/>
        <rFont val="Arial"/>
        <family val="2"/>
      </rPr>
      <t>(Feldstück)</t>
    </r>
  </si>
  <si>
    <t>Datum
bis</t>
  </si>
  <si>
    <t>Datum
von</t>
  </si>
  <si>
    <t>ÖPUL 2015: Tierschutz - Weide</t>
  </si>
  <si>
    <t>Programmbeschreibung</t>
  </si>
  <si>
    <t>Sämereienvermehrung mit Gräser für Wirtschaftsgrünland 5)</t>
  </si>
  <si>
    <t xml:space="preserve">Betriebs-Nr.: </t>
  </si>
  <si>
    <r>
      <t>Gesamtbetriebliche Düngerberechnung</t>
    </r>
    <r>
      <rPr>
        <b/>
        <sz val="12"/>
        <rFont val="Arial"/>
        <family val="2"/>
      </rPr>
      <t xml:space="preserve">  (</t>
    </r>
    <r>
      <rPr>
        <sz val="12"/>
        <rFont val="Arial"/>
        <family val="2"/>
      </rPr>
      <t>§ 7 Absatz 5 Aktionsprogramm)</t>
    </r>
  </si>
  <si>
    <t>MFA:</t>
  </si>
  <si>
    <t>Betriebs-Nr:</t>
  </si>
  <si>
    <t>Betriebs-Nr.:</t>
  </si>
  <si>
    <t>Küken u. Junghennen für Legezw. bis 1/2 Jahr</t>
  </si>
  <si>
    <t>Mastküken und Jungmasthühner auf der Basis von 7 Umtrieben pro Jahr</t>
  </si>
  <si>
    <t>Stickstoff auf Weiden und Almen:</t>
  </si>
  <si>
    <r>
      <t xml:space="preserve">Summe der Ackerfläche </t>
    </r>
    <r>
      <rPr>
        <sz val="13"/>
        <rFont val="Arial"/>
        <family val="2"/>
      </rPr>
      <t>lt. MFA in ha</t>
    </r>
    <r>
      <rPr>
        <sz val="14"/>
        <rFont val="Arial"/>
        <family val="2"/>
      </rPr>
      <t>:</t>
    </r>
  </si>
  <si>
    <t xml:space="preserve">Summe der eingegebenen Ackerflächen in ha: </t>
  </si>
  <si>
    <r>
      <t>kg P</t>
    </r>
    <r>
      <rPr>
        <vertAlign val="subscript"/>
        <sz val="10"/>
        <color indexed="8"/>
        <rFont val="Arial"/>
        <family val="2"/>
      </rPr>
      <t>2</t>
    </r>
    <r>
      <rPr>
        <sz val="11"/>
        <color indexed="8"/>
        <rFont val="Arial"/>
        <family val="2"/>
      </rPr>
      <t>O</t>
    </r>
    <r>
      <rPr>
        <vertAlign val="subscript"/>
        <sz val="10"/>
        <color indexed="8"/>
        <rFont val="Arial"/>
        <family val="2"/>
      </rPr>
      <t xml:space="preserve">5
</t>
    </r>
    <r>
      <rPr>
        <sz val="11"/>
        <color indexed="8"/>
        <rFont val="Arial"/>
        <family val="2"/>
      </rPr>
      <t>je m³ / t</t>
    </r>
  </si>
  <si>
    <r>
      <t>kg K</t>
    </r>
    <r>
      <rPr>
        <vertAlign val="subscript"/>
        <sz val="10"/>
        <color indexed="8"/>
        <rFont val="Arial"/>
        <family val="2"/>
      </rPr>
      <t>2</t>
    </r>
    <r>
      <rPr>
        <sz val="11"/>
        <color indexed="8"/>
        <rFont val="Arial"/>
        <family val="2"/>
      </rPr>
      <t>O
je m³ / t</t>
    </r>
  </si>
  <si>
    <t xml:space="preserve">kg Nges
je m³ oder t </t>
  </si>
  <si>
    <t>DR 20171024 ohne Makros aktualisiert</t>
  </si>
  <si>
    <t>System I. Datumsgültigkeit korrigiert</t>
  </si>
  <si>
    <t>Entzugs-
wert nach Anhang P</t>
  </si>
  <si>
    <t>Dinkel (Spelzenanteil ca. 30 %)</t>
  </si>
  <si>
    <t>Roggen</t>
  </si>
  <si>
    <t>Sommerbraugerste</t>
  </si>
  <si>
    <t>Winterraps</t>
  </si>
  <si>
    <t xml:space="preserve">Zuckerrübe </t>
  </si>
  <si>
    <t>Frühkartoffeln, Saatkartoffeln</t>
  </si>
  <si>
    <t xml:space="preserve">Speise- und Industriekartoffeln </t>
  </si>
  <si>
    <t>Zwischenfrucht (futter) mit Leguminosen</t>
  </si>
  <si>
    <t>Zwischenfrucht (futter) ohne Leguminosen</t>
  </si>
  <si>
    <t>Sonst. Feldfutter 3 Nutzungen &gt;40 % Leg.</t>
  </si>
  <si>
    <t>Sonst. Feldfutter 4 Nutzungen &gt;40 % Leg.</t>
  </si>
  <si>
    <t>Sonst. Feldfutter 5 Nutzungen &gt;40 % Leg.</t>
  </si>
  <si>
    <t>Almfutterfläche mit Düngung</t>
  </si>
  <si>
    <t>Dauerweide</t>
  </si>
  <si>
    <t>Hutweide mit Düngung</t>
  </si>
  <si>
    <r>
      <t xml:space="preserve">Über die Bewirtschaftung sind ab 1. Jänner 2018 folgende Daten zu dokumentieren:
1. die Größe der landwirtschaftlichen Nutzfläche;
2. die Stickstoffmenge aus Wirtschaftsdünger nach Abzug der Stall- und 
    Lagerverluste, die
a) am Betrieb anfiel, 
b) an andere Betriebe abgegeben oder von anderen Betrieben übernommen wurde
c)  und auf der eigenen landwirtschaftlichen Nutzfläche ausgebracht wurde; 
3. die auf der eigenen Nutzfläche ausgebrachte Stickstoffmenge aus allen Düngern
    in feldfallender und jahreswirksamer Menge; 
4. der Stickstoffbedarf der angebauten Kulturen unter Berücksichtigung der 
    Vorfruchtwirkung und der Größe der Anbaufläche.  
• </t>
    </r>
    <r>
      <rPr>
        <b/>
        <sz val="11"/>
        <color indexed="8"/>
        <rFont val="Arial"/>
        <family val="2"/>
      </rPr>
      <t>Ausgenommen sind Betriebe:</t>
    </r>
    <r>
      <rPr>
        <sz val="11"/>
        <color indexed="8"/>
        <rFont val="Arial"/>
        <family val="2"/>
      </rPr>
      <t xml:space="preserve"> 
  mit höchstens 15 Hektar, wenn auf weniger als 2 ha Gemüse angebaut 
  wird und alle Betriebe deren Nutzfläche (ohne Alm)  zu mehr als 90% als
  Dauergrünland oder Ackerfutterfläche genutzt wird. 
• Die Daten sind bis längstens 31. März für das jeweils vorangegangene Jahr zu 
  dokumentieren.
</t>
    </r>
    <r>
      <rPr>
        <b/>
        <sz val="11"/>
        <color indexed="10"/>
        <rFont val="Arial"/>
        <family val="2"/>
      </rPr>
      <t>Abweichend davon sind in Gebieten mit verstärkten Aktionen zum Schutz der Gewässer schlagbezogene Aufzeichnungen zu führen.</t>
    </r>
  </si>
  <si>
    <r>
      <t xml:space="preserve">LK-Düngerrechner </t>
    </r>
    <r>
      <rPr>
        <b/>
        <sz val="20"/>
        <color indexed="9"/>
        <rFont val="Arial"/>
        <family val="2"/>
      </rPr>
      <t xml:space="preserve">
</t>
    </r>
    <r>
      <rPr>
        <sz val="14"/>
        <color indexed="9"/>
        <rFont val="Arial"/>
        <family val="2"/>
      </rPr>
      <t>für</t>
    </r>
    <r>
      <rPr>
        <b/>
        <sz val="14"/>
        <color indexed="9"/>
        <rFont val="Arial"/>
        <family val="2"/>
      </rPr>
      <t xml:space="preserve"> </t>
    </r>
    <r>
      <rPr>
        <sz val="14"/>
        <color indexed="9"/>
        <rFont val="Arial"/>
        <family val="2"/>
      </rPr>
      <t>betriebsbezogene Aufzeichnungen</t>
    </r>
  </si>
  <si>
    <t>System Immergrün überarbeitet u. korrigiert</t>
  </si>
  <si>
    <t>siehe Begleitschein</t>
  </si>
  <si>
    <t>N-Äquivalent</t>
  </si>
  <si>
    <t>x AO</t>
  </si>
  <si>
    <t>Rinder</t>
  </si>
  <si>
    <t>kg N pro Tier/Platz und Jahr</t>
  </si>
  <si>
    <t>m³-anfall pro Tier/Platz und Jahr</t>
  </si>
  <si>
    <t>nährstoff-best.</t>
  </si>
  <si>
    <t>kg P2O5 pro Tier/Platz und Jahr</t>
  </si>
  <si>
    <t>kg K2O pro Tier/Platz und Jahr</t>
  </si>
  <si>
    <t>P2O4</t>
  </si>
  <si>
    <t>P2O5 reduziert</t>
  </si>
  <si>
    <t>- Ausbringverluste</t>
  </si>
  <si>
    <t>BIO-VO Tierzahl</t>
  </si>
  <si>
    <r>
      <t xml:space="preserve">BIO </t>
    </r>
    <r>
      <rPr>
        <sz val="8"/>
        <rFont val="Arial"/>
        <family val="2"/>
      </rPr>
      <t>Kontrolle</t>
    </r>
  </si>
  <si>
    <t>Bio VO</t>
  </si>
  <si>
    <t>Tiere I</t>
  </si>
  <si>
    <t>Tiere auf Dauerweiden und Almen</t>
  </si>
  <si>
    <t>P und K auf Weiden</t>
  </si>
  <si>
    <t>P und K auf Almen</t>
  </si>
  <si>
    <t>R-Gülle</t>
  </si>
  <si>
    <t>S-Gülle</t>
  </si>
  <si>
    <t>G-Gülle</t>
  </si>
  <si>
    <t>Jauche</t>
  </si>
  <si>
    <t>Mist</t>
  </si>
  <si>
    <t>Gülle</t>
  </si>
  <si>
    <t>GVE</t>
  </si>
  <si>
    <t>Bestand</t>
  </si>
  <si>
    <t>Stück</t>
  </si>
  <si>
    <t>nährstoffbest. Bestand</t>
  </si>
  <si>
    <t>kg N je Tier / Platz</t>
  </si>
  <si>
    <t>N aus</t>
  </si>
  <si>
    <t>Lagerraumbedarf je Tier / Platz</t>
  </si>
  <si>
    <t>OPUL</t>
  </si>
  <si>
    <t>Phosphor</t>
  </si>
  <si>
    <t>Kali</t>
  </si>
  <si>
    <t>K2O</t>
  </si>
  <si>
    <t>Anzahl aufgtr. Tiere</t>
  </si>
  <si>
    <t>Tage auf Weide</t>
  </si>
  <si>
    <t>Tage auf Almen</t>
  </si>
  <si>
    <t>Ausscheidung</t>
  </si>
  <si>
    <t>N auf Weiden</t>
  </si>
  <si>
    <t>N auf</t>
  </si>
  <si>
    <t>N auf Almen</t>
  </si>
  <si>
    <r>
      <t>P</t>
    </r>
    <r>
      <rPr>
        <b/>
        <vertAlign val="subscript"/>
        <sz val="11"/>
        <rFont val="Trebuchet MS"/>
        <family val="2"/>
      </rPr>
      <t>2</t>
    </r>
    <r>
      <rPr>
        <b/>
        <sz val="11"/>
        <rFont val="Trebuchet MS"/>
        <family val="2"/>
      </rPr>
      <t>O</t>
    </r>
    <r>
      <rPr>
        <b/>
        <vertAlign val="subscript"/>
        <sz val="11"/>
        <rFont val="Trebuchet MS"/>
        <family val="2"/>
      </rPr>
      <t xml:space="preserve">5 </t>
    </r>
  </si>
  <si>
    <r>
      <t>K</t>
    </r>
    <r>
      <rPr>
        <b/>
        <vertAlign val="subscript"/>
        <sz val="11"/>
        <rFont val="Trebuchet MS"/>
        <family val="2"/>
      </rPr>
      <t>2</t>
    </r>
    <r>
      <rPr>
        <b/>
        <sz val="11"/>
        <rFont val="Trebuchet MS"/>
        <family val="2"/>
      </rPr>
      <t>O</t>
    </r>
  </si>
  <si>
    <r>
      <t>P</t>
    </r>
    <r>
      <rPr>
        <b/>
        <vertAlign val="subscript"/>
        <sz val="11"/>
        <rFont val="Trebuchet MS"/>
        <family val="2"/>
      </rPr>
      <t>2</t>
    </r>
    <r>
      <rPr>
        <b/>
        <sz val="11"/>
        <rFont val="Trebuchet MS"/>
        <family val="2"/>
      </rPr>
      <t>O</t>
    </r>
    <r>
      <rPr>
        <b/>
        <vertAlign val="subscript"/>
        <sz val="11"/>
        <rFont val="Trebuchet MS"/>
        <family val="2"/>
      </rPr>
      <t>5</t>
    </r>
  </si>
  <si>
    <t>ÖPUL</t>
  </si>
  <si>
    <t>nähr
stoff
best. Bestand</t>
  </si>
  <si>
    <t xml:space="preserve"> BIO Tiere Obergrenze</t>
  </si>
  <si>
    <t>Austria Biokontrolle</t>
  </si>
  <si>
    <t>Liste_JA</t>
  </si>
  <si>
    <t>Anzahl</t>
  </si>
  <si>
    <t>Tierh.</t>
  </si>
  <si>
    <t xml:space="preserve"> = % Weide</t>
  </si>
  <si>
    <t xml:space="preserve"> = % Alm</t>
  </si>
  <si>
    <t>Weiden</t>
  </si>
  <si>
    <t>Alm</t>
  </si>
  <si>
    <t>GVE auf Alm</t>
  </si>
  <si>
    <t>Anzahl zulässig</t>
  </si>
  <si>
    <t>ha für BIO</t>
  </si>
  <si>
    <t>JA</t>
  </si>
  <si>
    <t>andere Kälber und Jungrinder unter 1/2 Jahr - Gülle</t>
  </si>
  <si>
    <t>NEIN</t>
  </si>
  <si>
    <t>andere Kälber und Jungrinder unter 1/2 Jahr - Mist/Jauche</t>
  </si>
  <si>
    <t>andere Kälber und Jungrinder unter 1/2 Jahr - Tiefstallmist</t>
  </si>
  <si>
    <t>AO8</t>
  </si>
  <si>
    <t>Maßnahmen ja=1</t>
  </si>
  <si>
    <t>Jungvieh 1/2 bis 1 Jahr - Gülle</t>
  </si>
  <si>
    <t>AO9</t>
  </si>
  <si>
    <t>Jungvieh 1/2 bis 1 Jahr - Mist/Jauche</t>
  </si>
  <si>
    <t>AO10</t>
  </si>
  <si>
    <t>Jungvieh 1/2 bis 1 Jahr - Tiefstallmist</t>
  </si>
  <si>
    <t>AO11</t>
  </si>
  <si>
    <t>P-Saldo</t>
  </si>
  <si>
    <t>Jungvieh 1 bis 2 Jahr - Gülle</t>
  </si>
  <si>
    <t>AO12</t>
  </si>
  <si>
    <t>kein P-min.</t>
  </si>
  <si>
    <t>Jungvieh 1 bis 2 Jahr - Mist/Jauche</t>
  </si>
  <si>
    <t>AO13</t>
  </si>
  <si>
    <t>P Mindeststandart</t>
  </si>
  <si>
    <t>Jungvieh 1 bis 2 Jahr - Tiefstallmist</t>
  </si>
  <si>
    <t>AO14</t>
  </si>
  <si>
    <t>Ochsen, Stiere - Gülle</t>
  </si>
  <si>
    <t>AO15</t>
  </si>
  <si>
    <r>
      <t>SO</t>
    </r>
    <r>
      <rPr>
        <vertAlign val="subscript"/>
        <sz val="10"/>
        <rFont val="Arial"/>
        <family val="2"/>
      </rPr>
      <t xml:space="preserve">3 </t>
    </r>
    <r>
      <rPr>
        <sz val="10"/>
        <rFont val="Arial"/>
        <family val="2"/>
      </rPr>
      <t>+ Zn</t>
    </r>
  </si>
  <si>
    <r>
      <t>SO</t>
    </r>
    <r>
      <rPr>
        <vertAlign val="subscript"/>
        <sz val="10"/>
        <rFont val="Arial"/>
        <family val="2"/>
      </rPr>
      <t>3</t>
    </r>
  </si>
  <si>
    <r>
      <t>SO</t>
    </r>
    <r>
      <rPr>
        <vertAlign val="subscript"/>
        <sz val="10"/>
        <rFont val="Arial"/>
        <family val="2"/>
      </rPr>
      <t>3</t>
    </r>
    <r>
      <rPr>
        <sz val="10"/>
        <rFont val="Arial"/>
        <family val="2"/>
      </rPr>
      <t>+B+MgO</t>
    </r>
  </si>
  <si>
    <r>
      <t>MgO+SO</t>
    </r>
    <r>
      <rPr>
        <vertAlign val="subscript"/>
        <sz val="10"/>
        <rFont val="Arial"/>
        <family val="2"/>
      </rPr>
      <t>3</t>
    </r>
    <r>
      <rPr>
        <sz val="10"/>
        <rFont val="Arial"/>
        <family val="2"/>
      </rPr>
      <t>+B+Zn</t>
    </r>
  </si>
  <si>
    <r>
      <t>MgO+SO</t>
    </r>
    <r>
      <rPr>
        <vertAlign val="subscript"/>
        <sz val="10"/>
        <rFont val="Arial"/>
        <family val="2"/>
      </rPr>
      <t>3</t>
    </r>
  </si>
  <si>
    <r>
      <t xml:space="preserve">Achtung!
Der Wert der Reinnährstoffe wird von 
den eingegebenen Preisen von  NAC, 
Harnstoff, DAP, Hyperkorn und 
</t>
    </r>
    <r>
      <rPr>
        <b/>
        <vertAlign val="superscript"/>
        <sz val="12"/>
        <rFont val="Arial"/>
        <family val="2"/>
      </rPr>
      <t>Kali 60% abgeleitet. 
Sie können je nach Eingabe NAC oder Harnstoff als Grundpreis festlegen, oder einen Mischpreis aus beiden erzeugen, ebenso bei Phosphor.</t>
    </r>
  </si>
  <si>
    <t>Phosphor-Werte 
bei C-Versorgung</t>
  </si>
  <si>
    <r>
      <t xml:space="preserve">Vergleich der Flächenangaben
</t>
    </r>
    <r>
      <rPr>
        <sz val="14"/>
        <rFont val="Arial"/>
        <family val="2"/>
      </rPr>
      <t>dient nur zur Orientierung</t>
    </r>
  </si>
  <si>
    <r>
      <t xml:space="preserve">Meine Fruchtfolge ist stickstoffzehrend! </t>
    </r>
    <r>
      <rPr>
        <b/>
        <sz val="20"/>
        <rFont val="Arial"/>
        <family val="2"/>
      </rPr>
      <t>*</t>
    </r>
  </si>
  <si>
    <r>
      <t>Gesamtbetriebliche Aufzeichnungen</t>
    </r>
    <r>
      <rPr>
        <b/>
        <sz val="11"/>
        <rFont val="Arial"/>
        <family val="2"/>
      </rPr>
      <t xml:space="preserve"> </t>
    </r>
    <r>
      <rPr>
        <sz val="11"/>
        <rFont val="Arial"/>
        <family val="2"/>
      </rPr>
      <t>laut Nitrat-Aktionsprogramm-Verordnung</t>
    </r>
  </si>
  <si>
    <r>
      <t>P</t>
    </r>
    <r>
      <rPr>
        <b/>
        <vertAlign val="subscript"/>
        <sz val="11"/>
        <rFont val="Arial"/>
        <family val="2"/>
      </rPr>
      <t>2</t>
    </r>
    <r>
      <rPr>
        <b/>
        <sz val="11"/>
        <rFont val="Arial"/>
        <family val="2"/>
      </rPr>
      <t>O</t>
    </r>
    <r>
      <rPr>
        <b/>
        <vertAlign val="subscript"/>
        <sz val="11"/>
        <rFont val="Arial"/>
        <family val="2"/>
      </rPr>
      <t>5</t>
    </r>
    <r>
      <rPr>
        <b/>
        <sz val="11"/>
        <rFont val="Arial"/>
        <family val="2"/>
      </rPr>
      <t xml:space="preserve"> / m³</t>
    </r>
  </si>
  <si>
    <r>
      <t>K</t>
    </r>
    <r>
      <rPr>
        <b/>
        <vertAlign val="subscript"/>
        <sz val="11"/>
        <rFont val="Arial"/>
        <family val="2"/>
      </rPr>
      <t>2</t>
    </r>
    <r>
      <rPr>
        <b/>
        <sz val="11"/>
        <rFont val="Arial"/>
        <family val="2"/>
      </rPr>
      <t>O / m³</t>
    </r>
  </si>
  <si>
    <r>
      <t>kg NH</t>
    </r>
    <r>
      <rPr>
        <b/>
        <vertAlign val="subscript"/>
        <sz val="11"/>
        <rFont val="Arial"/>
        <family val="2"/>
      </rPr>
      <t>4</t>
    </r>
    <r>
      <rPr>
        <b/>
        <sz val="11"/>
        <rFont val="Arial"/>
        <family val="2"/>
      </rPr>
      <t>-N</t>
    </r>
  </si>
  <si>
    <r>
      <t>NH</t>
    </r>
    <r>
      <rPr>
        <b/>
        <vertAlign val="subscript"/>
        <sz val="11"/>
        <rFont val="Arial"/>
        <family val="2"/>
      </rPr>
      <t>4</t>
    </r>
    <r>
      <rPr>
        <b/>
        <sz val="11"/>
        <rFont val="Arial"/>
        <family val="2"/>
      </rPr>
      <t>-N</t>
    </r>
  </si>
  <si>
    <r>
      <t>P</t>
    </r>
    <r>
      <rPr>
        <b/>
        <vertAlign val="subscript"/>
        <sz val="10"/>
        <rFont val="Arial"/>
        <family val="2"/>
      </rPr>
      <t>2</t>
    </r>
    <r>
      <rPr>
        <b/>
        <sz val="10"/>
        <rFont val="Arial"/>
        <family val="2"/>
      </rPr>
      <t>O</t>
    </r>
    <r>
      <rPr>
        <b/>
        <vertAlign val="subscript"/>
        <sz val="10"/>
        <rFont val="Arial"/>
        <family val="2"/>
      </rPr>
      <t xml:space="preserve">5                 </t>
    </r>
    <r>
      <rPr>
        <b/>
        <sz val="10"/>
        <rFont val="Arial"/>
        <family val="2"/>
      </rPr>
      <t xml:space="preserve"> je  m³ / t</t>
    </r>
  </si>
  <si>
    <r>
      <t>K</t>
    </r>
    <r>
      <rPr>
        <b/>
        <vertAlign val="subscript"/>
        <sz val="10"/>
        <rFont val="Arial"/>
        <family val="2"/>
      </rPr>
      <t>2</t>
    </r>
    <r>
      <rPr>
        <b/>
        <sz val="10"/>
        <rFont val="Arial"/>
        <family val="2"/>
      </rPr>
      <t>O         je m³ / t</t>
    </r>
  </si>
  <si>
    <r>
      <t>W</t>
    </r>
    <r>
      <rPr>
        <b/>
        <vertAlign val="subscript"/>
        <sz val="10"/>
        <rFont val="Arial"/>
        <family val="2"/>
      </rPr>
      <t>irksamkeit 
zB wie</t>
    </r>
  </si>
  <si>
    <r>
      <t>wie Rindergülle</t>
    </r>
    <r>
      <rPr>
        <sz val="10"/>
        <rFont val="Arial"/>
        <family val="2"/>
      </rPr>
      <t xml:space="preserve">   </t>
    </r>
    <r>
      <rPr>
        <sz val="12"/>
        <rFont val="Arial"/>
        <family val="2"/>
      </rPr>
      <t xml:space="preserve">   </t>
    </r>
    <r>
      <rPr>
        <sz val="14"/>
        <rFont val="Arial"/>
        <family val="2"/>
      </rPr>
      <t xml:space="preserve">             </t>
    </r>
    <r>
      <rPr>
        <sz val="11"/>
        <rFont val="Arial"/>
        <family val="2"/>
      </rPr>
      <t xml:space="preserve">  ( weniger als 15% TS) </t>
    </r>
  </si>
  <si>
    <r>
      <t xml:space="preserve">wie Stallmist </t>
    </r>
    <r>
      <rPr>
        <sz val="10"/>
        <rFont val="Arial"/>
        <family val="2"/>
      </rPr>
      <t xml:space="preserve"> </t>
    </r>
    <r>
      <rPr>
        <sz val="12"/>
        <rFont val="Arial"/>
        <family val="2"/>
      </rPr>
      <t xml:space="preserve">                      (org. Handelsdünger mit mehr als 15% TM)</t>
    </r>
  </si>
  <si>
    <r>
      <t>Ø</t>
    </r>
    <r>
      <rPr>
        <sz val="9"/>
        <rFont val="Arial"/>
        <family val="2"/>
      </rPr>
      <t xml:space="preserve"> 
</t>
    </r>
    <r>
      <rPr>
        <b/>
        <sz val="9"/>
        <rFont val="Arial"/>
        <family val="2"/>
      </rPr>
      <t>Stück</t>
    </r>
    <r>
      <rPr>
        <sz val="9"/>
        <rFont val="Arial"/>
        <family val="2"/>
      </rPr>
      <t xml:space="preserve">/
</t>
    </r>
    <r>
      <rPr>
        <sz val="8"/>
        <rFont val="Arial"/>
        <family val="2"/>
      </rPr>
      <t>Stallplätze</t>
    </r>
  </si>
  <si>
    <r>
      <t>Anzahl</t>
    </r>
    <r>
      <rPr>
        <b/>
        <sz val="9"/>
        <rFont val="Arial"/>
        <family val="2"/>
      </rPr>
      <t xml:space="preserve"> Tiere</t>
    </r>
  </si>
  <si>
    <r>
      <t xml:space="preserve">Anzahl </t>
    </r>
    <r>
      <rPr>
        <b/>
        <sz val="9"/>
        <rFont val="Arial"/>
        <family val="2"/>
      </rPr>
      <t>Tage</t>
    </r>
  </si>
  <si>
    <r>
      <t>P</t>
    </r>
    <r>
      <rPr>
        <b/>
        <vertAlign val="subscript"/>
        <sz val="9"/>
        <rFont val="Trebuchet MS"/>
        <family val="2"/>
      </rPr>
      <t>2</t>
    </r>
    <r>
      <rPr>
        <b/>
        <sz val="9"/>
        <rFont val="Trebuchet MS"/>
        <family val="2"/>
      </rPr>
      <t>O</t>
    </r>
    <r>
      <rPr>
        <b/>
        <vertAlign val="subscript"/>
        <sz val="9"/>
        <rFont val="Trebuchet MS"/>
        <family val="2"/>
      </rPr>
      <t>5</t>
    </r>
  </si>
  <si>
    <r>
      <t>K</t>
    </r>
    <r>
      <rPr>
        <b/>
        <vertAlign val="subscript"/>
        <sz val="9"/>
        <rFont val="Trebuchet MS"/>
        <family val="2"/>
      </rPr>
      <t>2</t>
    </r>
    <r>
      <rPr>
        <b/>
        <sz val="9"/>
        <rFont val="Trebuchet MS"/>
        <family val="2"/>
      </rPr>
      <t>O</t>
    </r>
  </si>
  <si>
    <r>
      <t xml:space="preserve">N </t>
    </r>
    <r>
      <rPr>
        <sz val="9"/>
        <rFont val="Arial"/>
        <family val="2"/>
      </rPr>
      <t>Lager</t>
    </r>
  </si>
  <si>
    <r>
      <t>P</t>
    </r>
    <r>
      <rPr>
        <b/>
        <vertAlign val="subscript"/>
        <sz val="9"/>
        <rFont val="Arial"/>
        <family val="2"/>
      </rPr>
      <t>2</t>
    </r>
    <r>
      <rPr>
        <b/>
        <sz val="9"/>
        <rFont val="Arial"/>
        <family val="2"/>
      </rPr>
      <t>O</t>
    </r>
    <r>
      <rPr>
        <b/>
        <vertAlign val="subscript"/>
        <sz val="9"/>
        <rFont val="Arial"/>
        <family val="2"/>
      </rPr>
      <t>5</t>
    </r>
  </si>
  <si>
    <r>
      <t xml:space="preserve">N </t>
    </r>
    <r>
      <rPr>
        <sz val="9"/>
        <rFont val="Arial"/>
        <family val="2"/>
      </rPr>
      <t>/ m³</t>
    </r>
    <r>
      <rPr>
        <b/>
        <sz val="9"/>
        <rFont val="Arial"/>
        <family val="2"/>
      </rPr>
      <t xml:space="preserve"> 
</t>
    </r>
    <r>
      <rPr>
        <sz val="8"/>
        <rFont val="Arial"/>
        <family val="2"/>
      </rPr>
      <t>ab Lager</t>
    </r>
  </si>
  <si>
    <r>
      <t xml:space="preserve">N </t>
    </r>
    <r>
      <rPr>
        <sz val="9"/>
        <rFont val="Arial"/>
        <family val="2"/>
      </rPr>
      <t xml:space="preserve">/ m³
</t>
    </r>
    <r>
      <rPr>
        <sz val="8"/>
        <rFont val="Arial"/>
        <family val="2"/>
      </rPr>
      <t>feldfallend</t>
    </r>
  </si>
  <si>
    <r>
      <t>N</t>
    </r>
    <r>
      <rPr>
        <sz val="9"/>
        <rFont val="Arial"/>
        <family val="2"/>
      </rPr>
      <t xml:space="preserve"> / m³
</t>
    </r>
    <r>
      <rPr>
        <sz val="8"/>
        <rFont val="Arial"/>
        <family val="2"/>
      </rPr>
      <t>jahresw.</t>
    </r>
  </si>
  <si>
    <r>
      <t>P</t>
    </r>
    <r>
      <rPr>
        <b/>
        <vertAlign val="subscript"/>
        <sz val="9"/>
        <rFont val="Arial"/>
        <family val="2"/>
      </rPr>
      <t>2</t>
    </r>
    <r>
      <rPr>
        <b/>
        <sz val="9"/>
        <rFont val="Arial"/>
        <family val="2"/>
      </rPr>
      <t>O</t>
    </r>
    <r>
      <rPr>
        <b/>
        <vertAlign val="subscript"/>
        <sz val="9"/>
        <rFont val="Arial"/>
        <family val="2"/>
      </rPr>
      <t xml:space="preserve">5
</t>
    </r>
    <r>
      <rPr>
        <sz val="8"/>
        <rFont val="Arial"/>
        <family val="2"/>
      </rPr>
      <t>je m³</t>
    </r>
  </si>
  <si>
    <r>
      <t xml:space="preserve">Kali
</t>
    </r>
    <r>
      <rPr>
        <sz val="9"/>
        <rFont val="Arial"/>
        <family val="2"/>
      </rPr>
      <t>je m³</t>
    </r>
  </si>
  <si>
    <r>
      <t xml:space="preserve">Menge N 
</t>
    </r>
    <r>
      <rPr>
        <sz val="9"/>
        <rFont val="Arial"/>
        <family val="2"/>
      </rPr>
      <t>ab Lager</t>
    </r>
  </si>
  <si>
    <r>
      <t xml:space="preserve">Menge 
</t>
    </r>
    <r>
      <rPr>
        <sz val="9"/>
        <rFont val="Arial"/>
        <family val="2"/>
      </rPr>
      <t>N jw</t>
    </r>
  </si>
  <si>
    <r>
      <t>Menge
P</t>
    </r>
    <r>
      <rPr>
        <vertAlign val="subscript"/>
        <sz val="8"/>
        <rFont val="Arial"/>
        <family val="2"/>
      </rPr>
      <t>2</t>
    </r>
    <r>
      <rPr>
        <sz val="8"/>
        <rFont val="Arial"/>
        <family val="2"/>
      </rPr>
      <t>O</t>
    </r>
    <r>
      <rPr>
        <vertAlign val="subscript"/>
        <sz val="8"/>
        <rFont val="Arial"/>
        <family val="2"/>
      </rPr>
      <t xml:space="preserve">5 </t>
    </r>
  </si>
  <si>
    <r>
      <t>Menge
K</t>
    </r>
    <r>
      <rPr>
        <vertAlign val="subscript"/>
        <sz val="8"/>
        <rFont val="Arial"/>
        <family val="2"/>
      </rPr>
      <t>2</t>
    </r>
    <r>
      <rPr>
        <sz val="8"/>
        <rFont val="Arial"/>
        <family val="2"/>
      </rPr>
      <t>O</t>
    </r>
  </si>
  <si>
    <r>
      <t>N-Anfall am Lager -</t>
    </r>
    <r>
      <rPr>
        <sz val="10"/>
        <rFont val="Arial"/>
        <family val="2"/>
      </rPr>
      <t>170 kg N aus WD</t>
    </r>
  </si>
  <si>
    <t>Ochsen, Stiere - Mist/Jauche</t>
  </si>
  <si>
    <t>AO16</t>
  </si>
  <si>
    <t>Ochsen, Stiere - Tiefstallmist</t>
  </si>
  <si>
    <t>Kalbinnen - Gülle</t>
  </si>
  <si>
    <t>AK18 - GVE</t>
  </si>
  <si>
    <t>Kalbinnen - Mist/Jauche</t>
  </si>
  <si>
    <t>AK19</t>
  </si>
  <si>
    <t>Kalbinnen - Tiefstallmist</t>
  </si>
  <si>
    <t>AK20 - WRG!!</t>
  </si>
  <si>
    <t>Summen</t>
  </si>
  <si>
    <t>N ab lager</t>
  </si>
  <si>
    <t>Milch- bzw. Mutterkühe (3000 kg Milch)  - Gülle</t>
  </si>
  <si>
    <t>AK21 - WRG</t>
  </si>
  <si>
    <t>feldfallend</t>
  </si>
  <si>
    <t>Teilsumme P auf Weiden</t>
  </si>
  <si>
    <t>Teilsumme K auf Weiden</t>
  </si>
  <si>
    <t>Teilsumme P auf Almen</t>
  </si>
  <si>
    <t>Teilsumme K auf Almen</t>
  </si>
  <si>
    <t>Fläche Betrieb</t>
  </si>
  <si>
    <t>Milch- bzw. Mutterkühe (3000 kg Milch)  - Mist / Jauche</t>
  </si>
  <si>
    <t>Wirtschaftsdüngerkauf   Bezeichnung</t>
  </si>
  <si>
    <t>N / m³ / t</t>
  </si>
  <si>
    <t>P/ m³ / t</t>
  </si>
  <si>
    <t>K / m³ / t</t>
  </si>
  <si>
    <t>m³ / t</t>
  </si>
  <si>
    <t>Jahreswirksam</t>
  </si>
  <si>
    <t xml:space="preserve"> - - -</t>
  </si>
  <si>
    <t>Milch- bzw. Mutterkühe (3000 kg Milch)  - Tiefstallmist</t>
  </si>
  <si>
    <t>Liste Ertragslage</t>
  </si>
  <si>
    <t>Rinder-Gülle</t>
  </si>
  <si>
    <t>Summe N jahresw auf Weiden und Almen</t>
  </si>
  <si>
    <r>
      <t>kg P</t>
    </r>
    <r>
      <rPr>
        <vertAlign val="subscript"/>
        <sz val="12"/>
        <rFont val="Arial"/>
        <family val="2"/>
      </rPr>
      <t>2</t>
    </r>
    <r>
      <rPr>
        <sz val="12"/>
        <rFont val="Arial"/>
        <family val="2"/>
      </rPr>
      <t>O</t>
    </r>
    <r>
      <rPr>
        <vertAlign val="subscript"/>
        <sz val="12"/>
        <rFont val="Arial"/>
        <family val="2"/>
      </rPr>
      <t>5</t>
    </r>
    <r>
      <rPr>
        <sz val="12"/>
        <rFont val="Arial"/>
        <family val="2"/>
      </rPr>
      <t>/ha</t>
    </r>
  </si>
  <si>
    <r>
      <t>kg K</t>
    </r>
    <r>
      <rPr>
        <vertAlign val="subscript"/>
        <sz val="12"/>
        <rFont val="Arial"/>
        <family val="2"/>
      </rPr>
      <t>2</t>
    </r>
    <r>
      <rPr>
        <sz val="12"/>
        <rFont val="Arial"/>
        <family val="2"/>
      </rPr>
      <t>O/ha</t>
    </r>
  </si>
  <si>
    <t>15 - 25</t>
  </si>
  <si>
    <t>25 - 30</t>
  </si>
  <si>
    <t>1 Nutzung</t>
  </si>
  <si>
    <t>&gt; 2,5</t>
  </si>
  <si>
    <t>3)</t>
  </si>
  <si>
    <t>2 Nutzungen</t>
  </si>
  <si>
    <t>&gt; 4,0</t>
  </si>
  <si>
    <t>3 Nutzungen</t>
  </si>
  <si>
    <t>&lt; 12</t>
  </si>
  <si>
    <t>&gt; 12</t>
  </si>
  <si>
    <t>4 Nutzungen</t>
  </si>
  <si>
    <t>5 Nutzungen</t>
  </si>
  <si>
    <t>6 Nutzungen</t>
  </si>
  <si>
    <t>1 Nutzungen</t>
  </si>
  <si>
    <t>&lt; 4,0</t>
  </si>
  <si>
    <t>&lt; 6,0</t>
  </si>
  <si>
    <t>6,0 - 8,0</t>
  </si>
  <si>
    <t>&lt; 9,5</t>
  </si>
  <si>
    <t>&gt; 9,5</t>
  </si>
  <si>
    <t>&lt; 11,0</t>
  </si>
  <si>
    <t>&gt; 11,0</t>
  </si>
  <si>
    <t>&gt; 12,5</t>
  </si>
  <si>
    <t>&lt; 0,1</t>
  </si>
  <si>
    <t>0,1 - 0,4</t>
  </si>
  <si>
    <t>&gt; 0,4</t>
  </si>
  <si>
    <t>Bedarf nach Fachliteratur</t>
  </si>
  <si>
    <r>
      <t>Sämereienvermehrung mit Gräser für Wirtschaftsgrünland</t>
    </r>
    <r>
      <rPr>
        <vertAlign val="superscript"/>
        <sz val="12"/>
        <rFont val="Arial"/>
        <family val="2"/>
      </rPr>
      <t xml:space="preserve"> 5</t>
    </r>
    <r>
      <rPr>
        <sz val="12"/>
        <rFont val="Arial"/>
        <family val="2"/>
      </rPr>
      <t>)</t>
    </r>
  </si>
  <si>
    <t>&lt; 0,2</t>
  </si>
  <si>
    <t>0,2 - 0,7</t>
  </si>
  <si>
    <t>&gt; 0,7</t>
  </si>
  <si>
    <t>&lt; 0,3</t>
  </si>
  <si>
    <t>0,3 - 0,5</t>
  </si>
  <si>
    <t>&gt; 0,5</t>
  </si>
  <si>
    <t>Milch- bzw. Ammenkühe (4000 kg Milch)  - Gülle</t>
  </si>
  <si>
    <t>hoch 1</t>
  </si>
  <si>
    <t>Schweine-Gülle</t>
  </si>
  <si>
    <t>bis</t>
  </si>
  <si>
    <t>Milch- bzw. Ammenkühe (4000 kg Milch)  - Mist / Jauche</t>
  </si>
  <si>
    <t>mittel</t>
  </si>
  <si>
    <t>Geflügel-Gülle</t>
  </si>
  <si>
    <t>Milch- bzw. Ammenkühe (4000 kg Milch)  - Tiefstallmist</t>
  </si>
  <si>
    <t>Milchkühe (5000 kg Milch) - Gülle</t>
  </si>
  <si>
    <t>P</t>
  </si>
  <si>
    <t>K</t>
  </si>
  <si>
    <t>Milchkühe (5000 kg Milch) - Mist/Jauche</t>
  </si>
  <si>
    <t>Wirtschaftsdüngerzukauf</t>
  </si>
  <si>
    <t>P und K plus Zukauf</t>
  </si>
  <si>
    <t>Milchkühe (5000 kg Milch) - Tiefstallmist</t>
  </si>
  <si>
    <t>Wirtschaftsdüngerabgang</t>
  </si>
  <si>
    <t>siehe Tabelle Wirtschaftsdüngerverkauf Zelle BF 49</t>
  </si>
  <si>
    <t>P und K auf Weiden und Almen</t>
  </si>
  <si>
    <t>Milchkühe (6000 kg Milch) - Gülle</t>
  </si>
  <si>
    <t>Wirtschaftsdüngerabgang auf Almen</t>
  </si>
  <si>
    <t>siehe  Zelle CD 20</t>
  </si>
  <si>
    <t>Summen abzueglich Weide und Alm</t>
  </si>
  <si>
    <t>Milchkühe (6000 kg Milch) - Mist/Jauche</t>
  </si>
  <si>
    <t>Wirtschaftsdüngeranteil aus org. Düngern</t>
  </si>
  <si>
    <t>siehe unten</t>
  </si>
  <si>
    <t>P incl. Zu- und Verkauf - Weide u. Alm</t>
  </si>
  <si>
    <t>K incl. Zu- und Verkauf -Weide u. Alm</t>
  </si>
  <si>
    <t>Summen abzueglich Weide, Alm und Verkauf</t>
  </si>
  <si>
    <t>Milchkühe (6000 kg Milch) - Tiefstallmist</t>
  </si>
  <si>
    <t>Wirtschaftsdüngerzu- und -abgang</t>
  </si>
  <si>
    <t>P incl. Zu- und Verkauf ohne  Alm</t>
  </si>
  <si>
    <t>P aus Tierhaltung ohne Alm</t>
  </si>
  <si>
    <t>Milchkühe (7000 kg Milch) - Gülle</t>
  </si>
  <si>
    <t>Wirtschaftsdüngerstickstoff ab Lager der am eigenen Betrieb ausgebracht wurde</t>
  </si>
  <si>
    <t>N ab Lager</t>
  </si>
  <si>
    <t>P für Saldo</t>
  </si>
  <si>
    <t>Milchkühe (7000 kg Milch) - Mist/Jauche</t>
  </si>
  <si>
    <t>Milchkühe (7000 kg Milch) - Tiefstallmist</t>
  </si>
  <si>
    <t>Stickstoff auf Weiden und Almen</t>
  </si>
  <si>
    <t>für Grubenberechnung Tab Hofdung Zellen C4-8</t>
  </si>
  <si>
    <t>Milchkühe (8000 kg Milch) - Gülle</t>
  </si>
  <si>
    <t>Summe Tierhaltung + Zukauf abzügl. Weide u Alm</t>
  </si>
  <si>
    <t>Milchkühe (8000 kg Milch) - Mist/Jauche</t>
  </si>
  <si>
    <t>Milchkühe (8000 kg Milch) - Tiefstallmist</t>
  </si>
  <si>
    <t>Milchkühe (9000 kg Milch) - Gülle</t>
  </si>
  <si>
    <t>N gesamt aus Bio-gas und org. Roh-stoffen getrennt in</t>
  </si>
  <si>
    <t>Milchkühe (9000 kg Milch) - Mist/Jauche</t>
  </si>
  <si>
    <t>Rinder gülle</t>
  </si>
  <si>
    <t>Schweine-gülle</t>
  </si>
  <si>
    <t>Geflügel-gülle</t>
  </si>
  <si>
    <t>Jauche Anteil</t>
  </si>
  <si>
    <t>Rotte-   mist</t>
  </si>
  <si>
    <t>Kompost</t>
  </si>
  <si>
    <t>Menge</t>
  </si>
  <si>
    <t>Milchkühe (9000 kg Milch) - Tiefstallmist</t>
  </si>
  <si>
    <t>N aus org Düngern</t>
  </si>
  <si>
    <t>Wirtschaftsdüngerverkauf</t>
  </si>
  <si>
    <t>Nährstoffmengen ab Lager</t>
  </si>
  <si>
    <t xml:space="preserve">        Mengen</t>
  </si>
  <si>
    <t>Milchkühe (&gt; 10.000 kg Milch) - Gülle</t>
  </si>
  <si>
    <t>tierischen Anteil</t>
  </si>
  <si>
    <t>aus:</t>
  </si>
  <si>
    <t>t od.m³</t>
  </si>
  <si>
    <t>P je m³</t>
  </si>
  <si>
    <t>K je m³</t>
  </si>
  <si>
    <t>N</t>
  </si>
  <si>
    <t>N ff.</t>
  </si>
  <si>
    <t>N jw.</t>
  </si>
  <si>
    <t>N-ff</t>
  </si>
  <si>
    <t>Milchkühe (&gt; 10.000 kg Milch) - Mist/Jauche</t>
  </si>
  <si>
    <t>nicht tier. Anteil</t>
  </si>
  <si>
    <t>Grube 1</t>
  </si>
  <si>
    <t>Milchkühe (&gt; 10.000 kg Milch) - Tiefstallmist</t>
  </si>
  <si>
    <t>P2O4 Standard</t>
  </si>
  <si>
    <t xml:space="preserve"> P-reduziert</t>
  </si>
  <si>
    <t>Grube 2</t>
  </si>
  <si>
    <t>Schweine</t>
  </si>
  <si>
    <t>Grube 3</t>
  </si>
  <si>
    <t>Ferkel 8 bis 32 kg Lebendgewicht (LG) Standard-Fütterung - Gülle</t>
  </si>
  <si>
    <t xml:space="preserve">     Ferkel sind bei der Zuchtsau berücksichtigt</t>
  </si>
  <si>
    <t>N-Anfall ab Lager aus Wirtschaftsdüngern</t>
  </si>
  <si>
    <t>Grube 4</t>
  </si>
  <si>
    <t>Ferkel 8 bis 32 kg Lebendgewicht (LG) Standard-Fütterung - Mist/Jauche</t>
  </si>
  <si>
    <t>RG</t>
  </si>
  <si>
    <t>SG</t>
  </si>
  <si>
    <t>GG</t>
  </si>
  <si>
    <t>Rotte-M</t>
  </si>
  <si>
    <t>Mist 1</t>
  </si>
  <si>
    <t>Ferkel 8 bis 32 kg Lebendgewicht (LG) Standard-Fütterung - Tiefstallmist</t>
  </si>
  <si>
    <t>N ab Lager aus eigener Tierhaltung</t>
  </si>
  <si>
    <t>Gesamtumme</t>
  </si>
  <si>
    <t>Mist 2</t>
  </si>
  <si>
    <t>Ferkel 8 bis 32 kg Lebendgewicht (LG) N-reduzierte-Fütterung - Gülle</t>
  </si>
  <si>
    <t>Stickstoffabgang durch Alpung</t>
  </si>
  <si>
    <t>Ferkel 8 bis 32 kg Lebendgewicht (LG) N-reduzierte-Fütterung - Mist/Jauche</t>
  </si>
  <si>
    <r>
      <t>Wirtschaftsdünger-</t>
    </r>
    <r>
      <rPr>
        <b/>
        <sz val="11"/>
        <color indexed="8"/>
        <rFont val="Arial"/>
        <family val="2"/>
      </rPr>
      <t>Kauf:</t>
    </r>
  </si>
  <si>
    <t>Ferkel 8 bis 32 kg Lebendgewicht (LG) N-reduzierte-Fütterung - Tiefstallmist</t>
  </si>
  <si>
    <t>Wirtschaftsdüngeranteil aus Biogasgüllen</t>
  </si>
  <si>
    <t xml:space="preserve">MS + JS ab 32 kg LG bis Mastende/Belegung - Gülle </t>
  </si>
  <si>
    <t>Wi-düanteil aus Biogasgüllen Feststoff</t>
  </si>
  <si>
    <t xml:space="preserve">MS + JS ab 32 kg LG bis Mastende/Belegung - Mist/Jauche </t>
  </si>
  <si>
    <t>Wi-dü-anteil aus Sekundären Rohstoffen</t>
  </si>
  <si>
    <t xml:space="preserve">MS + JS ab 32 kg LG bis Mastende/Belegung - Tiefstallmist </t>
  </si>
  <si>
    <t>N (ab Lager) aus der Tierh. + Zukauf</t>
  </si>
  <si>
    <t>Quersumme</t>
  </si>
  <si>
    <t xml:space="preserve">MS + JS ab 32 kg LG bis Mastende/Belegung -N-reduzierte-Fütterung - Gülle </t>
  </si>
  <si>
    <t>N aus Wirtschaftsdünger-Abgabe laut seitlicher Tabellen</t>
  </si>
  <si>
    <t>Abgabe</t>
  </si>
  <si>
    <t xml:space="preserve">MS + JS ab 32 kg LG bis Mastende/Belegung -N-reduzierte-Fütterung - Mist/Jauche </t>
  </si>
  <si>
    <t>N (ab Lager) aus der Tierh. Incl. aller Zu- und Verkäufe</t>
  </si>
  <si>
    <t xml:space="preserve">MS + JS ab 32 kg LG bis Mastende/Belegung -N-reduzierte-Fütterung - Tiefstallmist </t>
  </si>
  <si>
    <t>-</t>
  </si>
  <si>
    <t>(N ab Lager ohne Weide + Alm)</t>
  </si>
  <si>
    <t xml:space="preserve">MS + JS ab 32 kg LG bis Mastende/Belegung - stark-N-reduzierte-Fütterung - Gülle </t>
  </si>
  <si>
    <t xml:space="preserve">MS + JS ab 32 kg LG bis Mastende/Belegung - stark-N-reduzierte-Fütterung - Mist/Jauche </t>
  </si>
  <si>
    <t>Feldfallender organischer Stickstoff</t>
  </si>
  <si>
    <t xml:space="preserve">MS + JS ab 32 kg LG bis Mastende/Belegung - stark-N-reduzierte-Fütterung - Tiefstallmist </t>
  </si>
  <si>
    <t>Zuchtschweine - Standard-Fütterung - Gülle</t>
  </si>
  <si>
    <t>N-ab Lager aus der Tierh. incl. Zukauf</t>
  </si>
  <si>
    <t>Zuchtschweine - Standard-Fütterung - Mist/Jauche</t>
  </si>
  <si>
    <t>nicht-tier. org. N, wie Biogas-G, Komp., KS, org. Hadü., etc</t>
  </si>
  <si>
    <t>N nichttierisch</t>
  </si>
  <si>
    <t>Zuchtschweine - Standard-Fütterung - Tiefstallmist</t>
  </si>
  <si>
    <t>Organischer N-Anfall ab Lager am Betrieb</t>
  </si>
  <si>
    <t>Summe Org N-Anfall</t>
  </si>
  <si>
    <t>Zuchtschweine - N-reduzierte Fütterung - Gülle</t>
  </si>
  <si>
    <t>Abzugsfaktoren für Ausbringungsverlust</t>
  </si>
  <si>
    <t>Abzugsfaktoren für Ausbringungsverlust  (13 % bei Güllen und  Jauche, 9 % bei Mist und Kompost)</t>
  </si>
  <si>
    <t>Zuchtschweine - N-reduzierte Fütterung - Mist/Jauche</t>
  </si>
  <si>
    <t xml:space="preserve">   &gt; organ. nicht tierisch feldfallend</t>
  </si>
  <si>
    <t>Zuchtschweine - N-reduzierte Fütterung - Tiefstallmist</t>
  </si>
  <si>
    <t>Organischer N-feldfallend</t>
  </si>
  <si>
    <t>Zuchteber - Standard-Fütterung - Gülle</t>
  </si>
  <si>
    <t>N-Einsatz aus Mineraldünger</t>
  </si>
  <si>
    <t>Zuchteber - Standard-Fütterung - Mist/Jauche</t>
  </si>
  <si>
    <t>N feldf.aus Wirtschaftsdünger-Abgabe laut seitlicher Tabellen</t>
  </si>
  <si>
    <t>Zuchteber - Standard-Fütterung - Tiefstallmist</t>
  </si>
  <si>
    <t>N feldfallend am Betrieb Incl. aller Zu- und Abgänge</t>
  </si>
  <si>
    <t>N ff. am Betrieb Gesamtsumme</t>
  </si>
  <si>
    <t>Zuchteber - N-reduzierte Fütterung - Gülle</t>
  </si>
  <si>
    <t>Zuchteber - N-reduzierte Fütterung - Mist/Jauche</t>
  </si>
  <si>
    <t>Jahreswirksamer Stickstoff für alle</t>
  </si>
  <si>
    <t>Zuchteber - N-reduzierte Fütterung - Tiefstallmist</t>
  </si>
  <si>
    <t>Geflügel</t>
  </si>
  <si>
    <t xml:space="preserve">Kücken u. Junghennen für Legezw. bis 1/2 Jahr - Gülle </t>
  </si>
  <si>
    <t>Faktoren Jahreswirksamkeit</t>
  </si>
  <si>
    <t xml:space="preserve">Kücken u. Junghennen für Legezw. bis 1/2 Jahr - Tiefstallmist  </t>
  </si>
  <si>
    <t>Organischer N-jw. in kg</t>
  </si>
  <si>
    <t>Legehennen, Hähne - Gülle</t>
  </si>
  <si>
    <t>N-Einsatz aus Mineraldüngern in kg</t>
  </si>
  <si>
    <t>Legehennen, Hähne - Tiefstallmist</t>
  </si>
  <si>
    <t>N jahresw.aus Wirtschaftsdünger-Abgabe lt. seitlicher Tabellen</t>
  </si>
  <si>
    <t xml:space="preserve"> abzüglich des jahreswirksamen Stickstoffes aus Abgabe</t>
  </si>
  <si>
    <t xml:space="preserve">Mastkücken und Jungmasthühner - 7 Umtriebe </t>
  </si>
  <si>
    <t>N jahreswirksam am Betrieb Incl. aller Zu- und Verkäufe</t>
  </si>
  <si>
    <t>Jahreswirksamer Stickstoff am Betrieb in kg (nach ÖPUL)</t>
  </si>
  <si>
    <t>Zwerghühner, Wachteln; ausgewachsen</t>
  </si>
  <si>
    <t>Jahreswirksamer Stickstoff für Schläge (kein Weide-N)</t>
  </si>
  <si>
    <t>Gänse</t>
  </si>
  <si>
    <t>Enten</t>
  </si>
  <si>
    <t xml:space="preserve">Truthühner (Puten) </t>
  </si>
  <si>
    <t>Pferde, Schafe, Ziegen</t>
  </si>
  <si>
    <t>Kleinpferde (&lt;300 kg, bis 148 cm) 1/2 bis 3 Jahre</t>
  </si>
  <si>
    <t>Kleinpferde (&lt;300 kg) 1/2 bis 3 Jahre</t>
  </si>
  <si>
    <t>Kleinpferde (&lt;300 kg) &gt; 3 Jahre incl. Fohlen bis 1/2 Jahr</t>
  </si>
  <si>
    <t>Kleinpferde (&gt;300 kg, bis 148 cm) 1/2 bis 3 Jahre</t>
  </si>
  <si>
    <t>Kleinpferde (&gt;300 kg) 1/2 bis 3 Jahre</t>
  </si>
  <si>
    <t>Kleinpferde (&gt;300 kg) &gt; 3 Jahre incl. Fohlen bis 1/2 Jahr</t>
  </si>
  <si>
    <t>Pferde (&gt;500 kg, über 148 cm) 1/2 bis 3 Jahre</t>
  </si>
  <si>
    <t>Pferde (&gt;500 kg) 1/2 bis 3 Jahre</t>
  </si>
  <si>
    <t>Pferde (&gt;500 kg)&gt; 3 Jahre incl. Fohlen bis 1/2 Jahr</t>
  </si>
  <si>
    <t>Schafe Lämmer bis 1/2 Jahr</t>
  </si>
  <si>
    <t>Schafe ab 1/2 Jahr bis 1,5 Jahre</t>
  </si>
  <si>
    <t>Mutterschafe</t>
  </si>
  <si>
    <t>Ziegen bis 1/2 Jahr</t>
  </si>
  <si>
    <t>Ziegen ab 1/2 Jahr bis 1,5 Jahre</t>
  </si>
  <si>
    <t>Mutterziegen</t>
  </si>
  <si>
    <t>Weitere Tierarten</t>
  </si>
  <si>
    <t>Rotwild Alttier inkl. Nachzucht bis 14 Monate</t>
  </si>
  <si>
    <t>Rotwild Hirsche</t>
  </si>
  <si>
    <t>Dammwild, Lamas Alpacas - Alttiere inkl. Nachzucht bis 14 Monate</t>
  </si>
  <si>
    <t>Dammwild, Lama, Alpacas Hirsche</t>
  </si>
  <si>
    <t>Straußenküken bis 1/2 Jahr Gülle</t>
  </si>
  <si>
    <t>Straußenküken bis 1/2 Jahr Mist</t>
  </si>
  <si>
    <t>Jungstraußen 0,5 - 1,5 Jahre Gülle</t>
  </si>
  <si>
    <t>Jungstraußen 0,5 - 1,5 Jahre Mist</t>
  </si>
  <si>
    <t>Zuchtstraußenhenne - Gülle</t>
  </si>
  <si>
    <t>Zuchtstraußenhenne - Mist</t>
  </si>
  <si>
    <t>Zuchtstraußenhahn - Gülle</t>
  </si>
  <si>
    <t>Zuchtstraußenhahn - Mist</t>
  </si>
  <si>
    <t>Mastkaninchen - Gülle</t>
  </si>
  <si>
    <t>Mastkaninchen - Tiefstall</t>
  </si>
  <si>
    <t>Zuchtkaninchen - Gülle</t>
  </si>
  <si>
    <t>Zwergrinder</t>
  </si>
  <si>
    <t>Zwergrind - andere Kälber und Jungrinder unter 1/2 Jahr - Gülle = N abLager</t>
  </si>
  <si>
    <t>Zwergrind - andere Kälber und Jungrinder unter 1/2 Jahr - Gülle</t>
  </si>
  <si>
    <t>Zwergrind - andere Kälber und Jungrinder unter 1/2 Jahr - Mist/Jauche</t>
  </si>
  <si>
    <t>Zwergrind - andere Kälber und Jungrinder unter 1/2 Jahr - Tiefstallmist</t>
  </si>
  <si>
    <t>Zwergrind - Jungvieh 1/2 bis 1 Jahr - Gülle</t>
  </si>
  <si>
    <t>Zwergrind - Jungvieh 1/2 bis 1 Jahr - Mist/Jauche</t>
  </si>
  <si>
    <t>Zwergrind - Jungvieh 1/2 bis 1 Jahr - Tiefstallmist</t>
  </si>
  <si>
    <t>Zwergrind - Jungvieh 1 bis 2 Jahr - Gülle</t>
  </si>
  <si>
    <t>Zwergrind - Jungvieh 1 bis 2 Jahr - Mist/Jauche</t>
  </si>
  <si>
    <t>Zwergrind - Jungvieh 1 bis 2 Jahr - Tiefstallmist</t>
  </si>
  <si>
    <t>Zwergrind - Ochsen, Stiere - Gülle</t>
  </si>
  <si>
    <t>Zwergrind - Ochsen, Stiere - Mist/Jauche</t>
  </si>
  <si>
    <t>Zwergrind - Ochsen, Stiere - Tiefstallmist</t>
  </si>
  <si>
    <t>Zwergrind - Kalbinnen - Gülle</t>
  </si>
  <si>
    <t>Zwergrind - Kalbinnen - Mist/Jauche</t>
  </si>
  <si>
    <t>Zwergrind - Kalbinnen - Tiefstallmist</t>
  </si>
  <si>
    <t>Zwergrind - Milch- bzw. Mutterkühe (3000 kg Milch)  - Gülle</t>
  </si>
  <si>
    <t>Zwergrind - Milch- bzw. Mutterkühe (3000 kg Milch)  - Mist / Jauche</t>
  </si>
  <si>
    <t>Zwergrind - Milch- bzw. Mutterkühe (3000 kg Milch)  - Tiefstallmist</t>
  </si>
  <si>
    <t>Zwergrind - Milch- bzw. Ammenkühe (4000 kg Milch)  - Gülle</t>
  </si>
  <si>
    <t>Zwergrind - Milch- bzw. Ammenkühe (4000 kg Milch)  - Mist / Jauche</t>
  </si>
  <si>
    <t>Zwergrind - Milch- bzw. Ammenkühe (4000 kg Milch)  - Tiefstallmist</t>
  </si>
  <si>
    <t>Zwergrind - Milchkühe (5000 kg Milch) - Gülle</t>
  </si>
  <si>
    <t>Zwergrind - Milchkühe (5000 kg Milch) - Mist/Jauche</t>
  </si>
  <si>
    <t>Zwergrind - Milchkühe (5000 kg Milch) - Tiefstallmist</t>
  </si>
  <si>
    <t>Zwergrind - Milchkühe (6000 kg Milch) - Gülle</t>
  </si>
  <si>
    <t>Zwergrind - Milchkühe (6000 kg Milch) - Mist/Jauche</t>
  </si>
  <si>
    <t>Zwergrind - Milchkühe (6000 kg Milch) - Tiefstallmist</t>
  </si>
  <si>
    <t>Zwergrind - Milchkühe (7000 kg Milch) - Gülle</t>
  </si>
  <si>
    <t>Zwergrind - Milchkühe (7000 kg Milch) - Mist/Jauche</t>
  </si>
  <si>
    <t>Zwergrind - Milchkühe (7000 kg Milch) - Tiefstallmist</t>
  </si>
  <si>
    <t>Zwergrind - Milchkühe (8000 kg Milch) - Gülle</t>
  </si>
  <si>
    <t>Zwergrind - Milchkühe (8000 kg Milch) - Mist/Jauche</t>
  </si>
  <si>
    <t>Zwergrind - Milchkühe (8000 kg Milch) - Tiefstallmist</t>
  </si>
  <si>
    <t>Zwergrind - Milchkühe (9000 kg Milch) - Gülle</t>
  </si>
  <si>
    <t>Zwergrind - Milchkühe (9000 kg Milch) - Mist/Jauche</t>
  </si>
  <si>
    <t>Zwergrind - Milchkühe (9000 kg Milch) - Tiefstallmist</t>
  </si>
  <si>
    <t>Zwergrind - Milchkühe (&gt; 10.000 kg Milch) - Gülle</t>
  </si>
  <si>
    <t>Zwergrind - Milchkühe (&gt; 10.000 kg Milch) - Mist/Jauche</t>
  </si>
  <si>
    <t>Zwergrind - Milchkühe (&gt; 10.000 kg Milch) - Tiefstallmist</t>
  </si>
  <si>
    <t>Durch eine P-reduzierte Fütterung von Geflügel kann der Phosphatgehalt je nach Tiergruppe in einem Ausmaß zwischen 13% und 39% gesenkt werden.</t>
  </si>
  <si>
    <t>Düngerauswahl</t>
  </si>
  <si>
    <t>Menge abz. Abgabe</t>
  </si>
  <si>
    <t>N - feld-fallend</t>
  </si>
  <si>
    <r>
      <t xml:space="preserve"> N </t>
    </r>
    <r>
      <rPr>
        <sz val="9"/>
        <color indexed="8"/>
        <rFont val="Arial"/>
        <family val="2"/>
      </rPr>
      <t>jahresw.</t>
    </r>
  </si>
  <si>
    <t>schnell wirksam</t>
  </si>
  <si>
    <t>tier. Anteil</t>
  </si>
  <si>
    <t>Zu-ord-nung</t>
  </si>
  <si>
    <t>Summe N</t>
  </si>
  <si>
    <t>Summe P</t>
  </si>
  <si>
    <t>Summe K</t>
  </si>
  <si>
    <t>Düngertabelle</t>
  </si>
  <si>
    <t>Menge   kg od. m³</t>
  </si>
  <si>
    <t>N - feldfall.</t>
  </si>
  <si>
    <t>N jahresw.</t>
  </si>
  <si>
    <t>P    jahresw.</t>
  </si>
  <si>
    <t>K   jahresw.</t>
  </si>
  <si>
    <t>WD</t>
  </si>
  <si>
    <t>P org</t>
  </si>
  <si>
    <t>K org</t>
  </si>
  <si>
    <t>HD</t>
  </si>
  <si>
    <t>Prüfungen:</t>
  </si>
  <si>
    <t xml:space="preserve">kleiner =-10; gleich=0; größer = 3 </t>
  </si>
  <si>
    <t>Differenz</t>
  </si>
  <si>
    <t>angelegte Dünger im Vergleich zu N_Berechnung ohne W+A</t>
  </si>
  <si>
    <t>0 = Ok!</t>
  </si>
  <si>
    <t xml:space="preserve">N / P / K angelegt + Weide </t>
  </si>
  <si>
    <t>N jw</t>
  </si>
  <si>
    <t>sw.</t>
  </si>
  <si>
    <t>Summen:</t>
  </si>
  <si>
    <t>Updates sind erhältlich                                             im Internet unter:</t>
  </si>
  <si>
    <t xml:space="preserve">  ►</t>
  </si>
  <si>
    <t>http://www.ooe.lko.at/</t>
  </si>
  <si>
    <t>Nutzungshinweise:</t>
  </si>
  <si>
    <t>Änderungen</t>
  </si>
  <si>
    <t>Versionshinweise</t>
  </si>
  <si>
    <t>Es wird von den Landwirtschaftskammern, dem Ersteller und dem Agrarnet keinerlei Haftung  bezüglich Softwareproblemen, Berechnungsfehler usw. und eventuellen Sanktionen durch die AMA wegen fehlerhafter Berechnungen übernommen.</t>
  </si>
  <si>
    <t>veröffentlicht</t>
  </si>
  <si>
    <t>System Immergrün neue Berechnung</t>
  </si>
  <si>
    <t>Flächenbezug (GVE/ha und P/ha) korrigiert</t>
  </si>
  <si>
    <t>Häufige Fragen!</t>
  </si>
  <si>
    <t xml:space="preserve">Trotz sorgfältiger Prüfung aller Tabellen und Rechnungsschritte sind Fehler nicht ausgeschlossen, das Ergebnis ist ohne Gewähr, es wird keinerlei Haftung übernommen und es lässt sich durch diese Berechnungen kein Anspruch auf Einhaltung der ÖPUL-Richtlinien ableiten. </t>
  </si>
  <si>
    <t xml:space="preserve"> Weideblatt eingefügt</t>
  </si>
  <si>
    <t>Blattschutz</t>
  </si>
  <si>
    <t>Pass- oder Kennwort?</t>
  </si>
  <si>
    <t>Es wird zum Gebrauch dieses Programmes kein Passwort oder Kennwort benötigt. 
Sollten sich keine Eingaben machen lassen und ein Kennwort verlangt werden, 
ist die Datei vielleicht schreibgeschützt oder es sind mehrere Tabellenblätter markiert. 
Nach dem Aufheben des Schreibschutzes oder der Mehrfach-Markierungen müsste eine Bearbeitung wieder möglich sein.</t>
  </si>
  <si>
    <t>Fragen und Anregungen an:</t>
  </si>
  <si>
    <t xml:space="preserve">Steiermark:  heinrich.holzner@lk-stmk.at </t>
  </si>
  <si>
    <t>NÖ: josef.springer@lk-noe.at</t>
  </si>
  <si>
    <t>Drucken</t>
  </si>
  <si>
    <t>Es sind auf allen Tabellenblättern Druckbereiche festgelegt. Diese können über die Befehle "Druckbereich festlegen oder aufheben" verändert werden. Diese Befehle sind im Menü Seitenlayout bzw.  im alten Excel im Menü Datei / Druckbereich zu finden.</t>
  </si>
  <si>
    <t>Hinweise zur Orientierung</t>
  </si>
  <si>
    <t>Stellen Sie auf den Blättern über das Menü Ansicht &gt; Zoom jenen Zoomfaktor ein, der Ihnen ein gutes Arbeiten erlaubt.</t>
  </si>
  <si>
    <t>Daten ins nächste Jahr übertragen?</t>
  </si>
  <si>
    <t>in den blauen Zellen sind Berechnungsergebnisse</t>
  </si>
  <si>
    <t>Fehlermeldungen</t>
  </si>
  <si>
    <t>Fehlerbehebung</t>
  </si>
  <si>
    <t>Wichtige Zellen wurden gelöscht oder verschoben, das Programm kann den Bezug zu diesen Zellen nicht mehr herstellen und daher nicht mehr berechnen.</t>
  </si>
  <si>
    <t>#NV bedeutet "Nicht vorhanden", das heißt es fehlen Angaben, oder sind wieder gelöscht oder verändert  worden und sind jetzt nicht mehr vorhanden!</t>
  </si>
  <si>
    <t>◄</t>
  </si>
  <si>
    <t>►</t>
  </si>
  <si>
    <t>Erntejahr</t>
  </si>
  <si>
    <t>Teilnahme am ÖPUL 2015</t>
  </si>
  <si>
    <t>Gesamte LN laut MFA-Flächennutzung:</t>
  </si>
  <si>
    <t>ha</t>
  </si>
  <si>
    <t>Teilnahme Maßnahme Bio</t>
  </si>
  <si>
    <t>Summe aller Ackerflächen</t>
  </si>
  <si>
    <t>Summe des Dauergrün- und Dauerweidelandes</t>
  </si>
  <si>
    <t>Summe aller Dauer- und Spezialkulturen, wie Obst, Hopfen, Wein, Reb- und Baumschulen und Energieholzflächen</t>
  </si>
  <si>
    <t>Andere gedüngte Flächen, die nicht ÖPUL-LN sind  (wie zB. Energieholzflächen oder Christbaumkulturen)</t>
  </si>
  <si>
    <t>Kurzanleitung</t>
  </si>
  <si>
    <t xml:space="preserve">Summe landwirtschaftliche Nutzfläche in ha    </t>
  </si>
  <si>
    <t>http://www.bwsb.at/?+OEDuePLan+Update+&amp;id=2500,,1783344,5491</t>
  </si>
  <si>
    <t xml:space="preserve"> Nährstoffanfall ab Lager aus der Tierhaltung   </t>
  </si>
  <si>
    <t>Anmerkung zur Berechnung des Durchschnittstierbestandes</t>
  </si>
  <si>
    <r>
      <t xml:space="preserve">     davon sind auf</t>
    </r>
    <r>
      <rPr>
        <b/>
        <sz val="9"/>
        <rFont val="Arial"/>
        <family val="2"/>
      </rPr>
      <t xml:space="preserve"> Dauerweiden und Almen</t>
    </r>
  </si>
  <si>
    <t>nährstoff-best. Bestand</t>
  </si>
  <si>
    <t xml:space="preserve">N </t>
  </si>
  <si>
    <t>Lagerraumbedarf für</t>
  </si>
  <si>
    <t>Stickstoff auf</t>
  </si>
  <si>
    <t>Ein Kalb ergibt sich aus im Durchschnitt zB. 4 Kälber 12 Wochen, oder 8 Kälber nur 6 Wochen am Betrieb</t>
  </si>
  <si>
    <t>Dauerweiden</t>
  </si>
  <si>
    <t>auf Almen</t>
  </si>
  <si>
    <t>ab Lager aus der Tierhaltung</t>
  </si>
  <si>
    <t>Dauer-weiden</t>
  </si>
  <si>
    <t>Almen</t>
  </si>
  <si>
    <r>
      <t>Aufteilung bei Stiermast</t>
    </r>
    <r>
      <rPr>
        <sz val="10"/>
        <color indexed="8"/>
        <rFont val="Arial"/>
        <family val="2"/>
      </rPr>
      <t>: 20 % Kälber, 40 % Jungvieh 1/2 bis 1 Jahr, 40 % 1 bis 2 Jahre</t>
    </r>
  </si>
  <si>
    <t>Die Milchleistung reicht bei 4.000 kg von 3.500 - 4.499 usw…</t>
  </si>
  <si>
    <t>Die Ferkelanzahl ergibt sich bei :</t>
  </si>
  <si>
    <t xml:space="preserve">unter 18 verkaufte Ferkel = Zuchtsauen x 2,6    </t>
  </si>
  <si>
    <t>18 - 20 Ferkel = Zuchtsauen x 2,9</t>
  </si>
  <si>
    <t>über 20 Ferkel = Zuchtsauen x 3,2</t>
  </si>
  <si>
    <t>Bei Mastschweinen:</t>
  </si>
  <si>
    <t>ist der Jahresdurchschnittstierbestand anzugeben, siehe Tabellenblatt "Schw_Geflügel"</t>
  </si>
  <si>
    <t>oder Durchschnittstierbestand = belegte Stallplätze x Umtriebe x Haltedauer in Tage / 365</t>
  </si>
  <si>
    <t>Der Nährstoffbestimmende Bestand beim Mastschwein ist Tierliste x 1,26</t>
  </si>
  <si>
    <t>Bei Geflügel gilt:</t>
  </si>
  <si>
    <t>Kücken u. Junghennen  - 130 Haltetage pro Umtrieb &gt;&gt; 2,0 Umtriebe</t>
  </si>
  <si>
    <t>Legehennen und Hähne - Jahresbestand inkl. Ø  Leerstehzeit von 14 Tagen</t>
  </si>
  <si>
    <t xml:space="preserve">Summe Nährstoffe aus der Tierhaltung: </t>
  </si>
  <si>
    <t>Truthühner -  150 Haltetage pro Umtrieb &gt;&gt; 2,0 Umtriebe</t>
  </si>
  <si>
    <t>* bitte am Tabellenblatt "Hofdung" die Mengen berechnen und eingeben</t>
  </si>
  <si>
    <t>Menge
N feldf.</t>
  </si>
  <si>
    <t>Wirtschaftsdünger Zukauf</t>
  </si>
  <si>
    <t>Nährstoffe je m³ oder t</t>
  </si>
  <si>
    <t>Nährstoffe gesamt</t>
  </si>
  <si>
    <t>Die Anzahl der Lämmer ergibt sich aus Mutterschafe x Faktor (aufgezogene Lämmer x Haltedauer  dividiert durch 12 Monate)</t>
  </si>
  <si>
    <t>Ziegenlämmer werden wie  Schafe gerechnet</t>
  </si>
  <si>
    <t>Kaninchen - 6,89 Umtriebe zu je 53 Aufmasttagen</t>
  </si>
  <si>
    <t>Wirtschaftsdüngerabgang durch Alpung und Fremdweiden</t>
  </si>
  <si>
    <t>Kennzahlen</t>
  </si>
  <si>
    <t>GVE je ha</t>
  </si>
  <si>
    <t>Vorhandener Lagerraum</t>
  </si>
  <si>
    <t>Summe GVE</t>
  </si>
  <si>
    <t>Gülle  und Jauche:</t>
  </si>
  <si>
    <t>m³</t>
  </si>
  <si>
    <t>Gülle / Jauche</t>
  </si>
  <si>
    <t>kg N     &gt;</t>
  </si>
  <si>
    <t>Stickstoffeinsatz feldfallend</t>
  </si>
  <si>
    <t xml:space="preserve">m² </t>
  </si>
  <si>
    <t>m²</t>
  </si>
  <si>
    <t>Saldo N-Bedarf</t>
  </si>
  <si>
    <t xml:space="preserve">m </t>
  </si>
  <si>
    <t>Einbindung  von Biogasgülle und Sekundärrohstoffen</t>
  </si>
  <si>
    <t>Biogasgüllen</t>
  </si>
  <si>
    <t>Wirksamkeit je nach Ammoniumanteil</t>
  </si>
  <si>
    <t>Ermittlung des N-Gehaltes von Komposten etc..</t>
  </si>
  <si>
    <t>Klärung ob Angaben in t oder m³</t>
  </si>
  <si>
    <t>N / m³</t>
  </si>
  <si>
    <t>% aus Tierhaltung</t>
  </si>
  <si>
    <t>N ges</t>
  </si>
  <si>
    <t>Phos-phor</t>
  </si>
  <si>
    <t>Wirksamkeit</t>
  </si>
  <si>
    <t>Die Angaben auf Untersuchungszeugnissen sind je nach Labor unterschiedlich.</t>
  </si>
  <si>
    <t>Zu beachten ist, ob der Stickstoff in kg oder % der TM oder FM angegeben ist.</t>
  </si>
  <si>
    <t>Trockensubstanz (TS) = Trockenmasse (TM), bzw Frischsubstanz (FS) = Frischmasse (FM)</t>
  </si>
  <si>
    <t>Angaben in % in der Trockenmasse ™ und Feuchtdichte</t>
  </si>
  <si>
    <t>TS in %</t>
  </si>
  <si>
    <r>
      <t>N</t>
    </r>
    <r>
      <rPr>
        <vertAlign val="subscript"/>
        <sz val="12"/>
        <color indexed="8"/>
        <rFont val="Arial"/>
        <family val="2"/>
      </rPr>
      <t>ges</t>
    </r>
    <r>
      <rPr>
        <sz val="12"/>
        <color indexed="8"/>
        <rFont val="Arial"/>
        <family val="2"/>
      </rPr>
      <t xml:space="preserve"> in % TM</t>
    </r>
  </si>
  <si>
    <t>N in FS</t>
  </si>
  <si>
    <t>kg N / t</t>
  </si>
  <si>
    <t>Feuchtdichte</t>
  </si>
  <si>
    <t>kg N / m³</t>
  </si>
  <si>
    <t>Biogas - Feststoffseparat</t>
  </si>
  <si>
    <t>Angaben in % in der Trockenmasse (TM)</t>
  </si>
  <si>
    <t>Raumgewicht</t>
  </si>
  <si>
    <t>Sekundäre Rohstoffe</t>
  </si>
  <si>
    <t>wie zB. Klärschlamm, Biokompost, etc…</t>
  </si>
  <si>
    <t>Angaben in % in der Frischmasse (FM)</t>
  </si>
  <si>
    <r>
      <t>N</t>
    </r>
    <r>
      <rPr>
        <vertAlign val="subscript"/>
        <sz val="12"/>
        <color indexed="8"/>
        <rFont val="Arial"/>
        <family val="2"/>
      </rPr>
      <t>ges</t>
    </r>
    <r>
      <rPr>
        <sz val="12"/>
        <color indexed="8"/>
        <rFont val="Arial"/>
        <family val="2"/>
      </rPr>
      <t xml:space="preserve"> in % FM</t>
    </r>
  </si>
  <si>
    <t>in % FM</t>
  </si>
  <si>
    <t>g/kg FM</t>
  </si>
  <si>
    <t>weitere Einträge für organische Dünger und Stoffe</t>
  </si>
  <si>
    <t>Menge      m³ / t</t>
  </si>
  <si>
    <t>N   je      m³ / t</t>
  </si>
  <si>
    <t xml:space="preserve">t / m³ </t>
  </si>
  <si>
    <t xml:space="preserve">m³ / t </t>
  </si>
  <si>
    <t>zB. Klärschlamm flüssig, org. Handelsdünger &lt; 15% TS</t>
  </si>
  <si>
    <t xml:space="preserve">Flüssige Wirtschaftsdünger </t>
  </si>
  <si>
    <t>zB. Carbokalk, Klär-schlamm abgepresst, Kartoffelrestfrucht-wasser, Biofert, Organofert, etc..</t>
  </si>
  <si>
    <t xml:space="preserve">Pferdemist </t>
  </si>
  <si>
    <t xml:space="preserve">Rindermist </t>
  </si>
  <si>
    <t>zB. Klärschlamm-kompost</t>
  </si>
  <si>
    <t>wie Kompost</t>
  </si>
  <si>
    <t xml:space="preserve">Schweinemist </t>
  </si>
  <si>
    <t xml:space="preserve">Hähnchen- und Putenmist </t>
  </si>
  <si>
    <t xml:space="preserve">Hühnertrockenkot (mit 50 % TS) </t>
  </si>
  <si>
    <t xml:space="preserve">Schaf- und Ziegenmist </t>
  </si>
  <si>
    <t xml:space="preserve">Stallmistkompost </t>
  </si>
  <si>
    <t xml:space="preserve">Bio- und Grünschnittkompost </t>
  </si>
  <si>
    <t xml:space="preserve">Je nach Einstreumenge können vor allem die Raumgewichte von Festmisten in der Praxis sehr stark variieren. </t>
  </si>
  <si>
    <t>Organische Stickstoffquelle</t>
  </si>
  <si>
    <t>Nges =&gt; N feldfallend</t>
  </si>
  <si>
    <t>Nges =&gt; N schnell wirksam</t>
  </si>
  <si>
    <t>Nff =&gt; Njahresw.
(CC)</t>
  </si>
  <si>
    <t>Einstufung wie</t>
  </si>
  <si>
    <t>Anmerkung</t>
  </si>
  <si>
    <r>
      <t>Biogasgülle / Gärrückstand  &lt; 55% NH</t>
    </r>
    <r>
      <rPr>
        <vertAlign val="subscript"/>
        <sz val="10"/>
        <color indexed="8"/>
        <rFont val="Arial"/>
        <family val="2"/>
      </rPr>
      <t>4</t>
    </r>
    <r>
      <rPr>
        <sz val="10"/>
        <color indexed="8"/>
        <rFont val="Arial"/>
        <family val="2"/>
      </rPr>
      <t>-N *)</t>
    </r>
  </si>
  <si>
    <t>Rindergülle</t>
  </si>
  <si>
    <r>
      <t>Biogasgülle / Gärrückstand 55 bis &lt; 62,5% NH</t>
    </r>
    <r>
      <rPr>
        <vertAlign val="subscript"/>
        <sz val="10"/>
        <color indexed="8"/>
        <rFont val="Arial"/>
        <family val="2"/>
      </rPr>
      <t>4</t>
    </r>
    <r>
      <rPr>
        <sz val="10"/>
        <color indexed="8"/>
        <rFont val="Arial"/>
        <family val="2"/>
      </rPr>
      <t>-N *)</t>
    </r>
  </si>
  <si>
    <t>Legehennengülle</t>
  </si>
  <si>
    <r>
      <t>Biogasgülle / Gärrückstand 62,5% bis 77,5% NH</t>
    </r>
    <r>
      <rPr>
        <vertAlign val="subscript"/>
        <sz val="10"/>
        <color indexed="8"/>
        <rFont val="Arial"/>
        <family val="2"/>
      </rPr>
      <t>4</t>
    </r>
    <r>
      <rPr>
        <sz val="10"/>
        <color indexed="8"/>
        <rFont val="Arial"/>
        <family val="2"/>
      </rPr>
      <t>-N *)</t>
    </r>
  </si>
  <si>
    <t>Schweinegülle</t>
  </si>
  <si>
    <r>
      <t>Biogasgülle / Gärrückstand &gt; 77,5% NH</t>
    </r>
    <r>
      <rPr>
        <vertAlign val="subscript"/>
        <sz val="10"/>
        <color indexed="8"/>
        <rFont val="Arial"/>
        <family val="2"/>
      </rPr>
      <t>4</t>
    </r>
    <r>
      <rPr>
        <sz val="10"/>
        <color indexed="8"/>
        <rFont val="Arial"/>
        <family val="2"/>
      </rPr>
      <t>-N *)</t>
    </r>
  </si>
  <si>
    <t>Rinderjauche</t>
  </si>
  <si>
    <t>Carbokalk  (0,03 / 0,09 / 0)</t>
  </si>
  <si>
    <t>Stallmist</t>
  </si>
  <si>
    <t>Carbokalk Basiswerte</t>
  </si>
  <si>
    <t>Festsubstrat aus der Gülleseparierung</t>
  </si>
  <si>
    <t>Kartoffelrestfruchtwasser</t>
  </si>
  <si>
    <t>20 kg / t</t>
  </si>
  <si>
    <t>Klärschlamm abgepresst, krümelig &gt; 15% TS</t>
  </si>
  <si>
    <t>Klärschlamm flüssig &lt; 15% TS</t>
  </si>
  <si>
    <t>Klärschlamm flüssig, aerob stabilisiert</t>
  </si>
  <si>
    <t>Klärschlammkompost</t>
  </si>
  <si>
    <t>Stallmistkompost</t>
  </si>
  <si>
    <t>Molke</t>
  </si>
  <si>
    <t>Org. Handelsdünger &lt; 15% TM</t>
  </si>
  <si>
    <t>Org. Handelsdünger &gt; 15% TM</t>
  </si>
  <si>
    <t>Restmelasse</t>
  </si>
  <si>
    <t>Rübenschwänze Rübenbruchstücke</t>
  </si>
  <si>
    <t>Rübenbruchstücke</t>
  </si>
  <si>
    <t>Schlempe mit 90 % TS</t>
  </si>
  <si>
    <t>Schlempe</t>
  </si>
  <si>
    <t>Senkgrubengrauwasser</t>
  </si>
  <si>
    <t>0,2 kg / m³</t>
  </si>
  <si>
    <t>Vinasse</t>
  </si>
  <si>
    <r>
      <t xml:space="preserve">*) </t>
    </r>
    <r>
      <rPr>
        <b/>
        <sz val="10"/>
        <color indexed="8"/>
        <rFont val="Arial"/>
        <family val="2"/>
      </rPr>
      <t>Die Einstufung nach dem NH</t>
    </r>
    <r>
      <rPr>
        <b/>
        <vertAlign val="subscript"/>
        <sz val="10"/>
        <color indexed="8"/>
        <rFont val="Arial"/>
        <family val="2"/>
      </rPr>
      <t>4</t>
    </r>
    <r>
      <rPr>
        <b/>
        <sz val="10"/>
        <color indexed="8"/>
        <rFont val="Arial"/>
        <family val="2"/>
      </rPr>
      <t>-N-Gehalt</t>
    </r>
    <r>
      <rPr>
        <sz val="11"/>
        <color indexed="8"/>
        <rFont val="Arial"/>
        <family val="2"/>
      </rPr>
      <t xml:space="preserve"> gilt auch für Flüssigphasen aus der Gülleseparierung</t>
    </r>
  </si>
  <si>
    <t xml:space="preserve">Wenn die Warenbegleitscheine keine anderen Nährstoffgehalte </t>
  </si>
  <si>
    <t>Nges … Gesamt-N (Kjeldahl) laut Analyse</t>
  </si>
  <si>
    <t xml:space="preserve">ausweisen, kann mit obigen Basiswerten gerechnet werden!       </t>
  </si>
  <si>
    <t>Nff ……. feldfallender N</t>
  </si>
  <si>
    <t>Nll ……. leicht löslicher = rasch wirksamer N</t>
  </si>
  <si>
    <t>Njw …… jahreswirksamer N</t>
  </si>
  <si>
    <t>Nährstoffe aus Tierhaltung</t>
  </si>
  <si>
    <t>Nährstoffe aus Nawaros.</t>
  </si>
  <si>
    <t>wirksam</t>
  </si>
  <si>
    <t>feld-fallend</t>
  </si>
  <si>
    <t>jahres-wirksam</t>
  </si>
  <si>
    <t>schnell-wirksam</t>
  </si>
  <si>
    <t>schnell w</t>
  </si>
  <si>
    <t>UBAG</t>
  </si>
  <si>
    <t>N tier</t>
  </si>
  <si>
    <t>aktuelle Jahres-W</t>
  </si>
  <si>
    <t>Biogasgülle 1</t>
  </si>
  <si>
    <r>
      <t>wie Schweinegülle, weil  NH</t>
    </r>
    <r>
      <rPr>
        <vertAlign val="subscript"/>
        <sz val="14"/>
        <color indexed="10"/>
        <rFont val="Arial"/>
        <family val="2"/>
      </rPr>
      <t>4</t>
    </r>
    <r>
      <rPr>
        <sz val="10"/>
        <color indexed="10"/>
        <rFont val="Arial"/>
        <family val="2"/>
      </rPr>
      <t xml:space="preserve"> fehlt</t>
    </r>
  </si>
  <si>
    <t>wie Rindergülle</t>
  </si>
  <si>
    <t>Y 58</t>
  </si>
  <si>
    <t>wie Geflügelgülle</t>
  </si>
  <si>
    <t>Y 59</t>
  </si>
  <si>
    <t>wie Schweinegülle</t>
  </si>
  <si>
    <t>Y 60</t>
  </si>
  <si>
    <t>wie Jauche</t>
  </si>
  <si>
    <t>Y 61</t>
  </si>
  <si>
    <t>wie Mist</t>
  </si>
  <si>
    <t>Y 62</t>
  </si>
  <si>
    <t>wie Rottemist</t>
  </si>
  <si>
    <t>Y 63</t>
  </si>
  <si>
    <t>Biogasgülle 2</t>
  </si>
  <si>
    <t>Y 64</t>
  </si>
  <si>
    <t>Biogasgülle 3</t>
  </si>
  <si>
    <t>Biogasgülle 4</t>
  </si>
  <si>
    <t>Biogasmist 1</t>
  </si>
  <si>
    <r>
      <t>wie Rindergülle, weil  NH</t>
    </r>
    <r>
      <rPr>
        <vertAlign val="subscript"/>
        <sz val="14"/>
        <color indexed="10"/>
        <rFont val="Arial"/>
        <family val="2"/>
      </rPr>
      <t>4</t>
    </r>
    <r>
      <rPr>
        <sz val="10"/>
        <color indexed="10"/>
        <rFont val="Arial"/>
        <family val="2"/>
      </rPr>
      <t xml:space="preserve"> fehlt</t>
    </r>
  </si>
  <si>
    <t>Biogasmist 2</t>
  </si>
  <si>
    <t>Biogasmist 3</t>
  </si>
  <si>
    <t>Sekundäre Rohstoffe 1</t>
  </si>
  <si>
    <t>als Rindergülle</t>
  </si>
  <si>
    <t>Sekundäre Rohstoffe 2</t>
  </si>
  <si>
    <t>Sekundäre Rohstoffe 3</t>
  </si>
  <si>
    <t>Rotte-mist</t>
  </si>
  <si>
    <t>Biogas</t>
  </si>
  <si>
    <t>sek Rohst.</t>
  </si>
  <si>
    <t>tier. Anteil gesamt</t>
  </si>
  <si>
    <t>Hilfsblatt zur Berechnung der Nährstoffgehalte der Wirtschaftsdünger (kg pro m³)</t>
  </si>
  <si>
    <t xml:space="preserve"> Aufteilung von Gülle, Jauche und Mist auf die Lagerstätten                     </t>
  </si>
  <si>
    <t>Wirtschaftsdüngeraufteilung</t>
  </si>
  <si>
    <t>kg N
pro Jahr</t>
  </si>
  <si>
    <r>
      <t>kg P</t>
    </r>
    <r>
      <rPr>
        <vertAlign val="subscript"/>
        <sz val="10"/>
        <color indexed="8"/>
        <rFont val="Arial"/>
        <family val="2"/>
      </rPr>
      <t>2</t>
    </r>
    <r>
      <rPr>
        <sz val="11"/>
        <color indexed="8"/>
        <rFont val="Arial"/>
        <family val="2"/>
      </rPr>
      <t>O</t>
    </r>
    <r>
      <rPr>
        <vertAlign val="subscript"/>
        <sz val="10"/>
        <color indexed="8"/>
        <rFont val="Arial"/>
        <family val="2"/>
      </rPr>
      <t xml:space="preserve">5
</t>
    </r>
    <r>
      <rPr>
        <sz val="11"/>
        <color indexed="8"/>
        <rFont val="Arial"/>
        <family val="2"/>
      </rPr>
      <t>pro Jahr</t>
    </r>
  </si>
  <si>
    <r>
      <t>kg K</t>
    </r>
    <r>
      <rPr>
        <vertAlign val="subscript"/>
        <sz val="11"/>
        <color indexed="8"/>
        <rFont val="Arial"/>
        <family val="2"/>
      </rPr>
      <t>2</t>
    </r>
    <r>
      <rPr>
        <sz val="11"/>
        <color indexed="8"/>
        <rFont val="Arial"/>
        <family val="2"/>
      </rPr>
      <t xml:space="preserve">O
</t>
    </r>
    <r>
      <rPr>
        <sz val="8"/>
        <color indexed="8"/>
        <rFont val="Arial"/>
        <family val="2"/>
      </rPr>
      <t>pro Jahr</t>
    </r>
  </si>
  <si>
    <t>Mist lager</t>
  </si>
  <si>
    <t>Verteilung</t>
  </si>
  <si>
    <r>
      <t xml:space="preserve">N-Anfall </t>
    </r>
    <r>
      <rPr>
        <sz val="8"/>
        <color indexed="8"/>
        <rFont val="Arial"/>
        <family val="2"/>
      </rPr>
      <t>am Lager</t>
    </r>
  </si>
  <si>
    <r>
      <t>Faktoren</t>
    </r>
    <r>
      <rPr>
        <b/>
        <sz val="10"/>
        <rFont val="Arial"/>
        <family val="2"/>
      </rPr>
      <t xml:space="preserve"> von
ab Lager zu</t>
    </r>
  </si>
  <si>
    <t>feld
fallend</t>
  </si>
  <si>
    <t>aktuelle  Jahres-wirkung</t>
  </si>
  <si>
    <t>schnell
wirksam</t>
  </si>
  <si>
    <t>Zu ordnung</t>
  </si>
  <si>
    <t>Pruefung Verteilung</t>
  </si>
  <si>
    <t>je ha:</t>
  </si>
  <si>
    <r>
      <t>wie</t>
    </r>
    <r>
      <rPr>
        <b/>
        <sz val="10"/>
        <rFont val="Arial"/>
        <family val="2"/>
      </rPr>
      <t xml:space="preserve"> Schweine</t>
    </r>
    <r>
      <rPr>
        <sz val="10"/>
        <rFont val="Arial"/>
        <family val="2"/>
      </rPr>
      <t>gülle</t>
    </r>
  </si>
  <si>
    <t>Geflügelgülle</t>
  </si>
  <si>
    <t>Mist - Standardlager</t>
  </si>
  <si>
    <r>
      <t xml:space="preserve">Mist - Extralager </t>
    </r>
    <r>
      <rPr>
        <sz val="10"/>
        <color indexed="8"/>
        <rFont val="Arial"/>
        <family val="2"/>
      </rPr>
      <t>(zB Geflügelmist)</t>
    </r>
  </si>
  <si>
    <t xml:space="preserve"> zur händischen Eingabe, wenn zB. Geflügelmist getrennt gelagert / ausgebracht wird !</t>
  </si>
  <si>
    <r>
      <t xml:space="preserve">Berechnung N </t>
    </r>
    <r>
      <rPr>
        <b/>
        <vertAlign val="subscript"/>
        <sz val="14"/>
        <rFont val="Arial"/>
        <family val="2"/>
      </rPr>
      <t xml:space="preserve">jahreswirksam
         </t>
    </r>
    <r>
      <rPr>
        <b/>
        <sz val="14"/>
        <rFont val="Arial"/>
        <family val="2"/>
      </rPr>
      <t xml:space="preserve">            </t>
    </r>
    <r>
      <rPr>
        <b/>
        <sz val="10"/>
        <color indexed="10"/>
        <rFont val="Arial"/>
        <family val="2"/>
      </rPr>
      <t xml:space="preserve">Name des Düngers </t>
    </r>
    <r>
      <rPr>
        <sz val="10"/>
        <rFont val="Arial"/>
        <family val="2"/>
      </rPr>
      <t xml:space="preserve">  </t>
    </r>
  </si>
  <si>
    <r>
      <t>kg P</t>
    </r>
    <r>
      <rPr>
        <b/>
        <vertAlign val="subscript"/>
        <sz val="10"/>
        <rFont val="Arial"/>
        <family val="2"/>
      </rPr>
      <t>2</t>
    </r>
    <r>
      <rPr>
        <b/>
        <sz val="10"/>
        <rFont val="Arial"/>
        <family val="2"/>
      </rPr>
      <t>O</t>
    </r>
    <r>
      <rPr>
        <b/>
        <vertAlign val="subscript"/>
        <sz val="10"/>
        <rFont val="Arial"/>
        <family val="2"/>
      </rPr>
      <t xml:space="preserve">5
</t>
    </r>
    <r>
      <rPr>
        <b/>
        <sz val="10"/>
        <rFont val="Arial"/>
        <family val="2"/>
      </rPr>
      <t>pro Jahr</t>
    </r>
  </si>
  <si>
    <r>
      <t>kg K</t>
    </r>
    <r>
      <rPr>
        <b/>
        <vertAlign val="subscript"/>
        <sz val="8"/>
        <rFont val="Arial"/>
        <family val="2"/>
      </rPr>
      <t>2</t>
    </r>
    <r>
      <rPr>
        <b/>
        <sz val="8"/>
        <rFont val="Arial"/>
        <family val="2"/>
      </rPr>
      <t>O
pro Jahr</t>
    </r>
  </si>
  <si>
    <r>
      <t xml:space="preserve">Jahres-anfall
</t>
    </r>
    <r>
      <rPr>
        <b/>
        <sz val="10"/>
        <color indexed="10"/>
        <rFont val="Arial"/>
        <family val="2"/>
      </rPr>
      <t>m³</t>
    </r>
  </si>
  <si>
    <r>
      <t>Wi-Dü Abgabe
m</t>
    </r>
    <r>
      <rPr>
        <b/>
        <vertAlign val="superscript"/>
        <sz val="10"/>
        <color indexed="10"/>
        <rFont val="Arial"/>
        <family val="2"/>
      </rPr>
      <t>3</t>
    </r>
  </si>
  <si>
    <r>
      <t xml:space="preserve">kg N/m³ 
</t>
    </r>
    <r>
      <rPr>
        <sz val="10"/>
        <color indexed="8"/>
        <rFont val="Arial"/>
        <family val="2"/>
      </rPr>
      <t>am Lager</t>
    </r>
  </si>
  <si>
    <t>kg N/m³ 
feld-fallend</t>
  </si>
  <si>
    <r>
      <t xml:space="preserve">kg N/m³
</t>
    </r>
    <r>
      <rPr>
        <sz val="9"/>
        <color indexed="8"/>
        <rFont val="Arial"/>
        <family val="2"/>
      </rPr>
      <t>jahres-wirksam</t>
    </r>
  </si>
  <si>
    <r>
      <t>kg P</t>
    </r>
    <r>
      <rPr>
        <vertAlign val="subscript"/>
        <sz val="10"/>
        <color indexed="8"/>
        <rFont val="Arial"/>
        <family val="2"/>
      </rPr>
      <t>2</t>
    </r>
    <r>
      <rPr>
        <sz val="11"/>
        <color indexed="8"/>
        <rFont val="Arial"/>
        <family val="2"/>
      </rPr>
      <t>O</t>
    </r>
    <r>
      <rPr>
        <vertAlign val="subscript"/>
        <sz val="10"/>
        <color indexed="8"/>
        <rFont val="Arial"/>
        <family val="2"/>
      </rPr>
      <t xml:space="preserve">5
 </t>
    </r>
    <r>
      <rPr>
        <sz val="11"/>
        <color indexed="8"/>
        <rFont val="Arial"/>
        <family val="2"/>
      </rPr>
      <t>je m³</t>
    </r>
  </si>
  <si>
    <r>
      <t>kg
K</t>
    </r>
    <r>
      <rPr>
        <vertAlign val="subscript"/>
        <sz val="10"/>
        <color indexed="8"/>
        <rFont val="Arial"/>
        <family val="2"/>
      </rPr>
      <t>2</t>
    </r>
    <r>
      <rPr>
        <sz val="11"/>
        <color indexed="8"/>
        <rFont val="Arial"/>
        <family val="2"/>
      </rPr>
      <t>O
 je m³</t>
    </r>
  </si>
  <si>
    <r>
      <t>Zu-</t>
    </r>
    <r>
      <rPr>
        <sz val="8"/>
        <color indexed="8"/>
        <rFont val="Arial"/>
        <family val="2"/>
      </rPr>
      <t xml:space="preserve"> ordnung</t>
    </r>
  </si>
  <si>
    <r>
      <t xml:space="preserve">Faktor
jahres
</t>
    </r>
    <r>
      <rPr>
        <sz val="8"/>
        <rFont val="Arial"/>
        <family val="2"/>
      </rPr>
      <t>wirksam</t>
    </r>
  </si>
  <si>
    <t>UBAG oder CC:</t>
  </si>
  <si>
    <t>N Lager</t>
  </si>
  <si>
    <t>N ff</t>
  </si>
  <si>
    <t>Anteil</t>
  </si>
  <si>
    <t>aus G 1</t>
  </si>
  <si>
    <t>Mistlager</t>
  </si>
  <si>
    <t>aus G 2</t>
  </si>
  <si>
    <t>extra Mistlager</t>
  </si>
  <si>
    <t>aus G 3</t>
  </si>
  <si>
    <t>aus G 4</t>
  </si>
  <si>
    <t>Biogas und Sekundäre Rohstoffe</t>
  </si>
  <si>
    <r>
      <t xml:space="preserve">N
</t>
    </r>
    <r>
      <rPr>
        <b/>
        <sz val="8"/>
        <rFont val="Arial"/>
        <family val="2"/>
      </rPr>
      <t>gesamt</t>
    </r>
  </si>
  <si>
    <r>
      <t xml:space="preserve">P
</t>
    </r>
    <r>
      <rPr>
        <b/>
        <sz val="8"/>
        <rFont val="Arial"/>
        <family val="2"/>
      </rPr>
      <t>gesamt</t>
    </r>
  </si>
  <si>
    <r>
      <t xml:space="preserve">K
</t>
    </r>
    <r>
      <rPr>
        <b/>
        <sz val="8"/>
        <rFont val="Arial"/>
        <family val="2"/>
      </rPr>
      <t>gesamt</t>
    </r>
  </si>
  <si>
    <r>
      <t xml:space="preserve">kg N/m³
</t>
    </r>
    <r>
      <rPr>
        <sz val="8"/>
        <color indexed="8"/>
        <rFont val="Arial"/>
        <family val="2"/>
      </rPr>
      <t>am Lager</t>
    </r>
  </si>
  <si>
    <r>
      <t xml:space="preserve">kg N/m³
</t>
    </r>
    <r>
      <rPr>
        <sz val="8"/>
        <color indexed="8"/>
        <rFont val="Arial"/>
        <family val="2"/>
      </rPr>
      <t>feldf.</t>
    </r>
  </si>
  <si>
    <r>
      <t xml:space="preserve">kg N/m³ 
</t>
    </r>
    <r>
      <rPr>
        <sz val="9"/>
        <color indexed="8"/>
        <rFont val="Arial"/>
        <family val="2"/>
      </rPr>
      <t>jahresw.</t>
    </r>
  </si>
  <si>
    <r>
      <t>P</t>
    </r>
    <r>
      <rPr>
        <vertAlign val="subscript"/>
        <sz val="10"/>
        <color indexed="8"/>
        <rFont val="Arial"/>
        <family val="2"/>
      </rPr>
      <t>2</t>
    </r>
    <r>
      <rPr>
        <sz val="11"/>
        <color indexed="8"/>
        <rFont val="Arial"/>
        <family val="2"/>
      </rPr>
      <t>O</t>
    </r>
    <r>
      <rPr>
        <vertAlign val="subscript"/>
        <sz val="10"/>
        <color indexed="8"/>
        <rFont val="Arial"/>
        <family val="2"/>
      </rPr>
      <t xml:space="preserve">5 
 </t>
    </r>
    <r>
      <rPr>
        <sz val="11"/>
        <color indexed="8"/>
        <rFont val="Arial"/>
        <family val="2"/>
      </rPr>
      <t>je m³</t>
    </r>
  </si>
  <si>
    <r>
      <t>K</t>
    </r>
    <r>
      <rPr>
        <vertAlign val="subscript"/>
        <sz val="10"/>
        <color indexed="8"/>
        <rFont val="Arial"/>
        <family val="2"/>
      </rPr>
      <t>2</t>
    </r>
    <r>
      <rPr>
        <sz val="11"/>
        <color indexed="8"/>
        <rFont val="Arial"/>
        <family val="2"/>
      </rPr>
      <t>O 
 je m³</t>
    </r>
  </si>
  <si>
    <r>
      <t xml:space="preserve">Faktor </t>
    </r>
    <r>
      <rPr>
        <sz val="8"/>
        <rFont val="Arial"/>
        <family val="2"/>
      </rPr>
      <t>jahresw.</t>
    </r>
  </si>
  <si>
    <t>aus Mist 1</t>
  </si>
  <si>
    <t>aus Mist 2</t>
  </si>
  <si>
    <t>Summe</t>
  </si>
  <si>
    <t>Schwein</t>
  </si>
  <si>
    <t>Biogasfeststoff 1</t>
  </si>
  <si>
    <t>Biogasfeststoff 2</t>
  </si>
  <si>
    <t>Biogasfeststoff 3</t>
  </si>
  <si>
    <t>Sek. Rohstoffe 1</t>
  </si>
  <si>
    <t>Sek. Rohstoffe 2</t>
  </si>
  <si>
    <t>j-w</t>
  </si>
  <si>
    <t>s-w</t>
  </si>
  <si>
    <t>Sek. Rohstoffe 3</t>
  </si>
  <si>
    <t>weitere org. Dünger u. Rohstoffe</t>
  </si>
  <si>
    <t>Mistlager 1</t>
  </si>
  <si>
    <t>Mistlager 2</t>
  </si>
  <si>
    <t>Tierliste</t>
  </si>
  <si>
    <r>
      <t xml:space="preserve">Ø Stück/
</t>
    </r>
    <r>
      <rPr>
        <sz val="9"/>
        <rFont val="Arial"/>
        <family val="2"/>
      </rPr>
      <t>Stallplätze</t>
    </r>
  </si>
  <si>
    <t xml:space="preserve">Summen:  </t>
  </si>
  <si>
    <t xml:space="preserve">Orientierungswerte für Nährstoffgehalte von in der Praxis vorkommenden Wirtschaftsdüngern in m³ </t>
  </si>
  <si>
    <r>
      <t>Anmerkung:</t>
    </r>
    <r>
      <rPr>
        <sz val="9"/>
        <rFont val="Arial"/>
        <family val="2"/>
      </rPr>
      <t xml:space="preserve"> Die Zahlen dieser Tabelle stellen Mittelwerte dar, die stark schwanken können. Die vorrangige Möglichkeit stellt die betriebsspezifische Ermittlung des N-Gehalts dar (Berechnungsvorgang: N-Anfall aus der Tierhaltung je nach Wirtschaftsdüngersystem durch die anfallende Wirtschaftsdüngermenge dividiert = Nährstoffgehalt pro m³).</t>
    </r>
  </si>
  <si>
    <t>Art der Tiere und des Wirtschaftsdüngers</t>
  </si>
  <si>
    <t>TM-Gehalt
Gew %</t>
  </si>
  <si>
    <r>
      <t xml:space="preserve">N </t>
    </r>
    <r>
      <rPr>
        <b/>
        <vertAlign val="subscript"/>
        <sz val="9"/>
        <rFont val="Arial"/>
        <family val="2"/>
      </rPr>
      <t>ab</t>
    </r>
    <r>
      <rPr>
        <b/>
        <sz val="9"/>
        <rFont val="Arial"/>
        <family val="2"/>
      </rPr>
      <t xml:space="preserve"> Lager</t>
    </r>
  </si>
  <si>
    <r>
      <t>N</t>
    </r>
    <r>
      <rPr>
        <b/>
        <vertAlign val="subscript"/>
        <sz val="9"/>
        <rFont val="Arial"/>
        <family val="2"/>
      </rPr>
      <t>feld</t>
    </r>
    <r>
      <rPr>
        <b/>
        <sz val="9"/>
        <rFont val="Arial"/>
        <family val="2"/>
      </rPr>
      <t>-fallend</t>
    </r>
  </si>
  <si>
    <r>
      <t>P</t>
    </r>
    <r>
      <rPr>
        <b/>
        <vertAlign val="subscript"/>
        <sz val="9"/>
        <rFont val="Arial"/>
        <family val="2"/>
      </rPr>
      <t>2</t>
    </r>
    <r>
      <rPr>
        <b/>
        <sz val="9"/>
        <rFont val="Arial"/>
        <family val="2"/>
      </rPr>
      <t>0</t>
    </r>
    <r>
      <rPr>
        <b/>
        <vertAlign val="subscript"/>
        <sz val="9"/>
        <rFont val="Arial"/>
        <family val="2"/>
      </rPr>
      <t>5</t>
    </r>
  </si>
  <si>
    <r>
      <t>K</t>
    </r>
    <r>
      <rPr>
        <b/>
        <vertAlign val="subscript"/>
        <sz val="9"/>
        <rFont val="Arial"/>
        <family val="2"/>
      </rPr>
      <t>2</t>
    </r>
    <r>
      <rPr>
        <b/>
        <sz val="9"/>
        <rFont val="Arial"/>
        <family val="2"/>
      </rPr>
      <t>0</t>
    </r>
  </si>
  <si>
    <r>
      <t xml:space="preserve">org. </t>
    </r>
    <r>
      <rPr>
        <sz val="9"/>
        <color indexed="8"/>
        <rFont val="Arial"/>
        <family val="2"/>
      </rPr>
      <t>Substanz</t>
    </r>
  </si>
  <si>
    <r>
      <t>kg/m</t>
    </r>
    <r>
      <rPr>
        <vertAlign val="superscript"/>
        <sz val="10"/>
        <color indexed="8"/>
        <rFont val="Arial"/>
        <family val="2"/>
      </rPr>
      <t>3</t>
    </r>
  </si>
  <si>
    <t>Milchkühe (inkl. Nachzucht)</t>
  </si>
  <si>
    <t>Rottemist</t>
  </si>
  <si>
    <t>25-40</t>
  </si>
  <si>
    <t>35-60</t>
  </si>
  <si>
    <t>Stallmist (einstreuarm)</t>
  </si>
  <si>
    <t>20-25</t>
  </si>
  <si>
    <t>Jauche (”unverdünnt")</t>
  </si>
  <si>
    <t>Gülle (1:1 verdünnt)</t>
  </si>
  <si>
    <t>Gülle (unverdünnt)</t>
  </si>
  <si>
    <r>
      <t>Mastrinde</t>
    </r>
    <r>
      <rPr>
        <sz val="10"/>
        <rFont val="Arial"/>
        <family val="2"/>
      </rPr>
      <t>r (Maissilage)</t>
    </r>
  </si>
  <si>
    <t>Mastkälber</t>
  </si>
  <si>
    <r>
      <t>Schafe</t>
    </r>
    <r>
      <rPr>
        <sz val="10"/>
        <rFont val="Arial"/>
        <family val="2"/>
      </rPr>
      <t xml:space="preserve"> (inkl. Lämmer)</t>
    </r>
  </si>
  <si>
    <t>Tiefstallmist</t>
  </si>
  <si>
    <t>25-30</t>
  </si>
  <si>
    <t>Pferde</t>
  </si>
  <si>
    <r>
      <t xml:space="preserve">Schweine </t>
    </r>
    <r>
      <rPr>
        <sz val="10"/>
        <rFont val="Arial"/>
        <family val="2"/>
      </rPr>
      <t>(bei Phasenfütterung bzw. N- und P-reduzierter Fütterung sind die entsprechenden N- und P</t>
    </r>
    <r>
      <rPr>
        <vertAlign val="subscript"/>
        <sz val="10"/>
        <rFont val="Arial"/>
        <family val="2"/>
      </rPr>
      <t>2</t>
    </r>
    <r>
      <rPr>
        <sz val="10"/>
        <rFont val="Arial"/>
        <family val="2"/>
      </rPr>
      <t>O</t>
    </r>
    <r>
      <rPr>
        <vertAlign val="subscript"/>
        <sz val="10"/>
        <rFont val="Arial"/>
        <family val="2"/>
      </rPr>
      <t>5</t>
    </r>
    <r>
      <rPr>
        <sz val="10"/>
        <rFont val="Arial"/>
        <family val="2"/>
      </rPr>
      <t>-Gehalte um 20 % zu reduzieren)</t>
    </r>
  </si>
  <si>
    <t>Zuchtsauen</t>
  </si>
  <si>
    <t>Mastschweine</t>
  </si>
  <si>
    <r>
      <t xml:space="preserve">Gülle </t>
    </r>
    <r>
      <rPr>
        <sz val="10"/>
        <color indexed="8"/>
        <rFont val="Arial"/>
        <family val="2"/>
      </rPr>
      <t>(Futtergrundlage MKS-CCM)</t>
    </r>
  </si>
  <si>
    <r>
      <t>Gülle</t>
    </r>
    <r>
      <rPr>
        <sz val="10"/>
        <color indexed="8"/>
        <rFont val="Arial"/>
        <family val="2"/>
      </rPr>
      <t xml:space="preserve"> (Futtergrundlage Getreide)</t>
    </r>
  </si>
  <si>
    <t>Legehennen</t>
  </si>
  <si>
    <t>Frischkot (= unverd. Gülle)</t>
  </si>
  <si>
    <t>Trockenkot</t>
  </si>
  <si>
    <t>Masthähnchen (Broiler)</t>
  </si>
  <si>
    <t>Festmist</t>
  </si>
  <si>
    <t>Puten</t>
  </si>
  <si>
    <t>Ermittlung des Wertes der Reinnährstoff  
Stickstoff, Phosphor und Kali</t>
  </si>
  <si>
    <t>Wert der Nährstoffe je nach Dünger</t>
  </si>
  <si>
    <t>Mineraldünger</t>
  </si>
  <si>
    <t xml:space="preserve"> % N</t>
  </si>
  <si>
    <t>kg N</t>
  </si>
  <si>
    <t>Wirksam-keit</t>
  </si>
  <si>
    <t>Preis</t>
  </si>
  <si>
    <t>Reinnährstoffe kg / t</t>
  </si>
  <si>
    <r>
      <t>P</t>
    </r>
    <r>
      <rPr>
        <b/>
        <vertAlign val="subscript"/>
        <sz val="10"/>
        <color indexed="8"/>
        <rFont val="Arial"/>
        <family val="2"/>
      </rPr>
      <t>2</t>
    </r>
    <r>
      <rPr>
        <b/>
        <sz val="10"/>
        <color indexed="8"/>
        <rFont val="Arial"/>
        <family val="2"/>
      </rPr>
      <t>O</t>
    </r>
    <r>
      <rPr>
        <b/>
        <vertAlign val="subscript"/>
        <sz val="10"/>
        <color indexed="8"/>
        <rFont val="Arial"/>
        <family val="2"/>
      </rPr>
      <t>5</t>
    </r>
  </si>
  <si>
    <r>
      <t>K</t>
    </r>
    <r>
      <rPr>
        <b/>
        <vertAlign val="subscript"/>
        <sz val="10"/>
        <color indexed="8"/>
        <rFont val="Arial"/>
        <family val="2"/>
      </rPr>
      <t>2</t>
    </r>
    <r>
      <rPr>
        <b/>
        <sz val="10"/>
        <color indexed="8"/>
        <rFont val="Arial"/>
        <family val="2"/>
      </rPr>
      <t>O</t>
    </r>
  </si>
  <si>
    <t>NAC - Kalkammonsalp.</t>
  </si>
  <si>
    <t>€ je t</t>
  </si>
  <si>
    <t>NAC</t>
  </si>
  <si>
    <t>AHL in kg   (34,3 % je 100 lt)*</t>
  </si>
  <si>
    <t>je t</t>
  </si>
  <si>
    <t>Harnstoff</t>
  </si>
  <si>
    <t>AHL in kg   aus Bayern</t>
  </si>
  <si>
    <t>DAP</t>
  </si>
  <si>
    <t>SSA</t>
  </si>
  <si>
    <t>Schwefel</t>
  </si>
  <si>
    <t>Hyperkorn</t>
  </si>
  <si>
    <t>Piamon</t>
  </si>
  <si>
    <t>Kali 60%</t>
  </si>
  <si>
    <t>Kalkstickstoff</t>
  </si>
  <si>
    <t>Kalk</t>
  </si>
  <si>
    <t>Hyper fein</t>
  </si>
  <si>
    <t>Wert der Reinährstoffe:</t>
  </si>
  <si>
    <t>Superphosphat</t>
  </si>
  <si>
    <t>Stickstoff</t>
  </si>
  <si>
    <t>€ je kg</t>
  </si>
  <si>
    <t>Triplephosphat</t>
  </si>
  <si>
    <t>Thomaskorn 15</t>
  </si>
  <si>
    <t>Kalium</t>
  </si>
  <si>
    <t>40er Kali</t>
  </si>
  <si>
    <t>60er Kali</t>
  </si>
  <si>
    <t>Patentkali</t>
  </si>
  <si>
    <t>Schwefels. Kali</t>
  </si>
  <si>
    <t>Magnesia-Kainit</t>
  </si>
  <si>
    <t>Complex grün 20/20</t>
  </si>
  <si>
    <t>Complex grün 26/10</t>
  </si>
  <si>
    <t>DC 45 neu</t>
  </si>
  <si>
    <t>DC 44 spez</t>
  </si>
  <si>
    <t>Hyperkali</t>
  </si>
  <si>
    <t>Complex blau (15/5/18)</t>
  </si>
  <si>
    <t>Vario 18/11/11</t>
  </si>
  <si>
    <t>Vario 20/7/7</t>
  </si>
  <si>
    <t>Vario 21/7/7</t>
  </si>
  <si>
    <t>Sonstige</t>
  </si>
  <si>
    <r>
      <t>Nährstoffeinsatz aus Mineraldünger in kg</t>
    </r>
    <r>
      <rPr>
        <sz val="12"/>
        <rFont val="Arial"/>
        <family val="2"/>
      </rPr>
      <t xml:space="preserve"> </t>
    </r>
  </si>
  <si>
    <t xml:space="preserve">*AHL hat ein höheres spezifisches Gewicht als Wasser, 100 l AHL wiegen 127 kg, 
</t>
  </si>
  <si>
    <t xml:space="preserve"> darin sind 34,3 kg N (in 100 kg AHL sind 27 kg N)!</t>
  </si>
  <si>
    <t>Stickstoffberechnung</t>
  </si>
  <si>
    <t>N-Anfall ab Lager</t>
  </si>
  <si>
    <t>Rinder-gülle</t>
  </si>
  <si>
    <t>Kom-post</t>
  </si>
  <si>
    <t>N-Anfall (ab Lager) aus eigener Tierhaltung</t>
  </si>
  <si>
    <t>Wirtschaftsdüngerabgang durch Alpung</t>
  </si>
  <si>
    <t xml:space="preserve">Wirtschaftsdüngerabgabe </t>
  </si>
  <si>
    <t>Wirtschaftsdüngerzugang</t>
  </si>
  <si>
    <t>Wirtschaftsdüngeranteil aus Biogasfeststoff</t>
  </si>
  <si>
    <t>Wirtschaftsdüngeranteil aus Sekundären Rohstoffen</t>
  </si>
  <si>
    <t>N-Anfall (ab Lager) aus der Tierhaltung incl. Wirtschaftsdüngertransfer</t>
  </si>
  <si>
    <t xml:space="preserve">Feldfallender organischer Stickstoff </t>
  </si>
  <si>
    <t>N-feldfallend</t>
  </si>
  <si>
    <t>N-Anfall (ab Lager) aus der Tierhaltung incl. Wirtschaftsdüngerzukauf</t>
  </si>
  <si>
    <t>Stickstoff aus nicht tierischen org. Quellen, wie Bio-gasgülle, Kompost, KS, org. Handels-düngern usw.</t>
  </si>
  <si>
    <t>Abzugsfaktoren für Ausbringungsverluste 
(13 % bei Güllen und Jauche, 9 % bei Mist und Kompost)</t>
  </si>
  <si>
    <t xml:space="preserve">Organischer N-feldfallend </t>
  </si>
  <si>
    <t>N-feldfallend aus Wirtschaftsdünger-Abgabe mit den gewichteten Abzugsfaktoren</t>
  </si>
  <si>
    <t>kg N feldfallend am Betrieb</t>
  </si>
  <si>
    <t>Jahreswirksamer Stickstoff</t>
  </si>
  <si>
    <t>N-jahreswirksam</t>
  </si>
  <si>
    <t>Schweine gülle</t>
  </si>
  <si>
    <t xml:space="preserve">organischer N-feldfallend in kg </t>
  </si>
  <si>
    <t>Faktoren für Jahreswirkung im Umweltprogramm</t>
  </si>
  <si>
    <t>Organischer N-jahreswirksam in kg 
(= org. N-feldfallend x Faktor)</t>
  </si>
  <si>
    <t>N-jahreswirksam aus Wirtschaftsdünger-Abgabe</t>
  </si>
  <si>
    <t>Jahreswirksamer Stickstoff am Betrieb in kg</t>
  </si>
  <si>
    <t>Kulturbezogener Stickstoff-und Phosphor-Bedarf</t>
  </si>
  <si>
    <t>Phosphor-Bedarfswerte für Acker und Grünland</t>
  </si>
  <si>
    <t>Kali-Bedarfswerte für Acker und Grünland</t>
  </si>
  <si>
    <t>Kulturen und Ertragslage auswählen oder laut untenstehenden Tabellen eintragen</t>
  </si>
  <si>
    <t>Stickstoff aus Vorfrucht</t>
  </si>
  <si>
    <t>Liste_Kulturen</t>
  </si>
  <si>
    <t>Liste_N_Bedarf</t>
  </si>
  <si>
    <t>Liste_P_Bedarf</t>
  </si>
  <si>
    <t>Kultur-fläche</t>
  </si>
  <si>
    <t>maximale N-Bedarfswerte</t>
  </si>
  <si>
    <t>N-Menge
je Kultur</t>
  </si>
  <si>
    <t>P-Menge    je Kultur</t>
  </si>
  <si>
    <t>Fläche</t>
  </si>
  <si>
    <t>Kali-Menge    je Kultur</t>
  </si>
  <si>
    <t>Rück-lieferung</t>
  </si>
  <si>
    <t>Ertragslagen</t>
  </si>
  <si>
    <t>Flächen 
mit N
Bedarf</t>
  </si>
  <si>
    <t>Entzugs-wert</t>
  </si>
  <si>
    <t>Ausgabe N_Bedarf</t>
  </si>
  <si>
    <t>Ausgabe P_Bedarf</t>
  </si>
  <si>
    <t>Ausgabe K_Bedarf</t>
  </si>
  <si>
    <t>niedrig</t>
  </si>
  <si>
    <t>GW-mittel</t>
  </si>
  <si>
    <t>GW-hoch</t>
  </si>
  <si>
    <t>hoch 2</t>
  </si>
  <si>
    <t>hoch 3</t>
  </si>
  <si>
    <t>Getreide-Stroh-
abfuhr</t>
  </si>
  <si>
    <t>Stroh am Feld</t>
  </si>
  <si>
    <t>niedrig - hoch 3</t>
  </si>
  <si>
    <t>händisch</t>
  </si>
  <si>
    <t>kg</t>
  </si>
  <si>
    <t>vorge-
geben</t>
  </si>
  <si>
    <t>kg N / ha</t>
  </si>
  <si>
    <t>N gesamt</t>
  </si>
  <si>
    <t>kg P/ha</t>
  </si>
  <si>
    <t>kg K/ha</t>
  </si>
  <si>
    <t>a</t>
  </si>
  <si>
    <t>Ackerbohne, Körnererbse</t>
  </si>
  <si>
    <t>b</t>
  </si>
  <si>
    <t>Wintergerste</t>
  </si>
  <si>
    <t>c</t>
  </si>
  <si>
    <t>Körnermais</t>
  </si>
  <si>
    <t>d</t>
  </si>
  <si>
    <t>e</t>
  </si>
  <si>
    <t>f</t>
  </si>
  <si>
    <t>g</t>
  </si>
  <si>
    <t>Sommerfuttergerste</t>
  </si>
  <si>
    <t>h</t>
  </si>
  <si>
    <t>i</t>
  </si>
  <si>
    <t>j</t>
  </si>
  <si>
    <t>k</t>
  </si>
  <si>
    <t>l</t>
  </si>
  <si>
    <t>m</t>
  </si>
  <si>
    <t xml:space="preserve"> Summe kg N aus Vorfrucht: *</t>
  </si>
  <si>
    <t>n</t>
  </si>
  <si>
    <t>Grünland</t>
  </si>
  <si>
    <t>o</t>
  </si>
  <si>
    <t>p</t>
  </si>
  <si>
    <t>q</t>
  </si>
  <si>
    <t>r</t>
  </si>
  <si>
    <t>s</t>
  </si>
  <si>
    <t>t</t>
  </si>
  <si>
    <t>Gesamtbetrieblicher maximaler N-Bedarf in kg</t>
  </si>
  <si>
    <t>max P-Bedarf</t>
  </si>
  <si>
    <t>Summe Flächen N-Bedarf</t>
  </si>
  <si>
    <t>Jahreswirksamer Stickstoff am Betrieb</t>
  </si>
  <si>
    <t>P am Betrieb</t>
  </si>
  <si>
    <t>ca. K-Bedarf</t>
  </si>
  <si>
    <t>Liste_ja</t>
  </si>
  <si>
    <t>Liste_
Ertrag</t>
  </si>
  <si>
    <t>Liste_
Grünland</t>
  </si>
  <si>
    <t>N-Saldo:</t>
  </si>
  <si>
    <t>K am Betrieb</t>
  </si>
  <si>
    <t>ja</t>
  </si>
  <si>
    <t>K-Saldo</t>
  </si>
  <si>
    <t>nein</t>
  </si>
  <si>
    <t>hoch</t>
  </si>
  <si>
    <t>Kümmel</t>
  </si>
  <si>
    <t>Mohn</t>
  </si>
  <si>
    <t>Ölkürbis</t>
  </si>
  <si>
    <t>diverse Grünbrachen zB Biodiv.</t>
  </si>
  <si>
    <t>Grünland (Überschrift)</t>
  </si>
  <si>
    <t>GW</t>
  </si>
  <si>
    <t>P im Grünland und Feldfutter</t>
  </si>
  <si>
    <t>K im Grünland und Feldfutter</t>
  </si>
  <si>
    <t>Streuwiese</t>
  </si>
  <si>
    <t>Grünlandbrache</t>
  </si>
  <si>
    <t>Datum</t>
  </si>
  <si>
    <t>Betriebsnummer</t>
  </si>
  <si>
    <t>je ha</t>
  </si>
  <si>
    <t>gesamtbetrieblich</t>
  </si>
  <si>
    <t>gesamt-betrieblich</t>
  </si>
  <si>
    <t>■ Die Einhaltung der Düngevorschriften (CC-Parameter)</t>
  </si>
  <si>
    <t>eingehalten
ja / nein</t>
  </si>
  <si>
    <t>• § 8 Aktionsprogramm: Die Begrenzung des Ausbringens von Stickstoff 
  aus Wirtschaftsdüngern auf maximal 170 kg N                (siehe Nr. 2c)</t>
  </si>
  <si>
    <t>• Gesamtbegrenzung des Ausbringens von Stickstoff auf maximal 175 kg 
  bzw. 210 kg N im Ø der LN                                   (siehe oben  Nr. 3c)</t>
  </si>
  <si>
    <t>• Der N-Bedarf der Kulturen muss über dem N-Einsatz liegen</t>
  </si>
  <si>
    <r>
      <t xml:space="preserve">Der Stickstoffbedarf der einzelnen Kulturen
</t>
    </r>
    <r>
      <rPr>
        <sz val="12"/>
        <rFont val="Arial"/>
        <family val="2"/>
      </rPr>
      <t>laut § 7 Absatz 5, Punkt 4</t>
    </r>
  </si>
  <si>
    <t>Ackerflächen und Spezialkulturen</t>
  </si>
  <si>
    <t>Kultur
fläche</t>
  </si>
  <si>
    <t>Ertrags
lage</t>
  </si>
  <si>
    <t>abzüglich Stickstoffnachlieferung aus Vorfrüchten</t>
  </si>
  <si>
    <t xml:space="preserve">System Immergrün - Begrünung der Ackerflächen mit mindestens 85%                                  </t>
  </si>
  <si>
    <t>HF</t>
  </si>
  <si>
    <t>ja HF</t>
  </si>
  <si>
    <t>nicht dauerhaft begrünt</t>
  </si>
  <si>
    <r>
      <t xml:space="preserve">System Immergrün - </t>
    </r>
    <r>
      <rPr>
        <sz val="16"/>
        <rFont val="Arial"/>
        <family val="2"/>
      </rPr>
      <t>Ausfüllanleitung</t>
    </r>
  </si>
  <si>
    <t>Betriebsnummer:</t>
  </si>
  <si>
    <t>ZWF</t>
  </si>
  <si>
    <t>ja ZWF</t>
  </si>
  <si>
    <t>Summe Ackerfläche</t>
  </si>
  <si>
    <t>Der Berechnungs- und Aufzeichnungszeitraum reicht vom 1. Jänner bis zum 31. Dezember des Jahres laut MFA.
Dementsprechend können nur Tage des MFA's laut Tabellenblatt Betrieb eingegeben werden.
Das Datum des Herbstanbaues im Vorjahr muss bzw. kann nicht eingegeben werden, 
hier genügt ein "ja HF" oder "ja ZWF" in der Spalte "begrünt am 1. Jänner".</t>
  </si>
  <si>
    <t>System Immergrün gilt als eingehalten, wenn an jedem Tag des Jahres mindestens 85 %  als begrünt gelten!</t>
  </si>
  <si>
    <t>Summe eingegebene Ackerfläche</t>
  </si>
  <si>
    <t xml:space="preserve">Das heißt, es dürfen nicht mehr als 15 % der Ackerfläche am gleichen Tag (zB Frühjahr oder Herbst) eine Fehlermeldung haben! </t>
  </si>
  <si>
    <t>Fläche nicht begrünt</t>
  </si>
  <si>
    <t>FS- Nr.</t>
  </si>
  <si>
    <t>Schlag- Nr.</t>
  </si>
  <si>
    <t>Schlag-
fläche</t>
  </si>
  <si>
    <r>
      <t xml:space="preserve">Feldstück 
</t>
    </r>
    <r>
      <rPr>
        <sz val="11"/>
        <rFont val="Arial"/>
        <family val="2"/>
      </rPr>
      <t>Bezeich-nung</t>
    </r>
  </si>
  <si>
    <t>begrünt
am 1.Jän.</t>
  </si>
  <si>
    <r>
      <t>Datum</t>
    </r>
    <r>
      <rPr>
        <sz val="9"/>
        <rFont val="Arial"/>
        <family val="2"/>
      </rPr>
      <t xml:space="preserve"> Umbruch/ </t>
    </r>
    <r>
      <rPr>
        <sz val="10"/>
        <rFont val="Arial"/>
        <family val="2"/>
      </rPr>
      <t xml:space="preserve">Ernte 
</t>
    </r>
    <r>
      <rPr>
        <sz val="9"/>
        <rFont val="Arial"/>
        <family val="2"/>
      </rPr>
      <t xml:space="preserve">ZW-
</t>
    </r>
    <r>
      <rPr>
        <sz val="10"/>
        <rFont val="Arial"/>
        <family val="2"/>
      </rPr>
      <t>Frucht</t>
    </r>
  </si>
  <si>
    <t>Boden offen</t>
  </si>
  <si>
    <t>Hauptfrucht laut MFA</t>
  </si>
  <si>
    <r>
      <t>Anbau</t>
    </r>
    <r>
      <rPr>
        <sz val="11"/>
        <rFont val="Arial"/>
        <family val="2"/>
      </rPr>
      <t xml:space="preserve">  </t>
    </r>
    <r>
      <rPr>
        <b/>
        <sz val="11"/>
        <rFont val="Arial"/>
        <family val="2"/>
      </rPr>
      <t>Folgefrucht 1</t>
    </r>
  </si>
  <si>
    <r>
      <t>Anbau</t>
    </r>
    <r>
      <rPr>
        <sz val="11"/>
        <rFont val="Arial"/>
        <family val="2"/>
      </rPr>
      <t xml:space="preserve">  </t>
    </r>
    <r>
      <rPr>
        <b/>
        <sz val="11"/>
        <rFont val="Arial"/>
        <family val="2"/>
      </rPr>
      <t>Folgefrucht 2</t>
    </r>
  </si>
  <si>
    <r>
      <t>Anbau</t>
    </r>
    <r>
      <rPr>
        <sz val="11"/>
        <rFont val="Arial"/>
        <family val="2"/>
      </rPr>
      <t xml:space="preserve">  </t>
    </r>
    <r>
      <rPr>
        <b/>
        <sz val="11"/>
        <rFont val="Arial"/>
        <family val="2"/>
      </rPr>
      <t>Folgefrucht 3</t>
    </r>
  </si>
  <si>
    <t xml:space="preserve">System Immergrün </t>
  </si>
  <si>
    <t>aktueller
MFA</t>
  </si>
  <si>
    <t>Boden offen, oder zu kurz, zu spät …</t>
  </si>
  <si>
    <t>ZWF Dauer</t>
  </si>
  <si>
    <t>Anbau Begrünung nach 1. Okt</t>
  </si>
  <si>
    <t>Herbst-umbruch</t>
  </si>
  <si>
    <r>
      <t xml:space="preserve">System </t>
    </r>
    <r>
      <rPr>
        <sz val="8"/>
        <rFont val="Arial"/>
        <family val="2"/>
      </rPr>
      <t>Immergrün</t>
    </r>
  </si>
  <si>
    <t>Tage offener Boden</t>
  </si>
  <si>
    <t>30 oder 50 Tage</t>
  </si>
  <si>
    <t>zu lang offen</t>
  </si>
  <si>
    <t>Herbstumbruch</t>
  </si>
  <si>
    <t>Anbaudauer</t>
  </si>
  <si>
    <t>zu kurz</t>
  </si>
  <si>
    <t>zu spät</t>
  </si>
  <si>
    <t>Frühjahrs-</t>
  </si>
  <si>
    <t>Ernte/…</t>
  </si>
  <si>
    <r>
      <t xml:space="preserve">Laufende schlagbezogene Aufzeichnungen über folgende Termine sind notwendig:
</t>
    </r>
    <r>
      <rPr>
        <sz val="10"/>
        <rFont val="Arial"/>
        <family val="2"/>
      </rPr>
      <t>- Ernte Hauptfrucht
- Anlage und Umbruch Zwischenfrucht (Begrünung)
- Anlage Nachfolge-Hauptfrucht</t>
    </r>
  </si>
  <si>
    <t>Anbau</t>
  </si>
  <si>
    <t>Umbruch</t>
  </si>
  <si>
    <t>Tage</t>
  </si>
  <si>
    <t>Kultur</t>
  </si>
  <si>
    <t>HF/
ZWF</t>
  </si>
  <si>
    <t>begrünt</t>
  </si>
  <si>
    <t>Fehlermeldung</t>
  </si>
  <si>
    <t>zu lange =1</t>
  </si>
  <si>
    <t>zu kurz=1</t>
  </si>
  <si>
    <t>zu spät =1</t>
  </si>
  <si>
    <t>ja=1</t>
  </si>
  <si>
    <t>ja=0 /nein=1</t>
  </si>
  <si>
    <t>vHK</t>
  </si>
  <si>
    <t>nHK</t>
  </si>
  <si>
    <t>n1.F</t>
  </si>
  <si>
    <t>n2.F</t>
  </si>
  <si>
    <t>n3.F</t>
  </si>
  <si>
    <t>Ergebnis</t>
  </si>
  <si>
    <t>Erg.</t>
  </si>
  <si>
    <t>1. Folgek</t>
  </si>
  <si>
    <t>2. Folgek</t>
  </si>
  <si>
    <t>3. Folgek</t>
  </si>
  <si>
    <t>Folge1</t>
  </si>
  <si>
    <t>Folge2</t>
  </si>
  <si>
    <t>Folge3</t>
  </si>
  <si>
    <t>Wirtschaftsdünger           
Verkauf *</t>
  </si>
  <si>
    <r>
      <t xml:space="preserve">Düngewerte in kg je ha
</t>
    </r>
    <r>
      <rPr>
        <sz val="11"/>
        <rFont val="Arial"/>
        <family val="2"/>
      </rPr>
      <t>nach Ertragserwartung 
und Bodengehaltsklassen</t>
    </r>
  </si>
  <si>
    <r>
      <t xml:space="preserve">Stickstoffwerte </t>
    </r>
    <r>
      <rPr>
        <sz val="16"/>
        <rFont val="Arial"/>
        <family val="2"/>
      </rPr>
      <t xml:space="preserve">                            </t>
    </r>
  </si>
  <si>
    <t>N-Werte
Grundwasser
-Schutz</t>
  </si>
  <si>
    <r>
      <t>Phosphor</t>
    </r>
    <r>
      <rPr>
        <sz val="16"/>
        <rFont val="Arial"/>
        <family val="2"/>
      </rPr>
      <t xml:space="preserve"> (als ÖPUL Mindeststandard)</t>
    </r>
  </si>
  <si>
    <r>
      <t xml:space="preserve">Kalium </t>
    </r>
    <r>
      <rPr>
        <sz val="16"/>
        <rFont val="Arial"/>
        <family val="2"/>
      </rPr>
      <t>(nur als Empfehlung)</t>
    </r>
  </si>
  <si>
    <t>A</t>
  </si>
  <si>
    <t>B</t>
  </si>
  <si>
    <t>Gehaltsklasse C</t>
  </si>
  <si>
    <t>D</t>
  </si>
  <si>
    <t>E</t>
  </si>
  <si>
    <t>miitel</t>
  </si>
  <si>
    <t>Ackerkulturen:</t>
  </si>
  <si>
    <t>t/ha</t>
  </si>
  <si>
    <t>N/ha</t>
  </si>
  <si>
    <r>
      <t>kg P</t>
    </r>
    <r>
      <rPr>
        <b/>
        <vertAlign val="subscript"/>
        <sz val="12"/>
        <rFont val="Arial"/>
        <family val="2"/>
      </rPr>
      <t>2</t>
    </r>
    <r>
      <rPr>
        <b/>
        <sz val="12"/>
        <rFont val="Arial"/>
        <family val="2"/>
      </rPr>
      <t>O</t>
    </r>
    <r>
      <rPr>
        <b/>
        <vertAlign val="subscript"/>
        <sz val="12"/>
        <rFont val="Arial"/>
        <family val="2"/>
      </rPr>
      <t>5</t>
    </r>
    <r>
      <rPr>
        <b/>
        <sz val="12"/>
        <rFont val="Arial"/>
        <family val="2"/>
      </rPr>
      <t>/ha</t>
    </r>
  </si>
  <si>
    <r>
      <t>kg K</t>
    </r>
    <r>
      <rPr>
        <b/>
        <vertAlign val="subscript"/>
        <sz val="12"/>
        <rFont val="Arial"/>
        <family val="2"/>
      </rPr>
      <t>2</t>
    </r>
    <r>
      <rPr>
        <b/>
        <sz val="12"/>
        <rFont val="Arial"/>
        <family val="2"/>
      </rPr>
      <t>O/ha</t>
    </r>
  </si>
  <si>
    <t>&lt; 4,5</t>
  </si>
  <si>
    <t>4,5 - 6,0</t>
  </si>
  <si>
    <t>6,0 - 7,5</t>
  </si>
  <si>
    <t>7,5 - 9,0</t>
  </si>
  <si>
    <t>&gt; 9,0</t>
  </si>
  <si>
    <t>1)</t>
  </si>
  <si>
    <t>2)</t>
  </si>
  <si>
    <t>5)</t>
  </si>
  <si>
    <t>&lt; 4</t>
  </si>
  <si>
    <t>4 - 5,5</t>
  </si>
  <si>
    <t>5,5 - 6,75</t>
  </si>
  <si>
    <t>6,75 - 8</t>
  </si>
  <si>
    <t>&gt; 8</t>
  </si>
  <si>
    <t>&lt;3,5</t>
  </si>
  <si>
    <t>3,5 - 5,0</t>
  </si>
  <si>
    <t>5,0 - 6,25</t>
  </si>
  <si>
    <t>6,25 - 7,5</t>
  </si>
  <si>
    <t>&gt; 7,5</t>
  </si>
  <si>
    <t>&lt; 3,5</t>
  </si>
  <si>
    <t>3,5 - 5,5</t>
  </si>
  <si>
    <t>5,5 - 6,5</t>
  </si>
  <si>
    <t>6,5 - 7,5</t>
  </si>
  <si>
    <t>Winterroggen</t>
  </si>
  <si>
    <t>5,5 - 7,0</t>
  </si>
  <si>
    <t>7,0 - 8,5</t>
  </si>
  <si>
    <t>&gt; 8,5</t>
  </si>
  <si>
    <t>5,0 - 6,5</t>
  </si>
  <si>
    <t>6,5 - 8,0</t>
  </si>
  <si>
    <t>&gt; 8,0</t>
  </si>
  <si>
    <t>&lt; 8,0</t>
  </si>
  <si>
    <t>8,0 - 10,0</t>
  </si>
  <si>
    <t>10,0 - 11,5</t>
  </si>
  <si>
    <t>11,5 - 13,0</t>
  </si>
  <si>
    <t>&gt; 13,0</t>
  </si>
  <si>
    <t>&lt; 40</t>
  </si>
  <si>
    <t>40 - 50</t>
  </si>
  <si>
    <t>50 - 57,5</t>
  </si>
  <si>
    <t>57,5 - 65,0</t>
  </si>
  <si>
    <t>&gt; 65,0</t>
  </si>
  <si>
    <t>&lt; 6,5</t>
  </si>
  <si>
    <t>8,0 - 9,5</t>
  </si>
  <si>
    <t>9,5 - 10</t>
  </si>
  <si>
    <t>&gt; 10</t>
  </si>
  <si>
    <t>&lt; 55</t>
  </si>
  <si>
    <t>55 - 68</t>
  </si>
  <si>
    <t>68 - 77</t>
  </si>
  <si>
    <t>77 - 83</t>
  </si>
  <si>
    <t>&gt; 83</t>
  </si>
  <si>
    <t>&lt; 2,5</t>
  </si>
  <si>
    <t>2,5 - 3,5</t>
  </si>
  <si>
    <t>3,5 - 4,25</t>
  </si>
  <si>
    <t>4,25 - 5,0</t>
  </si>
  <si>
    <t>&gt; 5,0</t>
  </si>
  <si>
    <t>&lt; 2,0</t>
  </si>
  <si>
    <t>2,0 - 3,5</t>
  </si>
  <si>
    <t>phosphorreduzierte Fütterung aktiviert</t>
  </si>
  <si>
    <t>Dieses Excel-Programm berechnet den gesamtbetrieblichen Nährstoffanfall 
und stellt diesen dem Stickstoff- und Phosphorbedarf der Kulturen gegenüber. 
Dies ist in der Nitrat-Aktionsprogramm-Verordnung ab 2018 für alle 
landwirtschaftlichen Betriebe vorgeschrieben - Ausnahmen siehe nächste Seite.</t>
  </si>
  <si>
    <t>Die Zellen in dieser Excel-Datei sind bis auf die hellgelben und hellgrünen Zellen gesperrt, 
damit Daten, Berechnungsformeln und Verknüpfungen geschützt sind.  Achtung - auch 
das Verschieben von Zellen führt zu Störungen. Die Durchrechnung wird in so einem Fall 
unmöglich und es taucht überall das Fehlerzeichen " # Bezug! " auf!</t>
  </si>
  <si>
    <t>Mit dieser Exceldatei können die Daten nicht in ein neues Aufzeichnungsjahr übernommen werden. Es muss jedes Jahr eine neue Excel-Datei angelegt werden. Es ist ratsam, eine neue aktualisierte Datei aus dem Internet herunterzuladen. Tier- und Flächenlisten aus der alten Datei können durch Kopieren und Einfügen in die neue Datei übertragen werden.</t>
  </si>
  <si>
    <t>optische Korrekturen</t>
  </si>
  <si>
    <t>Fehlermeldung bei System I. geändert</t>
  </si>
  <si>
    <t>Sämereienvermehrung korrigiert</t>
  </si>
  <si>
    <t>Vorfrucht-wirkung</t>
  </si>
  <si>
    <t>Vorf.-wirkung</t>
  </si>
  <si>
    <t>Vorf.-W:</t>
  </si>
  <si>
    <t>Milchviehgülle</t>
  </si>
  <si>
    <t>I. Ziel</t>
  </si>
  <si>
    <t>II. Wirtschaftsdünger- und Nährstoffmengen</t>
  </si>
  <si>
    <t>III. Vertragsdauer</t>
  </si>
  <si>
    <t>IV. Transport und Ausbringung</t>
  </si>
  <si>
    <t>V. Entgelt</t>
  </si>
  <si>
    <t>VI. Vertragsänderungen</t>
  </si>
  <si>
    <t>VII. Sonstiges</t>
  </si>
  <si>
    <t>Ort, Datum</t>
  </si>
  <si>
    <t>Wirtschaftsdünger-Abgeber</t>
  </si>
  <si>
    <t>…………………………………………</t>
  </si>
  <si>
    <t>Gesamtnährstoffmengen</t>
  </si>
  <si>
    <t>Druckdatum</t>
  </si>
  <si>
    <t>bei mehrjährigen Acker-futterflächen, Grünbrachen und Grünlandflächen nach Umbruch</t>
  </si>
  <si>
    <t>einjährige Ackerfutter-flächen, Grünbrachen / Stilll. nach Umbruch</t>
  </si>
  <si>
    <t>Vertrag über Abgabe und Annahme von Wirtschaftsdünger</t>
  </si>
  <si>
    <t>Zwischen abgebendem Betrieb</t>
  </si>
  <si>
    <t>Name des Bewirtschafter:</t>
  </si>
  <si>
    <t>Anschrift:</t>
  </si>
  <si>
    <t>und abnehmendem Betrieb</t>
  </si>
  <si>
    <t>Ziel dieses Vertrages ist der ordnungsgemäße Einsatz des im abgebenden Betrieb nicht verwendeten
 Wirtschaftsdüngers durch den abnehmenden Betrieb unter Beachtung der jeweils geltenden Rechtsvorschriften, Umweltprogramme und sonstigen Düngungseinschränkungen.</t>
  </si>
  <si>
    <t>Der abgebende Betrieb verpflichtet sich zur Abgabe, der abnehmende Betrieb verpflichtet sich zur Abnahme
folgender Menge an Wirtschaftsdünger* im natürlich vorliegenden Verdünnungszustand mit den angegebenen
Nährstoffgehalten und damit Nährstoffmengen:</t>
  </si>
  <si>
    <t>Angaben lt. Düngerrechner</t>
  </si>
  <si>
    <t>Menge* in t oder m³</t>
  </si>
  <si>
    <r>
      <t xml:space="preserve">Menge 
</t>
    </r>
    <r>
      <rPr>
        <b/>
        <sz val="9"/>
        <rFont val="Arial"/>
        <family val="2"/>
      </rPr>
      <t>N</t>
    </r>
    <r>
      <rPr>
        <sz val="9"/>
        <rFont val="Arial"/>
        <family val="2"/>
      </rPr>
      <t xml:space="preserve"> ab Lager</t>
    </r>
  </si>
  <si>
    <r>
      <t xml:space="preserve">Menge
</t>
    </r>
    <r>
      <rPr>
        <b/>
        <sz val="9"/>
        <rFont val="Arial"/>
        <family val="2"/>
      </rPr>
      <t>N</t>
    </r>
    <r>
      <rPr>
        <sz val="9"/>
        <rFont val="Arial"/>
        <family val="2"/>
      </rPr>
      <t xml:space="preserve"> feldf.</t>
    </r>
  </si>
  <si>
    <r>
      <t xml:space="preserve">Menge 
</t>
    </r>
    <r>
      <rPr>
        <b/>
        <sz val="9"/>
        <rFont val="Arial"/>
        <family val="2"/>
      </rPr>
      <t>N</t>
    </r>
    <r>
      <rPr>
        <sz val="9"/>
        <rFont val="Arial"/>
        <family val="2"/>
      </rPr>
      <t xml:space="preserve"> jw</t>
    </r>
  </si>
  <si>
    <r>
      <t>Menge
P</t>
    </r>
    <r>
      <rPr>
        <vertAlign val="subscript"/>
        <sz val="9"/>
        <rFont val="Arial"/>
        <family val="2"/>
      </rPr>
      <t>2</t>
    </r>
    <r>
      <rPr>
        <sz val="9"/>
        <rFont val="Arial"/>
        <family val="2"/>
      </rPr>
      <t>O</t>
    </r>
    <r>
      <rPr>
        <vertAlign val="subscript"/>
        <sz val="9"/>
        <rFont val="Arial"/>
        <family val="2"/>
      </rPr>
      <t xml:space="preserve">5 </t>
    </r>
  </si>
  <si>
    <r>
      <t>Menge
K</t>
    </r>
    <r>
      <rPr>
        <vertAlign val="subscript"/>
        <sz val="9"/>
        <rFont val="Arial"/>
        <family val="2"/>
      </rPr>
      <t>2</t>
    </r>
    <r>
      <rPr>
        <sz val="9"/>
        <rFont val="Arial"/>
        <family val="2"/>
      </rPr>
      <t>O</t>
    </r>
  </si>
  <si>
    <r>
      <rPr>
        <vertAlign val="superscript"/>
        <sz val="10"/>
        <color theme="1"/>
        <rFont val="Arial"/>
        <family val="2"/>
      </rPr>
      <t>*)</t>
    </r>
    <r>
      <rPr>
        <sz val="10"/>
        <color theme="1"/>
        <rFont val="Arial"/>
        <family val="2"/>
      </rPr>
      <t xml:space="preserve"> Angaben zu Düngerart und Mengen laut LK-Düngerrechner</t>
    </r>
  </si>
  <si>
    <r>
      <t xml:space="preserve">Die Zuständigkeit für den Transport und die Ausbringung der Wirtschaftsdünger obliegt dem Abnehmer / Abgeber </t>
    </r>
    <r>
      <rPr>
        <i/>
        <sz val="10"/>
        <color theme="1"/>
        <rFont val="Arial"/>
        <family val="2"/>
      </rPr>
      <t xml:space="preserve"> (Nichtzutreffendes bitte streichen)</t>
    </r>
    <r>
      <rPr>
        <i/>
        <sz val="11"/>
        <color theme="1"/>
        <rFont val="Arial"/>
        <family val="2"/>
      </rPr>
      <t>.</t>
    </r>
  </si>
  <si>
    <t>Vom Vertrag abweichende Abgabemengen gelten auf jeden Fall als Vertragsänderung. Falls die Tierhaltung am abgebenden Betrieb eingestellt oder so eingeschränkt wird, dass die vertragsgegenständlichen
 Wirtschaftsdüngermengen überhaupt nicht oder nicht mehr zur Gänze anfallen, ist dieser Vertrag entsprechend der tatsächlichen Wirtschaftsdünger und Nährstoffmengen zu korrigieren.</t>
  </si>
  <si>
    <t>…………………………………………………………………………………………………………………….....</t>
  </si>
  <si>
    <r>
      <t>je m</t>
    </r>
    <r>
      <rPr>
        <b/>
        <vertAlign val="superscript"/>
        <sz val="10"/>
        <rFont val="Arial"/>
        <family val="2"/>
      </rPr>
      <t>3</t>
    </r>
  </si>
  <si>
    <t>Ertragsermittlung für Veredelungsbetriebe</t>
  </si>
  <si>
    <t>Anleitung Eingabe Lagerstätten</t>
  </si>
  <si>
    <t>Auswahl Kulturen</t>
  </si>
  <si>
    <t>Ø</t>
  </si>
  <si>
    <t>Zur Berechnung der Silobehälter!</t>
  </si>
  <si>
    <r>
      <t>m</t>
    </r>
    <r>
      <rPr>
        <vertAlign val="superscript"/>
        <sz val="12"/>
        <rFont val="Arial"/>
        <family val="2"/>
      </rPr>
      <t>3</t>
    </r>
    <r>
      <rPr>
        <sz val="12"/>
        <rFont val="Arial"/>
        <family val="2"/>
      </rPr>
      <t xml:space="preserve"> / ha</t>
    </r>
  </si>
  <si>
    <t>kg / hl</t>
  </si>
  <si>
    <t>t / ha</t>
  </si>
  <si>
    <t>Kultur 1</t>
  </si>
  <si>
    <t>Fläche 
(ha)</t>
  </si>
  <si>
    <t>Hektoliter-gewicht (kg/hl)</t>
  </si>
  <si>
    <t>Gesamt-
menge in m³</t>
  </si>
  <si>
    <t>Menge 
m³ / ha</t>
  </si>
  <si>
    <t>Ertrags-
lage</t>
  </si>
  <si>
    <t>Mit Hilfe des Kubaturrechners können die Kubaturen von Silos, Flachlager, etc. bestimmt werden. Diese Lagerstätten stehen dann links in den hellgrünen Zellen zur Auswahl (drop down). Sollte die Kubatur einer Lagerstätte bereits bekannt sein (z.B. Silosack), so kann der Name (in der hellgrünen Zelle) und die Kubatur händisch (in die dunkelgelbe Zelle) eingetragen werden.</t>
  </si>
  <si>
    <t>Durum - Sommerhartweizen</t>
  </si>
  <si>
    <t>Lagerstätten 
(Name)</t>
  </si>
  <si>
    <t>Kubatur
berchnet</t>
  </si>
  <si>
    <t>Kubatur
händisch</t>
  </si>
  <si>
    <t>Füllstand
(%)</t>
  </si>
  <si>
    <t>Menge 
(m³)</t>
  </si>
  <si>
    <t xml:space="preserve">Anleitung Hektolitergewicht </t>
  </si>
  <si>
    <t>Triticale GPS</t>
  </si>
  <si>
    <t>Hafer</t>
  </si>
  <si>
    <t>Ergebnis in:</t>
  </si>
  <si>
    <t>Umrechnung auf kg / Liter</t>
  </si>
  <si>
    <t>Umrechnung auf Hektoliter</t>
  </si>
  <si>
    <t>Gramm</t>
  </si>
  <si>
    <t>zB.  650 g pro Liter</t>
  </si>
  <si>
    <t>g : 1000 = kg</t>
  </si>
  <si>
    <t xml:space="preserve"> = 0,65 kg / l</t>
  </si>
  <si>
    <r>
      <rPr>
        <b/>
        <sz val="11"/>
        <rFont val="Arial"/>
        <family val="2"/>
      </rPr>
      <t xml:space="preserve">0,65 kg   x 100
</t>
    </r>
    <r>
      <rPr>
        <sz val="10"/>
        <rFont val="Arial"/>
        <family val="2"/>
      </rPr>
      <t>(100 Liter = 1 Hektoliter)</t>
    </r>
  </si>
  <si>
    <t>= 65kg / hl</t>
  </si>
  <si>
    <t>Körnermais GKS</t>
  </si>
  <si>
    <t>Körnermais MKS</t>
  </si>
  <si>
    <t>Dekagramm</t>
  </si>
  <si>
    <t>zB.  65 dag pro Liter</t>
  </si>
  <si>
    <t>dag : 100 = kg</t>
  </si>
  <si>
    <t>Kultur 2</t>
  </si>
  <si>
    <r>
      <t>Hektoliter-</t>
    </r>
    <r>
      <rPr>
        <sz val="9"/>
        <rFont val="Arial"/>
        <family val="2"/>
      </rPr>
      <t>gewicht</t>
    </r>
  </si>
  <si>
    <t>Kilogramm</t>
  </si>
  <si>
    <t>zB.  0,65 kg pro Liter</t>
  </si>
  <si>
    <t>Silomais frisch</t>
  </si>
  <si>
    <t>Silomaissilage</t>
  </si>
  <si>
    <t>Silohirse</t>
  </si>
  <si>
    <t>Füllstand (%)</t>
  </si>
  <si>
    <t>Richtwerte Hektolitergewicht (nach SGD 7; Tabelle 21B; S34f)</t>
  </si>
  <si>
    <t>Mais und Hirse</t>
  </si>
  <si>
    <t>Getreide</t>
  </si>
  <si>
    <r>
      <t>Kg / hl</t>
    </r>
    <r>
      <rPr>
        <sz val="9"/>
        <rFont val="Arial"/>
        <family val="2"/>
      </rPr>
      <t xml:space="preserve"> 
(Durchschnitt)</t>
    </r>
  </si>
  <si>
    <r>
      <t>Kg / hl</t>
    </r>
    <r>
      <rPr>
        <sz val="8"/>
        <rFont val="Arial"/>
        <family val="2"/>
      </rPr>
      <t xml:space="preserve"> 
(Durchschnitt)</t>
    </r>
  </si>
  <si>
    <t>Körnermais - GKS 65% TM 
(unmittelbar nach der Ernte)</t>
  </si>
  <si>
    <t>Hafer (mit Spelzen)</t>
  </si>
  <si>
    <t>40 - 56</t>
  </si>
  <si>
    <t>Auswahlliste Silos</t>
  </si>
  <si>
    <t>Raumgröße</t>
  </si>
  <si>
    <t>Körnermais - GKS 65% TM 
(nach einigen Wochen Lagerung)</t>
  </si>
  <si>
    <t>Sommergerste</t>
  </si>
  <si>
    <t>59 - 73</t>
  </si>
  <si>
    <t>Kultur 3</t>
  </si>
  <si>
    <t>Körnermais - Maiskornschrot-MKS 65% TM (unmittelbar nach der Ernte)</t>
  </si>
  <si>
    <t>Sommerhartweizen</t>
  </si>
  <si>
    <t>74 - 86</t>
  </si>
  <si>
    <t>Körnermais - Maiskornschrot-MKS 65% TM 
(nach einigen Wochen Lagerung)</t>
  </si>
  <si>
    <t>Triticale GPS frisch 35% TM 
(unmittelbar nach der Ernte)</t>
  </si>
  <si>
    <t>Silohirse frisch 25% TM  
(unmittelbar nach der Ernte)</t>
  </si>
  <si>
    <t>Triticale - Körner</t>
  </si>
  <si>
    <t>64 - 77</t>
  </si>
  <si>
    <t>64 - 78</t>
  </si>
  <si>
    <t>Silomais frisch 35% TM  
(unmittelbar nach der Ernte)</t>
  </si>
  <si>
    <t>Silomaissilage 35% TM  
(im Silo verdichtet)</t>
  </si>
  <si>
    <t>Winterweichweizen  &lt;14% Rohprotein</t>
  </si>
  <si>
    <t>71 - 86</t>
  </si>
  <si>
    <t>Kultur 4</t>
  </si>
  <si>
    <t>Kultur 5</t>
  </si>
  <si>
    <t>Kubaturrenrechner (Hilfestellung)</t>
  </si>
  <si>
    <r>
      <t xml:space="preserve">Lagerstätten
</t>
    </r>
    <r>
      <rPr>
        <sz val="10"/>
        <color theme="1"/>
        <rFont val="Arial"/>
        <family val="2"/>
      </rPr>
      <t>(Bezeichnung)</t>
    </r>
  </si>
  <si>
    <t>Höhe</t>
  </si>
  <si>
    <t>Durch-messer</t>
  </si>
  <si>
    <r>
      <t xml:space="preserve">Anzahl 
gleicher Silozellen
</t>
    </r>
    <r>
      <rPr>
        <sz val="10"/>
        <color theme="1"/>
        <rFont val="Arial"/>
        <family val="2"/>
      </rPr>
      <t>(optional)</t>
    </r>
  </si>
  <si>
    <t>Kubatur (m³)</t>
  </si>
  <si>
    <t>Silo Rund</t>
  </si>
  <si>
    <t>Silo Rund 
(inkl. Trichter unten)</t>
  </si>
  <si>
    <t>Höhe 1
Silo</t>
  </si>
  <si>
    <t>Höhe 2
Trichter</t>
  </si>
  <si>
    <t>Silo Eckig/Flachlager</t>
  </si>
  <si>
    <t>Länge</t>
  </si>
  <si>
    <t>Breite</t>
  </si>
  <si>
    <t>Höhe 
durchschnittlicheSchütthöhe*</t>
  </si>
  <si>
    <t>* Bei Flachlager</t>
  </si>
  <si>
    <t>Silo Eckig 
(inkl. Trichter unten)</t>
  </si>
  <si>
    <t>Höhe1
Silo</t>
  </si>
  <si>
    <t>Höhe2
Trichter</t>
  </si>
  <si>
    <t>Traunsteinsilo</t>
  </si>
  <si>
    <t>Breite
Unten</t>
  </si>
  <si>
    <t>Breite
Oben</t>
  </si>
  <si>
    <r>
      <t xml:space="preserve">Anzahl 
gleicher Silos
</t>
    </r>
    <r>
      <rPr>
        <sz val="10"/>
        <color theme="1"/>
        <rFont val="Arial"/>
        <family val="2"/>
      </rPr>
      <t>(optional)</t>
    </r>
  </si>
  <si>
    <r>
      <rPr>
        <b/>
        <sz val="10"/>
        <rFont val="Arial"/>
        <family val="2"/>
      </rPr>
      <t xml:space="preserve">NEU: </t>
    </r>
    <r>
      <rPr>
        <sz val="10"/>
        <rFont val="Arial"/>
        <family val="2"/>
      </rPr>
      <t xml:space="preserve"> WD-Vertrag und Ertragsermittlung</t>
    </r>
  </si>
  <si>
    <t>alle Düngezahlen mit AMA abgestimmt!</t>
  </si>
  <si>
    <t>simon.kriegner-schramml@lk-ooe.at</t>
  </si>
  <si>
    <r>
      <t>m</t>
    </r>
    <r>
      <rPr>
        <b/>
        <vertAlign val="superscript"/>
        <sz val="12"/>
        <rFont val="Arial"/>
        <family val="2"/>
      </rPr>
      <t>3</t>
    </r>
    <r>
      <rPr>
        <b/>
        <sz val="12"/>
        <rFont val="Arial"/>
        <family val="2"/>
      </rPr>
      <t xml:space="preserve"> / ha</t>
    </r>
  </si>
  <si>
    <t>&lt; 5,8</t>
  </si>
  <si>
    <t>&lt; 4,3</t>
  </si>
  <si>
    <t>&lt; 6,7</t>
  </si>
  <si>
    <t>&lt; 6,3</t>
  </si>
  <si>
    <t>&lt; 4,9</t>
  </si>
  <si>
    <t>&lt; 7,1</t>
  </si>
  <si>
    <t>&lt; 110</t>
  </si>
  <si>
    <t>&lt; 180</t>
  </si>
  <si>
    <t>&gt; 11,3</t>
  </si>
  <si>
    <t>&gt; 9,3</t>
  </si>
  <si>
    <t>&gt; 13,4</t>
  </si>
  <si>
    <t>&gt; 120,0</t>
  </si>
  <si>
    <t>&gt; 11,8</t>
  </si>
  <si>
    <t>&gt; 16,3</t>
  </si>
  <si>
    <t>&gt; 16,0</t>
  </si>
  <si>
    <t>&gt; 180</t>
  </si>
  <si>
    <t>&gt; 90</t>
  </si>
  <si>
    <t>&gt; 285</t>
  </si>
  <si>
    <t>5,8 - 7,7</t>
  </si>
  <si>
    <t>7,8 - 9,4</t>
  </si>
  <si>
    <t>9,5 - 11,3</t>
  </si>
  <si>
    <t>4,3 - 5,6</t>
  </si>
  <si>
    <t>5,7 - 7,4</t>
  </si>
  <si>
    <t>7,5 - 9,3</t>
  </si>
  <si>
    <t>6,7 - 9</t>
  </si>
  <si>
    <t>9,1 - 11,2</t>
  </si>
  <si>
    <t>11,3 - 13,4</t>
  </si>
  <si>
    <t>6,3 - 8,3</t>
  </si>
  <si>
    <t>8,4 - 10,4</t>
  </si>
  <si>
    <t>10,5 - 12,5</t>
  </si>
  <si>
    <t>5,0 - 7,6</t>
  </si>
  <si>
    <t>7,7 - 9,7</t>
  </si>
  <si>
    <t>9,8 - 11,8</t>
  </si>
  <si>
    <t>7,2 - 10,2</t>
  </si>
  <si>
    <t>10,3 - 13,3</t>
  </si>
  <si>
    <t>13,4 - 16,3</t>
  </si>
  <si>
    <t>4,96 - 6,7</t>
  </si>
  <si>
    <t>6,8 - 9</t>
  </si>
  <si>
    <t>8,0 - 10</t>
  </si>
  <si>
    <t>11,5 - 13</t>
  </si>
  <si>
    <t>9,5 - 12</t>
  </si>
  <si>
    <t xml:space="preserve"> 12 - 14</t>
  </si>
  <si>
    <t xml:space="preserve"> 14 - 16</t>
  </si>
  <si>
    <t>110 - 140</t>
  </si>
  <si>
    <t>160 - 180</t>
  </si>
  <si>
    <t>55 - 70</t>
  </si>
  <si>
    <t>80 - 90</t>
  </si>
  <si>
    <t>180 - 225</t>
  </si>
  <si>
    <t>225 - 255</t>
  </si>
  <si>
    <t>255 - 285</t>
  </si>
  <si>
    <t>60 - 80</t>
  </si>
  <si>
    <t>100 - 120</t>
  </si>
  <si>
    <t>Einschätzung der Ertragslage nach SGD 7; Tabelle 21B; Seite 34 - 35</t>
  </si>
  <si>
    <t>vom abgebenden Betrieb verbracht. Der Vertrag soll jährlich abgeschlossen werden.</t>
  </si>
  <si>
    <t xml:space="preserve">  (Monat/Jahr) </t>
  </si>
  <si>
    <t>(Monat/Jahr) bis</t>
  </si>
  <si>
    <t xml:space="preserve">Dieser Vertrag wird nur für die angeführte Menge abgeschlossen. Oben angeführte Wirtschaftsdüngermenge wird
</t>
  </si>
  <si>
    <t xml:space="preserve">im Zeitraum vom   </t>
  </si>
  <si>
    <t xml:space="preserve"> Es wird folgendes Entgelt vereinbart:</t>
  </si>
  <si>
    <t>Wirtschaftsdünger-Abnehmer</t>
  </si>
  <si>
    <r>
      <t xml:space="preserve">1b  </t>
    </r>
    <r>
      <rPr>
        <b/>
        <sz val="11"/>
        <rFont val="Arial"/>
        <family val="2"/>
      </rPr>
      <t>Die Fläche der Kulturen, die einen Stickstoffbedarf haben (Mehrfachnutzung)</t>
    </r>
  </si>
  <si>
    <r>
      <t xml:space="preserve">Detaillierte Informationen zu den einzelnen Produkten finden Sie im </t>
    </r>
    <r>
      <rPr>
        <b/>
        <u/>
        <sz val="12"/>
        <rFont val="Arial"/>
        <family val="2"/>
      </rPr>
      <t>Pflanzenschutzmittelregister</t>
    </r>
    <r>
      <rPr>
        <sz val="12"/>
        <rFont val="Arial"/>
        <family val="2"/>
      </rPr>
      <t xml:space="preserve">
des Bundesamtes für Ernährungssicherheit (baes):</t>
    </r>
  </si>
  <si>
    <t>https://psmregister.baes.gv.at/</t>
  </si>
  <si>
    <t>Verbrauch
je Maßnahme 
(je Schlag)</t>
  </si>
  <si>
    <t>Die Nutzung der Tabelle "Pflanzenschutzmittelbestände" soll der besseren Übersicht der Lagerstände und des Verbrauches betreffender Pflanzenschutz-Produkte dienen und stellt keine verpflichtende Dokumentation dar. Sie können den errechneten Lagerstand mit den tatsächlichen Lagerständen quer prüfen.</t>
  </si>
  <si>
    <t>In die Spalte "Anfangsbestand" ist der Lagerbestand zu Beginn des Dokumentationszeitraumes einzutragen.</t>
  </si>
  <si>
    <t>In die Spalte "Zukaufsmengen" bitte die im Dokumentationszeitraum zugekauften Mengen eintragen.</t>
  </si>
  <si>
    <r>
      <t xml:space="preserve">Ist der Saldo </t>
    </r>
    <r>
      <rPr>
        <b/>
        <sz val="12"/>
        <color rgb="FFC00000"/>
        <rFont val="Arial"/>
        <family val="2"/>
      </rPr>
      <t>negativ</t>
    </r>
    <r>
      <rPr>
        <sz val="12"/>
        <rFont val="Arial"/>
        <family val="2"/>
      </rPr>
      <t xml:space="preserve"> überprüfen Sie bitte die Eingaben (Zukäufe, Anfangsbestand, Aufwandmengen, Flächen etc.) auf eventuelle Fehler bzw. Vollständigkeit.</t>
    </r>
  </si>
  <si>
    <r>
      <t xml:space="preserve">Ist der errechente </t>
    </r>
    <r>
      <rPr>
        <b/>
        <sz val="12"/>
        <rFont val="Arial"/>
        <family val="2"/>
      </rPr>
      <t>Lagerstand gleich 0</t>
    </r>
    <r>
      <rPr>
        <sz val="12"/>
        <rFont val="Arial"/>
        <family val="2"/>
      </rPr>
      <t>, so müsste dieses Produkt aufgebraucht sein. Positive Salden können mit den tatsächlichen Lagerständen quer geprüft werden.</t>
    </r>
  </si>
  <si>
    <t>Pflanzenschutzmittelbestände</t>
  </si>
  <si>
    <t>Zukaufsmenge</t>
  </si>
  <si>
    <t>Verbrauch</t>
  </si>
  <si>
    <t>errechneter Endbestand (=aktueller Lagerbestand)</t>
  </si>
  <si>
    <t>Seit 14. Juni 2011 sind strengere Aufzeichnungsvorschriften für Pflanzenschutzmittel in Kraft. Es muss nicht nur das Pflanzenschutzmittel, das Datum der Ausbringung und die Kultur, sondern zusätzlich auch die Aufwandmenge aufgezeichnet werden.</t>
  </si>
  <si>
    <t>Dokumentation der Verwendung
 von Pflanzenschutzmitteln und Bioziden</t>
  </si>
  <si>
    <t xml:space="preserve">Detaillierte Informationen zu den einzelnen Produkten finden Sie im Pflanzenschutzmittelregister des Bundesamtes für Ernährungssicherheit (baes): </t>
  </si>
  <si>
    <t>Kommentar</t>
  </si>
  <si>
    <t>BEZÜGE ZU DROPDOWNLISTEN SPALTE PRODUKTAUSWAHL</t>
  </si>
  <si>
    <t>BITTE ZUERST DIE TABELLE "Pfl_Schutz"
 ALS DATENGRUNDLAGE AUSFÜLLEN</t>
  </si>
  <si>
    <t>Produktname</t>
  </si>
  <si>
    <t>Auftretend</t>
  </si>
  <si>
    <t>Produktname eindeutig</t>
  </si>
  <si>
    <t>schon gewählt</t>
  </si>
  <si>
    <t>noch nicht gewählt</t>
  </si>
  <si>
    <t>ZEILE 17</t>
  </si>
  <si>
    <t>19</t>
  </si>
  <si>
    <t>21</t>
  </si>
  <si>
    <t>23</t>
  </si>
  <si>
    <t>25</t>
  </si>
  <si>
    <t>27</t>
  </si>
  <si>
    <t>29</t>
  </si>
  <si>
    <t>31</t>
  </si>
  <si>
    <t>33</t>
  </si>
  <si>
    <t>35</t>
  </si>
  <si>
    <t>37</t>
  </si>
  <si>
    <t>39</t>
  </si>
  <si>
    <t>41</t>
  </si>
  <si>
    <t>43</t>
  </si>
  <si>
    <t>45</t>
  </si>
  <si>
    <t>47</t>
  </si>
  <si>
    <t>49</t>
  </si>
  <si>
    <t>51</t>
  </si>
  <si>
    <t>53</t>
  </si>
  <si>
    <t>55</t>
  </si>
  <si>
    <t>57</t>
  </si>
  <si>
    <t>59</t>
  </si>
  <si>
    <t>61</t>
  </si>
  <si>
    <t>63</t>
  </si>
  <si>
    <t>65</t>
  </si>
  <si>
    <t>67</t>
  </si>
  <si>
    <t>69</t>
  </si>
  <si>
    <t>71</t>
  </si>
  <si>
    <t>73</t>
  </si>
  <si>
    <t>75</t>
  </si>
  <si>
    <t>NEU:  PSM Tabelle aktualisiert + PSM Bestände neu</t>
  </si>
  <si>
    <t>Getreideprobe in ein Gefäß mit einem Volumen von 1 Liter füllen. Entsprechende Masse des Getreides mit einer Waage ermitteln. Leergewicht des Gefäßes abziehen bzw. die Waage vor Befüllen des Gefäßes tarieren. 
Je nach Waage erhält man ein Ergebnis in Gramm (g), Dekagramm (dag) oder Kilogramm (kg)</t>
  </si>
  <si>
    <r>
      <t xml:space="preserve">Unter  </t>
    </r>
    <r>
      <rPr>
        <b/>
        <u/>
        <sz val="12"/>
        <rFont val="Arial"/>
        <family val="2"/>
      </rPr>
      <t>"Produktname"</t>
    </r>
    <r>
      <rPr>
        <sz val="12"/>
        <rFont val="Arial"/>
        <family val="2"/>
      </rPr>
      <t xml:space="preserve"> bitte den Namen des betrefeneden Produktes aus dem DropDown Menü auswählen. Es kommen nur jene Produkte vor, welche</t>
    </r>
    <r>
      <rPr>
        <b/>
        <sz val="12"/>
        <rFont val="Arial"/>
        <family val="2"/>
      </rPr>
      <t xml:space="preserve"> am Tabellenblatt "Pfl_Schutz"</t>
    </r>
    <r>
      <rPr>
        <sz val="12"/>
        <rFont val="Arial"/>
        <family val="2"/>
      </rPr>
      <t xml:space="preserve"> dokumentiert wurden. Nach Auswahl des Produktnamen wird der Verbrauch gem. dokumentierter Aufwandmengen pro ha und der Flächenangaben je Schlag errechnet.</t>
    </r>
  </si>
  <si>
    <t>Damwild, Lamas, Alpacas - Alttiere inkl. Nachzucht bis 14 Monate</t>
  </si>
  <si>
    <t>Damwild, Lama, Alpacas Hirsche</t>
  </si>
  <si>
    <t>&gt; 12,0</t>
  </si>
  <si>
    <t>Ausgabe 
Ertragslage 
Tonnage</t>
  </si>
  <si>
    <t>landw. Nutzfläche lt. Kulturliste (siehe nebenan)</t>
  </si>
  <si>
    <t>≥ 2,5</t>
  </si>
  <si>
    <t xml:space="preserve"> ≥ 2,5</t>
  </si>
  <si>
    <t>≥ 5,5</t>
  </si>
  <si>
    <t xml:space="preserve"> ≥ 8,0</t>
  </si>
  <si>
    <t>≥ 8,0</t>
  </si>
  <si>
    <t>≥ 9,5</t>
  </si>
  <si>
    <t>≥ 11,0</t>
  </si>
  <si>
    <t>≥ 12,5</t>
  </si>
  <si>
    <t>11,0 - 12,5</t>
  </si>
  <si>
    <t>≥ 2,0</t>
  </si>
  <si>
    <t xml:space="preserve"> ≥ 2,0</t>
  </si>
  <si>
    <t>&gt; 2,0</t>
  </si>
  <si>
    <t>&gt; 6,0</t>
  </si>
  <si>
    <t>4,0 - 5,5</t>
  </si>
  <si>
    <t>&gt; 10,0</t>
  </si>
  <si>
    <t>&gt; 68</t>
  </si>
  <si>
    <t>&gt; 3,5</t>
  </si>
  <si>
    <t>&gt; 1,5</t>
  </si>
  <si>
    <t>&gt;12</t>
  </si>
  <si>
    <t>Auswahl HF/ZWF
 in Spalte N wählen</t>
  </si>
  <si>
    <t>Auswahl HF/ZWF
 in Spalte S eingeben</t>
  </si>
  <si>
    <t>Auswahl HF/ZWF
 in Spalte X wählen</t>
  </si>
  <si>
    <t>Keine Winterbegrünung!</t>
  </si>
  <si>
    <t>Boden zu lang offen!</t>
  </si>
  <si>
    <t>Begrünungsanbau zu spät!</t>
  </si>
  <si>
    <t>Begrünungszeitraum ist zu kurz!</t>
  </si>
  <si>
    <t>Begrünung später als 01. Oktober</t>
  </si>
  <si>
    <t>In den folgenden Spalten sind von links nach rechts alle weiteren Anbau- und Erntedaten samt Kulturen chronologisch einzugeben, wobei der Zusatz Hauptfrucht (HF) oder Zwischenfrucht (ZWF) wichtig ist 
für die korrekte Berechnung.</t>
  </si>
  <si>
    <t>Ganz rechts in den Spalten AA und AB wird angezeigt, ob die Fläche als begrünt gilt, 
bzw ob der Boden zu lange nicht begrünt (offen) war, ein Anbau zu spät, die Anbaudauer zu kurz war, 
oder der Boden offen in den Winter geht.</t>
  </si>
  <si>
    <t>Eine Fläche gilt als begrünt, wenn der maximale Zeitraum zwischen:
 - Ernte Hauptfrucht – Anlage Zwischenfrucht: 30 Tage
 - Umbruch Zwischenfrucht – Anbau Hauptfrucht: 30 Tage
 - Ernte Hauptfrucht – Anbau Hauptfrucht: 50 Tage nicht übersteigt
Die Anlage von Zwischenfrüchten hat bis spätestens 1. 10. zu erfolgen,
die Mindestanlagedauer von Zwischenfrüchten muss mindestens 35 Tage betragen.</t>
  </si>
  <si>
    <t>Zunächst muss angegeben werden, ob der Schlag am 1. Jänner mit einer Hauptfrucht (ja HF) oder einer Zwischenfrucht (ja ZWF) begrünt, oder nicht begrünt (nein) ist.
In der nächsten Spalte ist das Datum der Beseitigung der Zwischenfucht, oder der Umbruch 
zB eines Feldfutters einzutragen. Zwischen Umbruch Zwischenfrucht und Anbau MFA Hauptfrucht 
dürfen nicht mehr als 30 Tage liegen. War das Feldfutter im letzten MFA eine Hauptfrucht dürfen 
zwischen Umbruch und Neu-Anbau nicht mehr als 50 Tage liegen.</t>
  </si>
  <si>
    <t>In der Spalte AA wird der %-Anteil der nicht begrünt geltenden Flächen angezeigt - zum gleichen Zeitpunkt dürfen nicht mehr als 15% als nicht begrünt gelten!
Zum Beispiel könnte eine Fläche des Betriebes im Frühjahr brach liegen, nach einem späten Maisdrusch im Vorjahr und eine andere Fläche im Herbst nicht mehr begrünt werden, nach später Ernte. Das System Immergrün gilt als eingehalten, wenn keine der beiden Flächen über 15% der Betriebsfläche ausmachen, weil sich die beiden Brachezeiten nicht überschneiden!</t>
  </si>
  <si>
    <t>Alle Ackerflächen, auf denen ein Umbruch oder Anbau vorgenommen wird, müssen also aufgezeichnet werden! 
In den Spalten "Folgefrucht 1 - 3" sind alle Folgekulturen, die im Betrachtungszeitraum angebaut werden, 
einzutragen, das sind weitere Hauptkulturen, wie zB Buchweizen mit Mähdrusch, oder Gemüseanbau 
mit mehreren Sätzen, oder Sommer- und Winterbegrünungen und der Anbau von Winterungen für das Folgejahr.</t>
  </si>
  <si>
    <t>Der Ausdruck kann unter Seitenlayout "Druckbereich aufheben" verändert werden!
Unter Datei "Drucken" bitte eintragen welche Seiten gedruckt werden sollen: Seiten: 1 bis  ?</t>
  </si>
  <si>
    <r>
      <t xml:space="preserve">Datumseingabe: Tag Bindestrich Monat (Bindestrich Jahr) oder Tag Punkt Monat (Punkt Jahr)
                      z.B.: </t>
    </r>
    <r>
      <rPr>
        <b/>
        <u/>
        <sz val="10"/>
        <color rgb="FFFF0000"/>
        <rFont val="Arial"/>
        <family val="2"/>
      </rPr>
      <t>01-10-2021</t>
    </r>
    <r>
      <rPr>
        <b/>
        <sz val="10"/>
        <color rgb="FFFF0000"/>
        <rFont val="Arial"/>
        <family val="2"/>
      </rPr>
      <t xml:space="preserve"> oder </t>
    </r>
    <r>
      <rPr>
        <b/>
        <u/>
        <sz val="10"/>
        <color rgb="FFFF0000"/>
        <rFont val="Arial"/>
        <family val="2"/>
      </rPr>
      <t>01.10.2021</t>
    </r>
    <r>
      <rPr>
        <b/>
        <sz val="10"/>
        <color rgb="FFFF0000"/>
        <rFont val="Arial"/>
        <family val="2"/>
      </rPr>
      <t xml:space="preserve"> für das Datum 1. Oktober 2021</t>
    </r>
  </si>
  <si>
    <t>Klee u. Luzerne  1 Nutzung</t>
  </si>
  <si>
    <t>Sonst. Feldfutter 2 Nutzungen &gt;40 % Leg.</t>
  </si>
  <si>
    <t>Sonst. Feldfutter 1 Nutzung &gt;40 % Leg.</t>
  </si>
  <si>
    <t>&gt;4,0</t>
  </si>
  <si>
    <t>Alpung/ 
Weide</t>
  </si>
  <si>
    <t>Alpung</t>
  </si>
  <si>
    <t>Weide</t>
  </si>
  <si>
    <t>Drop Down</t>
  </si>
  <si>
    <t>Berechnung Weide</t>
  </si>
  <si>
    <t>Berechnung Alpung</t>
  </si>
  <si>
    <t>Anzeige Tage in Spalte E</t>
  </si>
  <si>
    <r>
      <t xml:space="preserve">weiter zu Tabellenblatt
 WD-Vertrag </t>
    </r>
    <r>
      <rPr>
        <b/>
        <sz val="12"/>
        <color theme="0"/>
        <rFont val="Arial"/>
        <family val="2"/>
      </rPr>
      <t>►</t>
    </r>
  </si>
  <si>
    <t>Anpassung GVE Zahl Junghennenaufzucht; Überarbeitung System Immergrün; Formeländerung Weideblatt, PW-Wechsel</t>
  </si>
  <si>
    <t>Ackerkulturen</t>
  </si>
  <si>
    <t>Suchformel</t>
  </si>
  <si>
    <t>&gt;2,0</t>
  </si>
  <si>
    <t>&gt;4,5</t>
  </si>
  <si>
    <t>&gt;1,5</t>
  </si>
  <si>
    <t>&gt;20</t>
  </si>
  <si>
    <t>&gt;12,0</t>
  </si>
  <si>
    <t>&gt;35</t>
  </si>
  <si>
    <t>&gt;50</t>
  </si>
  <si>
    <t>&gt;5,5</t>
  </si>
  <si>
    <t>&gt;1,0</t>
  </si>
  <si>
    <t>&gt;6,0</t>
  </si>
  <si>
    <t>&gt;5,0</t>
  </si>
  <si>
    <t>&gt;45</t>
  </si>
  <si>
    <t>&gt;70</t>
  </si>
  <si>
    <t>&gt;22</t>
  </si>
  <si>
    <t>&gt;40</t>
  </si>
  <si>
    <t>&gt;55</t>
  </si>
  <si>
    <t>&gt;60</t>
  </si>
  <si>
    <t>&gt;160</t>
  </si>
  <si>
    <t>&gt;30</t>
  </si>
  <si>
    <t>&gt;85</t>
  </si>
  <si>
    <t>&gt;9,0</t>
  </si>
  <si>
    <t>&gt;75</t>
  </si>
  <si>
    <t>&gt;110</t>
  </si>
  <si>
    <t>&gt;10</t>
  </si>
  <si>
    <t>&gt;25</t>
  </si>
  <si>
    <t>&gt;100</t>
  </si>
  <si>
    <t>&gt;80</t>
  </si>
  <si>
    <t>&gt;28</t>
  </si>
  <si>
    <t>&gt;7,0</t>
  </si>
  <si>
    <t>&gt;34</t>
  </si>
  <si>
    <t>&gt;15</t>
  </si>
  <si>
    <t>&gt;2,2</t>
  </si>
  <si>
    <t>&gt;8,5</t>
  </si>
  <si>
    <t>&gt;14</t>
  </si>
  <si>
    <r>
      <t xml:space="preserve">Elefantengras </t>
    </r>
    <r>
      <rPr>
        <sz val="10"/>
        <rFont val="Arial"/>
        <family val="2"/>
      </rPr>
      <t>(Chinaschilf, Miscanthus sinensis)</t>
    </r>
  </si>
  <si>
    <t>Sämereienvermehrung mit Alpingräser</t>
  </si>
  <si>
    <t>Sämereienvermehrung mit Gräser für Wirtschaftsgrünland</t>
  </si>
  <si>
    <r>
      <t xml:space="preserve">Gurke </t>
    </r>
    <r>
      <rPr>
        <sz val="10"/>
        <rFont val="Arial"/>
        <family val="2"/>
      </rPr>
      <t>(Einlegegurke Tröpfchenbewässerung)</t>
    </r>
  </si>
  <si>
    <t>&gt;2,5</t>
  </si>
  <si>
    <t>&gt;8,0</t>
  </si>
  <si>
    <t>&gt;9,5</t>
  </si>
  <si>
    <t>&gt;11,0</t>
  </si>
  <si>
    <t>&gt;12,5</t>
  </si>
  <si>
    <t>GL über 40 % Leguminosen 2 Nutzungen</t>
  </si>
  <si>
    <t>GL über 40 % Leguminosen 3 Nutzungen</t>
  </si>
  <si>
    <t>GL über 40 % Leguminosen 4 Nutzungen</t>
  </si>
  <si>
    <t>GL über 40 % Leguminosen 5 Nutzungen</t>
  </si>
  <si>
    <t>GL über 40 % Leguminosen 6 Nutzungen</t>
  </si>
  <si>
    <t>GL über 40 % Leguminosen 1 Nutzung</t>
  </si>
  <si>
    <t>Wechselwiese &lt; 40% Leg. 1 Nutzung</t>
  </si>
  <si>
    <t>Wechselwiese &lt; 40% Leg. 2 Nutzungen</t>
  </si>
  <si>
    <t>Wechselwiese &lt; 40% Leg. 3 Nutzungen</t>
  </si>
  <si>
    <t>Wechselwiese &lt; 40% Leg. 4 Nutzungen</t>
  </si>
  <si>
    <t>Wechselwiese &lt; 40% Leg. 5 Nutzungen</t>
  </si>
  <si>
    <t>Wechselwiese &lt; 40% Leg. 6 Nutzungen</t>
  </si>
  <si>
    <t>Wechselwiese  40 - 60% Leg. 1 Nutzung</t>
  </si>
  <si>
    <t>Wechselwiese  40 - 60% Leg. 2 Nutzungen</t>
  </si>
  <si>
    <t>Wechselwiese  40 - 60% Leg. 3 Nutzungen</t>
  </si>
  <si>
    <t>Wechselwiese  40 - 60% Leg. 4 Nutzungen</t>
  </si>
  <si>
    <t>Wechselwiese  40 - 60% Leg. 5 Nutzungen</t>
  </si>
  <si>
    <t>Wechselwiese  40 - 60% Leg. 6 Nutzungen</t>
  </si>
  <si>
    <t>Kleegras (&gt; 60% Klee)   1 Nutzung</t>
  </si>
  <si>
    <t>Kleegras (&gt; 60% Klee)   2 Nutzungen</t>
  </si>
  <si>
    <t>Kleegras (&gt; 60% Klee)   3 Nutzungen</t>
  </si>
  <si>
    <t>Kleegras (&gt; 60% Klee)   4 Nutzungen</t>
  </si>
  <si>
    <t>Kleegras (&gt; 60% Klee)   5 Nutzungen</t>
  </si>
  <si>
    <t>Kleegras (&gt; 60% Klee)   6 Nutzungen</t>
  </si>
  <si>
    <t>Sonstiges Feldfutter 1 Nutzung &lt; 40 % Leg.</t>
  </si>
  <si>
    <t>Sonstiges Feldfutter 2 Nutzungen &lt; 40 % Leg.</t>
  </si>
  <si>
    <t>Sonstiges Feldfutter 3 Nutzungen &lt; 40 % Leg.</t>
  </si>
  <si>
    <t>Sonstiges Feldfutter 4 Nutzungen &lt; 40 % Leg.</t>
  </si>
  <si>
    <t>Sonstiges Feldfutter 5 Nutzungen &lt; 40 % Leg.</t>
  </si>
  <si>
    <t>Futter/ Energiegras &gt; 90% Gras  1 Nutzung</t>
  </si>
  <si>
    <t>Futter/ Energiegras &gt; 90% Gras  2 Nutzungen</t>
  </si>
  <si>
    <t>Futter/ Energiegras &gt; 90% Gras  3 Nutzungen</t>
  </si>
  <si>
    <t>Futter/ Energiegras &gt; 90% Gras  4 Nutzungen</t>
  </si>
  <si>
    <t>Futter/ Energiegras &gt; 90% Gras  5 Nutzungen</t>
  </si>
  <si>
    <t>Futter/ Energiegras &gt; 90% Gras  6 Nutzungen</t>
  </si>
  <si>
    <t>Handelsdünger</t>
  </si>
  <si>
    <t>Diammonphosphat (DAP)</t>
  </si>
  <si>
    <r>
      <t>Füllen Sie die Tabellenblätter "Betrieb", "N-Bedarf",  "Tiere", "Organ.-Dü" und "Mineral-Dü" nacheinander aus! 
Am Tabellenblatt "Ergebnis" werden nun alle Daten dokumentiert die laut Aktionsprogramme 2018 § 7 (5) erforderlich sind. 
• Bei Teilnahme am System Immergrün ist das Blatt 
  "System I" auszufüllen. 
• Bei Teilnahme an der Maßnahme "Bodennahe Gülleausbringung" bitte das Tabellenblatt "Bodennah" verwenden
• Die im Rahmen der Lebensmittelsicherheit vorgeschriebenen 
  Aufzeichnungen können Sie am Tabellenblatt "Pfl_Schutz"  
  dokumentieren.
Schlagbezogene Aufzeichnungen über die Düngung sind nur bei Teilnahme an der Maßnahme "Vorbeugender Grundwasserschutz" vorgeschrieben.
Dazu können Sie das kostenpflichtige EDV-Aufzeichnungsprogramm "</t>
    </r>
    <r>
      <rPr>
        <b/>
        <u/>
        <sz val="11"/>
        <color theme="3"/>
        <rFont val="Arial"/>
        <family val="2"/>
      </rPr>
      <t>ÖDüPlan online</t>
    </r>
    <r>
      <rPr>
        <sz val="11"/>
        <rFont val="Arial"/>
        <family val="2"/>
      </rPr>
      <t xml:space="preserve">" verwenden. Mit diesem lassen sich alle wesentlichen Aufzeichnungen und Überprüfungen, die aufgrund der gesetzlichen Richtlinien des neuen GAP (Greening) und ÖPUL 2015 erforderlich sind  durchführen. Erreichbar unter folgendem Link: </t>
    </r>
  </si>
  <si>
    <t>C5</t>
  </si>
  <si>
    <t>C6</t>
  </si>
  <si>
    <t>C7</t>
  </si>
  <si>
    <t>C8</t>
  </si>
  <si>
    <t>C9</t>
  </si>
  <si>
    <t>C10</t>
  </si>
  <si>
    <t>C11</t>
  </si>
  <si>
    <t>C12</t>
  </si>
  <si>
    <t>C13</t>
  </si>
  <si>
    <t>C14</t>
  </si>
  <si>
    <t>C15</t>
  </si>
  <si>
    <t>C16</t>
  </si>
  <si>
    <t>C17</t>
  </si>
  <si>
    <t>Suchformel2</t>
  </si>
  <si>
    <t>Suchformel3</t>
  </si>
  <si>
    <t>Suchformel4</t>
  </si>
  <si>
    <t>Suchformel5</t>
  </si>
  <si>
    <t>Suchformel6</t>
  </si>
  <si>
    <t>Suchformel7</t>
  </si>
  <si>
    <t>Suchformel8</t>
  </si>
  <si>
    <t>Suchformel9</t>
  </si>
  <si>
    <t>Suchformel10</t>
  </si>
  <si>
    <t>Suchformel11</t>
  </si>
  <si>
    <t>Suchformel12</t>
  </si>
  <si>
    <t>Suchformel13</t>
  </si>
  <si>
    <t>C20</t>
  </si>
  <si>
    <t>C21</t>
  </si>
  <si>
    <t>C22</t>
  </si>
  <si>
    <t>C23</t>
  </si>
  <si>
    <t>C24</t>
  </si>
  <si>
    <t>C25</t>
  </si>
  <si>
    <t>Suchformel14</t>
  </si>
  <si>
    <t>Suchformel15</t>
  </si>
  <si>
    <t>B5</t>
  </si>
  <si>
    <t>B6</t>
  </si>
  <si>
    <t>B7</t>
  </si>
  <si>
    <t>B8</t>
  </si>
  <si>
    <t>B9</t>
  </si>
  <si>
    <t>B10</t>
  </si>
  <si>
    <t>B11</t>
  </si>
  <si>
    <t>B12</t>
  </si>
  <si>
    <t>B13</t>
  </si>
  <si>
    <t>B14</t>
  </si>
  <si>
    <t>B15</t>
  </si>
  <si>
    <t>B16</t>
  </si>
  <si>
    <t>B17</t>
  </si>
  <si>
    <t>B18</t>
  </si>
  <si>
    <t>B19</t>
  </si>
  <si>
    <t>A3</t>
  </si>
  <si>
    <t>A4</t>
  </si>
  <si>
    <t>A5</t>
  </si>
  <si>
    <t>A6</t>
  </si>
  <si>
    <t>A7</t>
  </si>
  <si>
    <t>A8</t>
  </si>
  <si>
    <t>A9</t>
  </si>
  <si>
    <t>A10</t>
  </si>
  <si>
    <t>A11</t>
  </si>
  <si>
    <t>A12</t>
  </si>
  <si>
    <t>A13</t>
  </si>
  <si>
    <t>A14</t>
  </si>
  <si>
    <t>A15</t>
  </si>
  <si>
    <t>A16</t>
  </si>
  <si>
    <t>A17</t>
  </si>
  <si>
    <t>Tiere gesamt</t>
  </si>
  <si>
    <t>Zuchtkaninchen - Tiefstall</t>
  </si>
  <si>
    <t xml:space="preserve">phosphorreduzierte Fütterung in der Schweinehaltung ? </t>
  </si>
  <si>
    <t>Harnstoff (Urea 46)</t>
  </si>
  <si>
    <t>Schafe, Ziegen</t>
  </si>
  <si>
    <t>▼</t>
  </si>
  <si>
    <t>Die Milchleistung je Kuh berchnet sich aus gelieferter u. direkt vermarkteter,</t>
  </si>
  <si>
    <t>zuzüglich 320 kg je Kuh für verfütterter und verbrauchter Milch,</t>
  </si>
  <si>
    <t>Auswahl Unterkategorie</t>
  </si>
  <si>
    <t>Steuerung Pfeilhinweis - Wenn ungleich 1 kein Pfeil</t>
  </si>
  <si>
    <t>WENN für bedingte Formate</t>
  </si>
  <si>
    <r>
      <t xml:space="preserve">Verpflichtungen:
</t>
    </r>
    <r>
      <rPr>
        <sz val="11"/>
        <rFont val="Arial"/>
        <family val="2"/>
      </rPr>
      <t>Im folgenden können die notwendigen Details für die Erfüllung der ÖPUL Maßnhame "Bodennahe Ausbrigung flüssiger Wirtschaftsdünger und Biogasgülle" dokumentiert werden.</t>
    </r>
    <r>
      <rPr>
        <sz val="11"/>
        <color indexed="8"/>
        <rFont val="Arial"/>
        <family val="2"/>
      </rPr>
      <t xml:space="preserve"> 
Es sind die allgemein gültigen Vorgaben gem. Nitrat Aktionsprogramm-Verordnung hinsichtlich Einarbeitungverpflichtungen, Düngeverbotszeiträumen und sonstigen Düngegeboten und Düngeverboten einzuhalten. 
Die Ausbringung durch nicht im Eigentum befindlichen Geräten muss durch Rechnungen belegt werden. 
Über die bodennah ausgebrachte Menge an flüssigen Wirtschaftsdüngern / Biogasgülle und über die gedüngten Flächen sind schlagbezogene Aufzeichnungen zu führen.</t>
    </r>
  </si>
  <si>
    <t>GL &lt; 40 % Leguminosen 2 Nutzungen</t>
  </si>
  <si>
    <t>GL &lt; 40 % Leguminosen 3 Nutzungen</t>
  </si>
  <si>
    <t>GL &lt; 40 % Leguminosen 4 Nutzungen</t>
  </si>
  <si>
    <t>GL &lt; 40 % Leguminosen 5 Nutzungen</t>
  </si>
  <si>
    <t>GL &lt; 40 % Leguminosen 6 Nutzungen</t>
  </si>
  <si>
    <t>GL &lt; 40 % Leguminosen 1 Nutzung</t>
  </si>
  <si>
    <t>BO</t>
  </si>
  <si>
    <t>BQ</t>
  </si>
  <si>
    <t>BP</t>
  </si>
  <si>
    <t>BR</t>
  </si>
  <si>
    <t>BS</t>
  </si>
  <si>
    <t>BT</t>
  </si>
  <si>
    <t>BU</t>
  </si>
  <si>
    <t>Schlepp-schlauch bzw. -schuh</t>
  </si>
  <si>
    <t>…………………………………..</t>
  </si>
  <si>
    <r>
      <t>Nährstoffgehalte (kg/m</t>
    </r>
    <r>
      <rPr>
        <vertAlign val="superscript"/>
        <sz val="11"/>
        <color theme="1"/>
        <rFont val="Arial"/>
        <family val="2"/>
      </rPr>
      <t>3</t>
    </r>
    <r>
      <rPr>
        <sz val="11"/>
        <color theme="1"/>
        <rFont val="Arial"/>
        <family val="2"/>
      </rPr>
      <t>)</t>
    </r>
  </si>
  <si>
    <r>
      <rPr>
        <sz val="22"/>
        <color indexed="12"/>
        <rFont val="Arial"/>
        <family val="2"/>
      </rPr>
      <t xml:space="preserve">◄ </t>
    </r>
    <r>
      <rPr>
        <sz val="12"/>
        <color indexed="12"/>
        <rFont val="Arial"/>
        <family val="2"/>
      </rPr>
      <t>zurück zum Tabellenblatt Hofdung</t>
    </r>
  </si>
  <si>
    <t>Zählenwenn für ha</t>
  </si>
  <si>
    <t>Acker</t>
  </si>
  <si>
    <t>bedingte Foramtierung wenn Suchbegriff in Gesamtliste vorkommt</t>
  </si>
  <si>
    <t>Name</t>
  </si>
  <si>
    <t>Strasse</t>
  </si>
  <si>
    <t>PLZ + Ort</t>
  </si>
  <si>
    <t>Ergänzung bedingter Formatierungen - Bedienungsroutine; Drop Down mit Suchfunktion</t>
  </si>
  <si>
    <r>
      <rPr>
        <b/>
        <sz val="24"/>
        <color indexed="9"/>
        <rFont val="Arial"/>
        <family val="2"/>
      </rPr>
      <t xml:space="preserve">LK-Düngerrechner </t>
    </r>
    <r>
      <rPr>
        <b/>
        <sz val="22"/>
        <color indexed="9"/>
        <rFont val="Arial"/>
        <family val="2"/>
      </rPr>
      <t xml:space="preserve">
</t>
    </r>
    <r>
      <rPr>
        <b/>
        <sz val="14"/>
        <color indexed="9"/>
        <rFont val="Arial"/>
        <family val="2"/>
      </rPr>
      <t>für ÖPUL und die gesetzliche Aufzeichnungspflicht 2018 - 2022</t>
    </r>
  </si>
  <si>
    <t/>
  </si>
  <si>
    <t>DC start (6/10/16)</t>
  </si>
  <si>
    <t>DC 37 (12/10/15)</t>
  </si>
  <si>
    <r>
      <t>Complex orange</t>
    </r>
    <r>
      <rPr>
        <sz val="10"/>
        <rFont val="Arial"/>
        <family val="2"/>
      </rPr>
      <t xml:space="preserve"> (Linzer Pro; 14/10/20)</t>
    </r>
  </si>
  <si>
    <r>
      <t>Complex gelb</t>
    </r>
    <r>
      <rPr>
        <sz val="10"/>
        <rFont val="Arial"/>
        <family val="2"/>
      </rPr>
      <t xml:space="preserve"> (Linzer Star; 15/15/15)</t>
    </r>
  </si>
  <si>
    <r>
      <t xml:space="preserve">Complex blaugrün </t>
    </r>
    <r>
      <rPr>
        <sz val="10"/>
        <rFont val="Arial"/>
        <family val="2"/>
      </rPr>
      <t>(Linzer Plus; 20/8/8)</t>
    </r>
  </si>
  <si>
    <r>
      <t>Complex rot</t>
    </r>
    <r>
      <rPr>
        <sz val="10"/>
        <rFont val="Arial"/>
        <family val="2"/>
      </rPr>
      <t xml:space="preserve"> (Linzer Top; 12/12/17)</t>
    </r>
  </si>
  <si>
    <r>
      <t xml:space="preserve">Complex blau </t>
    </r>
    <r>
      <rPr>
        <sz val="10"/>
        <rFont val="Arial"/>
        <family val="2"/>
      </rPr>
      <t>(15/5/18)</t>
    </r>
  </si>
  <si>
    <t>DC (13/5 /15+15 S)</t>
  </si>
  <si>
    <t>DC (15/5/5+18 S)</t>
  </si>
  <si>
    <t>Complex orange (Linzer Pro; 14/10/20)</t>
  </si>
  <si>
    <t>Complex gelb (Linzer Star; 15/15/15)</t>
  </si>
  <si>
    <t>Complex blaugrün (Linzer Plus; 20/8/8)</t>
  </si>
  <si>
    <t>Complex rot (Linzer Top; 12/12/17)</t>
  </si>
  <si>
    <t xml:space="preserve">       die grünen Zellen sind Auswahlzellen, Sie können Tiere, Dünger, Kulturen etc. über ein Dropdown-Liste auswählen. Bei Eingabe einzelner Buchtsaben wird bei anschließendem Öffnen des DropDown Menüs die Auswahlmöglichkeit reduziert. Bei Auswahl von Tieren geschieht eine abgestufte Auswahl mittels Tierart und Tierunterkategorie.</t>
  </si>
  <si>
    <t>CC-Version vom 25. April 2022</t>
  </si>
  <si>
    <t>12.10.2021 + 04.11.2021 + 10.12.2021 + 25.04.2022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</si>
</sst>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6">
    <numFmt numFmtId="43" formatCode="_-* #,##0.00_-;\-* #,##0.00_-;_-* &quot;-&quot;??_-;_-@_-"/>
    <numFmt numFmtId="164" formatCode="_-&quot;€&quot;\ * #,##0.00_-;\-&quot;€&quot;\ * #,##0.00_-;_-&quot;€&quot;\ * &quot;-&quot;??_-;_-@_-"/>
    <numFmt numFmtId="165" formatCode="#,##0.00\ ;\-#,##0.00\ ;&quot; -&quot;#\ ;@\ "/>
    <numFmt numFmtId="166" formatCode="* #,##0.00\ ;\-* #,##0.00\ ;* \-#\ ;@\ "/>
    <numFmt numFmtId="167" formatCode="0.0"/>
    <numFmt numFmtId="168" formatCode="#,##0.0"/>
    <numFmt numFmtId="169" formatCode="0.0%"/>
    <numFmt numFmtId="170" formatCode="#,##0.0\ ;\-#,##0.0\ ;&quot; -&quot;#\ ;@\ "/>
    <numFmt numFmtId="171" formatCode="* #,##0.0\ ;\-* #,##0.0\ ;* \-#\ ;@\ "/>
    <numFmt numFmtId="172" formatCode="dd/mm/yy;@"/>
    <numFmt numFmtId="173" formatCode="0.00&quot; ha&quot;"/>
    <numFmt numFmtId="174" formatCode="d/m/yyyy"/>
    <numFmt numFmtId="175" formatCode="#,##0.000"/>
    <numFmt numFmtId="176" formatCode="0.000"/>
    <numFmt numFmtId="177" formatCode="_-&quot;€ &quot;* #,##0.00_-;&quot;-€ &quot;* #,##0.00_-;_-&quot;€ &quot;* \-??_-;_-@_-"/>
    <numFmt numFmtId="178" formatCode="_-* #,##0.0\ [$€-407]_-;\-* #,##0.0\ [$€-407]_-;_-* &quot;-&quot;??\ [$€-407]_-;_-@_-"/>
  </numFmts>
  <fonts count="243">
    <font>
      <sz val="10"/>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indexed="8"/>
      <name val="Arial"/>
      <family val="2"/>
    </font>
    <font>
      <sz val="11"/>
      <color indexed="8"/>
      <name val="Arial"/>
      <family val="2"/>
    </font>
    <font>
      <sz val="11"/>
      <color indexed="8"/>
      <name val="Arial"/>
      <family val="2"/>
    </font>
    <font>
      <sz val="11"/>
      <color indexed="8"/>
      <name val="Arial"/>
      <family val="2"/>
    </font>
    <font>
      <sz val="11"/>
      <color indexed="8"/>
      <name val="Arial"/>
      <family val="2"/>
    </font>
    <font>
      <sz val="11"/>
      <color indexed="8"/>
      <name val="Arial"/>
      <family val="2"/>
    </font>
    <font>
      <sz val="11"/>
      <color indexed="8"/>
      <name val="Arial"/>
      <family val="2"/>
    </font>
    <font>
      <sz val="11"/>
      <color indexed="8"/>
      <name val="Arial"/>
      <family val="2"/>
    </font>
    <font>
      <sz val="11"/>
      <color indexed="8"/>
      <name val="Arial"/>
      <family val="2"/>
    </font>
    <font>
      <sz val="11"/>
      <color indexed="9"/>
      <name val="Arial"/>
      <family val="2"/>
    </font>
    <font>
      <b/>
      <sz val="11"/>
      <color indexed="63"/>
      <name val="Arial"/>
      <family val="2"/>
    </font>
    <font>
      <b/>
      <sz val="11"/>
      <color indexed="52"/>
      <name val="Arial"/>
      <family val="2"/>
    </font>
    <font>
      <sz val="11"/>
      <color indexed="62"/>
      <name val="Arial"/>
      <family val="2"/>
    </font>
    <font>
      <b/>
      <sz val="11"/>
      <color indexed="8"/>
      <name val="Arial"/>
      <family val="2"/>
    </font>
    <font>
      <i/>
      <sz val="11"/>
      <color indexed="23"/>
      <name val="Arial"/>
      <family val="2"/>
    </font>
    <font>
      <sz val="11"/>
      <color indexed="17"/>
      <name val="Arial"/>
      <family val="2"/>
    </font>
    <font>
      <sz val="10"/>
      <name val="Mangal"/>
      <family val="2"/>
    </font>
    <font>
      <sz val="11"/>
      <color indexed="60"/>
      <name val="Arial"/>
      <family val="2"/>
    </font>
    <font>
      <sz val="11"/>
      <color indexed="20"/>
      <name val="Arial"/>
      <family val="2"/>
    </font>
    <font>
      <sz val="11"/>
      <color indexed="8"/>
      <name val="Arial"/>
      <family val="2"/>
    </font>
    <font>
      <sz val="11"/>
      <color indexed="52"/>
      <name val="Arial"/>
      <family val="2"/>
    </font>
    <font>
      <sz val="11"/>
      <color indexed="10"/>
      <name val="Arial"/>
      <family val="2"/>
    </font>
    <font>
      <b/>
      <sz val="11"/>
      <color indexed="9"/>
      <name val="Arial"/>
      <family val="2"/>
    </font>
    <font>
      <b/>
      <sz val="18"/>
      <color indexed="62"/>
      <name val="Cambria"/>
      <family val="2"/>
    </font>
    <font>
      <b/>
      <sz val="15"/>
      <color indexed="62"/>
      <name val="Arial"/>
      <family val="2"/>
    </font>
    <font>
      <b/>
      <sz val="13"/>
      <color indexed="62"/>
      <name val="Arial"/>
      <family val="2"/>
    </font>
    <font>
      <b/>
      <sz val="11"/>
      <color indexed="62"/>
      <name val="Arial"/>
      <family val="2"/>
    </font>
    <font>
      <b/>
      <sz val="12"/>
      <color indexed="8"/>
      <name val="Arial"/>
      <family val="2"/>
    </font>
    <font>
      <b/>
      <sz val="12"/>
      <color indexed="10"/>
      <name val="Arial"/>
      <family val="2"/>
    </font>
    <font>
      <sz val="8"/>
      <color indexed="10"/>
      <name val="Arial"/>
      <family val="2"/>
    </font>
    <font>
      <sz val="8"/>
      <name val="Arial"/>
      <family val="2"/>
    </font>
    <font>
      <b/>
      <sz val="11"/>
      <name val="Arial"/>
      <family val="2"/>
    </font>
    <font>
      <b/>
      <sz val="10"/>
      <name val="Arial"/>
      <family val="2"/>
    </font>
    <font>
      <sz val="9"/>
      <color indexed="8"/>
      <name val="Arial"/>
      <family val="2"/>
    </font>
    <font>
      <sz val="10"/>
      <color indexed="8"/>
      <name val="Arial"/>
      <family val="2"/>
    </font>
    <font>
      <b/>
      <vertAlign val="subscript"/>
      <sz val="11"/>
      <name val="Trebuchet MS"/>
      <family val="2"/>
    </font>
    <font>
      <b/>
      <sz val="11"/>
      <name val="Trebuchet MS"/>
      <family val="2"/>
    </font>
    <font>
      <sz val="9"/>
      <name val="Arial"/>
      <family val="2"/>
    </font>
    <font>
      <sz val="11"/>
      <color indexed="48"/>
      <name val="Arial"/>
      <family val="2"/>
    </font>
    <font>
      <b/>
      <sz val="10"/>
      <color indexed="12"/>
      <name val="Arial"/>
      <family val="2"/>
    </font>
    <font>
      <b/>
      <sz val="12"/>
      <color indexed="12"/>
      <name val="Arial"/>
      <family val="2"/>
    </font>
    <font>
      <b/>
      <sz val="12"/>
      <name val="Arial"/>
      <family val="2"/>
    </font>
    <font>
      <sz val="11"/>
      <name val="Arial"/>
      <family val="2"/>
    </font>
    <font>
      <sz val="12"/>
      <name val="Arial"/>
      <family val="2"/>
    </font>
    <font>
      <b/>
      <sz val="11"/>
      <color indexed="10"/>
      <name val="Arial"/>
      <family val="2"/>
    </font>
    <font>
      <b/>
      <sz val="9"/>
      <name val="Arial"/>
      <family val="2"/>
    </font>
    <font>
      <sz val="11"/>
      <name val="Trebuchet MS"/>
      <family val="2"/>
    </font>
    <font>
      <i/>
      <sz val="10"/>
      <name val="Arial"/>
      <family val="2"/>
    </font>
    <font>
      <b/>
      <u/>
      <sz val="12"/>
      <color indexed="8"/>
      <name val="Arial"/>
      <family val="2"/>
    </font>
    <font>
      <sz val="14"/>
      <name val="Arial"/>
      <family val="2"/>
    </font>
    <font>
      <b/>
      <sz val="14"/>
      <name val="Arial"/>
      <family val="2"/>
    </font>
    <font>
      <b/>
      <sz val="60"/>
      <color indexed="21"/>
      <name val="Calibri"/>
      <family val="2"/>
    </font>
    <font>
      <u/>
      <sz val="10"/>
      <color indexed="12"/>
      <name val="Arial"/>
      <family val="2"/>
    </font>
    <font>
      <u/>
      <sz val="18"/>
      <color indexed="12"/>
      <name val="Arial"/>
      <family val="2"/>
    </font>
    <font>
      <b/>
      <sz val="16"/>
      <name val="Arial"/>
      <family val="2"/>
    </font>
    <font>
      <sz val="16"/>
      <name val="Arial"/>
      <family val="2"/>
    </font>
    <font>
      <sz val="14"/>
      <color indexed="8"/>
      <name val="Arial"/>
      <family val="2"/>
    </font>
    <font>
      <b/>
      <sz val="14"/>
      <color indexed="8"/>
      <name val="Arial"/>
      <family val="2"/>
    </font>
    <font>
      <sz val="12"/>
      <color indexed="8"/>
      <name val="Arial"/>
      <family val="2"/>
    </font>
    <font>
      <u/>
      <sz val="12"/>
      <color indexed="12"/>
      <name val="Arial"/>
      <family val="2"/>
    </font>
    <font>
      <sz val="36"/>
      <color indexed="12"/>
      <name val="Arial"/>
      <family val="2"/>
    </font>
    <font>
      <b/>
      <sz val="10"/>
      <color indexed="8"/>
      <name val="Arial"/>
      <family val="2"/>
    </font>
    <font>
      <b/>
      <u/>
      <sz val="10"/>
      <color indexed="12"/>
      <name val="Arial"/>
      <family val="2"/>
    </font>
    <font>
      <sz val="12"/>
      <color indexed="10"/>
      <name val="Arial"/>
      <family val="2"/>
    </font>
    <font>
      <b/>
      <sz val="9"/>
      <color indexed="8"/>
      <name val="Arial"/>
      <family val="2"/>
    </font>
    <font>
      <b/>
      <sz val="8"/>
      <name val="Arial"/>
      <family val="2"/>
    </font>
    <font>
      <b/>
      <vertAlign val="subscript"/>
      <sz val="9"/>
      <name val="Arial"/>
      <family val="2"/>
    </font>
    <font>
      <sz val="9"/>
      <color indexed="10"/>
      <name val="Arial"/>
      <family val="2"/>
    </font>
    <font>
      <b/>
      <sz val="10"/>
      <color indexed="10"/>
      <name val="Arial"/>
      <family val="2"/>
    </font>
    <font>
      <sz val="9"/>
      <name val="Times New Roman"/>
      <family val="1"/>
    </font>
    <font>
      <sz val="7"/>
      <name val="Arial"/>
      <family val="2"/>
    </font>
    <font>
      <b/>
      <sz val="16"/>
      <color indexed="8"/>
      <name val="Arial"/>
      <family val="2"/>
    </font>
    <font>
      <b/>
      <sz val="14"/>
      <color indexed="12"/>
      <name val="Arial"/>
      <family val="2"/>
    </font>
    <font>
      <sz val="16"/>
      <color indexed="12"/>
      <name val="Arial"/>
      <family val="2"/>
    </font>
    <font>
      <vertAlign val="subscript"/>
      <sz val="11"/>
      <color indexed="8"/>
      <name val="Arial"/>
      <family val="2"/>
    </font>
    <font>
      <vertAlign val="subscript"/>
      <sz val="12"/>
      <color indexed="8"/>
      <name val="Arial"/>
      <family val="2"/>
    </font>
    <font>
      <sz val="12"/>
      <color indexed="8"/>
      <name val="Profile-RegularItalic"/>
      <family val="4"/>
    </font>
    <font>
      <sz val="10"/>
      <color indexed="10"/>
      <name val="Arial"/>
      <family val="2"/>
    </font>
    <font>
      <vertAlign val="subscript"/>
      <sz val="10"/>
      <color indexed="8"/>
      <name val="Arial"/>
      <family val="2"/>
    </font>
    <font>
      <b/>
      <vertAlign val="subscript"/>
      <sz val="10"/>
      <color indexed="8"/>
      <name val="Arial"/>
      <family val="2"/>
    </font>
    <font>
      <vertAlign val="subscript"/>
      <sz val="14"/>
      <color indexed="10"/>
      <name val="Arial"/>
      <family val="2"/>
    </font>
    <font>
      <b/>
      <sz val="16"/>
      <color indexed="12"/>
      <name val="Arial"/>
      <family val="2"/>
    </font>
    <font>
      <sz val="28"/>
      <color indexed="12"/>
      <name val="Arial"/>
      <family val="2"/>
    </font>
    <font>
      <sz val="8"/>
      <color indexed="8"/>
      <name val="Arial"/>
      <family val="2"/>
    </font>
    <font>
      <b/>
      <vertAlign val="subscript"/>
      <sz val="14"/>
      <name val="Arial"/>
      <family val="2"/>
    </font>
    <font>
      <b/>
      <vertAlign val="subscript"/>
      <sz val="10"/>
      <name val="Arial"/>
      <family val="2"/>
    </font>
    <font>
      <b/>
      <vertAlign val="subscript"/>
      <sz val="8"/>
      <name val="Arial"/>
      <family val="2"/>
    </font>
    <font>
      <b/>
      <vertAlign val="superscript"/>
      <sz val="10"/>
      <color indexed="10"/>
      <name val="Arial"/>
      <family val="2"/>
    </font>
    <font>
      <u/>
      <sz val="9"/>
      <name val="Arial"/>
      <family val="2"/>
    </font>
    <font>
      <vertAlign val="superscript"/>
      <sz val="10"/>
      <color indexed="8"/>
      <name val="Arial"/>
      <family val="2"/>
    </font>
    <font>
      <vertAlign val="subscript"/>
      <sz val="10"/>
      <name val="Arial"/>
      <family val="2"/>
    </font>
    <font>
      <sz val="22"/>
      <color indexed="12"/>
      <name val="Arial"/>
      <family val="2"/>
    </font>
    <font>
      <sz val="12"/>
      <color indexed="12"/>
      <name val="Arial"/>
      <family val="2"/>
    </font>
    <font>
      <b/>
      <sz val="8"/>
      <color indexed="8"/>
      <name val="Arial"/>
      <family val="2"/>
    </font>
    <font>
      <sz val="24"/>
      <color indexed="12"/>
      <name val="Arial"/>
      <family val="2"/>
    </font>
    <font>
      <b/>
      <sz val="10"/>
      <name val="Mangal"/>
      <family val="1"/>
    </font>
    <font>
      <b/>
      <vertAlign val="superscript"/>
      <sz val="11"/>
      <name val="Arial"/>
      <family val="2"/>
    </font>
    <font>
      <b/>
      <vertAlign val="superscript"/>
      <sz val="12"/>
      <name val="Arial"/>
      <family val="2"/>
    </font>
    <font>
      <b/>
      <sz val="7"/>
      <name val="Arial"/>
      <family val="2"/>
    </font>
    <font>
      <b/>
      <i/>
      <sz val="7"/>
      <name val="Arial"/>
      <family val="2"/>
    </font>
    <font>
      <b/>
      <i/>
      <sz val="12"/>
      <name val="Arial"/>
      <family val="2"/>
    </font>
    <font>
      <b/>
      <vertAlign val="superscript"/>
      <sz val="10"/>
      <name val="Arial"/>
      <family val="2"/>
    </font>
    <font>
      <sz val="10"/>
      <name val="Arial"/>
      <family val="2"/>
    </font>
    <font>
      <sz val="9"/>
      <color indexed="10"/>
      <name val="Arial"/>
      <family val="2"/>
    </font>
    <font>
      <sz val="10"/>
      <color indexed="12"/>
      <name val="Arial"/>
      <family val="2"/>
    </font>
    <font>
      <b/>
      <sz val="14"/>
      <color indexed="17"/>
      <name val="Arial"/>
      <family val="2"/>
    </font>
    <font>
      <sz val="11"/>
      <color indexed="12"/>
      <name val="Arial"/>
      <family val="2"/>
    </font>
    <font>
      <sz val="8"/>
      <color indexed="10"/>
      <name val="Arial"/>
      <family val="2"/>
    </font>
    <font>
      <sz val="13"/>
      <color indexed="10"/>
      <name val="Arial"/>
      <family val="2"/>
    </font>
    <font>
      <b/>
      <sz val="10"/>
      <color indexed="10"/>
      <name val="Arial"/>
      <family val="2"/>
    </font>
    <font>
      <b/>
      <sz val="10"/>
      <color indexed="17"/>
      <name val="Arial"/>
      <family val="2"/>
    </font>
    <font>
      <b/>
      <sz val="10"/>
      <color indexed="48"/>
      <name val="Arial"/>
      <family val="2"/>
    </font>
    <font>
      <b/>
      <sz val="11"/>
      <color indexed="48"/>
      <name val="Arial"/>
      <family val="2"/>
    </font>
    <font>
      <b/>
      <sz val="12"/>
      <color indexed="10"/>
      <name val="Arial"/>
      <family val="2"/>
    </font>
    <font>
      <b/>
      <sz val="12"/>
      <name val="Arial"/>
      <family val="2"/>
      <charset val="1"/>
    </font>
    <font>
      <b/>
      <sz val="14"/>
      <name val="Arial"/>
      <family val="2"/>
      <charset val="1"/>
    </font>
    <font>
      <sz val="10"/>
      <name val="Arial"/>
      <family val="2"/>
      <charset val="1"/>
    </font>
    <font>
      <sz val="10"/>
      <name val="Mangal"/>
      <family val="2"/>
      <charset val="1"/>
    </font>
    <font>
      <sz val="12"/>
      <name val="Arial"/>
      <family val="2"/>
      <charset val="1"/>
    </font>
    <font>
      <sz val="10"/>
      <name val="Arial"/>
      <family val="2"/>
    </font>
    <font>
      <b/>
      <sz val="36"/>
      <name val="Calibri"/>
      <family val="2"/>
    </font>
    <font>
      <b/>
      <sz val="14"/>
      <name val="Trebuchet MS"/>
      <family val="2"/>
    </font>
    <font>
      <sz val="10"/>
      <name val="Arial"/>
      <family val="2"/>
    </font>
    <font>
      <sz val="6"/>
      <name val="Arial"/>
      <family val="2"/>
    </font>
    <font>
      <i/>
      <sz val="12"/>
      <name val="Arial"/>
      <family val="2"/>
    </font>
    <font>
      <sz val="10"/>
      <color indexed="9"/>
      <name val="Arial"/>
      <family val="2"/>
    </font>
    <font>
      <b/>
      <sz val="14"/>
      <color indexed="9"/>
      <name val="Arial"/>
      <family val="2"/>
    </font>
    <font>
      <b/>
      <sz val="11"/>
      <color indexed="12"/>
      <name val="Arial"/>
      <family val="2"/>
    </font>
    <font>
      <sz val="12"/>
      <color indexed="9"/>
      <name val="Arial"/>
      <family val="2"/>
    </font>
    <font>
      <b/>
      <sz val="11"/>
      <color indexed="9"/>
      <name val="Trebuchet MS"/>
      <family val="2"/>
    </font>
    <font>
      <b/>
      <vertAlign val="subscript"/>
      <sz val="11"/>
      <color indexed="9"/>
      <name val="Trebuchet MS"/>
      <family val="2"/>
    </font>
    <font>
      <sz val="9"/>
      <name val="Trebuchet MS"/>
      <family val="2"/>
    </font>
    <font>
      <sz val="14"/>
      <color indexed="9"/>
      <name val="Arial"/>
      <family val="2"/>
    </font>
    <font>
      <b/>
      <sz val="12"/>
      <color indexed="9"/>
      <name val="Arial"/>
      <family val="2"/>
    </font>
    <font>
      <b/>
      <sz val="18"/>
      <color indexed="9"/>
      <name val="Arial"/>
      <family val="2"/>
    </font>
    <font>
      <b/>
      <sz val="22"/>
      <color indexed="9"/>
      <name val="Arial"/>
      <family val="2"/>
    </font>
    <font>
      <b/>
      <sz val="20"/>
      <color indexed="9"/>
      <name val="Arial"/>
      <family val="2"/>
    </font>
    <font>
      <b/>
      <vertAlign val="subscript"/>
      <sz val="11"/>
      <name val="Arial"/>
      <family val="2"/>
    </font>
    <font>
      <b/>
      <sz val="24"/>
      <color indexed="9"/>
      <name val="Arial"/>
      <family val="2"/>
    </font>
    <font>
      <b/>
      <sz val="12"/>
      <color indexed="21"/>
      <name val="Arial"/>
      <family val="2"/>
    </font>
    <font>
      <sz val="12"/>
      <color indexed="21"/>
      <name val="Arial"/>
      <family val="2"/>
    </font>
    <font>
      <sz val="12"/>
      <color indexed="9"/>
      <name val="Arial"/>
      <family val="2"/>
    </font>
    <font>
      <b/>
      <sz val="16"/>
      <color indexed="9"/>
      <name val="Arial"/>
      <family val="2"/>
    </font>
    <font>
      <sz val="14"/>
      <color indexed="9"/>
      <name val="Arial"/>
      <family val="2"/>
    </font>
    <font>
      <sz val="9"/>
      <color indexed="21"/>
      <name val="Arial"/>
      <family val="2"/>
    </font>
    <font>
      <b/>
      <sz val="12"/>
      <color indexed="9"/>
      <name val="Arial"/>
      <family val="2"/>
    </font>
    <font>
      <b/>
      <vertAlign val="subscript"/>
      <sz val="9"/>
      <color indexed="9"/>
      <name val="Arial"/>
      <family val="2"/>
    </font>
    <font>
      <sz val="9"/>
      <color indexed="9"/>
      <name val="Arial"/>
      <family val="2"/>
    </font>
    <font>
      <b/>
      <sz val="18"/>
      <color indexed="9"/>
      <name val="Arial"/>
      <family val="2"/>
    </font>
    <font>
      <b/>
      <sz val="9"/>
      <color indexed="9"/>
      <name val="Arial"/>
      <family val="2"/>
    </font>
    <font>
      <b/>
      <sz val="12"/>
      <color indexed="12"/>
      <name val="Arial"/>
      <family val="2"/>
    </font>
    <font>
      <sz val="11"/>
      <color indexed="12"/>
      <name val="Arial"/>
      <family val="2"/>
    </font>
    <font>
      <sz val="12"/>
      <color indexed="12"/>
      <name val="Arial"/>
      <family val="2"/>
    </font>
    <font>
      <sz val="10"/>
      <color indexed="9"/>
      <name val="Arial"/>
      <family val="2"/>
    </font>
    <font>
      <b/>
      <sz val="14"/>
      <color indexed="9"/>
      <name val="Arial"/>
      <family val="2"/>
    </font>
    <font>
      <b/>
      <sz val="22"/>
      <color indexed="9"/>
      <name val="Arial"/>
      <family val="2"/>
    </font>
    <font>
      <b/>
      <sz val="20"/>
      <color indexed="9"/>
      <name val="Arial"/>
      <family val="2"/>
    </font>
    <font>
      <b/>
      <sz val="48"/>
      <color indexed="9"/>
      <name val="Calibri"/>
      <family val="2"/>
    </font>
    <font>
      <b/>
      <sz val="10"/>
      <color indexed="9"/>
      <name val="Arial"/>
      <family val="2"/>
    </font>
    <font>
      <sz val="16"/>
      <color indexed="9"/>
      <name val="Arial"/>
      <family val="2"/>
    </font>
    <font>
      <b/>
      <sz val="10"/>
      <color indexed="60"/>
      <name val="Arial"/>
      <family val="2"/>
    </font>
    <font>
      <b/>
      <sz val="11"/>
      <color indexed="9"/>
      <name val="Trebuchet MS"/>
      <family val="2"/>
    </font>
    <font>
      <sz val="26"/>
      <color indexed="12"/>
      <name val="Arial"/>
      <family val="2"/>
    </font>
    <font>
      <sz val="13"/>
      <name val="Arial"/>
      <family val="2"/>
    </font>
    <font>
      <sz val="16"/>
      <color indexed="8"/>
      <name val="Arial"/>
      <family val="2"/>
    </font>
    <font>
      <b/>
      <u/>
      <sz val="14"/>
      <color indexed="12"/>
      <name val="Arial"/>
      <family val="2"/>
    </font>
    <font>
      <b/>
      <u/>
      <sz val="14"/>
      <name val="Arial"/>
      <family val="2"/>
    </font>
    <font>
      <b/>
      <sz val="20"/>
      <name val="Arial"/>
      <family val="2"/>
    </font>
    <font>
      <b/>
      <sz val="9"/>
      <name val="Trebuchet MS"/>
      <family val="2"/>
    </font>
    <font>
      <b/>
      <vertAlign val="subscript"/>
      <sz val="9"/>
      <name val="Trebuchet MS"/>
      <family val="2"/>
    </font>
    <font>
      <vertAlign val="subscript"/>
      <sz val="8"/>
      <name val="Arial"/>
      <family val="2"/>
    </font>
    <font>
      <b/>
      <vertAlign val="subscript"/>
      <sz val="12"/>
      <name val="Arial"/>
      <family val="2"/>
    </font>
    <font>
      <vertAlign val="subscript"/>
      <sz val="12"/>
      <name val="Arial"/>
      <family val="2"/>
    </font>
    <font>
      <vertAlign val="superscript"/>
      <sz val="12"/>
      <name val="Arial"/>
      <family val="2"/>
    </font>
    <font>
      <b/>
      <sz val="9"/>
      <color indexed="10"/>
      <name val="Arial"/>
      <family val="2"/>
    </font>
    <font>
      <b/>
      <sz val="20"/>
      <color indexed="12"/>
      <name val="Arial"/>
      <family val="2"/>
    </font>
    <font>
      <sz val="12"/>
      <name val="Symbol"/>
      <family val="1"/>
      <charset val="2"/>
    </font>
    <font>
      <sz val="11"/>
      <color theme="1"/>
      <name val="Arial"/>
      <family val="2"/>
    </font>
    <font>
      <b/>
      <sz val="11"/>
      <color rgb="FF333399"/>
      <name val="Arial"/>
      <family val="2"/>
      <charset val="1"/>
    </font>
    <font>
      <u/>
      <sz val="10"/>
      <color rgb="FF0000FF"/>
      <name val="Arial"/>
      <family val="2"/>
      <charset val="1"/>
    </font>
    <font>
      <b/>
      <sz val="11"/>
      <color rgb="FF0000FF"/>
      <name val="Arial"/>
      <family val="2"/>
    </font>
    <font>
      <b/>
      <sz val="11"/>
      <color theme="1"/>
      <name val="Arial"/>
      <family val="2"/>
    </font>
    <font>
      <sz val="10"/>
      <color theme="1"/>
      <name val="Arial"/>
      <family val="2"/>
    </font>
    <font>
      <sz val="9"/>
      <color theme="1"/>
      <name val="Arial"/>
      <family val="2"/>
    </font>
    <font>
      <vertAlign val="superscript"/>
      <sz val="10"/>
      <color theme="1"/>
      <name val="Arial"/>
      <family val="2"/>
    </font>
    <font>
      <b/>
      <sz val="12"/>
      <color theme="1"/>
      <name val="Arial"/>
      <family val="2"/>
    </font>
    <font>
      <vertAlign val="subscript"/>
      <sz val="9"/>
      <name val="Arial"/>
      <family val="2"/>
    </font>
    <font>
      <i/>
      <sz val="10"/>
      <color theme="1"/>
      <name val="Arial"/>
      <family val="2"/>
    </font>
    <font>
      <i/>
      <sz val="11"/>
      <color theme="1"/>
      <name val="Arial"/>
      <family val="2"/>
    </font>
    <font>
      <sz val="12"/>
      <color theme="1"/>
      <name val="Arial"/>
      <family val="2"/>
    </font>
    <font>
      <b/>
      <sz val="16"/>
      <color rgb="FFFF0000"/>
      <name val="Arial"/>
      <family val="2"/>
    </font>
    <font>
      <b/>
      <sz val="14"/>
      <name val="Calibri"/>
      <family val="2"/>
      <scheme val="minor"/>
    </font>
    <font>
      <b/>
      <sz val="12"/>
      <name val="Calibri"/>
      <family val="2"/>
      <scheme val="minor"/>
    </font>
    <font>
      <b/>
      <sz val="10"/>
      <name val="Calibri"/>
      <family val="2"/>
      <scheme val="minor"/>
    </font>
    <font>
      <b/>
      <sz val="14"/>
      <color rgb="FFFF0000"/>
      <name val="Arial"/>
      <family val="2"/>
    </font>
    <font>
      <b/>
      <sz val="15"/>
      <color indexed="9"/>
      <name val="Arial"/>
      <family val="2"/>
    </font>
    <font>
      <b/>
      <sz val="10"/>
      <color theme="1"/>
      <name val="Arial"/>
      <family val="2"/>
    </font>
    <font>
      <b/>
      <sz val="8"/>
      <color theme="1"/>
      <name val="Arial"/>
      <family val="2"/>
    </font>
    <font>
      <b/>
      <sz val="10"/>
      <color indexed="81"/>
      <name val="Segoe UI"/>
      <family val="2"/>
    </font>
    <font>
      <b/>
      <i/>
      <sz val="10"/>
      <color indexed="81"/>
      <name val="Segoe UI"/>
      <family val="2"/>
    </font>
    <font>
      <b/>
      <sz val="16"/>
      <name val="Calibri"/>
      <family val="2"/>
      <scheme val="minor"/>
    </font>
    <font>
      <sz val="8"/>
      <color rgb="FF000000"/>
      <name val="Segoe UI"/>
      <family val="2"/>
    </font>
    <font>
      <sz val="8"/>
      <color rgb="FF000000"/>
      <name val="Tahoma"/>
      <family val="2"/>
    </font>
    <font>
      <sz val="10"/>
      <color rgb="FF000000"/>
      <name val="Arial"/>
      <family val="2"/>
    </font>
    <font>
      <b/>
      <u/>
      <sz val="12"/>
      <name val="Arial"/>
      <family val="2"/>
    </font>
    <font>
      <b/>
      <u/>
      <sz val="12"/>
      <color indexed="12"/>
      <name val="Arial"/>
      <family val="2"/>
    </font>
    <font>
      <b/>
      <sz val="10"/>
      <color theme="0" tint="-0.499984740745262"/>
      <name val="Arial"/>
      <family val="2"/>
    </font>
    <font>
      <b/>
      <sz val="12"/>
      <color rgb="FFC00000"/>
      <name val="Arial"/>
      <family val="2"/>
    </font>
    <font>
      <b/>
      <sz val="18"/>
      <name val="Arial"/>
      <family val="2"/>
    </font>
    <font>
      <b/>
      <i/>
      <sz val="11"/>
      <color rgb="FF2A7BA9"/>
      <name val="Open Sans"/>
    </font>
    <font>
      <sz val="11"/>
      <color rgb="FF5A5A5A"/>
      <name val="Consolas"/>
      <family val="3"/>
    </font>
    <font>
      <sz val="9"/>
      <color theme="1"/>
      <name val="Verdana"/>
      <family val="2"/>
    </font>
    <font>
      <b/>
      <sz val="12"/>
      <color indexed="81"/>
      <name val="Segoe UI"/>
      <family val="2"/>
    </font>
    <font>
      <b/>
      <u/>
      <sz val="10"/>
      <name val="Arial"/>
      <family val="2"/>
    </font>
    <font>
      <b/>
      <u/>
      <sz val="16"/>
      <color indexed="12"/>
      <name val="Arial"/>
      <family val="2"/>
    </font>
    <font>
      <b/>
      <u/>
      <sz val="16"/>
      <name val="Arial"/>
      <family val="2"/>
    </font>
    <font>
      <u/>
      <sz val="16"/>
      <color indexed="12"/>
      <name val="Arial"/>
      <family val="2"/>
    </font>
    <font>
      <u/>
      <sz val="14"/>
      <color indexed="12"/>
      <name val="Arial"/>
      <family val="2"/>
    </font>
    <font>
      <b/>
      <sz val="9"/>
      <color indexed="81"/>
      <name val="Segoe UI"/>
      <family val="2"/>
    </font>
    <font>
      <b/>
      <sz val="11"/>
      <name val="Mangal"/>
      <family val="1"/>
    </font>
    <font>
      <sz val="12"/>
      <color rgb="FFFF0000"/>
      <name val="Arial"/>
      <family val="2"/>
    </font>
    <font>
      <b/>
      <sz val="10"/>
      <color rgb="FFFF0000"/>
      <name val="Arial"/>
      <family val="2"/>
    </font>
    <font>
      <b/>
      <u/>
      <sz val="10"/>
      <color rgb="FFFF0000"/>
      <name val="Arial"/>
      <family val="2"/>
    </font>
    <font>
      <b/>
      <sz val="11"/>
      <color rgb="FFFF0000"/>
      <name val="Arial"/>
      <family val="2"/>
    </font>
    <font>
      <b/>
      <sz val="12"/>
      <color theme="0"/>
      <name val="Arial"/>
      <family val="2"/>
    </font>
    <font>
      <b/>
      <u/>
      <sz val="10"/>
      <color theme="0"/>
      <name val="Arial"/>
      <family val="2"/>
    </font>
    <font>
      <u/>
      <sz val="10"/>
      <color theme="0"/>
      <name val="Arial"/>
      <family val="2"/>
    </font>
    <font>
      <u/>
      <sz val="12"/>
      <color rgb="FF0070C0"/>
      <name val="Arial"/>
      <family val="2"/>
    </font>
    <font>
      <b/>
      <u/>
      <sz val="11"/>
      <color theme="3"/>
      <name val="Arial"/>
      <family val="2"/>
    </font>
    <font>
      <b/>
      <sz val="10"/>
      <color theme="0"/>
      <name val="Arial"/>
      <family val="2"/>
    </font>
    <font>
      <sz val="26"/>
      <color rgb="FF00B050"/>
      <name val="Arial"/>
      <family val="2"/>
    </font>
    <font>
      <sz val="10"/>
      <color theme="1"/>
      <name val="Arial"/>
      <family val="2"/>
    </font>
    <font>
      <sz val="9"/>
      <color indexed="8"/>
      <name val="Segoe UI Symbol"/>
      <family val="2"/>
    </font>
    <font>
      <sz val="10"/>
      <color theme="1"/>
      <name val="Arial"/>
      <family val="2"/>
    </font>
    <font>
      <vertAlign val="superscript"/>
      <sz val="11"/>
      <color theme="1"/>
      <name val="Arial"/>
      <family val="2"/>
    </font>
  </fonts>
  <fills count="107">
    <fill>
      <patternFill patternType="none"/>
    </fill>
    <fill>
      <patternFill patternType="gray125"/>
    </fill>
    <fill>
      <patternFill patternType="solid">
        <fgColor indexed="49"/>
        <bgColor indexed="57"/>
      </patternFill>
    </fill>
    <fill>
      <patternFill patternType="solid">
        <fgColor indexed="10"/>
        <bgColor indexed="60"/>
      </patternFill>
    </fill>
    <fill>
      <patternFill patternType="solid">
        <fgColor indexed="57"/>
        <bgColor indexed="21"/>
      </patternFill>
    </fill>
    <fill>
      <patternFill patternType="solid">
        <fgColor indexed="54"/>
        <bgColor indexed="23"/>
      </patternFill>
    </fill>
    <fill>
      <patternFill patternType="solid">
        <fgColor indexed="53"/>
        <bgColor indexed="52"/>
      </patternFill>
    </fill>
    <fill>
      <patternFill patternType="solid">
        <fgColor indexed="44"/>
        <bgColor indexed="24"/>
      </patternFill>
    </fill>
    <fill>
      <patternFill patternType="solid">
        <fgColor indexed="13"/>
        <bgColor indexed="51"/>
      </patternFill>
    </fill>
    <fill>
      <patternFill patternType="solid">
        <fgColor indexed="27"/>
        <bgColor indexed="41"/>
      </patternFill>
    </fill>
    <fill>
      <patternFill patternType="solid">
        <fgColor indexed="26"/>
        <bgColor indexed="16"/>
      </patternFill>
    </fill>
    <fill>
      <patternFill patternType="solid">
        <fgColor indexed="26"/>
        <bgColor indexed="37"/>
      </patternFill>
    </fill>
    <fill>
      <patternFill patternType="solid">
        <fgColor indexed="14"/>
        <bgColor indexed="20"/>
      </patternFill>
    </fill>
    <fill>
      <patternFill patternType="solid">
        <fgColor indexed="55"/>
        <bgColor indexed="23"/>
      </patternFill>
    </fill>
    <fill>
      <patternFill patternType="solid">
        <fgColor indexed="22"/>
        <bgColor indexed="46"/>
      </patternFill>
    </fill>
    <fill>
      <patternFill patternType="solid">
        <fgColor indexed="9"/>
        <bgColor indexed="28"/>
      </patternFill>
    </fill>
    <fill>
      <patternFill patternType="solid">
        <fgColor indexed="61"/>
        <bgColor indexed="38"/>
      </patternFill>
    </fill>
    <fill>
      <patternFill patternType="solid">
        <fgColor indexed="61"/>
        <bgColor indexed="64"/>
      </patternFill>
    </fill>
    <fill>
      <patternFill patternType="solid">
        <fgColor indexed="27"/>
        <bgColor indexed="64"/>
      </patternFill>
    </fill>
    <fill>
      <patternFill patternType="solid">
        <fgColor indexed="26"/>
        <bgColor indexed="64"/>
      </patternFill>
    </fill>
    <fill>
      <patternFill patternType="solid">
        <fgColor indexed="9"/>
        <bgColor indexed="64"/>
      </patternFill>
    </fill>
    <fill>
      <patternFill patternType="solid">
        <fgColor indexed="27"/>
        <bgColor indexed="42"/>
      </patternFill>
    </fill>
    <fill>
      <patternFill patternType="solid">
        <fgColor indexed="13"/>
        <bgColor indexed="64"/>
      </patternFill>
    </fill>
    <fill>
      <patternFill patternType="solid">
        <fgColor indexed="46"/>
        <bgColor indexed="60"/>
      </patternFill>
    </fill>
    <fill>
      <patternFill patternType="solid">
        <fgColor indexed="27"/>
        <bgColor indexed="15"/>
      </patternFill>
    </fill>
    <fill>
      <patternFill patternType="solid">
        <fgColor indexed="61"/>
        <bgColor indexed="46"/>
      </patternFill>
    </fill>
    <fill>
      <patternFill patternType="solid">
        <fgColor indexed="61"/>
        <bgColor indexed="23"/>
      </patternFill>
    </fill>
    <fill>
      <patternFill patternType="solid">
        <fgColor indexed="61"/>
        <bgColor indexed="15"/>
      </patternFill>
    </fill>
    <fill>
      <patternFill patternType="solid">
        <fgColor indexed="21"/>
        <bgColor indexed="15"/>
      </patternFill>
    </fill>
    <fill>
      <patternFill patternType="solid">
        <fgColor indexed="61"/>
        <bgColor indexed="16"/>
      </patternFill>
    </fill>
    <fill>
      <patternFill patternType="solid">
        <fgColor indexed="42"/>
        <bgColor indexed="15"/>
      </patternFill>
    </fill>
    <fill>
      <patternFill patternType="solid">
        <fgColor indexed="35"/>
        <bgColor indexed="64"/>
      </patternFill>
    </fill>
    <fill>
      <patternFill patternType="solid">
        <fgColor indexed="61"/>
        <bgColor indexed="41"/>
      </patternFill>
    </fill>
    <fill>
      <patternFill patternType="solid">
        <fgColor indexed="40"/>
        <bgColor indexed="64"/>
      </patternFill>
    </fill>
    <fill>
      <patternFill patternType="solid">
        <fgColor indexed="55"/>
        <bgColor indexed="64"/>
      </patternFill>
    </fill>
    <fill>
      <patternFill patternType="solid">
        <fgColor indexed="55"/>
        <bgColor indexed="56"/>
      </patternFill>
    </fill>
    <fill>
      <patternFill patternType="solid">
        <fgColor indexed="55"/>
        <bgColor indexed="61"/>
      </patternFill>
    </fill>
    <fill>
      <patternFill patternType="solid">
        <fgColor indexed="22"/>
        <bgColor indexed="59"/>
      </patternFill>
    </fill>
    <fill>
      <patternFill patternType="solid">
        <fgColor indexed="42"/>
        <bgColor indexed="64"/>
      </patternFill>
    </fill>
    <fill>
      <patternFill patternType="solid">
        <fgColor indexed="9"/>
        <bgColor indexed="58"/>
      </patternFill>
    </fill>
    <fill>
      <patternFill patternType="solid">
        <fgColor indexed="22"/>
        <bgColor indexed="64"/>
      </patternFill>
    </fill>
    <fill>
      <patternFill patternType="solid">
        <fgColor indexed="55"/>
        <bgColor indexed="38"/>
      </patternFill>
    </fill>
    <fill>
      <patternFill patternType="solid">
        <fgColor indexed="41"/>
        <bgColor indexed="35"/>
      </patternFill>
    </fill>
    <fill>
      <patternFill patternType="solid">
        <fgColor indexed="55"/>
        <bgColor indexed="46"/>
      </patternFill>
    </fill>
    <fill>
      <patternFill patternType="solid">
        <fgColor indexed="55"/>
        <bgColor indexed="60"/>
      </patternFill>
    </fill>
    <fill>
      <patternFill patternType="solid">
        <fgColor indexed="55"/>
        <bgColor indexed="59"/>
      </patternFill>
    </fill>
    <fill>
      <patternFill patternType="solid">
        <fgColor indexed="55"/>
        <bgColor indexed="24"/>
      </patternFill>
    </fill>
    <fill>
      <patternFill patternType="solid">
        <fgColor indexed="44"/>
        <bgColor indexed="64"/>
      </patternFill>
    </fill>
    <fill>
      <patternFill patternType="solid">
        <fgColor indexed="44"/>
        <bgColor indexed="60"/>
      </patternFill>
    </fill>
    <fill>
      <patternFill patternType="solid">
        <fgColor indexed="22"/>
        <bgColor indexed="38"/>
      </patternFill>
    </fill>
    <fill>
      <patternFill patternType="solid">
        <fgColor indexed="48"/>
        <bgColor indexed="64"/>
      </patternFill>
    </fill>
    <fill>
      <patternFill patternType="solid">
        <fgColor indexed="48"/>
        <bgColor indexed="28"/>
      </patternFill>
    </fill>
    <fill>
      <patternFill patternType="solid">
        <fgColor indexed="48"/>
        <bgColor indexed="46"/>
      </patternFill>
    </fill>
    <fill>
      <patternFill patternType="solid">
        <fgColor indexed="48"/>
        <bgColor indexed="22"/>
      </patternFill>
    </fill>
    <fill>
      <patternFill patternType="solid">
        <fgColor indexed="43"/>
        <bgColor indexed="16"/>
      </patternFill>
    </fill>
    <fill>
      <patternFill patternType="solid">
        <fgColor indexed="22"/>
        <bgColor indexed="61"/>
      </patternFill>
    </fill>
    <fill>
      <patternFill patternType="solid">
        <fgColor indexed="41"/>
        <bgColor indexed="41"/>
      </patternFill>
    </fill>
    <fill>
      <patternFill patternType="solid">
        <fgColor indexed="22"/>
        <bgColor indexed="41"/>
      </patternFill>
    </fill>
    <fill>
      <patternFill patternType="solid">
        <fgColor indexed="41"/>
        <bgColor indexed="64"/>
      </patternFill>
    </fill>
    <fill>
      <patternFill patternType="solid">
        <fgColor indexed="61"/>
        <bgColor indexed="28"/>
      </patternFill>
    </fill>
    <fill>
      <patternFill patternType="solid">
        <fgColor indexed="46"/>
        <bgColor indexed="22"/>
      </patternFill>
    </fill>
    <fill>
      <patternFill patternType="solid">
        <fgColor indexed="21"/>
        <bgColor indexed="22"/>
      </patternFill>
    </fill>
    <fill>
      <patternFill patternType="solid">
        <fgColor theme="0" tint="-0.249977111117893"/>
        <bgColor indexed="46"/>
      </patternFill>
    </fill>
    <fill>
      <patternFill patternType="solid">
        <fgColor theme="0" tint="-0.249977111117893"/>
        <bgColor indexed="15"/>
      </patternFill>
    </fill>
    <fill>
      <patternFill patternType="solid">
        <fgColor rgb="FFFF9999"/>
        <bgColor indexed="46"/>
      </patternFill>
    </fill>
    <fill>
      <patternFill patternType="solid">
        <fgColor rgb="FFFF9999"/>
        <bgColor indexed="28"/>
      </patternFill>
    </fill>
    <fill>
      <patternFill patternType="solid">
        <fgColor theme="0" tint="-0.249977111117893"/>
        <bgColor indexed="64"/>
      </patternFill>
    </fill>
    <fill>
      <patternFill patternType="solid">
        <fgColor theme="0" tint="-0.14999847407452621"/>
        <bgColor indexed="28"/>
      </patternFill>
    </fill>
    <fill>
      <patternFill patternType="solid">
        <fgColor theme="0" tint="-0.14999847407452621"/>
        <bgColor indexed="64"/>
      </patternFill>
    </fill>
    <fill>
      <patternFill patternType="solid">
        <fgColor theme="0" tint="-0.14999847407452621"/>
        <bgColor indexed="16"/>
      </patternFill>
    </fill>
    <fill>
      <patternFill patternType="solid">
        <fgColor theme="0" tint="-0.14999847407452621"/>
        <bgColor indexed="38"/>
      </patternFill>
    </fill>
    <fill>
      <patternFill patternType="solid">
        <fgColor theme="0" tint="-0.14999847407452621"/>
        <bgColor indexed="59"/>
      </patternFill>
    </fill>
    <fill>
      <patternFill patternType="solid">
        <fgColor theme="0" tint="-0.14999847407452621"/>
        <bgColor indexed="61"/>
      </patternFill>
    </fill>
    <fill>
      <patternFill patternType="solid">
        <fgColor theme="0" tint="-0.249977111117893"/>
        <bgColor indexed="61"/>
      </patternFill>
    </fill>
    <fill>
      <patternFill patternType="solid">
        <fgColor theme="0" tint="-0.249977111117893"/>
        <bgColor indexed="38"/>
      </patternFill>
    </fill>
    <fill>
      <patternFill patternType="solid">
        <fgColor theme="0" tint="-0.14999847407452621"/>
        <bgColor indexed="56"/>
      </patternFill>
    </fill>
    <fill>
      <patternFill patternType="solid">
        <fgColor theme="0" tint="-0.14999847407452621"/>
        <bgColor indexed="15"/>
      </patternFill>
    </fill>
    <fill>
      <patternFill patternType="solid">
        <fgColor theme="0" tint="-0.14999847407452621"/>
        <bgColor indexed="22"/>
      </patternFill>
    </fill>
    <fill>
      <patternFill patternType="solid">
        <fgColor rgb="FFFFFFCC"/>
        <bgColor indexed="64"/>
      </patternFill>
    </fill>
    <fill>
      <patternFill patternType="solid">
        <fgColor theme="0" tint="-4.9989318521683403E-2"/>
        <bgColor indexed="64"/>
      </patternFill>
    </fill>
    <fill>
      <patternFill patternType="solid">
        <fgColor rgb="FFD9D9D9"/>
        <bgColor indexed="64"/>
      </patternFill>
    </fill>
    <fill>
      <patternFill patternType="solid">
        <fgColor rgb="FFCCFFCC"/>
        <bgColor indexed="64"/>
      </patternFill>
    </fill>
    <fill>
      <patternFill patternType="solid">
        <fgColor theme="0"/>
        <bgColor indexed="64"/>
      </patternFill>
    </fill>
    <fill>
      <patternFill patternType="solid">
        <fgColor rgb="FFCCFFFF"/>
        <bgColor indexed="64"/>
      </patternFill>
    </fill>
    <fill>
      <patternFill patternType="solid">
        <fgColor rgb="FFFFC000"/>
        <bgColor indexed="64"/>
      </patternFill>
    </fill>
    <fill>
      <patternFill patternType="solid">
        <fgColor theme="5" tint="0.79998168889431442"/>
        <bgColor indexed="64"/>
      </patternFill>
    </fill>
    <fill>
      <patternFill patternType="solid">
        <fgColor theme="6" tint="0.59999389629810485"/>
        <bgColor indexed="64"/>
      </patternFill>
    </fill>
    <fill>
      <patternFill patternType="solid">
        <fgColor theme="9" tint="0.39997558519241921"/>
        <bgColor indexed="64"/>
      </patternFill>
    </fill>
    <fill>
      <patternFill patternType="solid">
        <fgColor theme="9" tint="0.59999389629810485"/>
        <bgColor indexed="64"/>
      </patternFill>
    </fill>
    <fill>
      <patternFill patternType="lightUp">
        <fgColor theme="1"/>
        <bgColor theme="0"/>
      </patternFill>
    </fill>
    <fill>
      <patternFill patternType="solid">
        <fgColor rgb="FFD9D9D9"/>
        <bgColor theme="0"/>
      </patternFill>
    </fill>
    <fill>
      <patternFill patternType="solid">
        <fgColor rgb="FFFFFFCC"/>
        <bgColor theme="0"/>
      </patternFill>
    </fill>
    <fill>
      <patternFill patternType="solid">
        <fgColor theme="8" tint="0.79998168889431442"/>
        <bgColor indexed="38"/>
      </patternFill>
    </fill>
    <fill>
      <patternFill patternType="solid">
        <fgColor theme="9" tint="0.59996337778862885"/>
        <bgColor indexed="64"/>
      </patternFill>
    </fill>
    <fill>
      <patternFill patternType="solid">
        <fgColor rgb="FF33CCFF"/>
        <bgColor indexed="64"/>
      </patternFill>
    </fill>
    <fill>
      <patternFill patternType="solid">
        <fgColor rgb="FFCCFF99"/>
        <bgColor indexed="64"/>
      </patternFill>
    </fill>
    <fill>
      <patternFill patternType="solid">
        <fgColor theme="6" tint="0.59999389629810485"/>
        <bgColor theme="6" tint="0.59999389629810485"/>
      </patternFill>
    </fill>
    <fill>
      <patternFill patternType="solid">
        <fgColor theme="6" tint="0.79998168889431442"/>
        <bgColor theme="6" tint="0.79998168889431442"/>
      </patternFill>
    </fill>
    <fill>
      <patternFill patternType="solid">
        <fgColor theme="5"/>
        <bgColor theme="5"/>
      </patternFill>
    </fill>
    <fill>
      <patternFill patternType="solid">
        <fgColor theme="5" tint="0.59999389629810485"/>
        <bgColor theme="5" tint="0.59999389629810485"/>
      </patternFill>
    </fill>
    <fill>
      <patternFill patternType="solid">
        <fgColor theme="5" tint="0.79998168889431442"/>
        <bgColor theme="5" tint="0.79998168889431442"/>
      </patternFill>
    </fill>
    <fill>
      <patternFill patternType="solid">
        <fgColor rgb="FFCCFFCC"/>
        <bgColor indexed="16"/>
      </patternFill>
    </fill>
    <fill>
      <patternFill patternType="solid">
        <fgColor theme="4"/>
        <bgColor theme="4"/>
      </patternFill>
    </fill>
    <fill>
      <patternFill patternType="solid">
        <fgColor theme="4" tint="0.59999389629810485"/>
        <bgColor theme="4" tint="0.59999389629810485"/>
      </patternFill>
    </fill>
    <fill>
      <patternFill patternType="solid">
        <fgColor theme="4" tint="0.79998168889431442"/>
        <bgColor theme="4" tint="0.79998168889431442"/>
      </patternFill>
    </fill>
    <fill>
      <gradientFill degree="90">
        <stop position="0">
          <color theme="0"/>
        </stop>
        <stop position="1">
          <color rgb="FFFFC000"/>
        </stop>
      </gradientFill>
    </fill>
    <fill>
      <gradientFill degree="90">
        <stop position="0">
          <color theme="0"/>
        </stop>
        <stop position="1">
          <color theme="6"/>
        </stop>
      </gradientFill>
    </fill>
  </fills>
  <borders count="302">
    <border>
      <left/>
      <right/>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9"/>
      </top>
      <bottom style="double">
        <color indexed="49"/>
      </bottom>
      <diagonal/>
    </border>
    <border>
      <left style="thin">
        <color indexed="22"/>
      </left>
      <right style="thin">
        <color indexed="22"/>
      </right>
      <top style="thin">
        <color indexed="22"/>
      </top>
      <bottom style="thin">
        <color indexed="22"/>
      </bottom>
      <diagonal/>
    </border>
    <border>
      <left/>
      <right/>
      <top/>
      <bottom style="thick">
        <color indexed="49"/>
      </bottom>
      <diagonal/>
    </border>
    <border>
      <left/>
      <right/>
      <top/>
      <bottom style="thick">
        <color indexed="22"/>
      </bottom>
      <diagonal/>
    </border>
    <border>
      <left/>
      <right/>
      <top/>
      <bottom style="medium">
        <color indexed="49"/>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style="thin">
        <color indexed="8"/>
      </left>
      <right style="thin">
        <color indexed="8"/>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style="thin">
        <color indexed="8"/>
      </top>
      <bottom style="medium">
        <color indexed="8"/>
      </bottom>
      <diagonal/>
    </border>
    <border>
      <left style="thin">
        <color indexed="8"/>
      </left>
      <right/>
      <top style="thin">
        <color indexed="8"/>
      </top>
      <bottom style="medium">
        <color indexed="8"/>
      </bottom>
      <diagonal/>
    </border>
    <border>
      <left/>
      <right style="thin">
        <color indexed="8"/>
      </right>
      <top style="thin">
        <color indexed="8"/>
      </top>
      <bottom style="medium">
        <color indexed="8"/>
      </bottom>
      <diagonal/>
    </border>
    <border>
      <left style="medium">
        <color indexed="8"/>
      </left>
      <right/>
      <top style="thin">
        <color indexed="8"/>
      </top>
      <bottom style="medium">
        <color indexed="8"/>
      </bottom>
      <diagonal/>
    </border>
    <border>
      <left style="medium">
        <color indexed="8"/>
      </left>
      <right style="thin">
        <color indexed="8"/>
      </right>
      <top style="medium">
        <color indexed="8"/>
      </top>
      <bottom style="medium">
        <color indexed="8"/>
      </bottom>
      <diagonal/>
    </border>
    <border>
      <left style="thin">
        <color indexed="8"/>
      </left>
      <right/>
      <top style="medium">
        <color indexed="8"/>
      </top>
      <bottom style="medium">
        <color indexed="8"/>
      </bottom>
      <diagonal/>
    </border>
    <border>
      <left style="thin">
        <color indexed="8"/>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style="medium">
        <color indexed="8"/>
      </left>
      <right style="thin">
        <color indexed="8"/>
      </right>
      <top style="thin">
        <color indexed="8"/>
      </top>
      <bottom style="thin">
        <color indexed="8"/>
      </bottom>
      <diagonal/>
    </border>
    <border>
      <left style="medium">
        <color indexed="8"/>
      </left>
      <right style="medium">
        <color indexed="8"/>
      </right>
      <top/>
      <bottom style="thin">
        <color indexed="8"/>
      </bottom>
      <diagonal/>
    </border>
    <border>
      <left style="medium">
        <color indexed="8"/>
      </left>
      <right style="medium">
        <color indexed="8"/>
      </right>
      <top style="thin">
        <color indexed="8"/>
      </top>
      <bottom style="thin">
        <color indexed="8"/>
      </bottom>
      <diagonal/>
    </border>
    <border>
      <left style="medium">
        <color indexed="8"/>
      </left>
      <right/>
      <top style="thin">
        <color indexed="8"/>
      </top>
      <bottom style="thin">
        <color indexed="8"/>
      </bottom>
      <diagonal/>
    </border>
    <border>
      <left style="thin">
        <color indexed="8"/>
      </left>
      <right style="medium">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style="thin">
        <color indexed="8"/>
      </top>
      <bottom/>
      <diagonal/>
    </border>
    <border>
      <left style="medium">
        <color indexed="8"/>
      </left>
      <right style="thin">
        <color indexed="8"/>
      </right>
      <top style="thin">
        <color indexed="8"/>
      </top>
      <bottom/>
      <diagonal/>
    </border>
    <border>
      <left style="medium">
        <color indexed="8"/>
      </left>
      <right style="thin">
        <color indexed="8"/>
      </right>
      <top style="thin">
        <color indexed="8"/>
      </top>
      <bottom style="medium">
        <color indexed="8"/>
      </bottom>
      <diagonal/>
    </border>
    <border>
      <left style="medium">
        <color indexed="8"/>
      </left>
      <right style="medium">
        <color indexed="8"/>
      </right>
      <top style="thin">
        <color indexed="8"/>
      </top>
      <bottom style="medium">
        <color indexed="8"/>
      </bottom>
      <diagonal/>
    </border>
    <border>
      <left style="medium">
        <color indexed="8"/>
      </left>
      <right style="thin">
        <color indexed="8"/>
      </right>
      <top/>
      <bottom style="medium">
        <color indexed="8"/>
      </bottom>
      <diagonal/>
    </border>
    <border>
      <left style="thin">
        <color indexed="8"/>
      </left>
      <right style="medium">
        <color indexed="8"/>
      </right>
      <top/>
      <bottom style="medium">
        <color indexed="8"/>
      </bottom>
      <diagonal/>
    </border>
    <border>
      <left style="thin">
        <color indexed="8"/>
      </left>
      <right style="thin">
        <color indexed="8"/>
      </right>
      <top/>
      <bottom style="thin">
        <color indexed="8"/>
      </bottom>
      <diagonal/>
    </border>
    <border>
      <left style="thin">
        <color indexed="8"/>
      </left>
      <right/>
      <top/>
      <bottom/>
      <diagonal/>
    </border>
    <border>
      <left/>
      <right style="thin">
        <color indexed="8"/>
      </right>
      <top/>
      <bottom/>
      <diagonal/>
    </border>
    <border diagonalUp="1">
      <left style="thin">
        <color indexed="8"/>
      </left>
      <right style="thin">
        <color indexed="8"/>
      </right>
      <top style="thin">
        <color indexed="8"/>
      </top>
      <bottom style="thin">
        <color indexed="8"/>
      </bottom>
      <diagonal style="thin">
        <color indexed="8"/>
      </diagonal>
    </border>
    <border>
      <left style="thin">
        <color indexed="8"/>
      </left>
      <right/>
      <top style="thin">
        <color indexed="8"/>
      </top>
      <bottom/>
      <diagonal/>
    </border>
    <border>
      <left/>
      <right style="thin">
        <color indexed="8"/>
      </right>
      <top style="thin">
        <color indexed="8"/>
      </top>
      <bottom/>
      <diagonal/>
    </border>
    <border>
      <left style="medium">
        <color indexed="8"/>
      </left>
      <right style="medium">
        <color indexed="8"/>
      </right>
      <top style="medium">
        <color indexed="8"/>
      </top>
      <bottom style="medium">
        <color indexed="8"/>
      </bottom>
      <diagonal/>
    </border>
    <border>
      <left style="medium">
        <color indexed="8"/>
      </left>
      <right style="thin">
        <color indexed="8"/>
      </right>
      <top/>
      <bottom style="thin">
        <color indexed="8"/>
      </bottom>
      <diagonal/>
    </border>
    <border>
      <left style="thin">
        <color indexed="8"/>
      </left>
      <right style="medium">
        <color indexed="8"/>
      </right>
      <top/>
      <bottom style="thin">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style="medium">
        <color indexed="8"/>
      </left>
      <right style="medium">
        <color indexed="8"/>
      </right>
      <top style="medium">
        <color indexed="8"/>
      </top>
      <bottom/>
      <diagonal/>
    </border>
    <border>
      <left/>
      <right/>
      <top style="thin">
        <color indexed="8"/>
      </top>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right style="thin">
        <color indexed="8"/>
      </right>
      <top style="medium">
        <color indexed="8"/>
      </top>
      <bottom style="medium">
        <color indexed="8"/>
      </bottom>
      <diagonal/>
    </border>
    <border>
      <left style="thin">
        <color indexed="8"/>
      </left>
      <right style="medium">
        <color indexed="8"/>
      </right>
      <top style="medium">
        <color indexed="8"/>
      </top>
      <bottom style="thin">
        <color indexed="8"/>
      </bottom>
      <diagonal/>
    </border>
    <border>
      <left style="medium">
        <color indexed="8"/>
      </left>
      <right style="medium">
        <color indexed="8"/>
      </right>
      <top style="medium">
        <color indexed="8"/>
      </top>
      <bottom style="thin">
        <color indexed="8"/>
      </bottom>
      <diagonal/>
    </border>
    <border>
      <left style="thin">
        <color indexed="8"/>
      </left>
      <right style="thin">
        <color indexed="8"/>
      </right>
      <top style="thin">
        <color indexed="8"/>
      </top>
      <bottom style="hair">
        <color indexed="8"/>
      </bottom>
      <diagonal/>
    </border>
    <border>
      <left/>
      <right style="medium">
        <color indexed="8"/>
      </right>
      <top/>
      <bottom style="thin">
        <color indexed="8"/>
      </bottom>
      <diagonal/>
    </border>
    <border diagonalUp="1">
      <left style="thin">
        <color indexed="8"/>
      </left>
      <right style="medium">
        <color indexed="8"/>
      </right>
      <top style="thin">
        <color indexed="8"/>
      </top>
      <bottom style="thin">
        <color indexed="8"/>
      </bottom>
      <diagonal style="thin">
        <color indexed="8"/>
      </diagonal>
    </border>
    <border diagonalUp="1">
      <left style="medium">
        <color indexed="8"/>
      </left>
      <right style="thin">
        <color indexed="8"/>
      </right>
      <top style="thin">
        <color indexed="8"/>
      </top>
      <bottom style="thin">
        <color indexed="8"/>
      </bottom>
      <diagonal style="thin">
        <color indexed="8"/>
      </diagonal>
    </border>
    <border diagonalUp="1">
      <left style="medium">
        <color indexed="8"/>
      </left>
      <right/>
      <top style="thin">
        <color indexed="8"/>
      </top>
      <bottom style="thin">
        <color indexed="8"/>
      </bottom>
      <diagonal style="thin">
        <color indexed="8"/>
      </diagonal>
    </border>
    <border diagonalUp="1">
      <left style="medium">
        <color indexed="8"/>
      </left>
      <right/>
      <top style="thin">
        <color indexed="8"/>
      </top>
      <bottom style="medium">
        <color indexed="8"/>
      </bottom>
      <diagonal style="thin">
        <color indexed="8"/>
      </diagonal>
    </border>
    <border diagonalUp="1">
      <left style="thin">
        <color indexed="8"/>
      </left>
      <right style="medium">
        <color indexed="8"/>
      </right>
      <top style="thin">
        <color indexed="8"/>
      </top>
      <bottom style="medium">
        <color indexed="8"/>
      </bottom>
      <diagonal style="thin">
        <color indexed="8"/>
      </diagonal>
    </border>
    <border diagonalUp="1">
      <left style="medium">
        <color indexed="8"/>
      </left>
      <right style="thin">
        <color indexed="8"/>
      </right>
      <top style="thin">
        <color indexed="8"/>
      </top>
      <bottom style="medium">
        <color indexed="8"/>
      </bottom>
      <diagonal style="thin">
        <color indexed="8"/>
      </diagonal>
    </border>
    <border>
      <left/>
      <right style="medium">
        <color indexed="8"/>
      </right>
      <top style="thin">
        <color indexed="8"/>
      </top>
      <bottom style="medium">
        <color indexed="8"/>
      </bottom>
      <diagonal/>
    </border>
    <border>
      <left/>
      <right/>
      <top style="medium">
        <color indexed="8"/>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style="thin">
        <color indexed="64"/>
      </left>
      <right/>
      <top/>
      <bottom style="thin">
        <color indexed="64"/>
      </bottom>
      <diagonal/>
    </border>
    <border>
      <left style="thin">
        <color indexed="8"/>
      </left>
      <right style="medium">
        <color indexed="8"/>
      </right>
      <top style="thin">
        <color indexed="8"/>
      </top>
      <bottom style="medium">
        <color indexed="8"/>
      </bottom>
      <diagonal/>
    </border>
    <border>
      <left style="hair">
        <color indexed="8"/>
      </left>
      <right style="hair">
        <color indexed="8"/>
      </right>
      <top style="hair">
        <color indexed="8"/>
      </top>
      <bottom style="hair">
        <color indexed="8"/>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23"/>
      </right>
      <top style="thin">
        <color indexed="23"/>
      </top>
      <bottom style="thin">
        <color indexed="23"/>
      </bottom>
      <diagonal/>
    </border>
    <border>
      <left style="thin">
        <color indexed="23"/>
      </left>
      <right/>
      <top/>
      <bottom/>
      <diagonal/>
    </border>
    <border>
      <left style="thin">
        <color indexed="8"/>
      </left>
      <right style="thin">
        <color indexed="8"/>
      </right>
      <top/>
      <bottom/>
      <diagonal/>
    </border>
    <border>
      <left/>
      <right style="thin">
        <color indexed="23"/>
      </right>
      <top/>
      <bottom/>
      <diagonal/>
    </border>
    <border>
      <left/>
      <right/>
      <top style="thin">
        <color indexed="64"/>
      </top>
      <bottom style="thin">
        <color indexed="64"/>
      </bottom>
      <diagonal/>
    </border>
    <border>
      <left style="medium">
        <color indexed="64"/>
      </left>
      <right/>
      <top style="medium">
        <color indexed="64"/>
      </top>
      <bottom/>
      <diagonal/>
    </border>
    <border>
      <left/>
      <right/>
      <top style="thin">
        <color indexed="64"/>
      </top>
      <bottom/>
      <diagonal/>
    </border>
    <border>
      <left style="medium">
        <color indexed="8"/>
      </left>
      <right/>
      <top style="medium">
        <color indexed="8"/>
      </top>
      <bottom style="medium">
        <color indexed="8"/>
      </bottom>
      <diagonal/>
    </border>
    <border>
      <left style="medium">
        <color indexed="8"/>
      </left>
      <right/>
      <top style="medium">
        <color indexed="8"/>
      </top>
      <bottom/>
      <diagonal/>
    </border>
    <border>
      <left style="thin">
        <color indexed="8"/>
      </left>
      <right style="thin">
        <color indexed="8"/>
      </right>
      <top style="medium">
        <color indexed="8"/>
      </top>
      <bottom style="thin">
        <color indexed="8"/>
      </bottom>
      <diagonal/>
    </border>
    <border>
      <left style="medium">
        <color indexed="8"/>
      </left>
      <right style="medium">
        <color indexed="8"/>
      </right>
      <top style="thin">
        <color indexed="8"/>
      </top>
      <bottom/>
      <diagonal/>
    </border>
    <border diagonalUp="1">
      <left style="thin">
        <color indexed="8"/>
      </left>
      <right style="thin">
        <color indexed="8"/>
      </right>
      <top/>
      <bottom style="thin">
        <color indexed="8"/>
      </bottom>
      <diagonal style="thin">
        <color indexed="8"/>
      </diagonal>
    </border>
    <border>
      <left/>
      <right/>
      <top/>
      <bottom style="medium">
        <color indexed="8"/>
      </bottom>
      <diagonal/>
    </border>
    <border>
      <left style="medium">
        <color indexed="8"/>
      </left>
      <right/>
      <top style="medium">
        <color indexed="8"/>
      </top>
      <bottom style="thin">
        <color indexed="8"/>
      </bottom>
      <diagonal/>
    </border>
    <border>
      <left/>
      <right/>
      <top style="medium">
        <color indexed="8"/>
      </top>
      <bottom style="thin">
        <color indexed="8"/>
      </bottom>
      <diagonal/>
    </border>
    <border>
      <left/>
      <right style="medium">
        <color indexed="8"/>
      </right>
      <top style="medium">
        <color indexed="8"/>
      </top>
      <bottom/>
      <diagonal/>
    </border>
    <border>
      <left style="medium">
        <color indexed="8"/>
      </left>
      <right style="medium">
        <color indexed="8"/>
      </right>
      <top/>
      <bottom style="medium">
        <color indexed="8"/>
      </bottom>
      <diagonal/>
    </border>
    <border>
      <left style="medium">
        <color indexed="8"/>
      </left>
      <right/>
      <top/>
      <bottom style="medium">
        <color indexed="8"/>
      </bottom>
      <diagonal/>
    </border>
    <border>
      <left style="medium">
        <color indexed="8"/>
      </left>
      <right style="thin">
        <color indexed="8"/>
      </right>
      <top style="medium">
        <color indexed="8"/>
      </top>
      <bottom style="thin">
        <color indexed="8"/>
      </bottom>
      <diagonal/>
    </border>
    <border>
      <left style="thin">
        <color indexed="8"/>
      </left>
      <right/>
      <top style="medium">
        <color indexed="8"/>
      </top>
      <bottom style="thin">
        <color indexed="8"/>
      </bottom>
      <diagonal/>
    </border>
    <border>
      <left style="medium">
        <color indexed="64"/>
      </left>
      <right style="medium">
        <color indexed="8"/>
      </right>
      <top style="medium">
        <color indexed="64"/>
      </top>
      <bottom style="thin">
        <color indexed="8"/>
      </bottom>
      <diagonal/>
    </border>
    <border>
      <left style="medium">
        <color indexed="8"/>
      </left>
      <right style="medium">
        <color indexed="8"/>
      </right>
      <top style="medium">
        <color indexed="64"/>
      </top>
      <bottom style="thin">
        <color indexed="8"/>
      </bottom>
      <diagonal/>
    </border>
    <border>
      <left style="medium">
        <color indexed="8"/>
      </left>
      <right/>
      <top style="medium">
        <color indexed="64"/>
      </top>
      <bottom style="thin">
        <color indexed="8"/>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style="medium">
        <color indexed="8"/>
      </right>
      <top style="medium">
        <color indexed="8"/>
      </top>
      <bottom style="thin">
        <color indexed="8"/>
      </bottom>
      <diagonal/>
    </border>
    <border>
      <left style="medium">
        <color indexed="64"/>
      </left>
      <right style="thin">
        <color indexed="8"/>
      </right>
      <top style="thin">
        <color indexed="8"/>
      </top>
      <bottom style="medium">
        <color indexed="64"/>
      </bottom>
      <diagonal/>
    </border>
    <border>
      <left style="thin">
        <color indexed="8"/>
      </left>
      <right style="thin">
        <color indexed="8"/>
      </right>
      <top style="thin">
        <color indexed="8"/>
      </top>
      <bottom style="medium">
        <color indexed="64"/>
      </bottom>
      <diagonal/>
    </border>
    <border>
      <left style="thin">
        <color indexed="8"/>
      </left>
      <right style="thin">
        <color indexed="8"/>
      </right>
      <top/>
      <bottom style="medium">
        <color indexed="64"/>
      </bottom>
      <diagonal/>
    </border>
    <border>
      <left style="thin">
        <color indexed="8"/>
      </left>
      <right style="medium">
        <color indexed="64"/>
      </right>
      <top/>
      <bottom style="medium">
        <color indexed="64"/>
      </bottom>
      <diagonal/>
    </border>
    <border>
      <left style="thin">
        <color indexed="8"/>
      </left>
      <right/>
      <top/>
      <bottom style="medium">
        <color indexed="64"/>
      </bottom>
      <diagonal/>
    </border>
    <border>
      <left style="medium">
        <color indexed="64"/>
      </left>
      <right style="thin">
        <color indexed="8"/>
      </right>
      <top/>
      <bottom style="medium">
        <color indexed="64"/>
      </bottom>
      <diagonal/>
    </border>
    <border>
      <left style="thin">
        <color indexed="8"/>
      </left>
      <right style="thin">
        <color indexed="8"/>
      </right>
      <top/>
      <bottom style="medium">
        <color indexed="8"/>
      </bottom>
      <diagonal/>
    </border>
    <border>
      <left style="medium">
        <color indexed="64"/>
      </left>
      <right style="thin">
        <color indexed="8"/>
      </right>
      <top style="medium">
        <color indexed="64"/>
      </top>
      <bottom style="thin">
        <color indexed="8"/>
      </bottom>
      <diagonal/>
    </border>
    <border>
      <left style="thin">
        <color indexed="8"/>
      </left>
      <right style="medium">
        <color indexed="64"/>
      </right>
      <top style="medium">
        <color indexed="64"/>
      </top>
      <bottom style="thin">
        <color indexed="8"/>
      </bottom>
      <diagonal/>
    </border>
    <border>
      <left style="thin">
        <color indexed="8"/>
      </left>
      <right style="medium">
        <color indexed="64"/>
      </right>
      <top style="thin">
        <color indexed="8"/>
      </top>
      <bottom style="medium">
        <color indexed="64"/>
      </bottom>
      <diagonal/>
    </border>
    <border>
      <left style="medium">
        <color indexed="8"/>
      </left>
      <right/>
      <top/>
      <bottom/>
      <diagonal/>
    </border>
    <border>
      <left/>
      <right style="medium">
        <color indexed="8"/>
      </right>
      <top/>
      <bottom/>
      <diagonal/>
    </border>
    <border diagonalUp="1">
      <left style="thin">
        <color indexed="23"/>
      </left>
      <right style="thin">
        <color indexed="23"/>
      </right>
      <top style="thin">
        <color indexed="23"/>
      </top>
      <bottom style="thin">
        <color indexed="23"/>
      </bottom>
      <diagonal style="thin">
        <color indexed="8"/>
      </diagonal>
    </border>
    <border>
      <left/>
      <right style="thin">
        <color indexed="64"/>
      </right>
      <top style="thin">
        <color indexed="8"/>
      </top>
      <bottom style="thin">
        <color indexed="64"/>
      </bottom>
      <diagonal/>
    </border>
    <border>
      <left/>
      <right style="thin">
        <color indexed="8"/>
      </right>
      <top style="thin">
        <color indexed="8"/>
      </top>
      <bottom style="thin">
        <color indexed="64"/>
      </bottom>
      <diagonal/>
    </border>
    <border>
      <left/>
      <right style="thin">
        <color indexed="8"/>
      </right>
      <top/>
      <bottom style="thin">
        <color indexed="64"/>
      </bottom>
      <diagonal/>
    </border>
    <border>
      <left style="thin">
        <color indexed="64"/>
      </left>
      <right style="thin">
        <color indexed="8"/>
      </right>
      <top/>
      <bottom style="thin">
        <color indexed="64"/>
      </bottom>
      <diagonal/>
    </border>
    <border>
      <left/>
      <right style="thin">
        <color indexed="64"/>
      </right>
      <top style="thin">
        <color indexed="8"/>
      </top>
      <bottom style="thin">
        <color indexed="8"/>
      </bottom>
      <diagonal/>
    </border>
    <border>
      <left style="thin">
        <color indexed="64"/>
      </left>
      <right style="thin">
        <color indexed="8"/>
      </right>
      <top/>
      <bottom style="thin">
        <color indexed="8"/>
      </bottom>
      <diagonal/>
    </border>
    <border>
      <left/>
      <right style="thin">
        <color indexed="64"/>
      </right>
      <top/>
      <bottom style="thin">
        <color indexed="8"/>
      </bottom>
      <diagonal/>
    </border>
    <border>
      <left style="thin">
        <color indexed="8"/>
      </left>
      <right style="thin">
        <color indexed="64"/>
      </right>
      <top style="thin">
        <color indexed="64"/>
      </top>
      <bottom style="thin">
        <color indexed="64"/>
      </bottom>
      <diagonal/>
    </border>
    <border>
      <left style="thin">
        <color indexed="64"/>
      </left>
      <right style="thin">
        <color indexed="64"/>
      </right>
      <top style="thin">
        <color indexed="64"/>
      </top>
      <bottom style="thin">
        <color indexed="8"/>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23"/>
      </left>
      <right style="thin">
        <color indexed="23"/>
      </right>
      <top style="thin">
        <color indexed="23"/>
      </top>
      <bottom/>
      <diagonal/>
    </border>
    <border>
      <left/>
      <right style="medium">
        <color indexed="8"/>
      </right>
      <top/>
      <bottom style="medium">
        <color indexed="8"/>
      </bottom>
      <diagonal/>
    </border>
    <border diagonalUp="1">
      <left style="medium">
        <color indexed="8"/>
      </left>
      <right style="thin">
        <color indexed="8"/>
      </right>
      <top style="medium">
        <color indexed="8"/>
      </top>
      <bottom style="thin">
        <color indexed="8"/>
      </bottom>
      <diagonal style="thin">
        <color indexed="8"/>
      </diagonal>
    </border>
    <border diagonalUp="1">
      <left style="thin">
        <color indexed="8"/>
      </left>
      <right style="thin">
        <color indexed="8"/>
      </right>
      <top style="medium">
        <color indexed="8"/>
      </top>
      <bottom style="thin">
        <color indexed="8"/>
      </bottom>
      <diagonal style="thin">
        <color indexed="8"/>
      </diagonal>
    </border>
    <border diagonalUp="1">
      <left style="thin">
        <color indexed="8"/>
      </left>
      <right style="thin">
        <color indexed="8"/>
      </right>
      <top style="thin">
        <color indexed="8"/>
      </top>
      <bottom style="medium">
        <color indexed="8"/>
      </bottom>
      <diagonal style="thin">
        <color indexed="8"/>
      </diagonal>
    </border>
    <border>
      <left style="thin">
        <color indexed="8"/>
      </left>
      <right style="medium">
        <color indexed="8"/>
      </right>
      <top style="thin">
        <color indexed="8"/>
      </top>
      <bottom/>
      <diagonal/>
    </border>
    <border>
      <left style="medium">
        <color indexed="64"/>
      </left>
      <right style="medium">
        <color indexed="64"/>
      </right>
      <top/>
      <bottom style="medium">
        <color indexed="64"/>
      </bottom>
      <diagonal/>
    </border>
    <border>
      <left style="medium">
        <color indexed="8"/>
      </left>
      <right/>
      <top/>
      <bottom style="thin">
        <color indexed="8"/>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23"/>
      </bottom>
      <diagonal/>
    </border>
    <border>
      <left/>
      <right style="thin">
        <color indexed="64"/>
      </right>
      <top/>
      <bottom style="thin">
        <color indexed="23"/>
      </bottom>
      <diagonal/>
    </border>
    <border>
      <left style="thin">
        <color indexed="23"/>
      </left>
      <right/>
      <top style="thin">
        <color indexed="23"/>
      </top>
      <bottom style="thin">
        <color indexed="23"/>
      </bottom>
      <diagonal/>
    </border>
    <border>
      <left style="thin">
        <color indexed="64"/>
      </left>
      <right style="thin">
        <color indexed="64"/>
      </right>
      <top/>
      <bottom/>
      <diagonal/>
    </border>
    <border>
      <left style="thin">
        <color indexed="64"/>
      </left>
      <right style="thin">
        <color indexed="64"/>
      </right>
      <top/>
      <bottom style="thin">
        <color indexed="23"/>
      </bottom>
      <diagonal/>
    </border>
    <border>
      <left/>
      <right style="medium">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8"/>
      </left>
      <right/>
      <top/>
      <bottom style="thin">
        <color indexed="64"/>
      </bottom>
      <diagonal/>
    </border>
    <border>
      <left style="thin">
        <color indexed="8"/>
      </left>
      <right/>
      <top style="thin">
        <color indexed="8"/>
      </top>
      <bottom style="thin">
        <color indexed="64"/>
      </bottom>
      <diagonal/>
    </border>
    <border>
      <left style="medium">
        <color indexed="8"/>
      </left>
      <right style="thin">
        <color indexed="8"/>
      </right>
      <top/>
      <bottom/>
      <diagonal/>
    </border>
    <border>
      <left style="medium">
        <color indexed="64"/>
      </left>
      <right/>
      <top style="thin">
        <color indexed="8"/>
      </top>
      <bottom/>
      <diagonal/>
    </border>
    <border>
      <left/>
      <right style="medium">
        <color indexed="8"/>
      </right>
      <top style="thin">
        <color indexed="8"/>
      </top>
      <bottom/>
      <diagonal/>
    </border>
    <border>
      <left/>
      <right style="medium">
        <color indexed="64"/>
      </right>
      <top style="medium">
        <color indexed="64"/>
      </top>
      <bottom style="medium">
        <color indexed="64"/>
      </bottom>
      <diagonal/>
    </border>
    <border>
      <left/>
      <right style="medium">
        <color indexed="64"/>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right style="thin">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top/>
      <bottom style="medium">
        <color indexed="64"/>
      </bottom>
      <diagonal/>
    </border>
    <border>
      <left style="medium">
        <color indexed="64"/>
      </left>
      <right style="medium">
        <color indexed="64"/>
      </right>
      <top style="thin">
        <color indexed="64"/>
      </top>
      <bottom style="medium">
        <color indexed="64"/>
      </bottom>
      <diagonal/>
    </border>
    <border>
      <left style="thin">
        <color indexed="23"/>
      </left>
      <right/>
      <top style="thin">
        <color indexed="23"/>
      </top>
      <bottom/>
      <diagonal/>
    </border>
    <border>
      <left/>
      <right/>
      <top style="thin">
        <color indexed="23"/>
      </top>
      <bottom/>
      <diagonal/>
    </border>
    <border>
      <left/>
      <right/>
      <top style="thin">
        <color indexed="23"/>
      </top>
      <bottom style="thin">
        <color indexed="23"/>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diagonalUp="1">
      <left style="medium">
        <color indexed="8"/>
      </left>
      <right/>
      <top style="medium">
        <color indexed="8"/>
      </top>
      <bottom style="thin">
        <color indexed="8"/>
      </bottom>
      <diagonal style="thin">
        <color indexed="8"/>
      </diagonal>
    </border>
    <border diagonalUp="1">
      <left/>
      <right style="thin">
        <color indexed="8"/>
      </right>
      <top style="medium">
        <color indexed="8"/>
      </top>
      <bottom style="thin">
        <color indexed="8"/>
      </bottom>
      <diagonal style="thin">
        <color indexed="8"/>
      </diagonal>
    </border>
    <border diagonalUp="1">
      <left/>
      <right style="thin">
        <color indexed="8"/>
      </right>
      <top style="thin">
        <color indexed="8"/>
      </top>
      <bottom style="thin">
        <color indexed="8"/>
      </bottom>
      <diagonal style="thin">
        <color indexed="8"/>
      </diagonal>
    </border>
    <border diagonalUp="1">
      <left/>
      <right style="thin">
        <color indexed="8"/>
      </right>
      <top style="thin">
        <color indexed="8"/>
      </top>
      <bottom style="medium">
        <color indexed="8"/>
      </bottom>
      <diagonal style="thin">
        <color indexed="8"/>
      </diagonal>
    </border>
    <border>
      <left style="thin">
        <color indexed="8"/>
      </left>
      <right style="thin">
        <color indexed="8"/>
      </right>
      <top style="medium">
        <color indexed="8"/>
      </top>
      <bottom/>
      <diagonal/>
    </border>
    <border>
      <left style="thin">
        <color indexed="64"/>
      </left>
      <right style="thin">
        <color indexed="64"/>
      </right>
      <top style="thin">
        <color indexed="8"/>
      </top>
      <bottom style="thin">
        <color indexed="8"/>
      </bottom>
      <diagonal/>
    </border>
    <border>
      <left/>
      <right style="thin">
        <color indexed="23"/>
      </right>
      <top/>
      <bottom style="thin">
        <color indexed="23"/>
      </bottom>
      <diagonal/>
    </border>
    <border>
      <left style="medium">
        <color indexed="64"/>
      </left>
      <right style="thin">
        <color indexed="64"/>
      </right>
      <top/>
      <bottom style="thin">
        <color indexed="64"/>
      </bottom>
      <diagonal/>
    </border>
    <border>
      <left style="thin">
        <color indexed="23"/>
      </left>
      <right style="thin">
        <color indexed="23"/>
      </right>
      <top style="thin">
        <color indexed="64"/>
      </top>
      <bottom style="medium">
        <color indexed="64"/>
      </bottom>
      <diagonal/>
    </border>
    <border>
      <left/>
      <right/>
      <top style="medium">
        <color indexed="64"/>
      </top>
      <bottom style="medium">
        <color indexed="64"/>
      </bottom>
      <diagonal/>
    </border>
    <border>
      <left style="thin">
        <color theme="0" tint="-0.499984740745262"/>
      </left>
      <right style="thin">
        <color theme="0" tint="-0.499984740745262"/>
      </right>
      <top style="thin">
        <color theme="0" tint="-0.499984740745262"/>
      </top>
      <bottom/>
      <diagonal/>
    </border>
    <border>
      <left style="thin">
        <color theme="0" tint="-0.499984740745262"/>
      </left>
      <right/>
      <top style="thin">
        <color theme="0" tint="-0.499984740745262"/>
      </top>
      <bottom/>
      <diagonal/>
    </border>
    <border>
      <left style="thin">
        <color auto="1"/>
      </left>
      <right style="thin">
        <color auto="1"/>
      </right>
      <top style="thin">
        <color auto="1"/>
      </top>
      <bottom/>
      <diagonal/>
    </border>
    <border>
      <left style="medium">
        <color auto="1"/>
      </left>
      <right style="medium">
        <color auto="1"/>
      </right>
      <top style="medium">
        <color auto="1"/>
      </top>
      <bottom/>
      <diagonal/>
    </border>
    <border>
      <left style="thin">
        <color auto="1"/>
      </left>
      <right style="thin">
        <color auto="1"/>
      </right>
      <top style="medium">
        <color auto="1"/>
      </top>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top style="thin">
        <color indexed="8"/>
      </top>
      <bottom/>
      <diagonal/>
    </border>
    <border>
      <left style="medium">
        <color auto="1"/>
      </left>
      <right style="thin">
        <color auto="1"/>
      </right>
      <top style="thin">
        <color auto="1"/>
      </top>
      <bottom style="thin">
        <color auto="1"/>
      </bottom>
      <diagonal/>
    </border>
    <border>
      <left style="thin">
        <color auto="1"/>
      </left>
      <right style="thin">
        <color indexed="64"/>
      </right>
      <top style="thin">
        <color indexed="64"/>
      </top>
      <bottom style="thin">
        <color indexed="64"/>
      </bottom>
      <diagonal/>
    </border>
    <border>
      <left/>
      <right/>
      <top style="medium">
        <color auto="1"/>
      </top>
      <bottom/>
      <diagonal/>
    </border>
    <border>
      <left style="medium">
        <color auto="1"/>
      </left>
      <right/>
      <top style="medium">
        <color auto="1"/>
      </top>
      <bottom/>
      <diagonal/>
    </border>
    <border>
      <left/>
      <right style="medium">
        <color auto="1"/>
      </right>
      <top style="medium">
        <color auto="1"/>
      </top>
      <bottom/>
      <diagonal/>
    </border>
    <border>
      <left style="thin">
        <color auto="1"/>
      </left>
      <right/>
      <top style="medium">
        <color indexed="64"/>
      </top>
      <bottom style="thin">
        <color auto="1"/>
      </bottom>
      <diagonal/>
    </border>
    <border>
      <left/>
      <right/>
      <top style="medium">
        <color indexed="64"/>
      </top>
      <bottom style="thin">
        <color auto="1"/>
      </bottom>
      <diagonal/>
    </border>
    <border>
      <left/>
      <right style="medium">
        <color auto="1"/>
      </right>
      <top style="medium">
        <color indexed="64"/>
      </top>
      <bottom style="thin">
        <color auto="1"/>
      </bottom>
      <diagonal/>
    </border>
    <border>
      <left style="thin">
        <color auto="1"/>
      </left>
      <right style="medium">
        <color auto="1"/>
      </right>
      <top style="thin">
        <color auto="1"/>
      </top>
      <bottom style="thin">
        <color auto="1"/>
      </bottom>
      <diagonal/>
    </border>
    <border>
      <left/>
      <right style="medium">
        <color auto="1"/>
      </right>
      <top style="thin">
        <color auto="1"/>
      </top>
      <bottom style="thin">
        <color auto="1"/>
      </bottom>
      <diagonal/>
    </border>
    <border>
      <left style="medium">
        <color auto="1"/>
      </left>
      <right style="thin">
        <color auto="1"/>
      </right>
      <top style="thin">
        <color auto="1"/>
      </top>
      <bottom/>
      <diagonal/>
    </border>
    <border>
      <left style="thin">
        <color auto="1"/>
      </left>
      <right style="medium">
        <color auto="1"/>
      </right>
      <top/>
      <bottom style="thin">
        <color auto="1"/>
      </bottom>
      <diagonal/>
    </border>
    <border>
      <left style="medium">
        <color auto="1"/>
      </left>
      <right style="thin">
        <color auto="1"/>
      </right>
      <top/>
      <bottom style="thin">
        <color auto="1"/>
      </bottom>
      <diagonal/>
    </border>
    <border>
      <left style="thin">
        <color auto="1"/>
      </left>
      <right style="thin">
        <color indexed="64"/>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thin">
        <color indexed="64"/>
      </left>
      <right/>
      <top/>
      <bottom style="thin">
        <color auto="1"/>
      </bottom>
      <diagonal/>
    </border>
    <border>
      <left/>
      <right style="thin">
        <color auto="1"/>
      </right>
      <top/>
      <bottom style="thin">
        <color auto="1"/>
      </bottom>
      <diagonal/>
    </border>
    <border>
      <left/>
      <right style="thin">
        <color indexed="64"/>
      </right>
      <top style="medium">
        <color indexed="64"/>
      </top>
      <bottom/>
      <diagonal/>
    </border>
    <border>
      <left/>
      <right/>
      <top/>
      <bottom style="thin">
        <color indexed="64"/>
      </bottom>
      <diagonal/>
    </border>
    <border>
      <left style="thin">
        <color auto="1"/>
      </left>
      <right/>
      <top style="medium">
        <color auto="1"/>
      </top>
      <bottom/>
      <diagonal/>
    </border>
    <border>
      <left/>
      <right style="medium">
        <color indexed="64"/>
      </right>
      <top/>
      <bottom style="thin">
        <color indexed="64"/>
      </bottom>
      <diagonal/>
    </border>
    <border>
      <left style="medium">
        <color indexed="64"/>
      </left>
      <right/>
      <top style="thin">
        <color indexed="23"/>
      </top>
      <bottom style="thin">
        <color indexed="23"/>
      </bottom>
      <diagonal/>
    </border>
    <border>
      <left style="medium">
        <color indexed="64"/>
      </left>
      <right/>
      <top style="thin">
        <color indexed="23"/>
      </top>
      <bottom style="medium">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auto="1"/>
      </bottom>
      <diagonal/>
    </border>
    <border>
      <left/>
      <right style="thin">
        <color auto="1"/>
      </right>
      <top style="medium">
        <color indexed="64"/>
      </top>
      <bottom style="thin">
        <color auto="1"/>
      </bottom>
      <diagonal/>
    </border>
    <border>
      <left/>
      <right style="medium">
        <color indexed="23"/>
      </right>
      <top style="medium">
        <color indexed="64"/>
      </top>
      <bottom style="thin">
        <color auto="1"/>
      </bottom>
      <diagonal/>
    </border>
    <border>
      <left style="medium">
        <color indexed="23"/>
      </left>
      <right/>
      <top style="thin">
        <color indexed="23"/>
      </top>
      <bottom style="thin">
        <color indexed="23"/>
      </bottom>
      <diagonal/>
    </border>
    <border>
      <left/>
      <right style="medium">
        <color indexed="23"/>
      </right>
      <top style="thin">
        <color indexed="64"/>
      </top>
      <bottom style="thin">
        <color indexed="64"/>
      </bottom>
      <diagonal/>
    </border>
    <border>
      <left style="thin">
        <color indexed="64"/>
      </left>
      <right/>
      <top style="thin">
        <color indexed="64"/>
      </top>
      <bottom style="medium">
        <color indexed="23"/>
      </bottom>
      <diagonal/>
    </border>
    <border>
      <left/>
      <right style="thin">
        <color indexed="64"/>
      </right>
      <top style="thin">
        <color indexed="64"/>
      </top>
      <bottom style="medium">
        <color indexed="23"/>
      </bottom>
      <diagonal/>
    </border>
    <border>
      <left style="medium">
        <color auto="1"/>
      </left>
      <right style="medium">
        <color auto="1"/>
      </right>
      <top style="medium">
        <color auto="1"/>
      </top>
      <bottom style="medium">
        <color auto="1"/>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style="medium">
        <color indexed="64"/>
      </top>
      <bottom style="thin">
        <color indexed="64"/>
      </bottom>
      <diagonal/>
    </border>
    <border>
      <left/>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auto="1"/>
      </bottom>
      <diagonal/>
    </border>
    <border>
      <left/>
      <right style="thin">
        <color indexed="64"/>
      </right>
      <top/>
      <bottom style="thin">
        <color indexed="64"/>
      </bottom>
      <diagonal/>
    </border>
    <border>
      <left/>
      <right/>
      <top style="medium">
        <color indexed="64"/>
      </top>
      <bottom style="thin">
        <color indexed="64"/>
      </bottom>
      <diagonal/>
    </border>
    <border>
      <left style="medium">
        <color indexed="64"/>
      </left>
      <right style="thin">
        <color indexed="64"/>
      </right>
      <top style="medium">
        <color indexed="64"/>
      </top>
      <bottom style="thin">
        <color indexed="23"/>
      </bottom>
      <diagonal/>
    </border>
    <border>
      <left style="medium">
        <color indexed="64"/>
      </left>
      <right/>
      <top style="thin">
        <color indexed="23"/>
      </top>
      <bottom/>
      <diagonal/>
    </border>
    <border>
      <left style="medium">
        <color indexed="64"/>
      </left>
      <right/>
      <top style="medium">
        <color indexed="64"/>
      </top>
      <bottom style="thin">
        <color indexed="23"/>
      </bottom>
      <diagonal/>
    </border>
    <border>
      <left/>
      <right style="thin">
        <color indexed="64"/>
      </right>
      <top style="medium">
        <color indexed="64"/>
      </top>
      <bottom style="thin">
        <color indexed="64"/>
      </bottom>
      <diagonal/>
    </border>
    <border>
      <left style="thin">
        <color indexed="8"/>
      </left>
      <right/>
      <top/>
      <bottom style="thin">
        <color indexed="8"/>
      </bottom>
      <diagonal/>
    </border>
    <border>
      <left/>
      <right style="thin">
        <color indexed="8"/>
      </right>
      <top/>
      <bottom style="thin">
        <color indexed="8"/>
      </bottom>
      <diagonal/>
    </border>
    <border>
      <left style="thin">
        <color auto="1"/>
      </left>
      <right style="thin">
        <color indexed="64"/>
      </right>
      <top style="thin">
        <color indexed="64"/>
      </top>
      <bottom style="thin">
        <color indexed="64"/>
      </bottom>
      <diagonal/>
    </border>
    <border>
      <left style="thin">
        <color indexed="23"/>
      </left>
      <right style="thin">
        <color indexed="23"/>
      </right>
      <top style="thin">
        <color indexed="23"/>
      </top>
      <bottom/>
      <diagonal/>
    </border>
    <border>
      <left/>
      <right style="medium">
        <color indexed="23"/>
      </right>
      <top style="thin">
        <color indexed="64"/>
      </top>
      <bottom/>
      <diagonal/>
    </border>
    <border>
      <left style="thin">
        <color auto="1"/>
      </left>
      <right style="thin">
        <color indexed="64"/>
      </right>
      <top/>
      <bottom style="thin">
        <color indexed="64"/>
      </bottom>
      <diagonal/>
    </border>
    <border>
      <left/>
      <right/>
      <top style="thin">
        <color theme="0"/>
      </top>
      <bottom/>
      <diagonal/>
    </border>
    <border>
      <left style="thin">
        <color theme="0"/>
      </left>
      <right/>
      <top style="thin">
        <color theme="0"/>
      </top>
      <bottom/>
      <diagonal/>
    </border>
    <border>
      <left style="thin">
        <color theme="0"/>
      </left>
      <right/>
      <top/>
      <bottom/>
      <diagonal/>
    </border>
    <border>
      <left/>
      <right/>
      <top style="thick">
        <color theme="0"/>
      </top>
      <bottom/>
      <diagonal/>
    </border>
    <border>
      <left style="thin">
        <color theme="0"/>
      </left>
      <right/>
      <top style="thick">
        <color theme="0"/>
      </top>
      <bottom/>
      <diagonal/>
    </border>
    <border>
      <left style="thin">
        <color theme="0"/>
      </left>
      <right/>
      <top style="thin">
        <color theme="0"/>
      </top>
      <bottom style="thin">
        <color theme="0"/>
      </bottom>
      <diagonal/>
    </border>
    <border>
      <left style="thin">
        <color theme="0"/>
      </left>
      <right style="thin">
        <color theme="0"/>
      </right>
      <top/>
      <bottom style="thick">
        <color theme="0"/>
      </bottom>
      <diagonal/>
    </border>
    <border>
      <left style="thin">
        <color theme="0"/>
      </left>
      <right style="thin">
        <color theme="0"/>
      </right>
      <top/>
      <bottom/>
      <diagonal/>
    </border>
    <border>
      <left style="thin">
        <color theme="0"/>
      </left>
      <right/>
      <top style="medium">
        <color indexed="64"/>
      </top>
      <bottom/>
      <diagonal/>
    </border>
    <border>
      <left/>
      <right style="thin">
        <color theme="0"/>
      </right>
      <top/>
      <bottom/>
      <diagonal/>
    </border>
    <border>
      <left/>
      <right style="thin">
        <color indexed="64"/>
      </right>
      <top style="thin">
        <color indexed="64"/>
      </top>
      <bottom/>
      <diagonal/>
    </border>
    <border>
      <left style="thin">
        <color theme="0"/>
      </left>
      <right/>
      <top style="thin">
        <color indexed="64"/>
      </top>
      <bottom/>
      <diagonal/>
    </border>
    <border>
      <left/>
      <right style="thin">
        <color indexed="8"/>
      </right>
      <top/>
      <bottom style="medium">
        <color indexed="8"/>
      </bottom>
      <diagonal/>
    </border>
    <border>
      <left style="medium">
        <color indexed="64"/>
      </left>
      <right style="thin">
        <color indexed="8"/>
      </right>
      <top style="medium">
        <color indexed="64"/>
      </top>
      <bottom style="medium">
        <color indexed="64"/>
      </bottom>
      <diagonal/>
    </border>
    <border>
      <left style="thin">
        <color indexed="8"/>
      </left>
      <right style="thin">
        <color indexed="8"/>
      </right>
      <top style="medium">
        <color indexed="64"/>
      </top>
      <bottom style="medium">
        <color indexed="64"/>
      </bottom>
      <diagonal/>
    </border>
    <border>
      <left style="thin">
        <color indexed="8"/>
      </left>
      <right style="medium">
        <color indexed="64"/>
      </right>
      <top style="medium">
        <color indexed="64"/>
      </top>
      <bottom style="medium">
        <color indexed="64"/>
      </bottom>
      <diagonal/>
    </border>
    <border>
      <left/>
      <right/>
      <top style="thin">
        <color indexed="8"/>
      </top>
      <bottom style="medium">
        <color indexed="8"/>
      </bottom>
      <diagonal/>
    </border>
    <border>
      <left style="medium">
        <color indexed="64"/>
      </left>
      <right style="thin">
        <color indexed="8"/>
      </right>
      <top style="medium">
        <color indexed="64"/>
      </top>
      <bottom style="medium">
        <color indexed="64"/>
      </bottom>
      <diagonal/>
    </border>
    <border>
      <left style="thin">
        <color indexed="8"/>
      </left>
      <right style="thin">
        <color indexed="8"/>
      </right>
      <top style="medium">
        <color indexed="64"/>
      </top>
      <bottom style="medium">
        <color indexed="64"/>
      </bottom>
      <diagonal/>
    </border>
    <border>
      <left style="thin">
        <color indexed="8"/>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auto="1"/>
      </left>
      <right/>
      <top/>
      <bottom/>
      <diagonal/>
    </border>
    <border>
      <left/>
      <right style="thin">
        <color theme="0"/>
      </right>
      <top style="thin">
        <color theme="0"/>
      </top>
      <bottom style="thin">
        <color theme="0"/>
      </bottom>
      <diagonal/>
    </border>
    <border>
      <left/>
      <right style="thin">
        <color theme="0"/>
      </right>
      <top style="thin">
        <color theme="0"/>
      </top>
      <bottom/>
      <diagonal/>
    </border>
    <border>
      <left style="thin">
        <color auto="1"/>
      </left>
      <right/>
      <top style="thin">
        <color auto="1"/>
      </top>
      <bottom style="thin">
        <color auto="1"/>
      </bottom>
      <diagonal/>
    </border>
  </borders>
  <cellStyleXfs count="627">
    <xf numFmtId="0" fontId="0" fillId="0" borderId="0"/>
    <xf numFmtId="0" fontId="17" fillId="2" borderId="0" applyNumberFormat="0" applyBorder="0" applyProtection="0"/>
    <xf numFmtId="0" fontId="17" fillId="3" borderId="0" applyNumberFormat="0" applyBorder="0" applyProtection="0"/>
    <xf numFmtId="0" fontId="17" fillId="4" borderId="0" applyNumberFormat="0" applyBorder="0" applyProtection="0"/>
    <xf numFmtId="0" fontId="17" fillId="5" borderId="0" applyNumberFormat="0" applyBorder="0" applyProtection="0"/>
    <xf numFmtId="0" fontId="17" fillId="2" borderId="0" applyNumberFormat="0" applyBorder="0" applyProtection="0"/>
    <xf numFmtId="0" fontId="17" fillId="6" borderId="0" applyNumberFormat="0" applyBorder="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24" fillId="0" borderId="0" applyNumberFormat="0" applyFill="0" applyBorder="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2" fillId="0" borderId="0" applyNumberFormat="0" applyFill="0" applyBorder="0" applyProtection="0"/>
    <xf numFmtId="0" fontId="186" fillId="0" borderId="0" applyBorder="0" applyProtection="0"/>
    <xf numFmtId="0" fontId="24" fillId="0" borderId="0" applyNumberFormat="0" applyFill="0" applyBorder="0" applyProtection="0"/>
    <xf numFmtId="0" fontId="23" fillId="9" borderId="0" applyNumberFormat="0" applyBorder="0" applyProtection="0"/>
    <xf numFmtId="0" fontId="60" fillId="0" borderId="0" applyNumberFormat="0" applyFill="0" applyBorder="0" applyProtection="0"/>
    <xf numFmtId="0" fontId="60" fillId="0" borderId="0" applyNumberFormat="0" applyFill="0" applyBorder="0" applyProtection="0"/>
    <xf numFmtId="0" fontId="187" fillId="0" borderId="0" applyBorder="0" applyProtection="0"/>
    <xf numFmtId="0" fontId="24" fillId="0" borderId="0" applyNumberFormat="0" applyFill="0" applyBorder="0" applyProtection="0"/>
    <xf numFmtId="43" fontId="11" fillId="0" borderId="0" applyFont="0" applyFill="0" applyBorder="0" applyAlignment="0" applyProtection="0"/>
    <xf numFmtId="165" fontId="110" fillId="0" borderId="0" applyFill="0" applyBorder="0" applyProtection="0"/>
    <xf numFmtId="166" fontId="110" fillId="0" borderId="0" applyFill="0" applyBorder="0" applyProtection="0"/>
    <xf numFmtId="165" fontId="110" fillId="0" borderId="0" applyFill="0" applyBorder="0" applyProtection="0"/>
    <xf numFmtId="0" fontId="24" fillId="0" borderId="0" applyNumberFormat="0" applyFill="0" applyBorder="0" applyProtection="0"/>
    <xf numFmtId="0" fontId="24" fillId="0" borderId="0" applyNumberFormat="0" applyFill="0" applyBorder="0" applyProtection="0"/>
    <xf numFmtId="43" fontId="16" fillId="0" borderId="0" applyFont="0" applyFill="0" applyBorder="0" applyAlignment="0" applyProtection="0"/>
    <xf numFmtId="43" fontId="15" fillId="0" borderId="0" applyFont="0" applyFill="0" applyBorder="0" applyAlignment="0" applyProtection="0"/>
    <xf numFmtId="43" fontId="14" fillId="0" borderId="0" applyFont="0" applyFill="0" applyBorder="0" applyAlignment="0" applyProtection="0"/>
    <xf numFmtId="43" fontId="13"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3"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1" fillId="0" borderId="0" applyFont="0" applyFill="0" applyBorder="0" applyAlignment="0" applyProtection="0"/>
    <xf numFmtId="43" fontId="14" fillId="0" borderId="0" applyFont="0" applyFill="0" applyBorder="0" applyAlignment="0" applyProtection="0"/>
    <xf numFmtId="43" fontId="13"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1" fillId="0" borderId="0" applyFont="0" applyFill="0" applyBorder="0" applyAlignment="0" applyProtection="0"/>
    <xf numFmtId="43" fontId="13"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1" fillId="0" borderId="0" applyFont="0" applyFill="0" applyBorder="0" applyAlignment="0" applyProtection="0"/>
    <xf numFmtId="0" fontId="24" fillId="0" borderId="0" applyNumberFormat="0" applyFill="0" applyBorder="0" applyProtection="0"/>
    <xf numFmtId="43" fontId="15" fillId="0" borderId="0" applyFont="0" applyFill="0" applyBorder="0" applyAlignment="0" applyProtection="0"/>
    <xf numFmtId="43" fontId="14" fillId="0" borderId="0" applyFont="0" applyFill="0" applyBorder="0" applyAlignment="0" applyProtection="0"/>
    <xf numFmtId="43" fontId="13"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3"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1" fillId="0" borderId="0" applyFont="0" applyFill="0" applyBorder="0" applyAlignment="0" applyProtection="0"/>
    <xf numFmtId="43" fontId="14" fillId="0" borderId="0" applyFont="0" applyFill="0" applyBorder="0" applyAlignment="0" applyProtection="0"/>
    <xf numFmtId="43" fontId="13"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1" fillId="0" borderId="0" applyFont="0" applyFill="0" applyBorder="0" applyAlignment="0" applyProtection="0"/>
    <xf numFmtId="0" fontId="125" fillId="0" borderId="0" applyBorder="0" applyProtection="0"/>
    <xf numFmtId="0" fontId="25" fillId="8" borderId="0" applyNumberFormat="0" applyBorder="0" applyProtection="0"/>
    <xf numFmtId="0" fontId="110" fillId="10" borderId="4" applyNumberFormat="0" applyProtection="0"/>
    <xf numFmtId="0" fontId="110" fillId="11"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1" borderId="4" applyNumberFormat="0" applyProtection="0"/>
    <xf numFmtId="0" fontId="110" fillId="11" borderId="4" applyNumberFormat="0" applyProtection="0"/>
    <xf numFmtId="0" fontId="110" fillId="11"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1" borderId="4" applyNumberFormat="0" applyProtection="0"/>
    <xf numFmtId="0" fontId="110" fillId="11" borderId="4" applyNumberFormat="0" applyProtection="0"/>
    <xf numFmtId="0" fontId="24" fillId="0" borderId="0" applyNumberFormat="0" applyFill="0" applyBorder="0" applyProtection="0"/>
    <xf numFmtId="9" fontId="110" fillId="0" borderId="0" applyFill="0" applyBorder="0" applyProtection="0"/>
    <xf numFmtId="0" fontId="24" fillId="0" borderId="0" applyNumberFormat="0" applyFill="0" applyBorder="0" applyProtection="0"/>
    <xf numFmtId="0" fontId="24" fillId="0" borderId="0" applyNumberFormat="0" applyFill="0" applyBorder="0" applyProtection="0"/>
    <xf numFmtId="0" fontId="24" fillId="0" borderId="0" applyNumberFormat="0" applyFill="0" applyBorder="0" applyProtection="0"/>
    <xf numFmtId="0" fontId="125" fillId="0" borderId="0" applyBorder="0" applyProtection="0"/>
    <xf numFmtId="0" fontId="24" fillId="0" borderId="0" applyNumberFormat="0" applyFill="0" applyBorder="0" applyProtection="0"/>
    <xf numFmtId="0" fontId="26" fillId="12" borderId="0" applyNumberFormat="0" applyBorder="0" applyProtection="0"/>
    <xf numFmtId="0" fontId="18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27" fillId="0" borderId="0"/>
    <xf numFmtId="0" fontId="110" fillId="0" borderId="0"/>
    <xf numFmtId="0" fontId="130" fillId="0" borderId="0"/>
    <xf numFmtId="0" fontId="110" fillId="0" borderId="0"/>
    <xf numFmtId="0" fontId="185" fillId="0" borderId="0"/>
    <xf numFmtId="0" fontId="185" fillId="0" borderId="0"/>
    <xf numFmtId="0" fontId="185" fillId="0" borderId="0"/>
    <xf numFmtId="0" fontId="110" fillId="0" borderId="0"/>
    <xf numFmtId="0" fontId="110" fillId="0" borderId="0"/>
    <xf numFmtId="0" fontId="124" fillId="0" borderId="0"/>
    <xf numFmtId="0" fontId="110" fillId="0" borderId="0"/>
    <xf numFmtId="0" fontId="110" fillId="0" borderId="0"/>
    <xf numFmtId="0" fontId="27" fillId="0" borderId="0"/>
    <xf numFmtId="0" fontId="27" fillId="0" borderId="0"/>
    <xf numFmtId="0" fontId="27" fillId="0" borderId="0"/>
    <xf numFmtId="0" fontId="27" fillId="0" borderId="0"/>
    <xf numFmtId="0" fontId="110" fillId="0" borderId="0"/>
    <xf numFmtId="0" fontId="27" fillId="0" borderId="0"/>
    <xf numFmtId="0" fontId="110"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10" fillId="0" borderId="0"/>
    <xf numFmtId="0" fontId="31" fillId="0" borderId="0" applyNumberFormat="0" applyFill="0" applyBorder="0" applyProtection="0"/>
    <xf numFmtId="0" fontId="32" fillId="0" borderId="5" applyNumberFormat="0" applyFill="0" applyProtection="0"/>
    <xf numFmtId="0" fontId="31" fillId="0" borderId="0" applyNumberFormat="0" applyFill="0" applyBorder="0" applyProtection="0"/>
    <xf numFmtId="0" fontId="33" fillId="0" borderId="6" applyNumberFormat="0" applyFill="0" applyProtection="0"/>
    <xf numFmtId="0" fontId="34" fillId="0" borderId="7" applyNumberFormat="0" applyFill="0" applyProtection="0"/>
    <xf numFmtId="0" fontId="34" fillId="0" borderId="7" applyNumberFormat="0" applyFill="0" applyProtection="0"/>
    <xf numFmtId="0" fontId="34" fillId="0" borderId="0" applyNumberFormat="0" applyFill="0" applyBorder="0" applyProtection="0"/>
    <xf numFmtId="0" fontId="28" fillId="0" borderId="8" applyNumberFormat="0" applyFill="0" applyProtection="0"/>
    <xf numFmtId="164" fontId="110" fillId="0" borderId="0" applyFont="0" applyFill="0" applyBorder="0" applyAlignment="0" applyProtection="0"/>
    <xf numFmtId="164" fontId="110" fillId="0" borderId="0" applyFont="0" applyFill="0" applyBorder="0" applyAlignment="0" applyProtection="0"/>
    <xf numFmtId="177" fontId="124" fillId="0" borderId="0" applyBorder="0" applyProtection="0"/>
    <xf numFmtId="164" fontId="110" fillId="0" borderId="0" applyFont="0" applyFill="0" applyBorder="0" applyAlignment="0" applyProtection="0"/>
    <xf numFmtId="0" fontId="29" fillId="0" borderId="0" applyNumberFormat="0" applyFill="0" applyBorder="0" applyProtection="0"/>
    <xf numFmtId="0" fontId="30" fillId="13" borderId="9" applyNumberFormat="0" applyProtection="0"/>
    <xf numFmtId="0" fontId="6" fillId="0" borderId="0"/>
    <xf numFmtId="0" fontId="4" fillId="0" borderId="0"/>
    <xf numFmtId="0" fontId="3" fillId="0" borderId="0"/>
  </cellStyleXfs>
  <cellXfs count="3159">
    <xf numFmtId="0" fontId="0" fillId="0" borderId="0" xfId="0"/>
    <xf numFmtId="0" fontId="0" fillId="0" borderId="0" xfId="0" applyAlignment="1">
      <alignment horizontal="center"/>
    </xf>
    <xf numFmtId="0" fontId="0" fillId="0" borderId="0" xfId="0" applyAlignment="1">
      <alignment horizontal="left"/>
    </xf>
    <xf numFmtId="0" fontId="0" fillId="0" borderId="0" xfId="0" applyAlignment="1">
      <alignment horizontal="center" vertical="center"/>
    </xf>
    <xf numFmtId="0" fontId="0" fillId="0" borderId="10" xfId="0" applyFont="1" applyBorder="1" applyAlignment="1">
      <alignment horizontal="center" vertical="center"/>
    </xf>
    <xf numFmtId="0" fontId="0" fillId="14" borderId="10" xfId="0" applyFill="1" applyBorder="1" applyAlignment="1">
      <alignment horizontal="center" vertical="center"/>
    </xf>
    <xf numFmtId="0" fontId="0" fillId="14" borderId="11" xfId="0" applyFill="1" applyBorder="1" applyAlignment="1">
      <alignment horizontal="center" vertical="center"/>
    </xf>
    <xf numFmtId="0" fontId="0" fillId="14" borderId="12" xfId="0" applyFill="1" applyBorder="1" applyAlignment="1">
      <alignment horizontal="center" vertical="center"/>
    </xf>
    <xf numFmtId="0" fontId="0" fillId="14" borderId="13" xfId="0" applyFill="1" applyBorder="1" applyAlignment="1">
      <alignment horizontal="center" vertical="center"/>
    </xf>
    <xf numFmtId="0" fontId="0" fillId="14" borderId="14" xfId="0" applyFill="1" applyBorder="1" applyAlignment="1">
      <alignment horizontal="center" vertical="center"/>
    </xf>
    <xf numFmtId="0" fontId="0" fillId="14" borderId="15" xfId="0" applyFill="1" applyBorder="1" applyAlignment="1">
      <alignment horizontal="center" vertical="center"/>
    </xf>
    <xf numFmtId="0" fontId="0" fillId="14" borderId="16" xfId="0" applyFill="1" applyBorder="1"/>
    <xf numFmtId="0" fontId="0" fillId="14" borderId="17" xfId="0" applyFill="1" applyBorder="1"/>
    <xf numFmtId="0" fontId="0" fillId="14" borderId="18" xfId="0" applyFill="1" applyBorder="1" applyAlignment="1">
      <alignment horizontal="center"/>
    </xf>
    <xf numFmtId="0" fontId="0" fillId="14" borderId="16" xfId="0" applyFill="1" applyBorder="1" applyAlignment="1">
      <alignment horizontal="center" vertical="center"/>
    </xf>
    <xf numFmtId="0" fontId="0" fillId="14" borderId="18" xfId="0" applyFill="1" applyBorder="1" applyAlignment="1">
      <alignment horizontal="center" vertical="center"/>
    </xf>
    <xf numFmtId="0" fontId="0" fillId="14" borderId="19" xfId="0" applyFill="1" applyBorder="1" applyAlignment="1">
      <alignment horizontal="center" vertical="center"/>
    </xf>
    <xf numFmtId="0" fontId="21" fillId="0" borderId="10" xfId="0" applyFont="1" applyBorder="1" applyAlignment="1">
      <alignment horizontal="center" vertical="center"/>
    </xf>
    <xf numFmtId="0" fontId="0" fillId="14" borderId="20" xfId="0" applyFont="1" applyFill="1" applyBorder="1" applyAlignment="1">
      <alignment horizontal="center" vertical="center"/>
    </xf>
    <xf numFmtId="0" fontId="0" fillId="14" borderId="21" xfId="0" applyFont="1" applyFill="1" applyBorder="1" applyAlignment="1">
      <alignment horizontal="center" vertical="center"/>
    </xf>
    <xf numFmtId="0" fontId="0" fillId="14" borderId="17" xfId="0" applyFill="1" applyBorder="1" applyAlignment="1">
      <alignment horizontal="center"/>
    </xf>
    <xf numFmtId="0" fontId="0" fillId="0" borderId="10" xfId="0" applyBorder="1" applyAlignment="1">
      <alignment horizontal="left" vertical="center"/>
    </xf>
    <xf numFmtId="3" fontId="0" fillId="0" borderId="10" xfId="0" applyNumberFormat="1" applyFill="1" applyBorder="1" applyAlignment="1">
      <alignment horizontal="center" vertical="center"/>
    </xf>
    <xf numFmtId="3" fontId="0" fillId="0" borderId="20" xfId="0" applyNumberFormat="1" applyBorder="1" applyAlignment="1">
      <alignment horizontal="center" vertical="center"/>
    </xf>
    <xf numFmtId="1" fontId="0" fillId="0" borderId="22" xfId="0" applyNumberFormat="1" applyBorder="1" applyAlignment="1">
      <alignment horizontal="center" vertical="center"/>
    </xf>
    <xf numFmtId="1" fontId="0" fillId="0" borderId="21" xfId="0" applyNumberFormat="1" applyBorder="1" applyAlignment="1">
      <alignment horizontal="center" vertical="center"/>
    </xf>
    <xf numFmtId="1" fontId="0" fillId="0" borderId="10" xfId="0" applyNumberFormat="1" applyBorder="1" applyAlignment="1">
      <alignment horizontal="center" vertical="center"/>
    </xf>
    <xf numFmtId="1" fontId="0" fillId="0" borderId="11" xfId="0" applyNumberFormat="1" applyBorder="1" applyAlignment="1">
      <alignment horizontal="center" vertical="center"/>
    </xf>
    <xf numFmtId="3" fontId="0" fillId="0" borderId="23" xfId="0" applyNumberFormat="1" applyBorder="1" applyAlignment="1">
      <alignment horizontal="center" vertical="center"/>
    </xf>
    <xf numFmtId="167" fontId="0" fillId="0" borderId="21" xfId="0" applyNumberFormat="1" applyBorder="1" applyAlignment="1">
      <alignment horizontal="center" vertical="center"/>
    </xf>
    <xf numFmtId="167" fontId="0" fillId="0" borderId="10" xfId="0" applyNumberFormat="1" applyBorder="1" applyAlignment="1">
      <alignment horizontal="center" vertical="center"/>
    </xf>
    <xf numFmtId="167" fontId="0" fillId="0" borderId="11" xfId="0" applyNumberFormat="1" applyBorder="1" applyAlignment="1">
      <alignment horizontal="center" vertical="center"/>
    </xf>
    <xf numFmtId="167" fontId="0" fillId="0" borderId="24" xfId="0" applyNumberFormat="1" applyBorder="1" applyAlignment="1">
      <alignment horizontal="center" vertical="center"/>
    </xf>
    <xf numFmtId="3" fontId="0" fillId="0" borderId="24" xfId="0" applyNumberFormat="1" applyBorder="1" applyAlignment="1">
      <alignment horizontal="center" vertical="center"/>
    </xf>
    <xf numFmtId="0" fontId="0" fillId="0" borderId="21" xfId="0" applyBorder="1" applyAlignment="1">
      <alignment horizontal="center" vertical="center"/>
    </xf>
    <xf numFmtId="0" fontId="0" fillId="0" borderId="11" xfId="0" applyBorder="1" applyAlignment="1">
      <alignment horizontal="center" vertical="center"/>
    </xf>
    <xf numFmtId="3" fontId="0" fillId="0" borderId="25" xfId="0" applyNumberFormat="1" applyBorder="1" applyAlignment="1">
      <alignment horizontal="center" vertical="center"/>
    </xf>
    <xf numFmtId="3" fontId="0" fillId="0" borderId="22" xfId="0" applyNumberFormat="1" applyBorder="1" applyAlignment="1">
      <alignment horizontal="center" vertical="center"/>
    </xf>
    <xf numFmtId="3" fontId="0" fillId="0" borderId="26" xfId="0" applyNumberFormat="1" applyBorder="1" applyAlignment="1">
      <alignment horizontal="center" vertical="center"/>
    </xf>
    <xf numFmtId="1" fontId="0" fillId="0" borderId="27" xfId="0" applyNumberFormat="1" applyBorder="1" applyAlignment="1">
      <alignment horizontal="center" vertical="center"/>
    </xf>
    <xf numFmtId="167" fontId="0" fillId="0" borderId="22" xfId="0" applyNumberFormat="1" applyBorder="1" applyAlignment="1">
      <alignment horizontal="center" vertical="center"/>
    </xf>
    <xf numFmtId="167" fontId="0" fillId="0" borderId="25" xfId="0" applyNumberFormat="1" applyBorder="1" applyAlignment="1">
      <alignment horizontal="center" vertical="center"/>
    </xf>
    <xf numFmtId="167" fontId="0" fillId="0" borderId="20" xfId="0" applyNumberFormat="1" applyBorder="1" applyAlignment="1">
      <alignment horizontal="center" vertical="center"/>
    </xf>
    <xf numFmtId="2" fontId="0" fillId="0" borderId="22" xfId="0" applyNumberFormat="1" applyBorder="1" applyAlignment="1">
      <alignment horizontal="center" vertical="center"/>
    </xf>
    <xf numFmtId="167" fontId="0" fillId="0" borderId="10" xfId="0" applyNumberFormat="1" applyBorder="1" applyAlignment="1">
      <alignment horizontal="center"/>
    </xf>
    <xf numFmtId="2" fontId="0" fillId="0" borderId="10" xfId="0" applyNumberFormat="1" applyBorder="1" applyAlignment="1">
      <alignment horizontal="center" vertical="center"/>
    </xf>
    <xf numFmtId="167" fontId="0" fillId="0" borderId="26" xfId="0" applyNumberFormat="1" applyBorder="1" applyAlignment="1">
      <alignment horizontal="center"/>
    </xf>
    <xf numFmtId="0" fontId="0" fillId="0" borderId="10" xfId="0" applyBorder="1"/>
    <xf numFmtId="0" fontId="42" fillId="0" borderId="20" xfId="0" applyFont="1" applyBorder="1"/>
    <xf numFmtId="0" fontId="0" fillId="0" borderId="10" xfId="0" applyBorder="1" applyAlignment="1">
      <alignment horizontal="center"/>
    </xf>
    <xf numFmtId="0" fontId="0" fillId="0" borderId="22" xfId="0" applyBorder="1" applyAlignment="1">
      <alignment horizontal="center" vertical="center"/>
    </xf>
    <xf numFmtId="0" fontId="0" fillId="0" borderId="26" xfId="0" applyBorder="1" applyAlignment="1">
      <alignment horizontal="center" vertical="center"/>
    </xf>
    <xf numFmtId="167" fontId="0" fillId="0" borderId="26" xfId="0" applyNumberFormat="1" applyBorder="1" applyAlignment="1">
      <alignment horizontal="center" vertical="center"/>
    </xf>
    <xf numFmtId="0" fontId="41" fillId="0" borderId="11" xfId="0" applyFont="1" applyBorder="1" applyAlignment="1">
      <alignment horizontal="left" vertical="center"/>
    </xf>
    <xf numFmtId="0" fontId="41" fillId="0" borderId="20" xfId="0" applyFont="1" applyBorder="1" applyAlignment="1">
      <alignment horizontal="center" vertical="center"/>
    </xf>
    <xf numFmtId="0" fontId="41" fillId="0" borderId="10" xfId="0" applyFont="1" applyBorder="1" applyAlignment="1">
      <alignment horizontal="center" vertical="center"/>
    </xf>
    <xf numFmtId="0" fontId="0" fillId="0" borderId="24" xfId="0" applyBorder="1" applyAlignment="1">
      <alignment horizontal="center" vertical="center"/>
    </xf>
    <xf numFmtId="0" fontId="21" fillId="0" borderId="10" xfId="0" applyFont="1" applyBorder="1" applyAlignment="1">
      <alignment horizontal="left" vertical="center"/>
    </xf>
    <xf numFmtId="0" fontId="38" fillId="0" borderId="10" xfId="0" applyFont="1" applyBorder="1" applyAlignment="1">
      <alignment horizontal="center" vertical="center"/>
    </xf>
    <xf numFmtId="0" fontId="47" fillId="0" borderId="10" xfId="0" applyFont="1" applyFill="1" applyBorder="1" applyAlignment="1">
      <alignment horizontal="center"/>
    </xf>
    <xf numFmtId="0" fontId="0" fillId="0" borderId="28" xfId="0" applyFont="1" applyBorder="1" applyAlignment="1">
      <alignment horizontal="center" vertical="center"/>
    </xf>
    <xf numFmtId="0" fontId="0" fillId="0" borderId="21" xfId="0" applyBorder="1" applyAlignment="1">
      <alignment horizontal="left" vertical="center"/>
    </xf>
    <xf numFmtId="3" fontId="47" fillId="0" borderId="21" xfId="0" applyNumberFormat="1" applyFont="1" applyFill="1" applyBorder="1" applyAlignment="1">
      <alignment horizontal="center"/>
    </xf>
    <xf numFmtId="0" fontId="47" fillId="0" borderId="21" xfId="0" applyFont="1" applyFill="1" applyBorder="1" applyAlignment="1">
      <alignment horizontal="center"/>
    </xf>
    <xf numFmtId="0" fontId="38" fillId="15" borderId="0" xfId="578" applyFont="1" applyFill="1" applyBorder="1" applyAlignment="1"/>
    <xf numFmtId="0" fontId="0" fillId="0" borderId="0" xfId="0" applyAlignment="1">
      <alignment horizontal="left" vertical="center"/>
    </xf>
    <xf numFmtId="168" fontId="0" fillId="14" borderId="30" xfId="0" applyNumberFormat="1" applyFill="1" applyBorder="1" applyAlignment="1">
      <alignment horizontal="center" vertical="center"/>
    </xf>
    <xf numFmtId="168" fontId="0" fillId="14" borderId="12" xfId="0" applyNumberFormat="1" applyFill="1" applyBorder="1" applyAlignment="1">
      <alignment horizontal="center" vertical="center"/>
    </xf>
    <xf numFmtId="168" fontId="0" fillId="14" borderId="13" xfId="0" applyNumberFormat="1" applyFill="1" applyBorder="1" applyAlignment="1">
      <alignment horizontal="center" vertical="center"/>
    </xf>
    <xf numFmtId="168" fontId="0" fillId="14" borderId="31" xfId="0" applyNumberFormat="1" applyFill="1" applyBorder="1" applyAlignment="1">
      <alignment horizontal="center" vertical="center"/>
    </xf>
    <xf numFmtId="168" fontId="0" fillId="14" borderId="14" xfId="0" applyNumberFormat="1" applyFill="1" applyBorder="1" applyAlignment="1">
      <alignment horizontal="center" vertical="center"/>
    </xf>
    <xf numFmtId="0" fontId="0" fillId="0" borderId="32" xfId="0" applyBorder="1" applyAlignment="1">
      <alignment horizontal="center" vertical="center"/>
    </xf>
    <xf numFmtId="0" fontId="0" fillId="0" borderId="33" xfId="0" applyBorder="1"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168" fontId="0" fillId="0" borderId="0" xfId="0" applyNumberFormat="1" applyAlignment="1">
      <alignment horizontal="center" vertical="center"/>
    </xf>
    <xf numFmtId="0" fontId="0" fillId="0" borderId="19" xfId="0" applyBorder="1" applyAlignment="1">
      <alignment horizontal="center" vertical="center"/>
    </xf>
    <xf numFmtId="0" fontId="0" fillId="13" borderId="11" xfId="0" applyFill="1" applyBorder="1" applyAlignment="1">
      <alignment horizontal="center" vertical="center"/>
    </xf>
    <xf numFmtId="0" fontId="0" fillId="13" borderId="21" xfId="0" applyFill="1" applyBorder="1" applyAlignment="1">
      <alignment horizontal="center" vertical="center"/>
    </xf>
    <xf numFmtId="0" fontId="40" fillId="0" borderId="10" xfId="0" applyFont="1" applyBorder="1" applyAlignment="1">
      <alignment horizontal="left" vertical="center"/>
    </xf>
    <xf numFmtId="0" fontId="0" fillId="0" borderId="34" xfId="0" applyFont="1" applyBorder="1" applyAlignment="1">
      <alignment horizontal="left" vertical="center"/>
    </xf>
    <xf numFmtId="0" fontId="0" fillId="0" borderId="35" xfId="0" applyBorder="1" applyAlignment="1">
      <alignment horizontal="center" vertical="center"/>
    </xf>
    <xf numFmtId="0" fontId="0" fillId="0" borderId="36" xfId="0" applyBorder="1" applyAlignment="1">
      <alignment horizontal="center" vertical="center"/>
    </xf>
    <xf numFmtId="0" fontId="0" fillId="0" borderId="34" xfId="0" applyBorder="1" applyAlignment="1">
      <alignment horizontal="center" vertical="center"/>
    </xf>
    <xf numFmtId="4" fontId="0" fillId="0" borderId="37" xfId="0" applyNumberFormat="1" applyFill="1" applyBorder="1" applyAlignment="1">
      <alignment horizontal="center" vertical="center"/>
    </xf>
    <xf numFmtId="0" fontId="0" fillId="0" borderId="0" xfId="0" applyBorder="1" applyAlignment="1">
      <alignment horizontal="center" vertical="center"/>
    </xf>
    <xf numFmtId="0" fontId="0" fillId="0" borderId="0" xfId="0" applyFont="1" applyAlignment="1">
      <alignment horizontal="right" vertical="center"/>
    </xf>
    <xf numFmtId="0" fontId="0" fillId="0" borderId="20" xfId="0" applyBorder="1" applyAlignment="1">
      <alignment horizontal="center" vertical="center"/>
    </xf>
    <xf numFmtId="0" fontId="0" fillId="0" borderId="11" xfId="578" applyFont="1" applyBorder="1" applyAlignment="1">
      <alignment vertical="center"/>
    </xf>
    <xf numFmtId="0" fontId="40" fillId="0" borderId="20" xfId="0" applyFont="1" applyBorder="1" applyAlignment="1">
      <alignment horizontal="left" vertical="center"/>
    </xf>
    <xf numFmtId="0" fontId="0" fillId="0" borderId="21" xfId="0" applyBorder="1"/>
    <xf numFmtId="0" fontId="0" fillId="0" borderId="38" xfId="0" applyBorder="1" applyAlignment="1">
      <alignment horizontal="center" vertical="center"/>
    </xf>
    <xf numFmtId="0" fontId="0" fillId="0" borderId="39" xfId="0" applyBorder="1" applyAlignment="1">
      <alignment horizontal="center" vertical="center"/>
    </xf>
    <xf numFmtId="0" fontId="0" fillId="0" borderId="20" xfId="0" applyBorder="1" applyAlignment="1">
      <alignment horizontal="left" vertical="center"/>
    </xf>
    <xf numFmtId="0" fontId="0" fillId="16" borderId="21" xfId="0" applyFont="1" applyFill="1" applyBorder="1" applyAlignment="1">
      <alignment horizontal="center" vertical="center"/>
    </xf>
    <xf numFmtId="0" fontId="0" fillId="16" borderId="10" xfId="0" applyFill="1" applyBorder="1" applyAlignment="1">
      <alignment horizontal="center" vertical="center"/>
    </xf>
    <xf numFmtId="1" fontId="0" fillId="16" borderId="10" xfId="0" applyNumberFormat="1" applyFill="1" applyBorder="1" applyAlignment="1">
      <alignment horizontal="center" vertical="center"/>
    </xf>
    <xf numFmtId="1" fontId="0" fillId="16" borderId="11" xfId="0" applyNumberFormat="1" applyFill="1" applyBorder="1" applyAlignment="1">
      <alignment horizontal="center" vertical="center"/>
    </xf>
    <xf numFmtId="0" fontId="0" fillId="14" borderId="24" xfId="0" applyFill="1" applyBorder="1" applyAlignment="1">
      <alignment horizontal="center" vertical="center"/>
    </xf>
    <xf numFmtId="0" fontId="0" fillId="14" borderId="25" xfId="0" applyFill="1" applyBorder="1" applyAlignment="1">
      <alignment horizontal="center" vertical="center"/>
    </xf>
    <xf numFmtId="0" fontId="40" fillId="0" borderId="0" xfId="0" applyFont="1" applyBorder="1" applyAlignment="1">
      <alignment horizontal="center"/>
    </xf>
    <xf numFmtId="0" fontId="0" fillId="16" borderId="39" xfId="0" applyFont="1" applyFill="1" applyBorder="1" applyAlignment="1">
      <alignment horizontal="center" vertical="center"/>
    </xf>
    <xf numFmtId="0" fontId="0" fillId="0" borderId="11" xfId="0" applyBorder="1"/>
    <xf numFmtId="0" fontId="0" fillId="16" borderId="36" xfId="0" applyFont="1" applyFill="1" applyBorder="1" applyAlignment="1">
      <alignment horizontal="center" vertical="center"/>
    </xf>
    <xf numFmtId="168" fontId="52" fillId="16" borderId="40" xfId="0" applyNumberFormat="1" applyFont="1" applyFill="1" applyBorder="1" applyAlignment="1">
      <alignment horizontal="center" vertical="center" shrinkToFit="1"/>
    </xf>
    <xf numFmtId="0" fontId="29" fillId="16" borderId="27" xfId="0" applyFont="1" applyFill="1" applyBorder="1" applyAlignment="1">
      <alignment horizontal="left" vertical="center"/>
    </xf>
    <xf numFmtId="0" fontId="21" fillId="0" borderId="0" xfId="0" applyFont="1"/>
    <xf numFmtId="0" fontId="53" fillId="15" borderId="0" xfId="578" applyFont="1" applyFill="1" applyAlignment="1"/>
    <xf numFmtId="0" fontId="0" fillId="16" borderId="10" xfId="0" applyFont="1" applyFill="1" applyBorder="1"/>
    <xf numFmtId="0" fontId="0" fillId="16" borderId="10" xfId="0" applyFont="1" applyFill="1" applyBorder="1" applyAlignment="1">
      <alignment horizontal="center" vertical="center"/>
    </xf>
    <xf numFmtId="3" fontId="0" fillId="0" borderId="10" xfId="0" applyNumberFormat="1" applyBorder="1" applyAlignment="1">
      <alignment horizontal="center"/>
    </xf>
    <xf numFmtId="0" fontId="0" fillId="0" borderId="41" xfId="0" applyFont="1" applyBorder="1" applyAlignment="1">
      <alignment horizontal="center" vertical="center"/>
    </xf>
    <xf numFmtId="0" fontId="0" fillId="0" borderId="42" xfId="0" applyBorder="1" applyAlignment="1">
      <alignment horizontal="center" vertical="center"/>
    </xf>
    <xf numFmtId="0" fontId="0" fillId="14" borderId="18" xfId="0" applyFont="1" applyFill="1" applyBorder="1"/>
    <xf numFmtId="0" fontId="0" fillId="14" borderId="43" xfId="0" applyFont="1" applyFill="1" applyBorder="1" applyAlignment="1">
      <alignment horizontal="left" vertical="center"/>
    </xf>
    <xf numFmtId="0" fontId="0" fillId="14" borderId="10" xfId="0" applyFont="1" applyFill="1" applyBorder="1" applyAlignment="1">
      <alignment horizontal="center" vertical="center"/>
    </xf>
    <xf numFmtId="0" fontId="41" fillId="0" borderId="0" xfId="0" applyFont="1" applyBorder="1" applyAlignment="1">
      <alignment horizontal="center" vertical="center"/>
    </xf>
    <xf numFmtId="2" fontId="0" fillId="0" borderId="0" xfId="0" applyNumberFormat="1" applyAlignment="1">
      <alignment horizontal="center" vertical="center"/>
    </xf>
    <xf numFmtId="0" fontId="21" fillId="0" borderId="0" xfId="0" applyFont="1" applyAlignment="1">
      <alignment horizontal="left" vertical="center"/>
    </xf>
    <xf numFmtId="167" fontId="0" fillId="0" borderId="44" xfId="0" applyNumberFormat="1" applyBorder="1" applyAlignment="1">
      <alignment horizontal="center" vertical="center"/>
    </xf>
    <xf numFmtId="0" fontId="27" fillId="0" borderId="0" xfId="0" applyFont="1" applyAlignment="1">
      <alignment horizontal="left" vertical="center"/>
    </xf>
    <xf numFmtId="0" fontId="0" fillId="0" borderId="44" xfId="0" applyBorder="1" applyAlignment="1">
      <alignment horizontal="center" vertical="center"/>
    </xf>
    <xf numFmtId="167" fontId="21" fillId="0" borderId="45" xfId="0" applyNumberFormat="1" applyFont="1" applyBorder="1" applyAlignment="1">
      <alignment horizontal="center" vertical="center"/>
    </xf>
    <xf numFmtId="0" fontId="39" fillId="16" borderId="20" xfId="0" applyFont="1" applyFill="1" applyBorder="1" applyAlignment="1">
      <alignment horizontal="left" vertical="center"/>
    </xf>
    <xf numFmtId="0" fontId="0" fillId="16" borderId="11" xfId="0" applyFill="1" applyBorder="1"/>
    <xf numFmtId="0" fontId="0" fillId="16" borderId="11" xfId="0" applyFill="1" applyBorder="1" applyAlignment="1">
      <alignment horizontal="center" vertical="center"/>
    </xf>
    <xf numFmtId="0" fontId="52" fillId="16" borderId="26" xfId="0" applyFont="1" applyFill="1" applyBorder="1" applyAlignment="1">
      <alignment horizontal="left" vertical="center"/>
    </xf>
    <xf numFmtId="168" fontId="0" fillId="0" borderId="10" xfId="0" applyNumberFormat="1" applyFont="1" applyBorder="1" applyAlignment="1">
      <alignment horizontal="center" vertical="center"/>
    </xf>
    <xf numFmtId="0" fontId="55" fillId="0" borderId="0" xfId="0" applyFont="1" applyAlignment="1">
      <alignment horizontal="left" vertical="center"/>
    </xf>
    <xf numFmtId="3" fontId="0" fillId="0" borderId="10" xfId="0" applyNumberFormat="1" applyBorder="1" applyAlignment="1">
      <alignment horizontal="center" vertical="center"/>
    </xf>
    <xf numFmtId="0" fontId="41" fillId="0" borderId="0" xfId="0" applyFont="1" applyAlignment="1">
      <alignment horizontal="left" vertical="center"/>
    </xf>
    <xf numFmtId="0" fontId="0" fillId="16" borderId="20" xfId="0" applyFont="1" applyFill="1" applyBorder="1" applyAlignment="1">
      <alignment horizontal="left" vertical="center"/>
    </xf>
    <xf numFmtId="3" fontId="0" fillId="0" borderId="34" xfId="0" applyNumberFormat="1" applyBorder="1" applyAlignment="1">
      <alignment horizontal="center" vertical="center"/>
    </xf>
    <xf numFmtId="168" fontId="52" fillId="16" borderId="25" xfId="0" applyNumberFormat="1" applyFont="1" applyFill="1" applyBorder="1" applyAlignment="1">
      <alignment horizontal="center" vertical="center" shrinkToFit="1"/>
    </xf>
    <xf numFmtId="0" fontId="0" fillId="14" borderId="0" xfId="0" applyFont="1" applyFill="1" applyBorder="1" applyAlignment="1">
      <alignment horizontal="center" vertical="center"/>
    </xf>
    <xf numFmtId="167" fontId="0" fillId="0" borderId="28" xfId="0" applyNumberFormat="1" applyBorder="1" applyAlignment="1">
      <alignment horizontal="center" vertical="center"/>
    </xf>
    <xf numFmtId="167" fontId="0" fillId="16" borderId="10" xfId="0" applyNumberFormat="1" applyFill="1" applyBorder="1" applyAlignment="1">
      <alignment horizontal="center"/>
    </xf>
    <xf numFmtId="0" fontId="42" fillId="0" borderId="10" xfId="0" applyFont="1" applyBorder="1"/>
    <xf numFmtId="0" fontId="42" fillId="0" borderId="28" xfId="0" applyFont="1" applyBorder="1"/>
    <xf numFmtId="0" fontId="41" fillId="0" borderId="46" xfId="0" applyFont="1" applyBorder="1" applyAlignment="1">
      <alignment horizontal="left" vertical="center"/>
    </xf>
    <xf numFmtId="0" fontId="42" fillId="0" borderId="34" xfId="0" applyFont="1" applyBorder="1"/>
    <xf numFmtId="167" fontId="0" fillId="0" borderId="34" xfId="0" applyNumberFormat="1" applyBorder="1" applyAlignment="1">
      <alignment horizontal="center"/>
    </xf>
    <xf numFmtId="0" fontId="0" fillId="0" borderId="34" xfId="0" applyBorder="1" applyAlignment="1">
      <alignment horizontal="center"/>
    </xf>
    <xf numFmtId="0" fontId="0" fillId="0" borderId="47" xfId="0" applyBorder="1" applyAlignment="1">
      <alignment horizontal="center"/>
    </xf>
    <xf numFmtId="0" fontId="0" fillId="0" borderId="41" xfId="0" applyBorder="1" applyAlignment="1">
      <alignment horizontal="center"/>
    </xf>
    <xf numFmtId="167" fontId="0" fillId="0" borderId="41" xfId="0" applyNumberFormat="1" applyBorder="1" applyAlignment="1">
      <alignment horizontal="center"/>
    </xf>
    <xf numFmtId="2" fontId="0" fillId="0" borderId="34" xfId="0" applyNumberFormat="1" applyBorder="1" applyAlignment="1">
      <alignment horizontal="center" vertical="center"/>
    </xf>
    <xf numFmtId="2" fontId="0" fillId="0" borderId="42" xfId="0" applyNumberFormat="1" applyBorder="1" applyAlignment="1">
      <alignment horizontal="center" vertical="center"/>
    </xf>
    <xf numFmtId="2" fontId="0" fillId="0" borderId="41" xfId="0" applyNumberFormat="1" applyBorder="1" applyAlignment="1">
      <alignment horizontal="center" vertical="center"/>
    </xf>
    <xf numFmtId="0" fontId="41" fillId="0" borderId="48" xfId="0" applyFont="1" applyBorder="1" applyAlignment="1">
      <alignment horizontal="left" vertical="center"/>
    </xf>
    <xf numFmtId="167" fontId="0" fillId="0" borderId="20" xfId="0" applyNumberFormat="1" applyBorder="1" applyAlignment="1">
      <alignment horizontal="center"/>
    </xf>
    <xf numFmtId="167" fontId="0" fillId="0" borderId="22" xfId="0" applyNumberFormat="1" applyBorder="1" applyAlignment="1">
      <alignment horizontal="center"/>
    </xf>
    <xf numFmtId="2" fontId="0" fillId="0" borderId="26" xfId="0" applyNumberFormat="1" applyBorder="1" applyAlignment="1">
      <alignment horizontal="center" vertical="center"/>
    </xf>
    <xf numFmtId="0" fontId="0" fillId="10" borderId="0" xfId="0" applyFill="1" applyAlignment="1">
      <alignment horizontal="center"/>
    </xf>
    <xf numFmtId="167" fontId="0" fillId="0" borderId="21" xfId="578" applyNumberFormat="1" applyFont="1" applyFill="1" applyBorder="1" applyAlignment="1">
      <alignment horizontal="center" vertical="center"/>
    </xf>
    <xf numFmtId="167" fontId="0" fillId="0" borderId="11" xfId="578" applyNumberFormat="1" applyFont="1" applyFill="1" applyBorder="1" applyAlignment="1">
      <alignment horizontal="center" vertical="center"/>
    </xf>
    <xf numFmtId="167" fontId="0" fillId="0" borderId="10" xfId="578" applyNumberFormat="1" applyFont="1" applyFill="1" applyBorder="1" applyAlignment="1">
      <alignment horizontal="center" vertical="center"/>
    </xf>
    <xf numFmtId="0" fontId="0" fillId="15" borderId="10" xfId="0" applyFont="1" applyFill="1" applyBorder="1" applyAlignment="1">
      <alignment horizontal="center" vertical="center"/>
    </xf>
    <xf numFmtId="0" fontId="110" fillId="15" borderId="0" xfId="578" applyFill="1"/>
    <xf numFmtId="0" fontId="0" fillId="15" borderId="0" xfId="0" applyFill="1"/>
    <xf numFmtId="0" fontId="51" fillId="15" borderId="0" xfId="578" applyFont="1" applyFill="1" applyProtection="1"/>
    <xf numFmtId="0" fontId="110" fillId="15" borderId="0" xfId="578" applyFill="1" applyProtection="1"/>
    <xf numFmtId="0" fontId="51" fillId="15" borderId="0" xfId="578" applyFont="1" applyFill="1" applyAlignment="1" applyProtection="1">
      <alignment horizontal="right" vertical="center"/>
      <protection locked="0"/>
    </xf>
    <xf numFmtId="0" fontId="63" fillId="15" borderId="0" xfId="578" applyFont="1" applyFill="1" applyBorder="1" applyAlignment="1" applyProtection="1">
      <alignment vertical="center"/>
    </xf>
    <xf numFmtId="0" fontId="0" fillId="15" borderId="0" xfId="0" applyFill="1" applyProtection="1"/>
    <xf numFmtId="0" fontId="58" fillId="0" borderId="10" xfId="0" applyFont="1" applyBorder="1" applyAlignment="1">
      <alignment horizontal="center" vertical="center"/>
    </xf>
    <xf numFmtId="0" fontId="49" fillId="0" borderId="39" xfId="0" applyFont="1" applyBorder="1" applyAlignment="1">
      <alignment horizontal="center" vertical="center"/>
    </xf>
    <xf numFmtId="14" fontId="51" fillId="0" borderId="35" xfId="0" applyNumberFormat="1" applyFont="1" applyBorder="1" applyAlignment="1" applyProtection="1">
      <alignment horizontal="center" vertical="center"/>
      <protection locked="0"/>
    </xf>
    <xf numFmtId="0" fontId="0" fillId="0" borderId="39" xfId="0" applyFont="1" applyBorder="1" applyAlignment="1">
      <alignment vertical="center"/>
    </xf>
    <xf numFmtId="0" fontId="0" fillId="0" borderId="36" xfId="0" applyFont="1" applyBorder="1" applyAlignment="1" applyProtection="1">
      <alignment vertical="center"/>
      <protection locked="0"/>
    </xf>
    <xf numFmtId="0" fontId="66" fillId="0" borderId="36" xfId="0" applyFont="1" applyBorder="1" applyAlignment="1" applyProtection="1">
      <alignment vertical="center"/>
      <protection locked="0"/>
    </xf>
    <xf numFmtId="0" fontId="51" fillId="15" borderId="0" xfId="578" applyFont="1" applyFill="1" applyBorder="1" applyAlignment="1" applyProtection="1">
      <alignment horizontal="left" vertical="center" wrapText="1"/>
    </xf>
    <xf numFmtId="0" fontId="0" fillId="0" borderId="0" xfId="0" applyProtection="1"/>
    <xf numFmtId="0" fontId="58" fillId="15" borderId="0" xfId="578" applyFont="1" applyFill="1" applyProtection="1"/>
    <xf numFmtId="0" fontId="0" fillId="0" borderId="0" xfId="0" applyProtection="1">
      <protection locked="0"/>
    </xf>
    <xf numFmtId="0" fontId="51" fillId="15" borderId="0" xfId="578" applyFont="1" applyFill="1" applyAlignment="1">
      <alignment vertical="center"/>
    </xf>
    <xf numFmtId="0" fontId="42" fillId="0" borderId="0" xfId="0" applyFont="1"/>
    <xf numFmtId="0" fontId="42" fillId="15" borderId="0" xfId="0" applyFont="1" applyFill="1"/>
    <xf numFmtId="0" fontId="0" fillId="15" borderId="0" xfId="578" applyFont="1" applyFill="1"/>
    <xf numFmtId="0" fontId="40" fillId="15" borderId="0" xfId="578" applyFont="1" applyFill="1" applyBorder="1" applyAlignment="1">
      <alignment horizontal="left" vertical="center" wrapText="1"/>
    </xf>
    <xf numFmtId="0" fontId="0" fillId="15" borderId="0" xfId="578" applyFont="1" applyFill="1" applyBorder="1" applyAlignment="1">
      <alignment vertical="center"/>
    </xf>
    <xf numFmtId="0" fontId="0" fillId="0" borderId="0" xfId="578" applyFont="1"/>
    <xf numFmtId="0" fontId="39" fillId="15" borderId="0" xfId="578" applyFont="1" applyFill="1" applyBorder="1" applyAlignment="1"/>
    <xf numFmtId="0" fontId="41" fillId="0" borderId="0" xfId="0" applyFont="1"/>
    <xf numFmtId="0" fontId="49" fillId="0" borderId="0" xfId="578" applyFont="1" applyBorder="1" applyAlignment="1">
      <alignment vertical="center"/>
    </xf>
    <xf numFmtId="0" fontId="41" fillId="0" borderId="0" xfId="0" applyFont="1" applyAlignment="1">
      <alignment vertical="center"/>
    </xf>
    <xf numFmtId="0" fontId="0" fillId="0" borderId="0" xfId="578" applyFont="1" applyBorder="1" applyAlignment="1">
      <alignment vertical="center"/>
    </xf>
    <xf numFmtId="0" fontId="40" fillId="0" borderId="0" xfId="578" applyFont="1" applyBorder="1" applyAlignment="1">
      <alignment horizontal="left" vertical="center"/>
    </xf>
    <xf numFmtId="0" fontId="42" fillId="0" borderId="0" xfId="578" applyFont="1" applyBorder="1" applyAlignment="1">
      <alignment vertical="center"/>
    </xf>
    <xf numFmtId="0" fontId="42" fillId="0" borderId="0" xfId="578" applyFont="1" applyBorder="1" applyAlignment="1">
      <alignment horizontal="left" vertical="center"/>
    </xf>
    <xf numFmtId="0" fontId="40" fillId="0" borderId="0" xfId="578" applyFont="1" applyBorder="1" applyAlignment="1">
      <alignment vertical="center"/>
    </xf>
    <xf numFmtId="0" fontId="72" fillId="0" borderId="0" xfId="0" applyFont="1" applyAlignment="1">
      <alignment vertical="center"/>
    </xf>
    <xf numFmtId="0" fontId="42" fillId="0" borderId="0" xfId="0" applyFont="1" applyAlignment="1">
      <alignment vertical="center"/>
    </xf>
    <xf numFmtId="0" fontId="0" fillId="0" borderId="0" xfId="578" applyFont="1" applyBorder="1" applyAlignment="1">
      <alignment horizontal="left" vertical="center"/>
    </xf>
    <xf numFmtId="0" fontId="42" fillId="0" borderId="0" xfId="578" applyFont="1" applyBorder="1"/>
    <xf numFmtId="2" fontId="0" fillId="0" borderId="0" xfId="578" applyNumberFormat="1" applyFont="1" applyBorder="1" applyAlignment="1">
      <alignment vertical="center"/>
    </xf>
    <xf numFmtId="0" fontId="110" fillId="0" borderId="0" xfId="578" applyBorder="1"/>
    <xf numFmtId="0" fontId="0" fillId="14" borderId="0" xfId="0" applyFill="1"/>
    <xf numFmtId="2" fontId="0" fillId="15" borderId="10" xfId="0" applyNumberFormat="1" applyFill="1" applyBorder="1" applyAlignment="1">
      <alignment horizontal="center" vertical="center"/>
    </xf>
    <xf numFmtId="0" fontId="51" fillId="15" borderId="10" xfId="0" applyFont="1" applyFill="1" applyBorder="1" applyAlignment="1">
      <alignment horizontal="center" vertical="center"/>
    </xf>
    <xf numFmtId="0" fontId="27" fillId="15" borderId="10" xfId="0" applyFont="1" applyFill="1" applyBorder="1"/>
    <xf numFmtId="0" fontId="0" fillId="0" borderId="0" xfId="0" applyBorder="1"/>
    <xf numFmtId="2" fontId="27" fillId="15" borderId="10" xfId="0" applyNumberFormat="1" applyFont="1" applyFill="1" applyBorder="1" applyAlignment="1">
      <alignment horizontal="center"/>
    </xf>
    <xf numFmtId="0" fontId="50" fillId="14" borderId="0" xfId="0" applyFont="1" applyFill="1" applyBorder="1" applyAlignment="1">
      <alignment horizontal="left" vertical="center"/>
    </xf>
    <xf numFmtId="0" fontId="0" fillId="14" borderId="0" xfId="0" applyFill="1" applyProtection="1"/>
    <xf numFmtId="0" fontId="0" fillId="15" borderId="0" xfId="0" applyFont="1" applyFill="1" applyAlignment="1">
      <alignment wrapText="1"/>
    </xf>
    <xf numFmtId="0" fontId="27" fillId="14" borderId="0" xfId="167" applyNumberFormat="1" applyFont="1" applyFill="1" applyBorder="1" applyAlignment="1" applyProtection="1"/>
    <xf numFmtId="9" fontId="27" fillId="15" borderId="10" xfId="547" applyFont="1" applyFill="1" applyBorder="1" applyAlignment="1" applyProtection="1">
      <alignment horizontal="center" vertical="center"/>
      <protection hidden="1"/>
    </xf>
    <xf numFmtId="0" fontId="42" fillId="14" borderId="0" xfId="0" applyFont="1" applyFill="1"/>
    <xf numFmtId="2" fontId="50" fillId="15" borderId="10" xfId="0" applyNumberFormat="1" applyFont="1" applyFill="1" applyBorder="1" applyAlignment="1" applyProtection="1">
      <alignment horizontal="center" vertical="center"/>
    </xf>
    <xf numFmtId="0" fontId="0" fillId="0" borderId="20" xfId="0" applyFill="1" applyBorder="1"/>
    <xf numFmtId="0" fontId="40" fillId="0" borderId="10" xfId="0" applyFont="1" applyFill="1" applyBorder="1" applyAlignment="1">
      <alignment horizontal="right"/>
    </xf>
    <xf numFmtId="0" fontId="0" fillId="0" borderId="10" xfId="0" applyFill="1" applyBorder="1" applyAlignment="1">
      <alignment horizontal="center"/>
    </xf>
    <xf numFmtId="0" fontId="0" fillId="0" borderId="0" xfId="0" applyFill="1" applyProtection="1"/>
    <xf numFmtId="0" fontId="0" fillId="0" borderId="0" xfId="0" applyFill="1"/>
    <xf numFmtId="0" fontId="0" fillId="0" borderId="0" xfId="0" applyFont="1" applyFill="1" applyAlignment="1" applyProtection="1">
      <alignment horizontal="center"/>
    </xf>
    <xf numFmtId="0" fontId="50" fillId="0" borderId="0" xfId="0" applyFont="1" applyFill="1" applyBorder="1" applyAlignment="1">
      <alignment horizontal="left" vertical="center"/>
    </xf>
    <xf numFmtId="0" fontId="51" fillId="0" borderId="10" xfId="0" applyFont="1" applyFill="1" applyBorder="1" applyAlignment="1">
      <alignment horizontal="center" vertical="center"/>
    </xf>
    <xf numFmtId="0" fontId="0" fillId="0" borderId="10" xfId="0" applyFont="1" applyFill="1" applyBorder="1"/>
    <xf numFmtId="1" fontId="50" fillId="0" borderId="21" xfId="0" applyNumberFormat="1" applyFont="1" applyFill="1" applyBorder="1" applyAlignment="1" applyProtection="1">
      <alignment horizontal="center" vertical="center"/>
    </xf>
    <xf numFmtId="1" fontId="50" fillId="0" borderId="10" xfId="0" applyNumberFormat="1" applyFont="1" applyFill="1" applyBorder="1" applyAlignment="1" applyProtection="1">
      <alignment horizontal="center" vertical="center"/>
    </xf>
    <xf numFmtId="9" fontId="27" fillId="0" borderId="10" xfId="547" applyFont="1" applyFill="1" applyBorder="1" applyAlignment="1" applyProtection="1">
      <alignment horizontal="center" vertical="center"/>
      <protection hidden="1"/>
    </xf>
    <xf numFmtId="1" fontId="50" fillId="15" borderId="10" xfId="0" applyNumberFormat="1" applyFont="1" applyFill="1" applyBorder="1" applyAlignment="1" applyProtection="1">
      <alignment horizontal="center" vertical="center"/>
    </xf>
    <xf numFmtId="1" fontId="50" fillId="15" borderId="21" xfId="0" applyNumberFormat="1" applyFont="1" applyFill="1" applyBorder="1" applyAlignment="1" applyProtection="1">
      <alignment horizontal="center" vertical="center"/>
    </xf>
    <xf numFmtId="1" fontId="50" fillId="15" borderId="34" xfId="0" applyNumberFormat="1" applyFont="1" applyFill="1" applyBorder="1" applyAlignment="1" applyProtection="1">
      <alignment horizontal="center" vertical="center"/>
    </xf>
    <xf numFmtId="9" fontId="27" fillId="0" borderId="28" xfId="547" applyFont="1" applyFill="1" applyBorder="1" applyAlignment="1" applyProtection="1">
      <alignment horizontal="center" vertical="center"/>
      <protection hidden="1"/>
    </xf>
    <xf numFmtId="1" fontId="50" fillId="15" borderId="28" xfId="0" applyNumberFormat="1" applyFont="1" applyFill="1" applyBorder="1" applyAlignment="1" applyProtection="1">
      <alignment horizontal="center" vertical="center"/>
    </xf>
    <xf numFmtId="9" fontId="27" fillId="15" borderId="28" xfId="547" applyFont="1" applyFill="1" applyBorder="1" applyAlignment="1" applyProtection="1">
      <alignment horizontal="center" vertical="center"/>
      <protection hidden="1"/>
    </xf>
    <xf numFmtId="1" fontId="50" fillId="15" borderId="20" xfId="0" applyNumberFormat="1" applyFont="1" applyFill="1" applyBorder="1" applyAlignment="1" applyProtection="1">
      <alignment horizontal="center" vertical="center"/>
    </xf>
    <xf numFmtId="0" fontId="0" fillId="14" borderId="28" xfId="0" applyFont="1" applyFill="1" applyBorder="1"/>
    <xf numFmtId="1" fontId="50" fillId="15" borderId="39" xfId="0" applyNumberFormat="1" applyFont="1" applyFill="1" applyBorder="1" applyAlignment="1" applyProtection="1">
      <alignment horizontal="center" vertical="center"/>
    </xf>
    <xf numFmtId="0" fontId="21" fillId="14" borderId="40" xfId="0" applyFont="1" applyFill="1" applyBorder="1" applyAlignment="1">
      <alignment vertical="center"/>
    </xf>
    <xf numFmtId="167" fontId="50" fillId="15" borderId="16" xfId="0" applyNumberFormat="1" applyFont="1" applyFill="1" applyBorder="1" applyAlignment="1" applyProtection="1">
      <alignment horizontal="center" vertical="center"/>
    </xf>
    <xf numFmtId="167" fontId="50" fillId="15" borderId="50" xfId="0" applyNumberFormat="1" applyFont="1" applyFill="1" applyBorder="1" applyAlignment="1" applyProtection="1">
      <alignment horizontal="center" vertical="center"/>
    </xf>
    <xf numFmtId="167" fontId="50" fillId="15" borderId="18" xfId="0" applyNumberFormat="1" applyFont="1" applyFill="1" applyBorder="1" applyAlignment="1" applyProtection="1">
      <alignment horizontal="center" vertical="center"/>
    </xf>
    <xf numFmtId="9" fontId="0" fillId="15" borderId="44" xfId="0" applyNumberFormat="1" applyFill="1" applyBorder="1" applyAlignment="1" applyProtection="1">
      <alignment horizontal="center"/>
    </xf>
    <xf numFmtId="167" fontId="50" fillId="15" borderId="40" xfId="0" applyNumberFormat="1" applyFont="1" applyFill="1" applyBorder="1" applyAlignment="1" applyProtection="1">
      <alignment horizontal="center" vertical="center"/>
    </xf>
    <xf numFmtId="2" fontId="50" fillId="15" borderId="34" xfId="0" applyNumberFormat="1" applyFont="1" applyFill="1" applyBorder="1" applyAlignment="1" applyProtection="1">
      <alignment horizontal="center" vertical="center"/>
    </xf>
    <xf numFmtId="2" fontId="0" fillId="15" borderId="34" xfId="0" applyNumberFormat="1" applyFill="1" applyBorder="1" applyAlignment="1" applyProtection="1">
      <alignment horizontal="center"/>
    </xf>
    <xf numFmtId="0" fontId="50" fillId="15" borderId="34" xfId="0" applyFont="1" applyFill="1" applyBorder="1" applyAlignment="1" applyProtection="1">
      <alignment horizontal="center" vertical="center"/>
    </xf>
    <xf numFmtId="2" fontId="0" fillId="15" borderId="34" xfId="0" applyNumberFormat="1" applyFill="1" applyBorder="1" applyAlignment="1">
      <alignment horizontal="center"/>
    </xf>
    <xf numFmtId="0" fontId="50" fillId="15" borderId="34" xfId="0" applyFont="1" applyFill="1" applyBorder="1" applyAlignment="1">
      <alignment horizontal="center" vertical="center"/>
    </xf>
    <xf numFmtId="2" fontId="0" fillId="15" borderId="10" xfId="0" applyNumberFormat="1" applyFill="1" applyBorder="1" applyAlignment="1" applyProtection="1">
      <alignment horizontal="center"/>
    </xf>
    <xf numFmtId="0" fontId="50" fillId="15" borderId="10" xfId="0" applyFont="1" applyFill="1" applyBorder="1" applyAlignment="1" applyProtection="1">
      <alignment horizontal="center" vertical="center"/>
    </xf>
    <xf numFmtId="2" fontId="0" fillId="15" borderId="10" xfId="0" applyNumberFormat="1" applyFill="1" applyBorder="1" applyAlignment="1">
      <alignment horizontal="center"/>
    </xf>
    <xf numFmtId="0" fontId="50" fillId="15" borderId="10" xfId="0" applyFont="1" applyFill="1" applyBorder="1" applyAlignment="1">
      <alignment horizontal="center" vertical="center"/>
    </xf>
    <xf numFmtId="2" fontId="0" fillId="15" borderId="28" xfId="0" applyNumberFormat="1" applyFill="1" applyBorder="1" applyAlignment="1" applyProtection="1">
      <alignment horizontal="center"/>
    </xf>
    <xf numFmtId="9" fontId="50" fillId="15" borderId="51" xfId="547" applyFont="1" applyFill="1" applyBorder="1" applyAlignment="1" applyProtection="1">
      <alignment horizontal="center" vertical="center"/>
    </xf>
    <xf numFmtId="167" fontId="50" fillId="15" borderId="51" xfId="0" applyNumberFormat="1" applyFont="1" applyFill="1" applyBorder="1" applyAlignment="1" applyProtection="1">
      <alignment horizontal="center" vertical="center"/>
    </xf>
    <xf numFmtId="167" fontId="50" fillId="15" borderId="52" xfId="0" applyNumberFormat="1" applyFont="1" applyFill="1" applyBorder="1" applyAlignment="1" applyProtection="1">
      <alignment horizontal="center" vertical="center"/>
    </xf>
    <xf numFmtId="0" fontId="50" fillId="0" borderId="0" xfId="0" applyFont="1" applyFill="1" applyBorder="1" applyAlignment="1">
      <alignment horizontal="right" vertical="center"/>
    </xf>
    <xf numFmtId="168" fontId="50" fillId="15" borderId="10" xfId="0" applyNumberFormat="1" applyFont="1" applyFill="1" applyBorder="1" applyAlignment="1">
      <alignment horizontal="center" vertical="center"/>
    </xf>
    <xf numFmtId="0" fontId="0" fillId="0" borderId="0" xfId="0" applyBorder="1" applyProtection="1">
      <protection locked="0"/>
    </xf>
    <xf numFmtId="0" fontId="0" fillId="0" borderId="0" xfId="0" applyAlignment="1">
      <alignment shrinkToFit="1"/>
    </xf>
    <xf numFmtId="167" fontId="0" fillId="0" borderId="10" xfId="0" applyNumberFormat="1" applyFont="1" applyFill="1" applyBorder="1" applyAlignment="1" applyProtection="1">
      <alignment horizontal="center" vertical="center" wrapText="1"/>
    </xf>
    <xf numFmtId="167" fontId="0" fillId="0" borderId="53" xfId="0" applyNumberFormat="1" applyFont="1" applyFill="1" applyBorder="1" applyAlignment="1" applyProtection="1">
      <alignment horizontal="center" vertical="center" wrapText="1"/>
    </xf>
    <xf numFmtId="167" fontId="0" fillId="0" borderId="34" xfId="0" applyNumberFormat="1" applyFont="1" applyFill="1" applyBorder="1" applyAlignment="1" applyProtection="1">
      <alignment horizontal="center" vertical="center" wrapText="1"/>
    </xf>
    <xf numFmtId="167" fontId="0" fillId="0" borderId="0" xfId="0" applyNumberFormat="1" applyFont="1" applyFill="1" applyBorder="1" applyAlignment="1" applyProtection="1">
      <alignment horizontal="center" vertical="center" wrapText="1"/>
    </xf>
    <xf numFmtId="167" fontId="0" fillId="0" borderId="28" xfId="0" applyNumberFormat="1" applyFont="1" applyFill="1" applyBorder="1" applyAlignment="1" applyProtection="1">
      <alignment horizontal="center" vertical="center" wrapText="1"/>
    </xf>
    <xf numFmtId="0" fontId="0" fillId="0" borderId="28" xfId="0" applyFont="1" applyFill="1" applyBorder="1" applyAlignment="1" applyProtection="1">
      <alignment horizontal="center" vertical="center" wrapText="1"/>
    </xf>
    <xf numFmtId="0" fontId="41" fillId="15" borderId="0" xfId="0" applyFont="1" applyFill="1" applyAlignment="1">
      <alignment vertical="center" wrapText="1"/>
    </xf>
    <xf numFmtId="0" fontId="41" fillId="15" borderId="0" xfId="0" applyFont="1" applyFill="1" applyAlignment="1">
      <alignment horizontal="center" vertical="center"/>
    </xf>
    <xf numFmtId="0" fontId="41" fillId="15" borderId="0" xfId="0" applyFont="1" applyFill="1"/>
    <xf numFmtId="0" fontId="21" fillId="15" borderId="0" xfId="0" applyFont="1" applyFill="1" applyBorder="1" applyAlignment="1">
      <alignment horizontal="left" vertical="center" indent="1"/>
    </xf>
    <xf numFmtId="0" fontId="41" fillId="15" borderId="0" xfId="0" applyFont="1" applyFill="1" applyAlignment="1">
      <alignment horizontal="left" vertical="center" wrapText="1" indent="1"/>
    </xf>
    <xf numFmtId="0" fontId="41" fillId="15" borderId="0" xfId="0" applyFont="1" applyFill="1" applyAlignment="1">
      <alignment shrinkToFit="1"/>
    </xf>
    <xf numFmtId="0" fontId="21" fillId="15" borderId="0" xfId="0" applyFont="1" applyFill="1" applyBorder="1" applyAlignment="1">
      <alignment vertical="center"/>
    </xf>
    <xf numFmtId="0" fontId="47" fillId="14" borderId="0" xfId="0" applyFont="1" applyFill="1" applyBorder="1" applyAlignment="1">
      <alignment horizontal="center" vertical="center" wrapText="1"/>
    </xf>
    <xf numFmtId="0" fontId="42" fillId="14" borderId="0" xfId="0" applyFont="1" applyFill="1" applyBorder="1"/>
    <xf numFmtId="0" fontId="0" fillId="0" borderId="0" xfId="0" applyAlignment="1">
      <alignment vertical="center"/>
    </xf>
    <xf numFmtId="0" fontId="49" fillId="15" borderId="0" xfId="0" applyFont="1" applyFill="1" applyBorder="1" applyAlignment="1" applyProtection="1">
      <alignment horizontal="left" vertical="center"/>
    </xf>
    <xf numFmtId="0" fontId="40" fillId="15" borderId="0" xfId="0" applyFont="1" applyFill="1" applyBorder="1" applyAlignment="1" applyProtection="1">
      <alignment horizontal="right" vertical="center" indent="1"/>
    </xf>
    <xf numFmtId="0" fontId="39" fillId="15" borderId="0" xfId="0" applyFont="1" applyFill="1" applyBorder="1" applyAlignment="1" applyProtection="1">
      <alignment horizontal="left" vertical="center"/>
    </xf>
    <xf numFmtId="0" fontId="51" fillId="15" borderId="0" xfId="0" applyFont="1" applyFill="1" applyBorder="1" applyAlignment="1" applyProtection="1">
      <alignment horizontal="left" vertical="center"/>
      <protection locked="0"/>
    </xf>
    <xf numFmtId="0" fontId="40" fillId="15" borderId="0" xfId="0" applyFont="1" applyFill="1" applyBorder="1" applyAlignment="1" applyProtection="1">
      <alignment horizontal="left" vertical="center"/>
    </xf>
    <xf numFmtId="0" fontId="0" fillId="15" borderId="0" xfId="0" applyFont="1" applyFill="1" applyBorder="1"/>
    <xf numFmtId="0" fontId="50" fillId="0" borderId="47" xfId="0" applyFont="1" applyFill="1" applyBorder="1" applyAlignment="1" applyProtection="1">
      <alignment horizontal="left" vertical="center"/>
    </xf>
    <xf numFmtId="0" fontId="50" fillId="0" borderId="48" xfId="0" applyFont="1" applyFill="1" applyBorder="1" applyAlignment="1" applyProtection="1">
      <alignment horizontal="left" vertical="center"/>
    </xf>
    <xf numFmtId="0" fontId="39" fillId="0" borderId="48" xfId="0" applyFont="1" applyFill="1" applyBorder="1" applyAlignment="1">
      <alignment horizontal="center" vertical="center" wrapText="1"/>
    </xf>
    <xf numFmtId="0" fontId="50" fillId="0" borderId="20" xfId="0" applyFont="1" applyFill="1" applyBorder="1" applyAlignment="1" applyProtection="1">
      <alignment vertical="center"/>
    </xf>
    <xf numFmtId="0" fontId="0" fillId="0" borderId="11" xfId="0" applyFont="1" applyFill="1" applyBorder="1" applyAlignment="1" applyProtection="1">
      <alignment horizontal="left" vertical="center" wrapText="1"/>
    </xf>
    <xf numFmtId="168" fontId="39" fillId="0" borderId="10" xfId="0" applyNumberFormat="1" applyFont="1" applyFill="1" applyBorder="1" applyAlignment="1" applyProtection="1">
      <alignment horizontal="center" vertical="center"/>
    </xf>
    <xf numFmtId="167" fontId="39" fillId="0" borderId="10" xfId="0" applyNumberFormat="1" applyFont="1" applyFill="1" applyBorder="1" applyAlignment="1" applyProtection="1">
      <alignment horizontal="center" vertical="center"/>
    </xf>
    <xf numFmtId="0" fontId="50" fillId="0" borderId="11" xfId="0" applyFont="1" applyFill="1" applyBorder="1" applyAlignment="1" applyProtection="1">
      <alignment vertical="center" wrapText="1"/>
    </xf>
    <xf numFmtId="167" fontId="40" fillId="0" borderId="10" xfId="0" applyNumberFormat="1" applyFont="1" applyFill="1" applyBorder="1" applyAlignment="1" applyProtection="1">
      <alignment horizontal="center" vertical="center"/>
    </xf>
    <xf numFmtId="0" fontId="50" fillId="0" borderId="49" xfId="0" applyFont="1" applyFill="1" applyBorder="1" applyAlignment="1" applyProtection="1">
      <alignment vertical="center" wrapText="1"/>
    </xf>
    <xf numFmtId="167" fontId="0" fillId="0" borderId="47" xfId="0" applyNumberFormat="1" applyFont="1" applyFill="1" applyBorder="1" applyAlignment="1" applyProtection="1">
      <alignment horizontal="right" vertical="center" indent="1"/>
    </xf>
    <xf numFmtId="167" fontId="45" fillId="0" borderId="20" xfId="0" applyNumberFormat="1" applyFont="1" applyFill="1" applyBorder="1" applyAlignment="1" applyProtection="1">
      <alignment horizontal="center" vertical="center" wrapText="1"/>
    </xf>
    <xf numFmtId="0" fontId="50" fillId="0" borderId="20" xfId="0" applyFont="1" applyFill="1" applyBorder="1" applyAlignment="1" applyProtection="1">
      <alignment horizontal="left" vertical="center"/>
    </xf>
    <xf numFmtId="0" fontId="0" fillId="0" borderId="11" xfId="0" applyFont="1" applyFill="1" applyBorder="1" applyAlignment="1"/>
    <xf numFmtId="0" fontId="0" fillId="0" borderId="11" xfId="0" applyFont="1" applyFill="1" applyBorder="1" applyAlignment="1">
      <alignment horizontal="center"/>
    </xf>
    <xf numFmtId="0" fontId="50" fillId="0" borderId="35" xfId="0" applyFont="1" applyFill="1" applyBorder="1" applyAlignment="1" applyProtection="1">
      <alignment horizontal="left" vertical="center"/>
    </xf>
    <xf numFmtId="0" fontId="0" fillId="0" borderId="0" xfId="0" applyFont="1" applyFill="1" applyBorder="1"/>
    <xf numFmtId="0" fontId="0" fillId="0" borderId="0" xfId="0" applyFont="1" applyFill="1" applyBorder="1" applyAlignment="1">
      <alignment horizontal="center"/>
    </xf>
    <xf numFmtId="0" fontId="40" fillId="0" borderId="48" xfId="0" applyFont="1" applyFill="1" applyBorder="1" applyAlignment="1" applyProtection="1">
      <alignment horizontal="left" vertical="center"/>
    </xf>
    <xf numFmtId="0" fontId="0" fillId="0" borderId="48" xfId="0" applyFont="1" applyFill="1" applyBorder="1"/>
    <xf numFmtId="0" fontId="0" fillId="0" borderId="48" xfId="0" applyFont="1" applyFill="1" applyBorder="1" applyAlignment="1">
      <alignment horizontal="center"/>
    </xf>
    <xf numFmtId="168" fontId="39" fillId="0" borderId="0" xfId="0" applyNumberFormat="1" applyFont="1" applyFill="1" applyBorder="1" applyAlignment="1" applyProtection="1">
      <alignment horizontal="center" vertical="center"/>
    </xf>
    <xf numFmtId="0" fontId="50" fillId="0" borderId="10" xfId="578" applyFont="1" applyBorder="1" applyAlignment="1">
      <alignment horizontal="left" vertical="center" wrapText="1" indent="1"/>
    </xf>
    <xf numFmtId="167" fontId="50" fillId="0" borderId="10" xfId="578" applyNumberFormat="1" applyFont="1" applyBorder="1" applyAlignment="1">
      <alignment horizontal="center" vertical="center" wrapText="1"/>
    </xf>
    <xf numFmtId="0" fontId="50" fillId="0" borderId="10" xfId="578" applyFont="1" applyBorder="1" applyAlignment="1">
      <alignment horizontal="center" vertical="center" wrapText="1"/>
    </xf>
    <xf numFmtId="168" fontId="50" fillId="0" borderId="10" xfId="578" applyNumberFormat="1" applyFont="1" applyBorder="1" applyAlignment="1">
      <alignment horizontal="center" vertical="center" wrapText="1"/>
    </xf>
    <xf numFmtId="0" fontId="50" fillId="0" borderId="28" xfId="578" applyFont="1" applyBorder="1" applyAlignment="1">
      <alignment horizontal="left" vertical="center" wrapText="1" indent="1"/>
    </xf>
    <xf numFmtId="167" fontId="50" fillId="0" borderId="28" xfId="578" applyNumberFormat="1" applyFont="1" applyBorder="1" applyAlignment="1">
      <alignment horizontal="center" vertical="center" wrapText="1"/>
    </xf>
    <xf numFmtId="0" fontId="50" fillId="0" borderId="28" xfId="578" applyFont="1" applyBorder="1" applyAlignment="1">
      <alignment horizontal="center" vertical="center" wrapText="1"/>
    </xf>
    <xf numFmtId="168" fontId="50" fillId="0" borderId="28" xfId="578" applyNumberFormat="1" applyFont="1" applyBorder="1" applyAlignment="1">
      <alignment horizontal="center" vertical="center" wrapText="1"/>
    </xf>
    <xf numFmtId="0" fontId="50" fillId="0" borderId="0" xfId="578" applyFont="1" applyBorder="1" applyAlignment="1">
      <alignment horizontal="center" vertical="center" wrapText="1"/>
    </xf>
    <xf numFmtId="0" fontId="0" fillId="0" borderId="0" xfId="0" applyBorder="1" applyAlignment="1">
      <alignment horizontal="center" vertical="center" wrapText="1"/>
    </xf>
    <xf numFmtId="14" fontId="0" fillId="0" borderId="0" xfId="0" applyNumberFormat="1" applyBorder="1" applyAlignment="1">
      <alignment horizontal="center" vertical="center"/>
    </xf>
    <xf numFmtId="0" fontId="40" fillId="0" borderId="0" xfId="0" applyFont="1" applyBorder="1" applyAlignment="1">
      <alignment horizontal="center" vertical="center"/>
    </xf>
    <xf numFmtId="14" fontId="0" fillId="0" borderId="0" xfId="0" applyNumberFormat="1"/>
    <xf numFmtId="0" fontId="64" fillId="0" borderId="0" xfId="0" applyFont="1"/>
    <xf numFmtId="0" fontId="57" fillId="0" borderId="0" xfId="578" applyFont="1"/>
    <xf numFmtId="0" fontId="0" fillId="0" borderId="10" xfId="578" applyFont="1" applyFill="1" applyBorder="1" applyAlignment="1" applyProtection="1">
      <alignment vertical="center"/>
      <protection locked="0"/>
    </xf>
    <xf numFmtId="2" fontId="0" fillId="0" borderId="10" xfId="578" applyNumberFormat="1" applyFont="1" applyFill="1" applyBorder="1" applyAlignment="1" applyProtection="1">
      <alignment horizontal="center" vertical="center"/>
      <protection locked="0"/>
    </xf>
    <xf numFmtId="0" fontId="49" fillId="0" borderId="0" xfId="578" applyFont="1"/>
    <xf numFmtId="0" fontId="51" fillId="0" borderId="0" xfId="578" applyFont="1"/>
    <xf numFmtId="0" fontId="57" fillId="0" borderId="0" xfId="578" applyFont="1" applyAlignment="1">
      <alignment vertical="center"/>
    </xf>
    <xf numFmtId="0" fontId="0" fillId="0" borderId="28" xfId="578" applyFont="1" applyFill="1" applyBorder="1" applyAlignment="1" applyProtection="1">
      <alignment vertical="center"/>
      <protection locked="0"/>
    </xf>
    <xf numFmtId="2" fontId="0" fillId="0" borderId="28" xfId="578" applyNumberFormat="1" applyFont="1" applyFill="1" applyBorder="1" applyAlignment="1" applyProtection="1">
      <alignment horizontal="center" vertical="center"/>
      <protection locked="0"/>
    </xf>
    <xf numFmtId="0" fontId="57" fillId="0" borderId="0" xfId="578" applyFont="1" applyAlignment="1" applyProtection="1">
      <alignment horizontal="left"/>
      <protection locked="0" hidden="1"/>
    </xf>
    <xf numFmtId="0" fontId="57" fillId="0" borderId="0" xfId="578" applyFont="1" applyAlignment="1" applyProtection="1">
      <alignment horizontal="center"/>
      <protection locked="0" hidden="1"/>
    </xf>
    <xf numFmtId="0" fontId="57" fillId="0" borderId="0" xfId="578" applyFont="1" applyBorder="1" applyAlignment="1" applyProtection="1">
      <alignment horizontal="center"/>
      <protection hidden="1"/>
    </xf>
    <xf numFmtId="0" fontId="57" fillId="0" borderId="0" xfId="578" applyFont="1" applyBorder="1" applyProtection="1">
      <protection hidden="1"/>
    </xf>
    <xf numFmtId="0" fontId="0" fillId="0" borderId="10" xfId="578" applyFont="1" applyFill="1" applyBorder="1" applyAlignment="1" applyProtection="1">
      <alignment horizontal="center" vertical="center"/>
      <protection hidden="1"/>
    </xf>
    <xf numFmtId="0" fontId="51" fillId="0" borderId="0" xfId="578" applyFont="1" applyAlignment="1"/>
    <xf numFmtId="0" fontId="0" fillId="0" borderId="10" xfId="578" applyFont="1" applyFill="1" applyBorder="1" applyAlignment="1" applyProtection="1">
      <alignment horizontal="center"/>
      <protection hidden="1"/>
    </xf>
    <xf numFmtId="1" fontId="0" fillId="0" borderId="10" xfId="578" applyNumberFormat="1" applyFont="1" applyFill="1" applyBorder="1" applyAlignment="1" applyProtection="1">
      <alignment horizontal="center"/>
      <protection hidden="1"/>
    </xf>
    <xf numFmtId="0" fontId="51" fillId="0" borderId="0" xfId="578" applyFont="1" applyAlignment="1">
      <alignment vertical="center"/>
    </xf>
    <xf numFmtId="0" fontId="0" fillId="0" borderId="0" xfId="578" applyFont="1" applyFill="1" applyAlignment="1" applyProtection="1">
      <alignment horizontal="center"/>
      <protection hidden="1"/>
    </xf>
    <xf numFmtId="1" fontId="0" fillId="0" borderId="12" xfId="578" applyNumberFormat="1" applyFont="1" applyFill="1" applyBorder="1" applyAlignment="1" applyProtection="1">
      <alignment horizontal="center"/>
      <protection hidden="1"/>
    </xf>
    <xf numFmtId="0" fontId="0" fillId="0" borderId="12" xfId="578" applyFont="1" applyFill="1" applyBorder="1" applyAlignment="1" applyProtection="1">
      <alignment horizontal="center"/>
      <protection hidden="1"/>
    </xf>
    <xf numFmtId="0" fontId="38" fillId="0" borderId="0" xfId="0" applyFont="1"/>
    <xf numFmtId="0" fontId="0" fillId="0" borderId="41" xfId="0" applyFont="1" applyBorder="1" applyAlignment="1">
      <alignment wrapText="1"/>
    </xf>
    <xf numFmtId="0" fontId="40" fillId="0" borderId="49" xfId="0" applyFont="1" applyBorder="1" applyAlignment="1">
      <alignment horizontal="center"/>
    </xf>
    <xf numFmtId="0" fontId="40" fillId="0" borderId="54" xfId="0" applyFont="1" applyBorder="1" applyAlignment="1">
      <alignment horizontal="center"/>
    </xf>
    <xf numFmtId="167" fontId="40" fillId="0" borderId="10" xfId="0" applyNumberFormat="1" applyFont="1" applyBorder="1" applyAlignment="1">
      <alignment horizontal="center"/>
    </xf>
    <xf numFmtId="167" fontId="40" fillId="0" borderId="26" xfId="0" applyNumberFormat="1" applyFont="1" applyBorder="1" applyAlignment="1">
      <alignment horizontal="center"/>
    </xf>
    <xf numFmtId="168" fontId="49" fillId="0" borderId="25" xfId="0" applyNumberFormat="1" applyFont="1" applyFill="1" applyBorder="1" applyAlignment="1">
      <alignment horizontal="center" vertical="center"/>
    </xf>
    <xf numFmtId="168" fontId="49" fillId="0" borderId="26" xfId="0" applyNumberFormat="1" applyFont="1" applyFill="1" applyBorder="1" applyAlignment="1">
      <alignment horizontal="center" vertical="center"/>
    </xf>
    <xf numFmtId="168" fontId="49" fillId="0" borderId="22" xfId="0" applyNumberFormat="1" applyFont="1" applyFill="1" applyBorder="1" applyAlignment="1">
      <alignment horizontal="center" vertical="center"/>
    </xf>
    <xf numFmtId="168" fontId="49" fillId="0" borderId="27" xfId="0" applyNumberFormat="1" applyFont="1" applyFill="1" applyBorder="1" applyAlignment="1">
      <alignment horizontal="center" vertical="center"/>
    </xf>
    <xf numFmtId="0" fontId="0" fillId="0" borderId="22" xfId="0" applyFont="1" applyFill="1" applyBorder="1" applyAlignment="1">
      <alignment vertical="center"/>
    </xf>
    <xf numFmtId="0" fontId="73" fillId="0" borderId="0" xfId="0" applyFont="1"/>
    <xf numFmtId="0" fontId="0" fillId="0" borderId="22" xfId="0" applyFont="1" applyFill="1" applyBorder="1" applyAlignment="1">
      <alignment horizontal="left" vertical="center"/>
    </xf>
    <xf numFmtId="0" fontId="0" fillId="0" borderId="22" xfId="0" applyFont="1" applyBorder="1" applyAlignment="1">
      <alignment horizontal="left"/>
    </xf>
    <xf numFmtId="167" fontId="40" fillId="0" borderId="54" xfId="0" applyNumberFormat="1" applyFont="1" applyBorder="1" applyAlignment="1">
      <alignment horizontal="center"/>
    </xf>
    <xf numFmtId="0" fontId="38" fillId="0" borderId="0" xfId="0" applyFont="1" applyAlignment="1">
      <alignment horizontal="center"/>
    </xf>
    <xf numFmtId="0" fontId="0" fillId="0" borderId="22" xfId="0" applyFont="1" applyBorder="1" applyAlignment="1" applyProtection="1">
      <alignment horizontal="left"/>
      <protection hidden="1"/>
    </xf>
    <xf numFmtId="167" fontId="40" fillId="0" borderId="49" xfId="0" applyNumberFormat="1" applyFont="1" applyBorder="1" applyAlignment="1">
      <alignment horizontal="center"/>
    </xf>
    <xf numFmtId="0" fontId="51" fillId="0" borderId="22" xfId="0" applyFont="1" applyBorder="1" applyAlignment="1">
      <alignment horizontal="left"/>
    </xf>
    <xf numFmtId="0" fontId="73" fillId="0" borderId="0" xfId="0" applyFont="1" applyAlignment="1">
      <alignment horizontal="left"/>
    </xf>
    <xf numFmtId="0" fontId="38" fillId="0" borderId="0" xfId="0" applyFont="1" applyAlignment="1">
      <alignment horizontal="left"/>
    </xf>
    <xf numFmtId="4" fontId="49" fillId="0" borderId="25" xfId="0" applyNumberFormat="1" applyFont="1" applyFill="1" applyBorder="1" applyAlignment="1">
      <alignment horizontal="center" vertical="center"/>
    </xf>
    <xf numFmtId="4" fontId="49" fillId="0" borderId="26" xfId="0" applyNumberFormat="1" applyFont="1" applyBorder="1" applyAlignment="1">
      <alignment horizontal="center"/>
    </xf>
    <xf numFmtId="4" fontId="49" fillId="0" borderId="22" xfId="0" applyNumberFormat="1" applyFont="1" applyBorder="1" applyAlignment="1">
      <alignment horizontal="center"/>
    </xf>
    <xf numFmtId="4" fontId="49" fillId="0" borderId="27" xfId="0" applyNumberFormat="1" applyFont="1" applyBorder="1" applyAlignment="1">
      <alignment horizontal="center"/>
    </xf>
    <xf numFmtId="0" fontId="0" fillId="0" borderId="22" xfId="0" applyFont="1" applyBorder="1" applyAlignment="1">
      <alignment wrapText="1"/>
    </xf>
    <xf numFmtId="0" fontId="45" fillId="0" borderId="41" xfId="0" applyFont="1" applyBorder="1" applyAlignment="1">
      <alignment wrapText="1"/>
    </xf>
    <xf numFmtId="4" fontId="49" fillId="0" borderId="27" xfId="0" applyNumberFormat="1" applyFont="1" applyFill="1" applyBorder="1" applyAlignment="1">
      <alignment horizontal="center" vertical="center"/>
    </xf>
    <xf numFmtId="0" fontId="38" fillId="0" borderId="41" xfId="0" applyFont="1" applyBorder="1" applyAlignment="1">
      <alignment wrapText="1"/>
    </xf>
    <xf numFmtId="4" fontId="49" fillId="0" borderId="25" xfId="0" applyNumberFormat="1" applyFont="1" applyBorder="1" applyAlignment="1">
      <alignment horizontal="center"/>
    </xf>
    <xf numFmtId="0" fontId="67" fillId="0" borderId="0" xfId="412" applyNumberFormat="1" applyFont="1" applyFill="1" applyBorder="1" applyAlignment="1" applyProtection="1">
      <alignment horizontal="center" vertical="center"/>
    </xf>
    <xf numFmtId="0" fontId="0" fillId="0" borderId="0" xfId="0" applyFont="1" applyAlignment="1">
      <alignment horizontal="center"/>
    </xf>
    <xf numFmtId="175" fontId="49" fillId="0" borderId="25" xfId="0" applyNumberFormat="1" applyFont="1" applyBorder="1" applyAlignment="1">
      <alignment horizontal="center"/>
    </xf>
    <xf numFmtId="175" fontId="49" fillId="0" borderId="55" xfId="0" applyNumberFormat="1" applyFont="1" applyBorder="1" applyAlignment="1">
      <alignment horizontal="center"/>
    </xf>
    <xf numFmtId="175" fontId="49" fillId="0" borderId="56" xfId="0" applyNumberFormat="1" applyFont="1" applyBorder="1" applyAlignment="1">
      <alignment horizontal="center"/>
    </xf>
    <xf numFmtId="175" fontId="49" fillId="0" borderId="27" xfId="0" applyNumberFormat="1" applyFont="1" applyBorder="1" applyAlignment="1">
      <alignment horizontal="center"/>
    </xf>
    <xf numFmtId="0" fontId="49" fillId="0" borderId="55" xfId="0" applyFont="1" applyBorder="1" applyAlignment="1">
      <alignment horizontal="center"/>
    </xf>
    <xf numFmtId="0" fontId="49" fillId="0" borderId="56" xfId="0" applyFont="1" applyBorder="1" applyAlignment="1">
      <alignment horizontal="center"/>
    </xf>
    <xf numFmtId="2" fontId="40" fillId="0" borderId="26" xfId="0" applyNumberFormat="1" applyFont="1" applyBorder="1" applyAlignment="1">
      <alignment horizontal="center"/>
    </xf>
    <xf numFmtId="175" fontId="49" fillId="0" borderId="57" xfId="0" applyNumberFormat="1" applyFont="1" applyBorder="1" applyAlignment="1">
      <alignment horizontal="center"/>
    </xf>
    <xf numFmtId="2" fontId="40" fillId="0" borderId="54" xfId="0" applyNumberFormat="1" applyFont="1" applyBorder="1" applyAlignment="1">
      <alignment horizontal="center"/>
    </xf>
    <xf numFmtId="175" fontId="49" fillId="0" borderId="27" xfId="0" applyNumberFormat="1" applyFont="1" applyFill="1" applyBorder="1" applyAlignment="1">
      <alignment horizontal="center"/>
    </xf>
    <xf numFmtId="0" fontId="40" fillId="0" borderId="49" xfId="0" applyFont="1" applyBorder="1"/>
    <xf numFmtId="0" fontId="40" fillId="0" borderId="10" xfId="0" applyFont="1" applyBorder="1" applyAlignment="1"/>
    <xf numFmtId="168" fontId="49" fillId="0" borderId="27" xfId="0" applyNumberFormat="1" applyFont="1" applyBorder="1" applyAlignment="1">
      <alignment horizontal="center"/>
    </xf>
    <xf numFmtId="0" fontId="0" fillId="0" borderId="22" xfId="0" applyFont="1" applyFill="1" applyBorder="1" applyAlignment="1">
      <alignment wrapText="1"/>
    </xf>
    <xf numFmtId="0" fontId="0" fillId="0" borderId="22" xfId="0" applyFont="1" applyBorder="1" applyAlignment="1">
      <alignment horizontal="left" wrapText="1"/>
    </xf>
    <xf numFmtId="0" fontId="40" fillId="0" borderId="21" xfId="0" applyFont="1" applyBorder="1"/>
    <xf numFmtId="0" fontId="40" fillId="0" borderId="27" xfId="0" applyFont="1" applyBorder="1" applyAlignment="1">
      <alignment horizontal="center"/>
    </xf>
    <xf numFmtId="175" fontId="49" fillId="0" borderId="58" xfId="0" applyNumberFormat="1" applyFont="1" applyBorder="1" applyAlignment="1">
      <alignment horizontal="center"/>
    </xf>
    <xf numFmtId="175" fontId="49" fillId="0" borderId="59" xfId="0" applyNumberFormat="1" applyFont="1" applyBorder="1" applyAlignment="1">
      <alignment horizontal="center"/>
    </xf>
    <xf numFmtId="175" fontId="49" fillId="0" borderId="60" xfId="0" applyNumberFormat="1" applyFont="1" applyBorder="1" applyAlignment="1">
      <alignment horizontal="center"/>
    </xf>
    <xf numFmtId="4" fontId="49" fillId="0" borderId="61" xfId="0" applyNumberFormat="1" applyFont="1" applyBorder="1" applyAlignment="1">
      <alignment horizontal="center"/>
    </xf>
    <xf numFmtId="0" fontId="0" fillId="0" borderId="30" xfId="0" applyFont="1" applyBorder="1" applyAlignment="1">
      <alignment horizontal="left" wrapText="1"/>
    </xf>
    <xf numFmtId="0" fontId="0" fillId="0" borderId="62" xfId="0" applyBorder="1" applyAlignment="1">
      <alignment horizontal="left" wrapText="1"/>
    </xf>
    <xf numFmtId="0" fontId="40" fillId="0" borderId="34" xfId="0" applyFont="1" applyBorder="1" applyAlignment="1"/>
    <xf numFmtId="2" fontId="40" fillId="0" borderId="49" xfId="0" applyNumberFormat="1" applyFont="1" applyBorder="1" applyAlignment="1">
      <alignment horizontal="center"/>
    </xf>
    <xf numFmtId="2" fontId="0" fillId="0" borderId="0" xfId="0" applyNumberFormat="1" applyFont="1"/>
    <xf numFmtId="4" fontId="51" fillId="0" borderId="25" xfId="0" applyNumberFormat="1" applyFont="1" applyFill="1" applyBorder="1" applyAlignment="1">
      <alignment horizontal="center" vertical="center"/>
    </xf>
    <xf numFmtId="175" fontId="51" fillId="0" borderId="26" xfId="0" applyNumberFormat="1" applyFont="1" applyFill="1" applyBorder="1" applyAlignment="1">
      <alignment horizontal="center" vertical="center"/>
    </xf>
    <xf numFmtId="175" fontId="51" fillId="0" borderId="22" xfId="0" applyNumberFormat="1" applyFont="1" applyFill="1" applyBorder="1" applyAlignment="1">
      <alignment horizontal="center" vertical="center"/>
    </xf>
    <xf numFmtId="4" fontId="51" fillId="0" borderId="27" xfId="0" applyNumberFormat="1" applyFont="1" applyFill="1" applyBorder="1" applyAlignment="1">
      <alignment horizontal="center" vertical="center"/>
    </xf>
    <xf numFmtId="168" fontId="51" fillId="0" borderId="25" xfId="0" applyNumberFormat="1" applyFont="1" applyFill="1" applyBorder="1" applyAlignment="1">
      <alignment horizontal="center" vertical="center"/>
    </xf>
    <xf numFmtId="4" fontId="51" fillId="0" borderId="26" xfId="0" applyNumberFormat="1" applyFont="1" applyFill="1" applyBorder="1" applyAlignment="1">
      <alignment horizontal="center" vertical="center"/>
    </xf>
    <xf numFmtId="4" fontId="51" fillId="0" borderId="22" xfId="0" applyNumberFormat="1" applyFont="1" applyFill="1" applyBorder="1" applyAlignment="1">
      <alignment horizontal="center" vertical="center"/>
    </xf>
    <xf numFmtId="168" fontId="51" fillId="0" borderId="27" xfId="0" applyNumberFormat="1" applyFont="1" applyFill="1" applyBorder="1" applyAlignment="1">
      <alignment horizontal="center" vertical="center"/>
    </xf>
    <xf numFmtId="168" fontId="51" fillId="0" borderId="26" xfId="0" applyNumberFormat="1" applyFont="1" applyFill="1" applyBorder="1" applyAlignment="1">
      <alignment horizontal="center" vertical="center"/>
    </xf>
    <xf numFmtId="168" fontId="51" fillId="0" borderId="22" xfId="0" applyNumberFormat="1" applyFont="1" applyFill="1" applyBorder="1" applyAlignment="1">
      <alignment horizontal="center" vertical="center"/>
    </xf>
    <xf numFmtId="0" fontId="0" fillId="0" borderId="32" xfId="0" applyFont="1" applyBorder="1" applyAlignment="1">
      <alignment wrapText="1"/>
    </xf>
    <xf numFmtId="0" fontId="44" fillId="0" borderId="10" xfId="0" applyFont="1" applyBorder="1"/>
    <xf numFmtId="0" fontId="44" fillId="0" borderId="10" xfId="0" applyFont="1" applyBorder="1" applyAlignment="1">
      <alignment horizontal="center" wrapText="1"/>
    </xf>
    <xf numFmtId="0" fontId="44" fillId="0" borderId="10" xfId="0" applyFont="1" applyBorder="1" applyAlignment="1">
      <alignment horizontal="center"/>
    </xf>
    <xf numFmtId="0" fontId="54" fillId="0" borderId="10" xfId="0" applyFont="1" applyBorder="1"/>
    <xf numFmtId="0" fontId="54" fillId="0" borderId="10" xfId="0" applyFont="1" applyBorder="1" applyAlignment="1">
      <alignment horizontal="center" wrapText="1"/>
    </xf>
    <xf numFmtId="0" fontId="54" fillId="0" borderId="10" xfId="0" applyFont="1" applyBorder="1" applyAlignment="1">
      <alignment horizontal="center"/>
    </xf>
    <xf numFmtId="0" fontId="54" fillId="0" borderId="10" xfId="0" applyFont="1" applyBorder="1" applyAlignment="1">
      <alignment wrapText="1"/>
    </xf>
    <xf numFmtId="2" fontId="54" fillId="0" borderId="10" xfId="0" applyNumberFormat="1" applyFont="1" applyBorder="1" applyAlignment="1">
      <alignment horizontal="center"/>
    </xf>
    <xf numFmtId="0" fontId="54" fillId="0" borderId="28" xfId="0" applyFont="1" applyBorder="1" applyAlignment="1">
      <alignment wrapText="1"/>
    </xf>
    <xf numFmtId="2" fontId="54" fillId="0" borderId="28" xfId="0" applyNumberFormat="1" applyFont="1" applyBorder="1" applyAlignment="1">
      <alignment horizontal="center" wrapText="1"/>
    </xf>
    <xf numFmtId="0" fontId="54" fillId="0" borderId="28" xfId="0" applyFont="1" applyBorder="1" applyAlignment="1">
      <alignment horizontal="center"/>
    </xf>
    <xf numFmtId="0" fontId="54" fillId="0" borderId="0" xfId="0" applyFont="1" applyAlignment="1">
      <alignment horizontal="left" vertical="center" wrapText="1"/>
    </xf>
    <xf numFmtId="0" fontId="0" fillId="0" borderId="10" xfId="0" applyFont="1" applyBorder="1" applyAlignment="1">
      <alignment horizontal="center"/>
    </xf>
    <xf numFmtId="167" fontId="0" fillId="0" borderId="54" xfId="0" applyNumberFormat="1" applyFont="1" applyBorder="1" applyAlignment="1">
      <alignment horizontal="center"/>
    </xf>
    <xf numFmtId="167" fontId="0" fillId="0" borderId="10" xfId="0" applyNumberFormat="1" applyFont="1" applyBorder="1" applyAlignment="1">
      <alignment horizontal="center"/>
    </xf>
    <xf numFmtId="1" fontId="0" fillId="0" borderId="10" xfId="0" applyNumberFormat="1" applyFont="1" applyBorder="1" applyAlignment="1">
      <alignment horizontal="center"/>
    </xf>
    <xf numFmtId="0" fontId="0" fillId="17" borderId="0" xfId="0" applyFill="1"/>
    <xf numFmtId="0" fontId="0" fillId="0" borderId="63" xfId="0" applyBorder="1" applyAlignment="1">
      <alignment horizontal="right"/>
    </xf>
    <xf numFmtId="0" fontId="0" fillId="0" borderId="64" xfId="0" applyBorder="1" applyAlignment="1">
      <alignment horizontal="right"/>
    </xf>
    <xf numFmtId="0" fontId="0" fillId="0" borderId="0" xfId="0" applyAlignment="1">
      <alignment horizontal="right" vertical="center"/>
    </xf>
    <xf numFmtId="4" fontId="0" fillId="0" borderId="64" xfId="0" applyNumberFormat="1" applyBorder="1" applyAlignment="1">
      <alignment horizontal="center" vertical="center"/>
    </xf>
    <xf numFmtId="0" fontId="39" fillId="0" borderId="65" xfId="0" applyFont="1" applyBorder="1" applyAlignment="1">
      <alignment horizontal="center" vertical="center"/>
    </xf>
    <xf numFmtId="0" fontId="0" fillId="0" borderId="66" xfId="0" applyBorder="1" applyAlignment="1">
      <alignment horizontal="center" vertical="center" wrapText="1"/>
    </xf>
    <xf numFmtId="0" fontId="39" fillId="0" borderId="67" xfId="0" applyFont="1" applyBorder="1" applyAlignment="1">
      <alignment horizontal="center" vertical="center"/>
    </xf>
    <xf numFmtId="0" fontId="0" fillId="18" borderId="64" xfId="0" applyFill="1" applyBorder="1" applyAlignment="1">
      <alignment horizontal="center" vertical="center"/>
    </xf>
    <xf numFmtId="0" fontId="0" fillId="0" borderId="68" xfId="0" applyBorder="1"/>
    <xf numFmtId="0" fontId="117" fillId="0" borderId="64" xfId="0" applyFont="1" applyBorder="1" applyAlignment="1">
      <alignment horizontal="center" vertical="center"/>
    </xf>
    <xf numFmtId="1" fontId="0" fillId="0" borderId="64" xfId="0" applyNumberFormat="1" applyBorder="1" applyAlignment="1">
      <alignment horizontal="center" vertical="center"/>
    </xf>
    <xf numFmtId="1" fontId="40" fillId="0" borderId="68" xfId="0" applyNumberFormat="1" applyFont="1" applyBorder="1" applyAlignment="1">
      <alignment horizontal="center" vertical="center"/>
    </xf>
    <xf numFmtId="0" fontId="0" fillId="0" borderId="64" xfId="0" applyBorder="1" applyAlignment="1">
      <alignment horizontal="center" vertical="center"/>
    </xf>
    <xf numFmtId="169" fontId="24" fillId="0" borderId="0" xfId="546" applyNumberFormat="1" applyBorder="1" applyAlignment="1">
      <alignment horizontal="center" vertical="center"/>
    </xf>
    <xf numFmtId="1" fontId="0" fillId="0" borderId="70" xfId="0" applyNumberFormat="1" applyBorder="1" applyAlignment="1">
      <alignment horizontal="center" vertical="center"/>
    </xf>
    <xf numFmtId="1" fontId="0" fillId="0" borderId="71" xfId="0" applyNumberFormat="1" applyBorder="1" applyAlignment="1">
      <alignment horizontal="center" vertical="center"/>
    </xf>
    <xf numFmtId="0" fontId="0" fillId="0" borderId="70" xfId="0" applyBorder="1" applyAlignment="1">
      <alignment horizontal="center" vertical="center"/>
    </xf>
    <xf numFmtId="0" fontId="40" fillId="0" borderId="71" xfId="0" applyFont="1" applyBorder="1" applyAlignment="1">
      <alignment horizontal="center" vertical="center"/>
    </xf>
    <xf numFmtId="1" fontId="40" fillId="0" borderId="71" xfId="0" applyNumberFormat="1" applyFont="1" applyBorder="1" applyAlignment="1">
      <alignment horizontal="center" vertical="center"/>
    </xf>
    <xf numFmtId="0" fontId="0" fillId="0" borderId="0" xfId="0" applyAlignment="1">
      <alignment vertical="center" wrapText="1"/>
    </xf>
    <xf numFmtId="167" fontId="38" fillId="0" borderId="64" xfId="0" applyNumberFormat="1" applyFont="1" applyFill="1" applyBorder="1" applyAlignment="1" applyProtection="1">
      <alignment horizontal="center" vertical="center"/>
    </xf>
    <xf numFmtId="167" fontId="38" fillId="0" borderId="64" xfId="0" applyNumberFormat="1" applyFont="1" applyFill="1" applyBorder="1" applyAlignment="1" applyProtection="1">
      <alignment horizontal="left" vertical="center" indent="1"/>
    </xf>
    <xf numFmtId="0" fontId="38" fillId="0" borderId="64" xfId="0" applyFont="1" applyFill="1" applyBorder="1" applyAlignment="1" applyProtection="1">
      <alignment horizontal="center" vertical="center"/>
    </xf>
    <xf numFmtId="167" fontId="38" fillId="0" borderId="72" xfId="0" applyNumberFormat="1" applyFont="1" applyFill="1" applyBorder="1" applyAlignment="1" applyProtection="1">
      <alignment horizontal="left" vertical="center" indent="1"/>
    </xf>
    <xf numFmtId="168" fontId="40" fillId="0" borderId="73" xfId="0" applyNumberFormat="1" applyFont="1" applyFill="1" applyBorder="1" applyAlignment="1" applyProtection="1">
      <alignment horizontal="left" vertical="center" indent="1" shrinkToFit="1"/>
    </xf>
    <xf numFmtId="0" fontId="51" fillId="15" borderId="0" xfId="0" applyFont="1" applyFill="1" applyBorder="1" applyProtection="1"/>
    <xf numFmtId="164" fontId="0" fillId="0" borderId="0" xfId="618" applyFont="1"/>
    <xf numFmtId="167" fontId="38" fillId="0" borderId="0" xfId="0" applyNumberFormat="1" applyFont="1" applyFill="1" applyBorder="1" applyAlignment="1" applyProtection="1">
      <alignment horizontal="center" vertical="center"/>
    </xf>
    <xf numFmtId="167" fontId="38" fillId="0" borderId="0" xfId="0" applyNumberFormat="1" applyFont="1" applyFill="1" applyBorder="1" applyAlignment="1" applyProtection="1">
      <alignment horizontal="left" vertical="center" indent="1"/>
    </xf>
    <xf numFmtId="168" fontId="40" fillId="0" borderId="0" xfId="0" applyNumberFormat="1" applyFont="1" applyFill="1" applyBorder="1" applyAlignment="1" applyProtection="1">
      <alignment horizontal="left" vertical="center" indent="1" shrinkToFit="1"/>
    </xf>
    <xf numFmtId="2" fontId="0" fillId="0" borderId="10" xfId="0" applyNumberFormat="1" applyFont="1" applyBorder="1" applyAlignment="1">
      <alignment horizontal="center" vertical="center"/>
    </xf>
    <xf numFmtId="2" fontId="40" fillId="0" borderId="10" xfId="0" applyNumberFormat="1" applyFont="1" applyBorder="1" applyAlignment="1">
      <alignment horizontal="center"/>
    </xf>
    <xf numFmtId="0" fontId="121" fillId="0" borderId="0" xfId="0" applyFont="1" applyAlignment="1">
      <alignment vertical="center"/>
    </xf>
    <xf numFmtId="16" fontId="0" fillId="19" borderId="64" xfId="0" applyNumberFormat="1" applyFill="1" applyBorder="1" applyAlignment="1" applyProtection="1">
      <alignment horizontal="center" vertical="center" shrinkToFit="1"/>
      <protection locked="0"/>
    </xf>
    <xf numFmtId="0" fontId="35" fillId="15" borderId="0" xfId="0" applyFont="1" applyFill="1" applyBorder="1" applyAlignment="1">
      <alignment horizontal="left" vertical="center" indent="1"/>
    </xf>
    <xf numFmtId="0" fontId="0" fillId="20" borderId="0" xfId="0" applyFill="1" applyProtection="1"/>
    <xf numFmtId="0" fontId="122" fillId="21" borderId="10" xfId="578" applyFont="1" applyFill="1" applyBorder="1" applyAlignment="1" applyProtection="1">
      <alignment horizontal="center" vertical="center"/>
    </xf>
    <xf numFmtId="0" fontId="123" fillId="21" borderId="10" xfId="578" applyFont="1" applyFill="1" applyBorder="1" applyAlignment="1" applyProtection="1">
      <alignment horizontal="center" vertical="center"/>
    </xf>
    <xf numFmtId="0" fontId="47" fillId="0" borderId="0" xfId="0" applyFont="1" applyFill="1" applyBorder="1" applyAlignment="1">
      <alignment horizontal="center" vertical="center" wrapText="1"/>
    </xf>
    <xf numFmtId="0" fontId="69" fillId="0" borderId="0" xfId="0" applyFont="1" applyFill="1" applyAlignment="1">
      <alignment vertical="center"/>
    </xf>
    <xf numFmtId="0" fontId="0" fillId="0" borderId="0" xfId="0" applyFill="1" applyBorder="1"/>
    <xf numFmtId="0" fontId="55" fillId="0" borderId="0" xfId="0" applyFont="1" applyFill="1" applyBorder="1" applyAlignment="1">
      <alignment horizontal="left" wrapText="1"/>
    </xf>
    <xf numFmtId="0" fontId="50" fillId="0" borderId="0" xfId="0" applyFont="1" applyFill="1" applyAlignment="1">
      <alignment vertical="center"/>
    </xf>
    <xf numFmtId="0" fontId="55" fillId="0" borderId="0" xfId="0" applyFont="1" applyFill="1" applyBorder="1" applyAlignment="1">
      <alignment horizontal="left"/>
    </xf>
    <xf numFmtId="0" fontId="55" fillId="0" borderId="0" xfId="0" applyFont="1" applyFill="1" applyBorder="1" applyAlignment="1">
      <alignment horizontal="left" vertical="center"/>
    </xf>
    <xf numFmtId="0" fontId="110" fillId="0" borderId="0" xfId="0" applyFont="1" applyFill="1" applyBorder="1" applyAlignment="1"/>
    <xf numFmtId="0" fontId="110" fillId="0" borderId="0" xfId="0" applyFont="1" applyFill="1" applyAlignment="1"/>
    <xf numFmtId="0" fontId="50" fillId="0" borderId="0" xfId="0" applyFont="1" applyFill="1"/>
    <xf numFmtId="0" fontId="0" fillId="22" borderId="0" xfId="0" applyFill="1" applyAlignment="1">
      <alignment horizontal="center"/>
    </xf>
    <xf numFmtId="0" fontId="0" fillId="0" borderId="20" xfId="0" applyFont="1" applyBorder="1" applyAlignment="1">
      <alignment horizontal="center" vertical="center"/>
    </xf>
    <xf numFmtId="0" fontId="110" fillId="0" borderId="0" xfId="0" applyFont="1" applyFill="1" applyBorder="1" applyAlignment="1">
      <alignment horizontal="center" vertical="center"/>
    </xf>
    <xf numFmtId="0" fontId="40" fillId="0" borderId="0" xfId="0" applyFont="1" applyFill="1" applyBorder="1" applyAlignment="1">
      <alignment horizontal="center" vertical="center"/>
    </xf>
    <xf numFmtId="0" fontId="27" fillId="0" borderId="0" xfId="0" applyFont="1"/>
    <xf numFmtId="0" fontId="50" fillId="0" borderId="0" xfId="0" applyFont="1"/>
    <xf numFmtId="0" fontId="50" fillId="0" borderId="0" xfId="0" applyFont="1" applyFill="1" applyBorder="1" applyAlignment="1">
      <alignment horizontal="center" vertical="center"/>
    </xf>
    <xf numFmtId="0" fontId="39" fillId="0" borderId="0" xfId="0" applyFont="1" applyFill="1" applyBorder="1" applyAlignment="1">
      <alignment horizontal="center" vertical="center"/>
    </xf>
    <xf numFmtId="0" fontId="50" fillId="0" borderId="0" xfId="0" applyFont="1" applyFill="1" applyBorder="1"/>
    <xf numFmtId="0" fontId="66" fillId="14" borderId="0" xfId="0" applyFont="1" applyFill="1"/>
    <xf numFmtId="14" fontId="49" fillId="0" borderId="35" xfId="0" applyNumberFormat="1" applyFont="1" applyBorder="1" applyAlignment="1" applyProtection="1">
      <alignment horizontal="center" vertical="center"/>
      <protection locked="0"/>
    </xf>
    <xf numFmtId="0" fontId="40" fillId="0" borderId="36" xfId="0" applyFont="1" applyBorder="1" applyAlignment="1" applyProtection="1">
      <alignment vertical="center"/>
      <protection locked="0"/>
    </xf>
    <xf numFmtId="167" fontId="40" fillId="0" borderId="10" xfId="0" applyNumberFormat="1" applyFont="1" applyBorder="1" applyAlignment="1"/>
    <xf numFmtId="167" fontId="0" fillId="0" borderId="10" xfId="0" applyNumberFormat="1" applyFont="1" applyBorder="1" applyAlignment="1">
      <alignment horizontal="center" vertical="center"/>
    </xf>
    <xf numFmtId="0" fontId="60" fillId="0" borderId="0" xfId="412"/>
    <xf numFmtId="0" fontId="49" fillId="0" borderId="0" xfId="0" applyFont="1" applyAlignment="1">
      <alignment vertical="center" wrapText="1"/>
    </xf>
    <xf numFmtId="0" fontId="66" fillId="0" borderId="0" xfId="0" applyFont="1"/>
    <xf numFmtId="0" fontId="121" fillId="0" borderId="0" xfId="0" applyFont="1" applyAlignment="1">
      <alignment vertical="center" wrapText="1"/>
    </xf>
    <xf numFmtId="0" fontId="35" fillId="0" borderId="0" xfId="0" applyFont="1"/>
    <xf numFmtId="0" fontId="50" fillId="0" borderId="0" xfId="578" applyFont="1" applyBorder="1" applyAlignment="1">
      <alignment horizontal="left" vertical="center" wrapText="1"/>
    </xf>
    <xf numFmtId="0" fontId="0" fillId="0" borderId="0" xfId="0" applyFont="1"/>
    <xf numFmtId="0" fontId="38" fillId="15" borderId="0" xfId="0" applyFont="1" applyFill="1"/>
    <xf numFmtId="0" fontId="0" fillId="15" borderId="0" xfId="0" applyFont="1" applyFill="1" applyProtection="1"/>
    <xf numFmtId="0" fontId="128" fillId="15" borderId="0" xfId="0" applyFont="1" applyFill="1" applyBorder="1" applyAlignment="1" applyProtection="1">
      <alignment vertical="center"/>
    </xf>
    <xf numFmtId="0" fontId="0" fillId="0" borderId="21" xfId="0" applyFont="1" applyBorder="1" applyAlignment="1">
      <alignment horizontal="center" vertical="center"/>
    </xf>
    <xf numFmtId="0" fontId="38" fillId="15" borderId="0" xfId="0" applyFont="1" applyFill="1" applyAlignment="1">
      <alignment horizontal="center" vertical="center"/>
    </xf>
    <xf numFmtId="167" fontId="50" fillId="0" borderId="26" xfId="0" applyNumberFormat="1" applyFont="1" applyFill="1" applyBorder="1" applyAlignment="1">
      <alignment horizontal="center" vertical="center"/>
    </xf>
    <xf numFmtId="167" fontId="50" fillId="0" borderId="10" xfId="0" applyNumberFormat="1" applyFont="1" applyFill="1" applyBorder="1" applyAlignment="1">
      <alignment horizontal="center" vertical="center"/>
    </xf>
    <xf numFmtId="167" fontId="39" fillId="0" borderId="75" xfId="0" applyNumberFormat="1" applyFont="1" applyFill="1" applyBorder="1" applyAlignment="1">
      <alignment horizontal="center" vertical="center"/>
    </xf>
    <xf numFmtId="167" fontId="39" fillId="0" borderId="20" xfId="0" applyNumberFormat="1" applyFont="1" applyFill="1" applyBorder="1" applyAlignment="1">
      <alignment horizontal="center" vertical="center"/>
    </xf>
    <xf numFmtId="167" fontId="39" fillId="0" borderId="10" xfId="0" applyNumberFormat="1" applyFont="1" applyFill="1" applyBorder="1" applyAlignment="1">
      <alignment horizontal="center" vertical="center"/>
    </xf>
    <xf numFmtId="167" fontId="39" fillId="0" borderId="26" xfId="0" applyNumberFormat="1" applyFont="1" applyFill="1" applyBorder="1" applyAlignment="1">
      <alignment horizontal="center" vertical="center"/>
    </xf>
    <xf numFmtId="167" fontId="39" fillId="0" borderId="13" xfId="0" applyNumberFormat="1" applyFont="1" applyFill="1" applyBorder="1" applyAlignment="1">
      <alignment horizontal="center" vertical="center"/>
    </xf>
    <xf numFmtId="167" fontId="50" fillId="0" borderId="12" xfId="0" applyNumberFormat="1" applyFont="1" applyFill="1" applyBorder="1" applyAlignment="1">
      <alignment horizontal="center" vertical="center"/>
    </xf>
    <xf numFmtId="167" fontId="50" fillId="0" borderId="75" xfId="0" applyNumberFormat="1" applyFont="1" applyFill="1" applyBorder="1" applyAlignment="1">
      <alignment horizontal="center" vertical="center"/>
    </xf>
    <xf numFmtId="167" fontId="39" fillId="0" borderId="12" xfId="0" applyNumberFormat="1" applyFont="1" applyFill="1" applyBorder="1" applyAlignment="1">
      <alignment horizontal="center" vertical="center"/>
    </xf>
    <xf numFmtId="0" fontId="0" fillId="0" borderId="41" xfId="0" applyFont="1" applyBorder="1" applyAlignment="1">
      <alignment vertical="center" wrapText="1"/>
    </xf>
    <xf numFmtId="0" fontId="54" fillId="0" borderId="10" xfId="573" applyFont="1" applyFill="1" applyBorder="1" applyAlignment="1">
      <alignment horizontal="center" wrapText="1"/>
    </xf>
    <xf numFmtId="0" fontId="54" fillId="0" borderId="10" xfId="573" applyFont="1" applyFill="1" applyBorder="1" applyAlignment="1">
      <alignment horizontal="center"/>
    </xf>
    <xf numFmtId="0" fontId="54" fillId="0" borderId="10" xfId="573" applyFont="1" applyFill="1" applyBorder="1" applyAlignment="1">
      <alignment wrapText="1"/>
    </xf>
    <xf numFmtId="0" fontId="42" fillId="0" borderId="0" xfId="0" applyFont="1" applyFill="1"/>
    <xf numFmtId="0" fontId="51" fillId="0" borderId="47" xfId="0" applyFont="1" applyFill="1" applyBorder="1" applyAlignment="1" applyProtection="1">
      <alignment vertical="top"/>
    </xf>
    <xf numFmtId="0" fontId="51" fillId="0" borderId="20" xfId="0" applyFont="1" applyFill="1" applyBorder="1" applyAlignment="1" applyProtection="1">
      <alignment vertical="top"/>
    </xf>
    <xf numFmtId="0" fontId="0" fillId="0" borderId="0" xfId="0" applyFont="1" applyFill="1" applyBorder="1" applyAlignment="1">
      <alignment horizontal="center" vertical="center"/>
    </xf>
    <xf numFmtId="0" fontId="27" fillId="0" borderId="0" xfId="0" applyFont="1" applyFill="1"/>
    <xf numFmtId="0" fontId="0" fillId="0" borderId="0" xfId="0" applyFont="1" applyFill="1"/>
    <xf numFmtId="0" fontId="45" fillId="0" borderId="0" xfId="0" applyFont="1" applyFill="1"/>
    <xf numFmtId="0" fontId="0" fillId="0" borderId="20" xfId="0" applyFont="1" applyFill="1" applyBorder="1" applyAlignment="1">
      <alignment horizontal="center"/>
    </xf>
    <xf numFmtId="0" fontId="38" fillId="0" borderId="0" xfId="0" applyFont="1" applyFill="1"/>
    <xf numFmtId="0" fontId="131" fillId="0" borderId="0" xfId="0" applyFont="1" applyFill="1"/>
    <xf numFmtId="0" fontId="0" fillId="0" borderId="0" xfId="0" applyFont="1" applyFill="1" applyAlignment="1"/>
    <xf numFmtId="0" fontId="0" fillId="0" borderId="0" xfId="0" applyFont="1" applyFill="1" applyAlignment="1">
      <alignment vertical="center"/>
    </xf>
    <xf numFmtId="0" fontId="39" fillId="0" borderId="0" xfId="564" applyFont="1" applyFill="1" applyBorder="1" applyAlignment="1">
      <alignment horizontal="center" vertical="center"/>
    </xf>
    <xf numFmtId="0" fontId="0" fillId="0" borderId="64" xfId="0" applyFont="1" applyFill="1" applyBorder="1" applyAlignment="1">
      <alignment horizontal="center" vertical="center"/>
    </xf>
    <xf numFmtId="0" fontId="0" fillId="0" borderId="64" xfId="0" applyFont="1" applyFill="1" applyBorder="1" applyAlignment="1">
      <alignment vertical="center"/>
    </xf>
    <xf numFmtId="0" fontId="50" fillId="0" borderId="0" xfId="564" applyFont="1" applyFill="1"/>
    <xf numFmtId="0" fontId="0" fillId="0" borderId="0" xfId="0" applyFont="1" applyFill="1" applyBorder="1" applyAlignment="1">
      <alignment vertical="center"/>
    </xf>
    <xf numFmtId="0" fontId="42" fillId="23" borderId="0" xfId="0" applyFont="1" applyFill="1"/>
    <xf numFmtId="0" fontId="49" fillId="0" borderId="0" xfId="0" applyFont="1" applyFill="1" applyBorder="1" applyAlignment="1">
      <alignment horizontal="center" vertical="center"/>
    </xf>
    <xf numFmtId="0" fontId="51" fillId="0" borderId="0" xfId="0" applyFont="1" applyFill="1" applyBorder="1" applyAlignment="1">
      <alignment horizontal="center" vertical="center"/>
    </xf>
    <xf numFmtId="0" fontId="51" fillId="0" borderId="0" xfId="0" applyFont="1" applyFill="1" applyBorder="1" applyAlignment="1">
      <alignment horizontal="left" vertical="center" indent="1"/>
    </xf>
    <xf numFmtId="0" fontId="51" fillId="0" borderId="0" xfId="0" applyFont="1" applyFill="1" applyBorder="1"/>
    <xf numFmtId="0" fontId="51" fillId="0" borderId="0" xfId="0" applyFont="1" applyFill="1" applyBorder="1" applyAlignment="1">
      <alignment horizontal="right"/>
    </xf>
    <xf numFmtId="0" fontId="49" fillId="0" borderId="0" xfId="0" applyFont="1" applyFill="1" applyBorder="1" applyAlignment="1">
      <alignment horizontal="left" vertical="center"/>
    </xf>
    <xf numFmtId="0" fontId="68" fillId="24" borderId="64" xfId="412" applyNumberFormat="1" applyFont="1" applyFill="1" applyBorder="1" applyAlignment="1" applyProtection="1">
      <alignment horizontal="center" vertical="center"/>
    </xf>
    <xf numFmtId="0" fontId="102" fillId="24" borderId="10" xfId="412" applyNumberFormat="1" applyFont="1" applyFill="1" applyBorder="1" applyAlignment="1" applyProtection="1">
      <alignment horizontal="center" vertical="center"/>
    </xf>
    <xf numFmtId="0" fontId="68" fillId="18" borderId="64" xfId="412" applyNumberFormat="1" applyFont="1" applyFill="1" applyBorder="1" applyAlignment="1" applyProtection="1">
      <alignment horizontal="center" vertical="center"/>
    </xf>
    <xf numFmtId="0" fontId="45" fillId="0" borderId="0" xfId="0" applyFont="1" applyFill="1" applyBorder="1" applyAlignment="1">
      <alignment horizontal="center"/>
    </xf>
    <xf numFmtId="0" fontId="45" fillId="0" borderId="0" xfId="0" applyFont="1" applyFill="1" applyBorder="1" applyProtection="1"/>
    <xf numFmtId="0" fontId="45" fillId="0" borderId="0" xfId="0" applyFont="1" applyFill="1" applyBorder="1" applyProtection="1">
      <protection locked="0"/>
    </xf>
    <xf numFmtId="0" fontId="71" fillId="0" borderId="0" xfId="0" applyFont="1" applyFill="1" applyBorder="1" applyAlignment="1" applyProtection="1">
      <alignment vertical="center" wrapText="1"/>
    </xf>
    <xf numFmtId="0" fontId="45" fillId="0" borderId="0" xfId="0" applyFont="1" applyFill="1" applyBorder="1" applyAlignment="1">
      <alignment vertical="center"/>
    </xf>
    <xf numFmtId="0" fontId="74" fillId="0" borderId="0" xfId="0" applyFont="1" applyFill="1" applyBorder="1" applyAlignment="1">
      <alignment horizontal="right" vertical="top"/>
    </xf>
    <xf numFmtId="0" fontId="45" fillId="0" borderId="0" xfId="0" applyFont="1" applyFill="1" applyBorder="1" applyAlignment="1">
      <alignment horizontal="left" vertical="center"/>
    </xf>
    <xf numFmtId="0" fontId="72" fillId="0" borderId="0" xfId="0" applyFont="1" applyFill="1" applyBorder="1" applyAlignment="1"/>
    <xf numFmtId="0" fontId="77" fillId="0" borderId="0" xfId="0" applyFont="1" applyFill="1" applyBorder="1" applyAlignment="1" applyProtection="1">
      <alignment horizontal="center"/>
      <protection hidden="1"/>
    </xf>
    <xf numFmtId="0" fontId="71" fillId="0" borderId="0" xfId="0" applyFont="1" applyFill="1" applyBorder="1" applyAlignment="1">
      <alignment horizontal="left" vertical="center"/>
    </xf>
    <xf numFmtId="0" fontId="152" fillId="0" borderId="0" xfId="0" applyFont="1" applyFill="1" applyBorder="1" applyProtection="1">
      <protection locked="0"/>
    </xf>
    <xf numFmtId="0" fontId="50" fillId="0" borderId="0" xfId="0" applyFont="1" applyFill="1" applyBorder="1" applyProtection="1">
      <protection locked="0"/>
    </xf>
    <xf numFmtId="0" fontId="0" fillId="0" borderId="48" xfId="0" applyFill="1" applyBorder="1"/>
    <xf numFmtId="0" fontId="27" fillId="0" borderId="10" xfId="0" applyFont="1" applyFill="1" applyBorder="1"/>
    <xf numFmtId="0" fontId="39" fillId="0" borderId="20" xfId="0" applyFont="1" applyFill="1" applyBorder="1" applyAlignment="1">
      <alignment horizontal="left" vertical="center"/>
    </xf>
    <xf numFmtId="0" fontId="50" fillId="0" borderId="11" xfId="0" applyFont="1" applyFill="1" applyBorder="1" applyAlignment="1">
      <alignment horizontal="left" vertical="center"/>
    </xf>
    <xf numFmtId="0" fontId="50" fillId="0" borderId="21" xfId="0" applyFont="1" applyFill="1" applyBorder="1" applyAlignment="1">
      <alignment horizontal="left" vertical="center"/>
    </xf>
    <xf numFmtId="0" fontId="27" fillId="0" borderId="10" xfId="0" applyFont="1" applyFill="1" applyBorder="1" applyAlignment="1">
      <alignment horizontal="center"/>
    </xf>
    <xf numFmtId="0" fontId="50" fillId="0" borderId="20" xfId="0" applyFont="1" applyFill="1" applyBorder="1" applyAlignment="1">
      <alignment horizontal="left" vertical="center"/>
    </xf>
    <xf numFmtId="0" fontId="42" fillId="0" borderId="20" xfId="0" applyFont="1" applyFill="1" applyBorder="1" applyAlignment="1" applyProtection="1">
      <alignment vertical="center" wrapText="1"/>
    </xf>
    <xf numFmtId="0" fontId="42" fillId="0" borderId="21" xfId="0" applyFont="1" applyFill="1" applyBorder="1" applyAlignment="1" applyProtection="1">
      <alignment vertical="center" wrapText="1"/>
    </xf>
    <xf numFmtId="0" fontId="0" fillId="0" borderId="36" xfId="0" applyFill="1" applyBorder="1"/>
    <xf numFmtId="0" fontId="27" fillId="0" borderId="20" xfId="0" applyFont="1" applyFill="1" applyBorder="1" applyAlignment="1">
      <alignment horizontal="left" vertical="center"/>
    </xf>
    <xf numFmtId="0" fontId="0" fillId="0" borderId="49" xfId="0" applyFill="1" applyBorder="1"/>
    <xf numFmtId="0" fontId="27" fillId="0" borderId="38" xfId="0" applyFont="1" applyFill="1" applyBorder="1"/>
    <xf numFmtId="0" fontId="0" fillId="0" borderId="46" xfId="0" applyFill="1" applyBorder="1"/>
    <xf numFmtId="0" fontId="40" fillId="0" borderId="35" xfId="0" applyFont="1" applyFill="1" applyBorder="1"/>
    <xf numFmtId="0" fontId="0" fillId="0" borderId="36" xfId="0" applyFont="1" applyFill="1" applyBorder="1" applyAlignment="1">
      <alignment horizontal="right"/>
    </xf>
    <xf numFmtId="0" fontId="40" fillId="0" borderId="47" xfId="0" applyFont="1" applyFill="1" applyBorder="1"/>
    <xf numFmtId="2" fontId="27" fillId="0" borderId="10" xfId="0" applyNumberFormat="1" applyFont="1" applyFill="1" applyBorder="1" applyAlignment="1">
      <alignment horizontal="center"/>
    </xf>
    <xf numFmtId="0" fontId="27" fillId="0" borderId="28" xfId="0" applyFont="1" applyFill="1" applyBorder="1"/>
    <xf numFmtId="0" fontId="0" fillId="0" borderId="28" xfId="0" applyFill="1" applyBorder="1" applyAlignment="1">
      <alignment horizontal="center"/>
    </xf>
    <xf numFmtId="0" fontId="27" fillId="0" borderId="28" xfId="0" applyFont="1" applyFill="1" applyBorder="1" applyAlignment="1">
      <alignment horizontal="center"/>
    </xf>
    <xf numFmtId="1" fontId="0" fillId="0" borderId="10" xfId="0" applyNumberFormat="1" applyFill="1" applyBorder="1" applyAlignment="1">
      <alignment horizontal="center"/>
    </xf>
    <xf numFmtId="0" fontId="0" fillId="0" borderId="76" xfId="0" applyFill="1" applyBorder="1"/>
    <xf numFmtId="0" fontId="51" fillId="0" borderId="0" xfId="0" applyFont="1" applyFill="1" applyBorder="1" applyAlignment="1">
      <alignment horizontal="left"/>
    </xf>
    <xf numFmtId="0" fontId="0" fillId="0" borderId="0" xfId="0" applyFill="1" applyBorder="1" applyAlignment="1">
      <alignment horizontal="center"/>
    </xf>
    <xf numFmtId="0" fontId="49" fillId="0" borderId="2" xfId="555" applyFont="1" applyFill="1" applyBorder="1" applyAlignment="1">
      <alignment horizontal="center" vertical="center"/>
    </xf>
    <xf numFmtId="0" fontId="49" fillId="0" borderId="2" xfId="0" applyFont="1" applyFill="1" applyBorder="1" applyAlignment="1">
      <alignment horizontal="center" vertical="center"/>
    </xf>
    <xf numFmtId="1" fontId="49" fillId="0" borderId="2" xfId="555" applyNumberFormat="1" applyFont="1" applyFill="1" applyBorder="1" applyAlignment="1">
      <alignment horizontal="center" vertical="center"/>
    </xf>
    <xf numFmtId="0" fontId="40" fillId="0" borderId="62" xfId="0" applyFont="1" applyFill="1" applyBorder="1" applyAlignment="1">
      <alignment horizontal="left"/>
    </xf>
    <xf numFmtId="0" fontId="62" fillId="0" borderId="62" xfId="0" applyFont="1" applyFill="1" applyBorder="1" applyAlignment="1">
      <alignment horizontal="left"/>
    </xf>
    <xf numFmtId="0" fontId="39" fillId="0" borderId="2" xfId="0" applyFont="1" applyFill="1" applyBorder="1" applyAlignment="1">
      <alignment horizontal="center" vertical="center"/>
    </xf>
    <xf numFmtId="1" fontId="39" fillId="0" borderId="2" xfId="0" applyNumberFormat="1" applyFont="1" applyFill="1" applyBorder="1" applyAlignment="1">
      <alignment horizontal="center" vertical="center"/>
    </xf>
    <xf numFmtId="0" fontId="40" fillId="0" borderId="2" xfId="564" applyFont="1" applyFill="1" applyBorder="1" applyAlignment="1">
      <alignment horizontal="center" vertical="center"/>
    </xf>
    <xf numFmtId="49" fontId="40" fillId="0" borderId="2" xfId="564" applyNumberFormat="1" applyFont="1" applyFill="1" applyBorder="1" applyAlignment="1">
      <alignment horizontal="center" vertical="center"/>
    </xf>
    <xf numFmtId="0" fontId="40" fillId="0" borderId="2" xfId="0" applyFont="1" applyFill="1" applyBorder="1" applyAlignment="1"/>
    <xf numFmtId="0" fontId="50" fillId="0" borderId="2" xfId="0" applyFont="1" applyFill="1" applyBorder="1" applyAlignment="1">
      <alignment horizontal="center"/>
    </xf>
    <xf numFmtId="49" fontId="39" fillId="0" borderId="2" xfId="0" applyNumberFormat="1" applyFont="1" applyFill="1" applyBorder="1" applyAlignment="1">
      <alignment horizontal="center" vertical="center"/>
    </xf>
    <xf numFmtId="0" fontId="0" fillId="0" borderId="77" xfId="0" applyFont="1" applyFill="1" applyBorder="1" applyAlignment="1">
      <alignment horizontal="center" vertical="center" wrapText="1"/>
    </xf>
    <xf numFmtId="0" fontId="0" fillId="0" borderId="78" xfId="0" applyFont="1" applyFill="1" applyBorder="1" applyAlignment="1">
      <alignment horizontal="center" vertical="center" wrapText="1"/>
    </xf>
    <xf numFmtId="0" fontId="40" fillId="0" borderId="2" xfId="0" applyFont="1" applyFill="1" applyBorder="1" applyAlignment="1">
      <alignment horizontal="center" vertical="center"/>
    </xf>
    <xf numFmtId="0" fontId="0" fillId="0" borderId="2" xfId="0" applyFont="1" applyFill="1" applyBorder="1" applyAlignment="1">
      <alignment horizontal="center" vertical="center"/>
    </xf>
    <xf numFmtId="0" fontId="40" fillId="0" borderId="2" xfId="0" applyFont="1" applyFill="1" applyBorder="1"/>
    <xf numFmtId="0" fontId="42" fillId="0" borderId="11" xfId="0" applyFont="1" applyBorder="1" applyAlignment="1">
      <alignment horizontal="center" vertical="center"/>
    </xf>
    <xf numFmtId="0" fontId="42" fillId="0" borderId="48" xfId="0" applyFont="1" applyBorder="1" applyAlignment="1">
      <alignment horizontal="center" vertical="center"/>
    </xf>
    <xf numFmtId="1" fontId="42" fillId="0" borderId="2" xfId="0" applyNumberFormat="1" applyFont="1" applyFill="1" applyBorder="1" applyAlignment="1" applyProtection="1">
      <alignment horizontal="center"/>
    </xf>
    <xf numFmtId="167" fontId="42" fillId="14" borderId="2" xfId="0" applyNumberFormat="1" applyFont="1" applyFill="1" applyBorder="1" applyAlignment="1">
      <alignment horizontal="center" vertical="center"/>
    </xf>
    <xf numFmtId="0" fontId="42" fillId="14" borderId="2" xfId="0" applyFont="1" applyFill="1" applyBorder="1" applyAlignment="1">
      <alignment horizontal="center" vertical="center"/>
    </xf>
    <xf numFmtId="0" fontId="0" fillId="0" borderId="2" xfId="0" applyFont="1" applyBorder="1" applyAlignment="1">
      <alignment horizontal="center" vertical="center"/>
    </xf>
    <xf numFmtId="0" fontId="42" fillId="0" borderId="2" xfId="0" applyFont="1" applyBorder="1" applyAlignment="1">
      <alignment horizontal="center" vertical="center"/>
    </xf>
    <xf numFmtId="0" fontId="42" fillId="14" borderId="2" xfId="0" applyFont="1" applyFill="1" applyBorder="1"/>
    <xf numFmtId="0" fontId="47" fillId="14" borderId="80" xfId="0" applyFont="1" applyFill="1" applyBorder="1" applyAlignment="1">
      <alignment horizontal="center" vertical="center" wrapText="1"/>
    </xf>
    <xf numFmtId="0" fontId="0" fillId="20" borderId="0" xfId="0" applyFill="1"/>
    <xf numFmtId="0" fontId="42" fillId="20" borderId="0" xfId="0" applyFont="1" applyFill="1"/>
    <xf numFmtId="0" fontId="0" fillId="0" borderId="10" xfId="0" applyFont="1" applyFill="1" applyBorder="1" applyAlignment="1" applyProtection="1">
      <alignment horizontal="center" vertical="center" wrapText="1"/>
    </xf>
    <xf numFmtId="0" fontId="0" fillId="0" borderId="53" xfId="0" applyFont="1" applyFill="1" applyBorder="1" applyAlignment="1" applyProtection="1">
      <alignment horizontal="center" vertical="center" wrapText="1"/>
    </xf>
    <xf numFmtId="0" fontId="0" fillId="0" borderId="34" xfId="0" applyFont="1" applyFill="1" applyBorder="1" applyAlignment="1" applyProtection="1">
      <alignment horizontal="center" vertical="center" wrapText="1"/>
    </xf>
    <xf numFmtId="0" fontId="0" fillId="0" borderId="39" xfId="0" applyFont="1" applyFill="1" applyBorder="1" applyAlignment="1" applyProtection="1">
      <alignment horizontal="center" vertical="center" wrapText="1"/>
    </xf>
    <xf numFmtId="0" fontId="0" fillId="0" borderId="81" xfId="0" applyFont="1" applyFill="1" applyBorder="1" applyAlignment="1" applyProtection="1">
      <alignment horizontal="center" vertical="center" wrapText="1"/>
    </xf>
    <xf numFmtId="0" fontId="0" fillId="0" borderId="36" xfId="0" applyFont="1" applyFill="1" applyBorder="1" applyAlignment="1" applyProtection="1">
      <alignment horizontal="center" vertical="center" wrapText="1"/>
    </xf>
    <xf numFmtId="0" fontId="0" fillId="0" borderId="53" xfId="0" applyFont="1" applyFill="1" applyBorder="1" applyAlignment="1" applyProtection="1">
      <alignment horizontal="center" vertical="top" wrapText="1"/>
    </xf>
    <xf numFmtId="167" fontId="0" fillId="0" borderId="34" xfId="0" applyNumberFormat="1" applyFont="1" applyFill="1" applyBorder="1" applyAlignment="1" applyProtection="1">
      <alignment horizontal="center" vertical="top" wrapText="1"/>
    </xf>
    <xf numFmtId="0" fontId="0" fillId="0" borderId="10" xfId="0" applyFont="1" applyFill="1" applyBorder="1" applyAlignment="1" applyProtection="1">
      <alignment horizontal="center" vertical="top" wrapText="1"/>
    </xf>
    <xf numFmtId="167" fontId="0" fillId="0" borderId="10" xfId="0" applyNumberFormat="1" applyFont="1" applyFill="1" applyBorder="1" applyAlignment="1" applyProtection="1">
      <alignment horizontal="center" vertical="top" wrapText="1"/>
    </xf>
    <xf numFmtId="0" fontId="0" fillId="0" borderId="28" xfId="0" applyFont="1" applyFill="1" applyBorder="1" applyAlignment="1" applyProtection="1">
      <alignment horizontal="center" vertical="top" wrapText="1"/>
    </xf>
    <xf numFmtId="167" fontId="0" fillId="0" borderId="28" xfId="0" applyNumberFormat="1" applyFont="1" applyFill="1" applyBorder="1" applyAlignment="1" applyProtection="1">
      <alignment horizontal="center" vertical="top" wrapText="1"/>
    </xf>
    <xf numFmtId="0" fontId="0" fillId="0" borderId="0" xfId="0" applyFill="1" applyBorder="1" applyAlignment="1"/>
    <xf numFmtId="0" fontId="0" fillId="0" borderId="10" xfId="0" applyFont="1" applyFill="1" applyBorder="1" applyAlignment="1">
      <alignment horizontal="center" vertical="center"/>
    </xf>
    <xf numFmtId="0" fontId="27" fillId="0" borderId="10" xfId="0" applyFont="1" applyFill="1" applyBorder="1" applyAlignment="1">
      <alignment horizontal="center" vertical="center"/>
    </xf>
    <xf numFmtId="167" fontId="50" fillId="0" borderId="0" xfId="0" applyNumberFormat="1" applyFont="1" applyFill="1" applyBorder="1" applyAlignment="1" applyProtection="1">
      <alignment horizontal="left" vertical="center"/>
    </xf>
    <xf numFmtId="0" fontId="42" fillId="0" borderId="0" xfId="0" applyFont="1" applyFill="1" applyAlignment="1">
      <alignment vertical="top"/>
    </xf>
    <xf numFmtId="9" fontId="27" fillId="0" borderId="0" xfId="547" applyFont="1" applyFill="1" applyBorder="1" applyAlignment="1" applyProtection="1">
      <alignment horizontal="center" vertical="center"/>
      <protection hidden="1"/>
    </xf>
    <xf numFmtId="0" fontId="0" fillId="0" borderId="20" xfId="0" applyFont="1" applyFill="1" applyBorder="1" applyAlignment="1">
      <alignment horizontal="left" vertical="center"/>
    </xf>
    <xf numFmtId="0" fontId="76" fillId="0" borderId="0" xfId="0" applyFont="1" applyFill="1" applyBorder="1" applyAlignment="1">
      <alignment horizontal="left" vertical="center"/>
    </xf>
    <xf numFmtId="0" fontId="0" fillId="17" borderId="2" xfId="0" applyFill="1" applyBorder="1" applyAlignment="1">
      <alignment horizontal="center" vertical="center"/>
    </xf>
    <xf numFmtId="0" fontId="0" fillId="0" borderId="82" xfId="0" applyBorder="1"/>
    <xf numFmtId="0" fontId="45" fillId="0" borderId="0" xfId="0" applyFont="1" applyFill="1" applyAlignment="1" applyProtection="1">
      <alignment vertical="center"/>
    </xf>
    <xf numFmtId="0" fontId="50" fillId="0" borderId="83" xfId="0" applyFont="1" applyFill="1" applyBorder="1" applyAlignment="1" applyProtection="1">
      <alignment horizontal="left" indent="1"/>
    </xf>
    <xf numFmtId="49" fontId="38" fillId="0" borderId="64" xfId="0" applyNumberFormat="1" applyFont="1" applyFill="1" applyBorder="1" applyAlignment="1" applyProtection="1">
      <alignment textRotation="90" wrapText="1"/>
    </xf>
    <xf numFmtId="0" fontId="0" fillId="0" borderId="0" xfId="0" applyFill="1" applyAlignment="1" applyProtection="1">
      <alignment horizontal="right" vertical="center"/>
    </xf>
    <xf numFmtId="1" fontId="0" fillId="0" borderId="64" xfId="0" applyNumberFormat="1" applyFill="1" applyBorder="1" applyAlignment="1" applyProtection="1">
      <alignment horizontal="center" vertical="center" shrinkToFit="1"/>
    </xf>
    <xf numFmtId="2" fontId="0" fillId="0" borderId="64" xfId="0" applyNumberFormat="1" applyFill="1" applyBorder="1" applyAlignment="1" applyProtection="1">
      <alignment horizontal="center" vertical="center" shrinkToFit="1"/>
    </xf>
    <xf numFmtId="0" fontId="0" fillId="0" borderId="64" xfId="0" applyFill="1" applyBorder="1" applyAlignment="1" applyProtection="1">
      <alignment horizontal="center" vertical="center"/>
    </xf>
    <xf numFmtId="49" fontId="38" fillId="0" borderId="72" xfId="0" applyNumberFormat="1" applyFont="1" applyFill="1" applyBorder="1" applyAlignment="1" applyProtection="1">
      <alignment wrapText="1"/>
    </xf>
    <xf numFmtId="0" fontId="40" fillId="0" borderId="0" xfId="0" applyFont="1" applyFill="1" applyAlignment="1" applyProtection="1">
      <alignment horizontal="right" vertical="center"/>
    </xf>
    <xf numFmtId="0" fontId="40" fillId="0" borderId="69" xfId="0" applyFont="1" applyFill="1" applyBorder="1" applyAlignment="1" applyProtection="1">
      <alignment horizontal="left" vertical="center"/>
    </xf>
    <xf numFmtId="0" fontId="50" fillId="0" borderId="83" xfId="0" applyFont="1" applyFill="1" applyBorder="1" applyAlignment="1" applyProtection="1">
      <alignment horizontal="center"/>
    </xf>
    <xf numFmtId="0" fontId="38" fillId="0" borderId="83" xfId="0" applyFont="1" applyFill="1" applyBorder="1" applyAlignment="1" applyProtection="1">
      <alignment horizontal="center"/>
    </xf>
    <xf numFmtId="0" fontId="50" fillId="0" borderId="78" xfId="0" applyFont="1" applyFill="1" applyBorder="1" applyAlignment="1" applyProtection="1">
      <alignment horizontal="center"/>
    </xf>
    <xf numFmtId="0" fontId="40" fillId="0" borderId="64" xfId="0" applyFont="1" applyFill="1" applyBorder="1" applyAlignment="1" applyProtection="1">
      <alignment horizontal="left" vertical="center"/>
    </xf>
    <xf numFmtId="0" fontId="40" fillId="0" borderId="0" xfId="0" applyFont="1" applyFill="1" applyBorder="1" applyAlignment="1" applyProtection="1">
      <alignment horizontal="left" vertical="center"/>
    </xf>
    <xf numFmtId="0" fontId="45" fillId="0" borderId="0" xfId="0" applyFont="1" applyFill="1" applyAlignment="1" applyProtection="1">
      <alignment horizontal="right"/>
    </xf>
    <xf numFmtId="167" fontId="40" fillId="0" borderId="64" xfId="0" applyNumberFormat="1" applyFont="1" applyFill="1" applyBorder="1" applyAlignment="1" applyProtection="1">
      <alignment horizontal="center" vertical="center"/>
    </xf>
    <xf numFmtId="0" fontId="40" fillId="0" borderId="0" xfId="0" applyFont="1" applyFill="1" applyProtection="1"/>
    <xf numFmtId="167" fontId="40" fillId="0" borderId="0" xfId="0" applyNumberFormat="1" applyFont="1" applyFill="1" applyProtection="1"/>
    <xf numFmtId="167" fontId="0" fillId="0" borderId="0" xfId="0" applyNumberFormat="1" applyFill="1" applyProtection="1"/>
    <xf numFmtId="0" fontId="0" fillId="0" borderId="0" xfId="0" applyFill="1" applyAlignment="1" applyProtection="1">
      <alignment horizontal="center" vertical="center"/>
    </xf>
    <xf numFmtId="167" fontId="49" fillId="0" borderId="64" xfId="0" applyNumberFormat="1" applyFont="1" applyFill="1" applyBorder="1" applyAlignment="1">
      <alignment horizontal="center" vertical="center"/>
    </xf>
    <xf numFmtId="167" fontId="49" fillId="0" borderId="0" xfId="0" applyNumberFormat="1" applyFont="1" applyFill="1" applyBorder="1" applyAlignment="1">
      <alignment horizontal="center" vertical="center"/>
    </xf>
    <xf numFmtId="0" fontId="39" fillId="0" borderId="69" xfId="0" applyFont="1" applyFill="1" applyBorder="1" applyAlignment="1" applyProtection="1">
      <alignment horizontal="left"/>
    </xf>
    <xf numFmtId="0" fontId="45" fillId="0" borderId="0" xfId="0" applyFont="1" applyFill="1" applyAlignment="1" applyProtection="1">
      <alignment horizontal="right" vertical="center"/>
    </xf>
    <xf numFmtId="0" fontId="40" fillId="0" borderId="64" xfId="0" applyFont="1" applyFill="1" applyBorder="1" applyAlignment="1" applyProtection="1">
      <alignment horizontal="center" vertical="center" shrinkToFit="1"/>
    </xf>
    <xf numFmtId="0" fontId="40" fillId="0" borderId="84" xfId="0" applyFont="1" applyFill="1" applyBorder="1" applyAlignment="1" applyProtection="1">
      <alignment horizontal="left"/>
    </xf>
    <xf numFmtId="0" fontId="50" fillId="0" borderId="85" xfId="0" applyFont="1" applyFill="1" applyBorder="1" applyAlignment="1" applyProtection="1">
      <alignment horizontal="center"/>
    </xf>
    <xf numFmtId="2" fontId="40" fillId="0" borderId="64" xfId="0" applyNumberFormat="1" applyFont="1" applyFill="1" applyBorder="1" applyAlignment="1" applyProtection="1">
      <alignment horizontal="center" vertical="center"/>
    </xf>
    <xf numFmtId="2" fontId="50" fillId="0" borderId="64" xfId="0" applyNumberFormat="1" applyFont="1" applyFill="1" applyBorder="1" applyAlignment="1" applyProtection="1">
      <alignment horizontal="center" vertical="center"/>
    </xf>
    <xf numFmtId="2" fontId="0" fillId="0" borderId="64" xfId="0" applyNumberFormat="1" applyFill="1" applyBorder="1" applyAlignment="1" applyProtection="1">
      <alignment horizontal="center" vertical="center"/>
    </xf>
    <xf numFmtId="167" fontId="40" fillId="0" borderId="64" xfId="0" applyNumberFormat="1" applyFont="1" applyFill="1" applyBorder="1" applyAlignment="1" applyProtection="1">
      <alignment horizontal="center" vertical="center" shrinkToFit="1"/>
    </xf>
    <xf numFmtId="167" fontId="40" fillId="0" borderId="0" xfId="0" applyNumberFormat="1" applyFont="1" applyFill="1" applyAlignment="1" applyProtection="1">
      <alignment shrinkToFit="1"/>
    </xf>
    <xf numFmtId="167" fontId="40" fillId="0" borderId="0" xfId="0" applyNumberFormat="1" applyFont="1" applyFill="1" applyAlignment="1" applyProtection="1">
      <alignment vertical="center"/>
    </xf>
    <xf numFmtId="167" fontId="0" fillId="0" borderId="0" xfId="0" applyNumberFormat="1" applyFont="1" applyFill="1" applyBorder="1" applyAlignment="1" applyProtection="1">
      <alignment horizontal="left" vertical="center" indent="1"/>
    </xf>
    <xf numFmtId="0" fontId="50" fillId="0" borderId="83" xfId="0" applyFont="1" applyFill="1" applyBorder="1" applyAlignment="1" applyProtection="1">
      <alignment horizontal="right" vertical="center"/>
    </xf>
    <xf numFmtId="167" fontId="0" fillId="0" borderId="64" xfId="0" applyNumberFormat="1" applyFill="1" applyBorder="1" applyAlignment="1" applyProtection="1">
      <alignment vertical="center" shrinkToFit="1"/>
    </xf>
    <xf numFmtId="1" fontId="0" fillId="0" borderId="69" xfId="0" applyNumberFormat="1" applyFill="1" applyBorder="1" applyAlignment="1" applyProtection="1">
      <alignment horizontal="center" vertical="center" shrinkToFit="1"/>
    </xf>
    <xf numFmtId="0" fontId="38" fillId="0" borderId="0" xfId="0" applyFont="1" applyFill="1" applyAlignment="1" applyProtection="1">
      <alignment horizontal="center"/>
    </xf>
    <xf numFmtId="168" fontId="51" fillId="0" borderId="10" xfId="0" applyNumberFormat="1" applyFont="1" applyFill="1" applyBorder="1" applyAlignment="1">
      <alignment horizontal="center" vertical="center" shrinkToFit="1"/>
    </xf>
    <xf numFmtId="168" fontId="27" fillId="0" borderId="10" xfId="0" applyNumberFormat="1" applyFont="1" applyFill="1" applyBorder="1" applyAlignment="1">
      <alignment horizontal="center" vertical="center"/>
    </xf>
    <xf numFmtId="4" fontId="27" fillId="0" borderId="37" xfId="0" applyNumberFormat="1" applyFont="1" applyFill="1" applyBorder="1" applyAlignment="1">
      <alignment horizontal="center" vertical="center"/>
    </xf>
    <xf numFmtId="0" fontId="0" fillId="0" borderId="10" xfId="0" applyFill="1" applyBorder="1" applyAlignment="1">
      <alignment horizontal="center" vertical="center"/>
    </xf>
    <xf numFmtId="0" fontId="0" fillId="0" borderId="0" xfId="0" applyFill="1" applyAlignment="1">
      <alignment horizontal="left" vertical="center"/>
    </xf>
    <xf numFmtId="0" fontId="0" fillId="0" borderId="20" xfId="0" applyFont="1" applyFill="1" applyBorder="1" applyAlignment="1">
      <alignment horizontal="center" vertical="center"/>
    </xf>
    <xf numFmtId="2" fontId="27" fillId="0" borderId="10" xfId="0" applyNumberFormat="1" applyFont="1" applyFill="1" applyBorder="1" applyAlignment="1">
      <alignment horizontal="center" vertical="center"/>
    </xf>
    <xf numFmtId="2" fontId="10" fillId="0" borderId="10" xfId="0" applyNumberFormat="1" applyFont="1" applyFill="1" applyBorder="1" applyAlignment="1">
      <alignment horizontal="center" vertical="center"/>
    </xf>
    <xf numFmtId="0" fontId="0" fillId="0" borderId="0" xfId="0" applyFill="1" applyAlignment="1">
      <alignment horizontal="center"/>
    </xf>
    <xf numFmtId="168" fontId="27" fillId="0" borderId="20" xfId="0" applyNumberFormat="1" applyFont="1" applyFill="1" applyBorder="1" applyAlignment="1">
      <alignment horizontal="center" vertical="center"/>
    </xf>
    <xf numFmtId="168" fontId="27" fillId="0" borderId="40" xfId="0" applyNumberFormat="1" applyFont="1" applyFill="1" applyBorder="1" applyAlignment="1">
      <alignment horizontal="center" vertical="center"/>
    </xf>
    <xf numFmtId="0" fontId="0" fillId="0" borderId="34" xfId="0" applyFill="1" applyBorder="1" applyAlignment="1">
      <alignment horizontal="center" vertical="center"/>
    </xf>
    <xf numFmtId="0" fontId="0" fillId="0" borderId="11" xfId="0" applyFill="1" applyBorder="1" applyAlignment="1">
      <alignment horizontal="center" vertical="center"/>
    </xf>
    <xf numFmtId="0" fontId="0" fillId="0" borderId="21" xfId="0" applyFill="1" applyBorder="1" applyAlignment="1">
      <alignment horizontal="center" vertical="center"/>
    </xf>
    <xf numFmtId="0" fontId="40" fillId="0" borderId="20" xfId="0" applyFont="1" applyFill="1" applyBorder="1" applyAlignment="1">
      <alignment horizontal="left" vertical="center"/>
    </xf>
    <xf numFmtId="0" fontId="35" fillId="0" borderId="0" xfId="0" applyFont="1" applyFill="1" applyAlignment="1">
      <alignment horizontal="left" vertical="center"/>
    </xf>
    <xf numFmtId="0" fontId="0" fillId="0" borderId="11" xfId="0" applyFill="1" applyBorder="1" applyAlignment="1">
      <alignment horizontal="left" vertical="center"/>
    </xf>
    <xf numFmtId="0" fontId="0" fillId="0" borderId="21" xfId="0" applyFill="1" applyBorder="1" applyAlignment="1">
      <alignment horizontal="left" vertical="center"/>
    </xf>
    <xf numFmtId="0" fontId="0" fillId="0" borderId="46" xfId="0" applyFill="1" applyBorder="1" applyAlignment="1">
      <alignment horizontal="center" vertical="center"/>
    </xf>
    <xf numFmtId="0" fontId="0" fillId="0" borderId="46" xfId="0" applyFont="1" applyFill="1" applyBorder="1" applyAlignment="1">
      <alignment horizontal="left" vertical="center"/>
    </xf>
    <xf numFmtId="0" fontId="0" fillId="0" borderId="39" xfId="0" applyFill="1" applyBorder="1" applyAlignment="1">
      <alignment horizontal="left" vertical="center"/>
    </xf>
    <xf numFmtId="0" fontId="39" fillId="0" borderId="10" xfId="0" applyFont="1" applyFill="1" applyBorder="1" applyAlignment="1" applyProtection="1">
      <alignment horizontal="right" vertical="center"/>
      <protection locked="0"/>
    </xf>
    <xf numFmtId="0" fontId="49" fillId="0" borderId="20" xfId="0" applyFont="1" applyFill="1" applyBorder="1" applyAlignment="1" applyProtection="1">
      <alignment horizontal="center" vertical="center"/>
      <protection locked="0"/>
    </xf>
    <xf numFmtId="0" fontId="0" fillId="0" borderId="10" xfId="0" applyFont="1" applyFill="1" applyBorder="1" applyAlignment="1" applyProtection="1">
      <alignment horizontal="center" vertical="center"/>
    </xf>
    <xf numFmtId="0" fontId="0" fillId="0" borderId="11" xfId="0" applyFont="1" applyFill="1" applyBorder="1" applyAlignment="1" applyProtection="1">
      <alignment horizontal="center" vertical="center"/>
    </xf>
    <xf numFmtId="0" fontId="0" fillId="0" borderId="20" xfId="0" applyFont="1" applyFill="1" applyBorder="1" applyAlignment="1" applyProtection="1">
      <alignment horizontal="center" vertical="center"/>
    </xf>
    <xf numFmtId="0" fontId="21" fillId="0" borderId="10" xfId="0" applyFont="1" applyFill="1" applyBorder="1" applyAlignment="1">
      <alignment horizontal="center" vertical="center"/>
    </xf>
    <xf numFmtId="0" fontId="39" fillId="0" borderId="20" xfId="0" applyFont="1" applyFill="1" applyBorder="1" applyAlignment="1" applyProtection="1">
      <alignment horizontal="right" vertical="center"/>
      <protection locked="0"/>
    </xf>
    <xf numFmtId="1" fontId="0" fillId="0" borderId="20" xfId="0" applyNumberFormat="1" applyFont="1" applyFill="1" applyBorder="1" applyAlignment="1" applyProtection="1">
      <alignment horizontal="center" vertical="center"/>
      <protection hidden="1"/>
    </xf>
    <xf numFmtId="167" fontId="0" fillId="0" borderId="10" xfId="0" applyNumberFormat="1" applyFont="1" applyFill="1" applyBorder="1" applyAlignment="1" applyProtection="1">
      <alignment horizontal="center" vertical="center"/>
      <protection hidden="1"/>
    </xf>
    <xf numFmtId="167" fontId="0" fillId="0" borderId="20" xfId="0" applyNumberFormat="1" applyFont="1" applyFill="1" applyBorder="1" applyAlignment="1" applyProtection="1">
      <alignment horizontal="center" vertical="center"/>
      <protection hidden="1"/>
    </xf>
    <xf numFmtId="167" fontId="0" fillId="0" borderId="10" xfId="0" applyNumberFormat="1" applyFill="1" applyBorder="1" applyAlignment="1">
      <alignment horizontal="center" vertical="center"/>
    </xf>
    <xf numFmtId="0" fontId="0" fillId="0" borderId="47" xfId="0" applyFill="1" applyBorder="1" applyAlignment="1">
      <alignment horizontal="right" vertical="center"/>
    </xf>
    <xf numFmtId="0" fontId="0" fillId="0" borderId="48" xfId="0" applyFill="1" applyBorder="1" applyAlignment="1">
      <alignment horizontal="center" vertical="center"/>
    </xf>
    <xf numFmtId="167" fontId="21" fillId="0" borderId="10" xfId="0" applyNumberFormat="1" applyFont="1" applyFill="1" applyBorder="1" applyAlignment="1">
      <alignment horizontal="center" vertical="center"/>
    </xf>
    <xf numFmtId="167" fontId="21" fillId="0" borderId="10" xfId="0" applyNumberFormat="1" applyFont="1" applyFill="1" applyBorder="1" applyAlignment="1">
      <alignment horizontal="center" vertical="center" shrinkToFit="1"/>
    </xf>
    <xf numFmtId="1" fontId="0" fillId="0" borderId="10" xfId="0" applyNumberFormat="1" applyFill="1" applyBorder="1" applyAlignment="1">
      <alignment horizontal="center" vertical="center"/>
    </xf>
    <xf numFmtId="1" fontId="0" fillId="0" borderId="20" xfId="0" applyNumberFormat="1" applyFill="1" applyBorder="1" applyAlignment="1">
      <alignment horizontal="center" vertical="center"/>
    </xf>
    <xf numFmtId="3" fontId="0" fillId="0" borderId="40" xfId="0" applyNumberFormat="1" applyFill="1" applyBorder="1" applyAlignment="1">
      <alignment horizontal="center" vertical="center"/>
    </xf>
    <xf numFmtId="1" fontId="0" fillId="0" borderId="21" xfId="0" applyNumberFormat="1" applyFill="1" applyBorder="1" applyAlignment="1">
      <alignment horizontal="center" vertical="center"/>
    </xf>
    <xf numFmtId="1" fontId="0" fillId="0" borderId="28" xfId="0" applyNumberFormat="1" applyFill="1" applyBorder="1" applyAlignment="1">
      <alignment horizontal="center" vertical="center"/>
    </xf>
    <xf numFmtId="3" fontId="0" fillId="0" borderId="45" xfId="0" applyNumberFormat="1" applyFill="1" applyBorder="1" applyAlignment="1">
      <alignment horizontal="center" vertical="center"/>
    </xf>
    <xf numFmtId="3" fontId="0" fillId="0" borderId="16" xfId="0" applyNumberFormat="1" applyFill="1" applyBorder="1" applyAlignment="1">
      <alignment horizontal="center" vertical="center"/>
    </xf>
    <xf numFmtId="3" fontId="0" fillId="0" borderId="18" xfId="0" applyNumberFormat="1" applyFill="1" applyBorder="1" applyAlignment="1">
      <alignment horizontal="center" vertical="center"/>
    </xf>
    <xf numFmtId="0" fontId="0" fillId="0" borderId="86" xfId="0" applyFill="1" applyBorder="1" applyAlignment="1">
      <alignment horizontal="center" vertical="center"/>
    </xf>
    <xf numFmtId="0" fontId="0" fillId="0" borderId="43" xfId="0" applyFill="1" applyBorder="1" applyAlignment="1">
      <alignment horizontal="center" vertical="center"/>
    </xf>
    <xf numFmtId="0" fontId="21" fillId="0" borderId="43" xfId="0" applyFont="1" applyFill="1" applyBorder="1" applyAlignment="1">
      <alignment horizontal="right" vertical="center"/>
    </xf>
    <xf numFmtId="0" fontId="0" fillId="0" borderId="87" xfId="0" applyFill="1" applyBorder="1" applyAlignment="1">
      <alignment horizontal="center" vertical="center"/>
    </xf>
    <xf numFmtId="0" fontId="0" fillId="0" borderId="62" xfId="0" applyFill="1" applyBorder="1" applyAlignment="1">
      <alignment horizontal="center" vertical="center"/>
    </xf>
    <xf numFmtId="3" fontId="0" fillId="0" borderId="86" xfId="0" applyNumberFormat="1" applyFill="1" applyBorder="1" applyAlignment="1">
      <alignment horizontal="center" vertical="center"/>
    </xf>
    <xf numFmtId="1" fontId="21" fillId="0" borderId="86" xfId="0" applyNumberFormat="1" applyFont="1" applyFill="1" applyBorder="1" applyAlignment="1">
      <alignment horizontal="center" vertical="center"/>
    </xf>
    <xf numFmtId="167" fontId="0" fillId="0" borderId="30" xfId="0" applyNumberFormat="1" applyFill="1" applyBorder="1" applyAlignment="1">
      <alignment horizontal="center" vertical="center"/>
    </xf>
    <xf numFmtId="167" fontId="0" fillId="0" borderId="12" xfId="0" applyNumberFormat="1" applyFill="1" applyBorder="1" applyAlignment="1">
      <alignment horizontal="center" vertical="center"/>
    </xf>
    <xf numFmtId="167" fontId="0" fillId="0" borderId="75" xfId="0" applyNumberFormat="1" applyFill="1" applyBorder="1" applyAlignment="1">
      <alignment horizontal="center" vertical="center"/>
    </xf>
    <xf numFmtId="1" fontId="40" fillId="0" borderId="86" xfId="0" applyNumberFormat="1" applyFont="1" applyFill="1" applyBorder="1" applyAlignment="1">
      <alignment horizontal="center" vertical="center"/>
    </xf>
    <xf numFmtId="1" fontId="40" fillId="0" borderId="40" xfId="0" applyNumberFormat="1" applyFont="1" applyFill="1" applyBorder="1" applyAlignment="1">
      <alignment horizontal="center" vertical="center"/>
    </xf>
    <xf numFmtId="167" fontId="40" fillId="0" borderId="40" xfId="0" applyNumberFormat="1" applyFont="1" applyFill="1" applyBorder="1" applyAlignment="1">
      <alignment horizontal="center" vertical="center"/>
    </xf>
    <xf numFmtId="0" fontId="0" fillId="17" borderId="64" xfId="0" applyFill="1" applyBorder="1" applyAlignment="1">
      <alignment horizontal="right"/>
    </xf>
    <xf numFmtId="0" fontId="0" fillId="17" borderId="21" xfId="0" applyFill="1" applyBorder="1" applyAlignment="1">
      <alignment horizontal="center" vertical="center"/>
    </xf>
    <xf numFmtId="0" fontId="0" fillId="17" borderId="10" xfId="0" applyFill="1" applyBorder="1" applyAlignment="1">
      <alignment horizontal="center" vertical="center"/>
    </xf>
    <xf numFmtId="0" fontId="110" fillId="17" borderId="47" xfId="578" applyFont="1" applyFill="1" applyBorder="1" applyAlignment="1">
      <alignment horizontal="right" vertical="center"/>
    </xf>
    <xf numFmtId="167" fontId="110" fillId="17" borderId="10" xfId="578" applyNumberFormat="1" applyFont="1" applyFill="1" applyBorder="1" applyAlignment="1">
      <alignment horizontal="center" vertical="center" wrapText="1"/>
    </xf>
    <xf numFmtId="0" fontId="110" fillId="17" borderId="10" xfId="578" applyFont="1" applyFill="1" applyBorder="1" applyAlignment="1">
      <alignment horizontal="center" vertical="center" wrapText="1"/>
    </xf>
    <xf numFmtId="0" fontId="0" fillId="17" borderId="86" xfId="0" applyFill="1" applyBorder="1" applyAlignment="1">
      <alignment horizontal="center" vertical="center"/>
    </xf>
    <xf numFmtId="0" fontId="0" fillId="17" borderId="40" xfId="0" applyFont="1" applyFill="1" applyBorder="1" applyAlignment="1">
      <alignment horizontal="right" vertical="center"/>
    </xf>
    <xf numFmtId="167" fontId="0" fillId="17" borderId="14" xfId="0" applyNumberFormat="1" applyFill="1" applyBorder="1" applyAlignment="1">
      <alignment horizontal="center" vertical="center"/>
    </xf>
    <xf numFmtId="167" fontId="0" fillId="17" borderId="12" xfId="0" applyNumberFormat="1" applyFill="1" applyBorder="1" applyAlignment="1">
      <alignment horizontal="center" vertical="center"/>
    </xf>
    <xf numFmtId="167" fontId="0" fillId="17" borderId="40" xfId="0" applyNumberFormat="1" applyFill="1" applyBorder="1" applyAlignment="1">
      <alignment horizontal="center" vertical="center"/>
    </xf>
    <xf numFmtId="0" fontId="0" fillId="17" borderId="0" xfId="0" applyFont="1" applyFill="1" applyAlignment="1">
      <alignment horizontal="right"/>
    </xf>
    <xf numFmtId="4" fontId="0" fillId="17" borderId="0" xfId="0" applyNumberFormat="1" applyFill="1"/>
    <xf numFmtId="0" fontId="50" fillId="17" borderId="28" xfId="0" applyFont="1" applyFill="1" applyBorder="1" applyAlignment="1">
      <alignment horizontal="right" vertical="center"/>
    </xf>
    <xf numFmtId="168" fontId="51" fillId="17" borderId="88" xfId="0" applyNumberFormat="1" applyFont="1" applyFill="1" applyBorder="1" applyAlignment="1">
      <alignment horizontal="center" vertical="center"/>
    </xf>
    <xf numFmtId="168" fontId="50" fillId="17" borderId="88" xfId="0" applyNumberFormat="1" applyFont="1" applyFill="1" applyBorder="1" applyAlignment="1">
      <alignment horizontal="center" vertical="center"/>
    </xf>
    <xf numFmtId="168" fontId="51" fillId="17" borderId="51" xfId="0" applyNumberFormat="1" applyFont="1" applyFill="1" applyBorder="1" applyAlignment="1">
      <alignment horizontal="center" vertical="center"/>
    </xf>
    <xf numFmtId="167" fontId="0" fillId="17" borderId="89" xfId="0" applyNumberFormat="1" applyFill="1" applyBorder="1" applyAlignment="1">
      <alignment horizontal="center" vertical="center"/>
    </xf>
    <xf numFmtId="0" fontId="21" fillId="17" borderId="86" xfId="0" applyFont="1" applyFill="1" applyBorder="1" applyAlignment="1">
      <alignment horizontal="center" vertical="center"/>
    </xf>
    <xf numFmtId="1" fontId="21" fillId="17" borderId="43" xfId="0" applyNumberFormat="1" applyFont="1" applyFill="1" applyBorder="1" applyAlignment="1">
      <alignment horizontal="center"/>
    </xf>
    <xf numFmtId="0" fontId="21" fillId="17" borderId="43" xfId="0" applyFont="1" applyFill="1" applyBorder="1" applyAlignment="1">
      <alignment horizontal="center"/>
    </xf>
    <xf numFmtId="0" fontId="0" fillId="17" borderId="0" xfId="0" applyFont="1" applyFill="1" applyAlignment="1">
      <alignment horizontal="right" vertical="center"/>
    </xf>
    <xf numFmtId="167" fontId="0" fillId="17" borderId="10" xfId="0" applyNumberFormat="1" applyFill="1" applyBorder="1" applyAlignment="1">
      <alignment horizontal="center"/>
    </xf>
    <xf numFmtId="0" fontId="40" fillId="25" borderId="64" xfId="0" applyFont="1" applyFill="1" applyBorder="1" applyAlignment="1">
      <alignment horizontal="left" vertical="center" indent="3"/>
    </xf>
    <xf numFmtId="0" fontId="40" fillId="25" borderId="64" xfId="0" applyFont="1" applyFill="1" applyBorder="1" applyAlignment="1">
      <alignment vertical="center"/>
    </xf>
    <xf numFmtId="168" fontId="52" fillId="16" borderId="64" xfId="0" applyNumberFormat="1" applyFont="1" applyFill="1" applyBorder="1" applyAlignment="1">
      <alignment horizontal="center" vertical="center" shrinkToFit="1"/>
    </xf>
    <xf numFmtId="0" fontId="29" fillId="16" borderId="64" xfId="0" applyFont="1" applyFill="1" applyBorder="1" applyAlignment="1">
      <alignment horizontal="left" vertical="center"/>
    </xf>
    <xf numFmtId="0" fontId="0" fillId="16" borderId="64" xfId="0" applyFont="1" applyFill="1" applyBorder="1" applyAlignment="1">
      <alignment horizontal="center" vertical="center"/>
    </xf>
    <xf numFmtId="168" fontId="40" fillId="25" borderId="64" xfId="0" applyNumberFormat="1" applyFont="1" applyFill="1" applyBorder="1" applyAlignment="1">
      <alignment horizontal="center" vertical="center"/>
    </xf>
    <xf numFmtId="0" fontId="40" fillId="16" borderId="72" xfId="0" applyFont="1" applyFill="1" applyBorder="1" applyAlignment="1">
      <alignment horizontal="left" vertical="center" indent="3"/>
    </xf>
    <xf numFmtId="0" fontId="40" fillId="16" borderId="72" xfId="0" applyFont="1" applyFill="1" applyBorder="1" applyAlignment="1">
      <alignment vertical="center"/>
    </xf>
    <xf numFmtId="0" fontId="0" fillId="0" borderId="72" xfId="0" applyBorder="1"/>
    <xf numFmtId="4" fontId="0" fillId="0" borderId="90" xfId="0" applyNumberFormat="1" applyFill="1" applyBorder="1" applyAlignment="1">
      <alignment horizontal="center" vertical="center"/>
    </xf>
    <xf numFmtId="0" fontId="35" fillId="26" borderId="64" xfId="0" applyFont="1" applyFill="1" applyBorder="1" applyAlignment="1" applyProtection="1">
      <alignment horizontal="left"/>
    </xf>
    <xf numFmtId="0" fontId="48" fillId="26" borderId="64" xfId="0" applyFont="1" applyFill="1" applyBorder="1" applyAlignment="1" applyProtection="1">
      <alignment horizontal="left"/>
    </xf>
    <xf numFmtId="0" fontId="49" fillId="26" borderId="64" xfId="0" applyFont="1" applyFill="1" applyBorder="1" applyAlignment="1" applyProtection="1">
      <alignment horizontal="left"/>
      <protection locked="0"/>
    </xf>
    <xf numFmtId="0" fontId="0" fillId="26" borderId="64" xfId="0" applyFill="1" applyBorder="1" applyAlignment="1">
      <alignment horizontal="center" vertical="center"/>
    </xf>
    <xf numFmtId="0" fontId="50" fillId="26" borderId="64" xfId="0" applyFont="1" applyFill="1" applyBorder="1" applyAlignment="1" applyProtection="1">
      <alignment horizontal="center" vertical="center"/>
      <protection locked="0"/>
    </xf>
    <xf numFmtId="0" fontId="50" fillId="26" borderId="64" xfId="0" applyFont="1" applyFill="1" applyBorder="1" applyAlignment="1" applyProtection="1">
      <alignment horizontal="center"/>
      <protection locked="0"/>
    </xf>
    <xf numFmtId="0" fontId="0" fillId="25" borderId="64" xfId="0" applyFont="1" applyFill="1" applyBorder="1" applyAlignment="1">
      <alignment horizontal="center" vertical="center"/>
    </xf>
    <xf numFmtId="0" fontId="0" fillId="25" borderId="64" xfId="0" applyFill="1" applyBorder="1" applyAlignment="1">
      <alignment horizontal="center" vertical="center"/>
    </xf>
    <xf numFmtId="1" fontId="0" fillId="25" borderId="64" xfId="0" applyNumberFormat="1" applyFill="1" applyBorder="1" applyAlignment="1">
      <alignment horizontal="center" vertical="center"/>
    </xf>
    <xf numFmtId="3" fontId="0" fillId="25" borderId="64" xfId="0" applyNumberFormat="1" applyFill="1" applyBorder="1" applyAlignment="1">
      <alignment horizontal="center" vertical="center"/>
    </xf>
    <xf numFmtId="168" fontId="27" fillId="25" borderId="64" xfId="0" applyNumberFormat="1" applyFont="1" applyFill="1" applyBorder="1" applyAlignment="1">
      <alignment horizontal="center" vertical="center"/>
    </xf>
    <xf numFmtId="0" fontId="21" fillId="16" borderId="64" xfId="0" applyFont="1" applyFill="1" applyBorder="1" applyAlignment="1">
      <alignment horizontal="left" vertical="center"/>
    </xf>
    <xf numFmtId="0" fontId="0" fillId="16" borderId="64" xfId="0" applyFill="1" applyBorder="1"/>
    <xf numFmtId="0" fontId="0" fillId="16" borderId="64" xfId="0" applyFill="1" applyBorder="1" applyAlignment="1">
      <alignment horizontal="center" vertical="center"/>
    </xf>
    <xf numFmtId="3" fontId="27" fillId="25" borderId="64" xfId="0" applyNumberFormat="1" applyFont="1" applyFill="1" applyBorder="1" applyAlignment="1">
      <alignment horizontal="center" vertical="center"/>
    </xf>
    <xf numFmtId="0" fontId="0" fillId="25" borderId="10" xfId="0" applyFill="1" applyBorder="1" applyAlignment="1">
      <alignment horizontal="center" vertical="center"/>
    </xf>
    <xf numFmtId="0" fontId="0" fillId="25" borderId="11" xfId="0" applyFill="1" applyBorder="1" applyAlignment="1">
      <alignment horizontal="center" vertical="center"/>
    </xf>
    <xf numFmtId="0" fontId="0" fillId="25" borderId="30" xfId="0" applyFill="1" applyBorder="1" applyAlignment="1">
      <alignment horizontal="center" vertical="center"/>
    </xf>
    <xf numFmtId="0" fontId="0" fillId="25" borderId="12" xfId="0" applyFill="1" applyBorder="1" applyAlignment="1">
      <alignment horizontal="center" vertical="center"/>
    </xf>
    <xf numFmtId="0" fontId="0" fillId="25" borderId="13" xfId="0" applyFill="1" applyBorder="1" applyAlignment="1">
      <alignment horizontal="center" vertical="center"/>
    </xf>
    <xf numFmtId="0" fontId="0" fillId="25" borderId="31" xfId="0" applyFill="1" applyBorder="1" applyAlignment="1">
      <alignment horizontal="center" vertical="center"/>
    </xf>
    <xf numFmtId="0" fontId="0" fillId="25" borderId="14" xfId="0" applyFill="1" applyBorder="1" applyAlignment="1">
      <alignment horizontal="center" vertical="center"/>
    </xf>
    <xf numFmtId="0" fontId="0" fillId="25" borderId="15" xfId="0" applyFill="1" applyBorder="1" applyAlignment="1">
      <alignment horizontal="center" vertical="center"/>
    </xf>
    <xf numFmtId="14" fontId="39" fillId="25" borderId="0" xfId="0" applyNumberFormat="1" applyFont="1" applyFill="1" applyBorder="1" applyAlignment="1" applyProtection="1">
      <alignment horizontal="left" vertical="center"/>
      <protection locked="0"/>
    </xf>
    <xf numFmtId="14" fontId="0" fillId="25" borderId="0" xfId="0" applyNumberFormat="1" applyFont="1" applyFill="1" applyBorder="1" applyAlignment="1" applyProtection="1">
      <alignment horizontal="left" vertical="center"/>
      <protection locked="0"/>
    </xf>
    <xf numFmtId="0" fontId="40" fillId="17" borderId="91" xfId="0" applyFont="1" applyFill="1" applyBorder="1" applyAlignment="1"/>
    <xf numFmtId="0" fontId="21" fillId="17" borderId="86" xfId="0" applyFont="1" applyFill="1" applyBorder="1"/>
    <xf numFmtId="0" fontId="21" fillId="17" borderId="43" xfId="0" applyFont="1" applyFill="1" applyBorder="1"/>
    <xf numFmtId="0" fontId="21" fillId="17" borderId="44" xfId="0" applyFont="1" applyFill="1" applyBorder="1"/>
    <xf numFmtId="0" fontId="0" fillId="17" borderId="43" xfId="0" applyFill="1" applyBorder="1"/>
    <xf numFmtId="0" fontId="0" fillId="17" borderId="44" xfId="0" applyFill="1" applyBorder="1"/>
    <xf numFmtId="0" fontId="0" fillId="25" borderId="45" xfId="0" applyFont="1" applyFill="1" applyBorder="1" applyAlignment="1">
      <alignment horizontal="center" vertical="center"/>
    </xf>
    <xf numFmtId="0" fontId="0" fillId="25" borderId="52" xfId="0" applyFont="1" applyFill="1" applyBorder="1" applyAlignment="1">
      <alignment horizontal="center" vertical="center"/>
    </xf>
    <xf numFmtId="0" fontId="0" fillId="25" borderId="92" xfId="0" applyFont="1" applyFill="1" applyBorder="1" applyAlignment="1">
      <alignment horizontal="center" vertical="center"/>
    </xf>
    <xf numFmtId="0" fontId="40" fillId="25" borderId="92" xfId="0" applyFont="1" applyFill="1" applyBorder="1" applyAlignment="1" applyProtection="1">
      <alignment horizontal="center" vertical="center"/>
      <protection hidden="1"/>
    </xf>
    <xf numFmtId="0" fontId="45" fillId="25" borderId="92" xfId="0" applyFont="1" applyFill="1" applyBorder="1" applyAlignment="1">
      <alignment horizontal="left" vertical="center"/>
    </xf>
    <xf numFmtId="0" fontId="0" fillId="25" borderId="93" xfId="0" applyFill="1" applyBorder="1" applyAlignment="1">
      <alignment horizontal="center" vertical="center"/>
    </xf>
    <xf numFmtId="0" fontId="0" fillId="17" borderId="62" xfId="0" applyFont="1" applyFill="1" applyBorder="1"/>
    <xf numFmtId="0" fontId="0" fillId="17" borderId="94" xfId="0" applyFill="1" applyBorder="1"/>
    <xf numFmtId="0" fontId="0" fillId="25" borderId="22" xfId="0" applyFont="1" applyFill="1" applyBorder="1" applyAlignment="1">
      <alignment horizontal="center" vertical="center"/>
    </xf>
    <xf numFmtId="0" fontId="0" fillId="25" borderId="20" xfId="0" applyFont="1" applyFill="1" applyBorder="1" applyAlignment="1">
      <alignment horizontal="center" vertical="center"/>
    </xf>
    <xf numFmtId="0" fontId="0" fillId="25" borderId="95" xfId="0" applyFont="1" applyFill="1" applyBorder="1" applyAlignment="1">
      <alignment horizontal="center" vertical="center"/>
    </xf>
    <xf numFmtId="0" fontId="0" fillId="25" borderId="21" xfId="0" applyFont="1" applyFill="1" applyBorder="1" applyAlignment="1">
      <alignment horizontal="center" vertical="center"/>
    </xf>
    <xf numFmtId="0" fontId="21" fillId="25" borderId="24" xfId="0" applyFont="1" applyFill="1" applyBorder="1" applyAlignment="1">
      <alignment horizontal="center" vertical="center"/>
    </xf>
    <xf numFmtId="0" fontId="0" fillId="25" borderId="96" xfId="0" applyFont="1" applyFill="1" applyBorder="1" applyAlignment="1">
      <alignment horizontal="center" vertical="center"/>
    </xf>
    <xf numFmtId="0" fontId="0" fillId="25" borderId="26" xfId="0" applyFont="1" applyFill="1" applyBorder="1" applyAlignment="1">
      <alignment horizontal="center" vertical="center"/>
    </xf>
    <xf numFmtId="0" fontId="0" fillId="25" borderId="22" xfId="0" applyFont="1" applyFill="1" applyBorder="1" applyAlignment="1">
      <alignment horizontal="center" vertical="center" wrapText="1"/>
    </xf>
    <xf numFmtId="0" fontId="0" fillId="25" borderId="10" xfId="0" applyFont="1" applyFill="1" applyBorder="1" applyAlignment="1">
      <alignment horizontal="center" vertical="center" wrapText="1"/>
    </xf>
    <xf numFmtId="0" fontId="0" fillId="25" borderId="26" xfId="0" applyFont="1" applyFill="1" applyBorder="1" applyAlignment="1">
      <alignment horizontal="center" vertical="center" wrapText="1"/>
    </xf>
    <xf numFmtId="0" fontId="40" fillId="25" borderId="25" xfId="0" applyFont="1" applyFill="1" applyBorder="1" applyAlignment="1" applyProtection="1">
      <alignment horizontal="center" vertical="center" wrapText="1"/>
      <protection hidden="1"/>
    </xf>
    <xf numFmtId="0" fontId="38" fillId="25" borderId="41" xfId="0" applyFont="1" applyFill="1" applyBorder="1" applyAlignment="1">
      <alignment horizontal="center" vertical="center" wrapText="1"/>
    </xf>
    <xf numFmtId="0" fontId="0" fillId="25" borderId="34" xfId="0" applyFont="1" applyFill="1" applyBorder="1" applyAlignment="1">
      <alignment horizontal="center" vertical="center" wrapText="1"/>
    </xf>
    <xf numFmtId="0" fontId="38" fillId="25" borderId="34" xfId="0" applyFont="1" applyFill="1" applyBorder="1" applyAlignment="1">
      <alignment horizontal="center" vertical="center" wrapText="1"/>
    </xf>
    <xf numFmtId="0" fontId="0" fillId="25" borderId="42" xfId="0" applyFont="1" applyFill="1" applyBorder="1" applyAlignment="1">
      <alignment horizontal="center" vertical="center" wrapText="1"/>
    </xf>
    <xf numFmtId="0" fontId="0" fillId="27" borderId="10" xfId="0" applyFill="1" applyBorder="1"/>
    <xf numFmtId="0" fontId="0" fillId="25" borderId="17" xfId="0" applyFill="1" applyBorder="1"/>
    <xf numFmtId="0" fontId="0" fillId="25" borderId="16" xfId="0" applyFill="1" applyBorder="1" applyAlignment="1">
      <alignment horizontal="center" vertical="center"/>
    </xf>
    <xf numFmtId="0" fontId="0" fillId="25" borderId="18" xfId="0" applyFill="1" applyBorder="1" applyAlignment="1">
      <alignment horizontal="center" vertical="center"/>
    </xf>
    <xf numFmtId="0" fontId="0" fillId="25" borderId="19" xfId="0" applyFill="1" applyBorder="1" applyAlignment="1">
      <alignment horizontal="center" vertical="center"/>
    </xf>
    <xf numFmtId="0" fontId="0" fillId="28" borderId="0" xfId="0" applyFill="1" applyAlignment="1">
      <alignment horizontal="center" vertical="center"/>
    </xf>
    <xf numFmtId="0" fontId="161" fillId="28" borderId="0" xfId="0" applyFont="1" applyFill="1"/>
    <xf numFmtId="0" fontId="161" fillId="28" borderId="0" xfId="0" applyFont="1" applyFill="1" applyAlignment="1">
      <alignment horizontal="center"/>
    </xf>
    <xf numFmtId="0" fontId="161" fillId="28" borderId="0" xfId="0" applyFont="1" applyFill="1" applyAlignment="1">
      <alignment horizontal="center" vertical="center"/>
    </xf>
    <xf numFmtId="0" fontId="162" fillId="28" borderId="0" xfId="0" applyFont="1" applyFill="1" applyAlignment="1">
      <alignment vertical="center"/>
    </xf>
    <xf numFmtId="0" fontId="0" fillId="0" borderId="10" xfId="0" applyFill="1" applyBorder="1"/>
    <xf numFmtId="0" fontId="41" fillId="0" borderId="11" xfId="0" applyFont="1" applyFill="1" applyBorder="1" applyAlignment="1">
      <alignment horizontal="left" vertical="center"/>
    </xf>
    <xf numFmtId="0" fontId="42" fillId="0" borderId="20" xfId="0" applyFont="1" applyFill="1" applyBorder="1"/>
    <xf numFmtId="0" fontId="42" fillId="0" borderId="10" xfId="0" applyFont="1" applyFill="1" applyBorder="1"/>
    <xf numFmtId="0" fontId="0" fillId="0" borderId="0" xfId="0" applyFill="1" applyAlignment="1">
      <alignment horizontal="center" vertical="center"/>
    </xf>
    <xf numFmtId="0" fontId="0" fillId="0" borderId="10" xfId="0" applyFill="1" applyBorder="1" applyAlignment="1">
      <alignment horizontal="left" vertical="center"/>
    </xf>
    <xf numFmtId="0" fontId="40" fillId="0" borderId="10" xfId="0" applyFont="1" applyFill="1" applyBorder="1" applyAlignment="1">
      <alignment horizontal="center" vertical="center"/>
    </xf>
    <xf numFmtId="167" fontId="0" fillId="0" borderId="23" xfId="578" applyNumberFormat="1" applyFont="1" applyFill="1" applyBorder="1" applyAlignment="1">
      <alignment horizontal="center" vertical="center"/>
    </xf>
    <xf numFmtId="1" fontId="0" fillId="0" borderId="25" xfId="578" applyNumberFormat="1" applyFont="1" applyFill="1" applyBorder="1" applyAlignment="1">
      <alignment horizontal="center" vertical="center"/>
    </xf>
    <xf numFmtId="1" fontId="0" fillId="0" borderId="10" xfId="578" applyNumberFormat="1" applyFont="1" applyFill="1" applyBorder="1" applyAlignment="1">
      <alignment horizontal="center" vertical="center"/>
    </xf>
    <xf numFmtId="1" fontId="0" fillId="0" borderId="27" xfId="578" applyNumberFormat="1" applyFont="1" applyFill="1" applyBorder="1" applyAlignment="1">
      <alignment horizontal="center" vertical="center"/>
    </xf>
    <xf numFmtId="168" fontId="0" fillId="0" borderId="10" xfId="0" applyNumberFormat="1" applyFill="1" applyBorder="1" applyAlignment="1">
      <alignment horizontal="center" vertical="center"/>
    </xf>
    <xf numFmtId="168" fontId="0" fillId="0" borderId="20" xfId="0" applyNumberFormat="1" applyFill="1" applyBorder="1" applyAlignment="1">
      <alignment horizontal="center" vertical="center"/>
    </xf>
    <xf numFmtId="168" fontId="0" fillId="0" borderId="22" xfId="0" applyNumberFormat="1" applyFill="1" applyBorder="1" applyAlignment="1">
      <alignment horizontal="center" vertical="center"/>
    </xf>
    <xf numFmtId="168" fontId="0" fillId="0" borderId="26" xfId="0" applyNumberFormat="1" applyFill="1" applyBorder="1" applyAlignment="1">
      <alignment horizontal="center" vertical="center"/>
    </xf>
    <xf numFmtId="168" fontId="0" fillId="0" borderId="21" xfId="0" applyNumberFormat="1" applyFill="1" applyBorder="1" applyAlignment="1">
      <alignment horizontal="center" vertical="center"/>
    </xf>
    <xf numFmtId="167" fontId="0" fillId="0" borderId="22" xfId="0" applyNumberFormat="1" applyFill="1" applyBorder="1" applyAlignment="1">
      <alignment horizontal="center" vertical="center"/>
    </xf>
    <xf numFmtId="1" fontId="0" fillId="0" borderId="26" xfId="0" applyNumberFormat="1" applyFill="1" applyBorder="1" applyAlignment="1">
      <alignment horizontal="center" vertical="center"/>
    </xf>
    <xf numFmtId="0" fontId="0" fillId="0" borderId="20" xfId="0" applyFill="1" applyBorder="1" applyAlignment="1">
      <alignment horizontal="center" vertical="center"/>
    </xf>
    <xf numFmtId="0" fontId="0" fillId="0" borderId="78" xfId="0" applyFill="1" applyBorder="1" applyAlignment="1">
      <alignment horizontal="right" vertical="center"/>
    </xf>
    <xf numFmtId="2" fontId="0" fillId="0" borderId="25" xfId="578" applyNumberFormat="1" applyFont="1" applyFill="1" applyBorder="1" applyAlignment="1">
      <alignment horizontal="center" vertical="center"/>
    </xf>
    <xf numFmtId="2" fontId="0" fillId="0" borderId="10" xfId="578" applyNumberFormat="1" applyFont="1" applyFill="1" applyBorder="1" applyAlignment="1">
      <alignment horizontal="center" vertical="center"/>
    </xf>
    <xf numFmtId="2" fontId="0" fillId="0" borderId="27" xfId="578" applyNumberFormat="1" applyFont="1" applyFill="1" applyBorder="1" applyAlignment="1">
      <alignment horizontal="center" vertical="center"/>
    </xf>
    <xf numFmtId="4" fontId="0" fillId="0" borderId="21" xfId="0" applyNumberFormat="1" applyFill="1" applyBorder="1" applyAlignment="1">
      <alignment horizontal="center" vertical="center"/>
    </xf>
    <xf numFmtId="0" fontId="40" fillId="0" borderId="0" xfId="0" applyFont="1" applyFill="1" applyAlignment="1">
      <alignment horizontal="left" vertical="center"/>
    </xf>
    <xf numFmtId="0" fontId="0" fillId="0" borderId="69" xfId="0" applyFill="1" applyBorder="1" applyAlignment="1">
      <alignment horizontal="center" vertical="center"/>
    </xf>
    <xf numFmtId="0" fontId="0" fillId="0" borderId="0" xfId="0" applyFill="1" applyAlignment="1">
      <alignment horizontal="left"/>
    </xf>
    <xf numFmtId="169" fontId="0" fillId="0" borderId="10" xfId="0" applyNumberFormat="1" applyFont="1" applyFill="1" applyBorder="1" applyAlignment="1">
      <alignment horizontal="center" vertical="center"/>
    </xf>
    <xf numFmtId="169" fontId="0" fillId="0" borderId="20" xfId="0" applyNumberFormat="1" applyFill="1" applyBorder="1" applyAlignment="1">
      <alignment horizontal="center" vertical="center"/>
    </xf>
    <xf numFmtId="169" fontId="0" fillId="0" borderId="22" xfId="0" applyNumberFormat="1" applyFill="1" applyBorder="1" applyAlignment="1">
      <alignment horizontal="center" vertical="center"/>
    </xf>
    <xf numFmtId="169" fontId="0" fillId="0" borderId="10" xfId="0" applyNumberFormat="1" applyFill="1" applyBorder="1" applyAlignment="1">
      <alignment horizontal="center" vertical="center"/>
    </xf>
    <xf numFmtId="169" fontId="0" fillId="0" borderId="26" xfId="0" applyNumberFormat="1" applyFill="1" applyBorder="1" applyAlignment="1">
      <alignment horizontal="center" vertical="center"/>
    </xf>
    <xf numFmtId="0" fontId="0" fillId="0" borderId="63" xfId="0" applyFill="1" applyBorder="1" applyAlignment="1">
      <alignment horizontal="center"/>
    </xf>
    <xf numFmtId="167" fontId="0" fillId="0" borderId="24" xfId="578" applyNumberFormat="1" applyFont="1" applyFill="1" applyBorder="1" applyAlignment="1">
      <alignment horizontal="center" vertical="center"/>
    </xf>
    <xf numFmtId="167" fontId="0" fillId="0" borderId="31" xfId="578" applyNumberFormat="1" applyFont="1" applyFill="1" applyBorder="1" applyAlignment="1">
      <alignment horizontal="center" vertical="center"/>
    </xf>
    <xf numFmtId="2" fontId="0" fillId="0" borderId="15" xfId="578" applyNumberFormat="1" applyFont="1" applyFill="1" applyBorder="1" applyAlignment="1">
      <alignment horizontal="center" vertical="center"/>
    </xf>
    <xf numFmtId="2" fontId="0" fillId="0" borderId="12" xfId="578" applyNumberFormat="1" applyFont="1" applyFill="1" applyBorder="1" applyAlignment="1">
      <alignment horizontal="center" vertical="center"/>
    </xf>
    <xf numFmtId="2" fontId="0" fillId="0" borderId="61" xfId="578" applyNumberFormat="1" applyFont="1" applyFill="1" applyBorder="1" applyAlignment="1">
      <alignment horizontal="center" vertical="center"/>
    </xf>
    <xf numFmtId="0" fontId="56" fillId="0" borderId="0" xfId="0" applyFont="1" applyFill="1" applyAlignment="1">
      <alignment horizontal="left" vertical="center"/>
    </xf>
    <xf numFmtId="1" fontId="52" fillId="0" borderId="40" xfId="0" applyNumberFormat="1" applyFont="1" applyFill="1" applyBorder="1" applyAlignment="1">
      <alignment horizontal="left" vertical="center"/>
    </xf>
    <xf numFmtId="1" fontId="52" fillId="0" borderId="0" xfId="0" applyNumberFormat="1" applyFont="1" applyFill="1" applyBorder="1" applyAlignment="1">
      <alignment horizontal="left" vertical="center"/>
    </xf>
    <xf numFmtId="10" fontId="0" fillId="0" borderId="10" xfId="0" applyNumberFormat="1" applyFill="1" applyBorder="1" applyAlignment="1">
      <alignment horizontal="center" vertical="center"/>
    </xf>
    <xf numFmtId="10" fontId="0" fillId="0" borderId="20" xfId="0" applyNumberFormat="1" applyFill="1" applyBorder="1" applyAlignment="1">
      <alignment horizontal="center" vertical="center"/>
    </xf>
    <xf numFmtId="9" fontId="0" fillId="0" borderId="21" xfId="0" applyNumberFormat="1" applyFill="1" applyBorder="1" applyAlignment="1">
      <alignment horizontal="center" vertical="center"/>
    </xf>
    <xf numFmtId="0" fontId="21" fillId="0" borderId="10" xfId="0" applyFont="1" applyFill="1" applyBorder="1" applyAlignment="1">
      <alignment horizontal="center"/>
    </xf>
    <xf numFmtId="0" fontId="21" fillId="0" borderId="20" xfId="0" applyFont="1" applyFill="1" applyBorder="1" applyAlignment="1">
      <alignment horizontal="center"/>
    </xf>
    <xf numFmtId="0" fontId="21" fillId="0" borderId="30" xfId="0" applyFont="1" applyFill="1" applyBorder="1" applyAlignment="1">
      <alignment horizontal="center"/>
    </xf>
    <xf numFmtId="0" fontId="21" fillId="0" borderId="12" xfId="0" applyFont="1" applyFill="1" applyBorder="1" applyAlignment="1">
      <alignment horizontal="center"/>
    </xf>
    <xf numFmtId="0" fontId="21" fillId="0" borderId="75" xfId="0" applyFont="1" applyFill="1" applyBorder="1" applyAlignment="1">
      <alignment horizontal="center" vertical="center"/>
    </xf>
    <xf numFmtId="0" fontId="21" fillId="0" borderId="21" xfId="0" applyFont="1" applyFill="1" applyBorder="1" applyAlignment="1">
      <alignment horizontal="center" vertical="center"/>
    </xf>
    <xf numFmtId="0" fontId="0" fillId="0" borderId="96" xfId="0" applyFill="1" applyBorder="1" applyAlignment="1">
      <alignment horizontal="center" vertical="center"/>
    </xf>
    <xf numFmtId="0" fontId="0" fillId="0" borderId="12" xfId="0" applyFill="1" applyBorder="1" applyAlignment="1">
      <alignment horizontal="center" vertical="center"/>
    </xf>
    <xf numFmtId="0" fontId="0" fillId="0" borderId="75" xfId="0" applyFill="1" applyBorder="1" applyAlignment="1">
      <alignment horizontal="center" vertical="center"/>
    </xf>
    <xf numFmtId="0" fontId="0" fillId="0" borderId="40" xfId="0" applyFill="1" applyBorder="1" applyAlignment="1">
      <alignment horizontal="center" vertical="center"/>
    </xf>
    <xf numFmtId="0" fontId="0" fillId="0" borderId="16" xfId="0" applyFill="1" applyBorder="1" applyAlignment="1">
      <alignment horizontal="center" vertical="center"/>
    </xf>
    <xf numFmtId="0" fontId="0" fillId="0" borderId="19" xfId="0" applyFill="1" applyBorder="1" applyAlignment="1">
      <alignment horizontal="center" vertical="center"/>
    </xf>
    <xf numFmtId="0" fontId="0" fillId="17" borderId="20" xfId="0" applyFont="1" applyFill="1" applyBorder="1" applyAlignment="1">
      <alignment horizontal="left" vertical="center"/>
    </xf>
    <xf numFmtId="0" fontId="45" fillId="17" borderId="11" xfId="578" applyFont="1" applyFill="1" applyBorder="1" applyAlignment="1" applyProtection="1">
      <alignment horizontal="center" vertical="center" wrapText="1"/>
      <protection hidden="1"/>
    </xf>
    <xf numFmtId="0" fontId="45" fillId="17" borderId="45" xfId="578" applyFont="1" applyFill="1" applyBorder="1" applyAlignment="1" applyProtection="1">
      <alignment horizontal="center" vertical="center" wrapText="1"/>
      <protection hidden="1"/>
    </xf>
    <xf numFmtId="0" fontId="45" fillId="17" borderId="21" xfId="578" applyFont="1" applyFill="1" applyBorder="1" applyAlignment="1" applyProtection="1">
      <alignment horizontal="center" vertical="center" wrapText="1"/>
      <protection hidden="1"/>
    </xf>
    <xf numFmtId="0" fontId="45" fillId="17" borderId="20" xfId="578" applyFont="1" applyFill="1" applyBorder="1" applyAlignment="1" applyProtection="1">
      <alignment horizontal="center" vertical="center" wrapText="1"/>
      <protection hidden="1"/>
    </xf>
    <xf numFmtId="0" fontId="45" fillId="17" borderId="92" xfId="578" applyFont="1" applyFill="1" applyBorder="1" applyAlignment="1" applyProtection="1">
      <alignment horizontal="center" vertical="center" wrapText="1"/>
      <protection hidden="1"/>
    </xf>
    <xf numFmtId="0" fontId="45" fillId="17" borderId="98" xfId="578" applyFont="1" applyFill="1" applyBorder="1" applyAlignment="1" applyProtection="1">
      <alignment horizontal="center" vertical="center" wrapText="1"/>
      <protection hidden="1"/>
    </xf>
    <xf numFmtId="0" fontId="45" fillId="17" borderId="51" xfId="578" applyFont="1" applyFill="1" applyBorder="1" applyAlignment="1" applyProtection="1">
      <alignment horizontal="center" vertical="center" wrapText="1"/>
      <protection hidden="1"/>
    </xf>
    <xf numFmtId="0" fontId="45" fillId="17" borderId="10" xfId="578" applyFont="1" applyFill="1" applyBorder="1" applyAlignment="1" applyProtection="1">
      <alignment horizontal="center" vertical="center" wrapText="1"/>
      <protection hidden="1"/>
    </xf>
    <xf numFmtId="0" fontId="0" fillId="17" borderId="97" xfId="0" applyFont="1" applyFill="1" applyBorder="1" applyAlignment="1">
      <alignment horizontal="center" vertical="center" wrapText="1"/>
    </xf>
    <xf numFmtId="0" fontId="0" fillId="17" borderId="88" xfId="0" applyFont="1" applyFill="1" applyBorder="1" applyAlignment="1">
      <alignment horizontal="center" vertical="center" wrapText="1"/>
    </xf>
    <xf numFmtId="0" fontId="0" fillId="17" borderId="51" xfId="0" applyFont="1" applyFill="1" applyBorder="1" applyAlignment="1">
      <alignment horizontal="center" vertical="center" wrapText="1"/>
    </xf>
    <xf numFmtId="0" fontId="0" fillId="17" borderId="10" xfId="0" applyFont="1" applyFill="1" applyBorder="1" applyAlignment="1">
      <alignment horizontal="left" vertical="center" wrapText="1"/>
    </xf>
    <xf numFmtId="0" fontId="0" fillId="17" borderId="10" xfId="0" applyFont="1" applyFill="1" applyBorder="1" applyAlignment="1">
      <alignment horizontal="center" vertical="center" wrapText="1"/>
    </xf>
    <xf numFmtId="0" fontId="41" fillId="17" borderId="10" xfId="0" applyFont="1" applyFill="1" applyBorder="1" applyAlignment="1">
      <alignment horizontal="center" vertical="center" wrapText="1"/>
    </xf>
    <xf numFmtId="0" fontId="0" fillId="17" borderId="20" xfId="0" applyFont="1" applyFill="1" applyBorder="1" applyAlignment="1">
      <alignment horizontal="center" vertical="center" wrapText="1"/>
    </xf>
    <xf numFmtId="0" fontId="0" fillId="17" borderId="21" xfId="0" applyFont="1" applyFill="1" applyBorder="1" applyAlignment="1">
      <alignment horizontal="center" vertical="center" wrapText="1"/>
    </xf>
    <xf numFmtId="0" fontId="0" fillId="17" borderId="113" xfId="0" applyFont="1" applyFill="1" applyBorder="1" applyAlignment="1">
      <alignment horizontal="center" vertical="center"/>
    </xf>
    <xf numFmtId="0" fontId="0" fillId="17" borderId="114" xfId="0" applyFont="1" applyFill="1" applyBorder="1" applyAlignment="1">
      <alignment horizontal="center" vertical="center"/>
    </xf>
    <xf numFmtId="1" fontId="0" fillId="17" borderId="106" xfId="0" applyNumberFormat="1" applyFill="1" applyBorder="1" applyAlignment="1">
      <alignment horizontal="center" vertical="center"/>
    </xf>
    <xf numFmtId="1" fontId="0" fillId="17" borderId="115" xfId="0" applyNumberFormat="1" applyFill="1" applyBorder="1" applyAlignment="1">
      <alignment horizontal="center" vertical="center"/>
    </xf>
    <xf numFmtId="0" fontId="45" fillId="17" borderId="63" xfId="0" applyFont="1" applyFill="1" applyBorder="1" applyAlignment="1">
      <alignment horizontal="left"/>
    </xf>
    <xf numFmtId="0" fontId="0" fillId="17" borderId="0" xfId="0" applyFill="1" applyAlignment="1">
      <alignment horizontal="center"/>
    </xf>
    <xf numFmtId="167" fontId="110" fillId="17" borderId="11" xfId="578" applyNumberFormat="1" applyFont="1" applyFill="1" applyBorder="1" applyAlignment="1">
      <alignment horizontal="center" vertical="center"/>
    </xf>
    <xf numFmtId="167" fontId="40" fillId="17" borderId="11" xfId="578" applyNumberFormat="1" applyFont="1" applyFill="1" applyBorder="1" applyAlignment="1">
      <alignment horizontal="right" vertical="center"/>
    </xf>
    <xf numFmtId="167" fontId="0" fillId="17" borderId="22" xfId="0" applyNumberFormat="1" applyFill="1" applyBorder="1" applyAlignment="1">
      <alignment horizontal="center" vertical="center"/>
    </xf>
    <xf numFmtId="1" fontId="0" fillId="17" borderId="10" xfId="0" applyNumberFormat="1" applyFill="1" applyBorder="1" applyAlignment="1">
      <alignment horizontal="center" vertical="center"/>
    </xf>
    <xf numFmtId="1" fontId="0" fillId="17" borderId="26" xfId="0" applyNumberFormat="1" applyFill="1" applyBorder="1" applyAlignment="1">
      <alignment horizontal="center" vertical="center"/>
    </xf>
    <xf numFmtId="1" fontId="0" fillId="17" borderId="30" xfId="0" applyNumberFormat="1" applyFill="1" applyBorder="1" applyAlignment="1">
      <alignment horizontal="center" vertical="center"/>
    </xf>
    <xf numFmtId="1" fontId="0" fillId="17" borderId="12" xfId="0" applyNumberFormat="1" applyFill="1" applyBorder="1" applyAlignment="1">
      <alignment horizontal="center" vertical="center"/>
    </xf>
    <xf numFmtId="1" fontId="0" fillId="17" borderId="75" xfId="0" applyNumberFormat="1" applyFill="1" applyBorder="1" applyAlignment="1">
      <alignment horizontal="center" vertical="center"/>
    </xf>
    <xf numFmtId="0" fontId="21" fillId="17" borderId="0" xfId="0" applyFont="1" applyFill="1" applyAlignment="1">
      <alignment horizontal="right" vertical="center"/>
    </xf>
    <xf numFmtId="1" fontId="21" fillId="17" borderId="45" xfId="0" applyNumberFormat="1" applyFont="1" applyFill="1" applyBorder="1" applyAlignment="1">
      <alignment horizontal="center" vertical="center"/>
    </xf>
    <xf numFmtId="1" fontId="21" fillId="17" borderId="40" xfId="0" applyNumberFormat="1" applyFont="1" applyFill="1" applyBorder="1" applyAlignment="1">
      <alignment horizontal="center" vertical="center"/>
    </xf>
    <xf numFmtId="0" fontId="52" fillId="17" borderId="0" xfId="0" applyFont="1" applyFill="1" applyAlignment="1">
      <alignment horizontal="center" vertical="center"/>
    </xf>
    <xf numFmtId="0" fontId="0" fillId="17" borderId="0" xfId="0" applyFill="1" applyAlignment="1">
      <alignment horizontal="center" vertical="center" shrinkToFit="1"/>
    </xf>
    <xf numFmtId="1" fontId="21" fillId="17" borderId="95" xfId="0" applyNumberFormat="1" applyFont="1" applyFill="1" applyBorder="1" applyAlignment="1">
      <alignment horizontal="center" vertical="center"/>
    </xf>
    <xf numFmtId="0" fontId="0" fillId="17" borderId="0" xfId="0" applyFill="1" applyAlignment="1">
      <alignment horizontal="center" vertical="center"/>
    </xf>
    <xf numFmtId="0" fontId="0" fillId="29" borderId="0" xfId="0" applyFill="1" applyAlignment="1">
      <alignment horizontal="center" vertical="center"/>
    </xf>
    <xf numFmtId="0" fontId="46" fillId="29" borderId="0" xfId="0" applyFont="1" applyFill="1" applyAlignment="1">
      <alignment horizontal="right"/>
    </xf>
    <xf numFmtId="0" fontId="46" fillId="29" borderId="0" xfId="0" applyFont="1" applyFill="1" applyAlignment="1">
      <alignment horizontal="left"/>
    </xf>
    <xf numFmtId="0" fontId="0" fillId="28" borderId="0" xfId="0" applyFill="1" applyAlignment="1">
      <alignment horizontal="left" vertical="center"/>
    </xf>
    <xf numFmtId="0" fontId="0" fillId="27" borderId="10" xfId="0" applyFill="1" applyBorder="1" applyAlignment="1">
      <alignment horizontal="center"/>
    </xf>
    <xf numFmtId="0" fontId="0" fillId="27" borderId="10" xfId="0" applyFill="1" applyBorder="1" applyAlignment="1">
      <alignment horizontal="center" vertical="center"/>
    </xf>
    <xf numFmtId="0" fontId="0" fillId="27" borderId="20" xfId="0" applyFill="1" applyBorder="1" applyAlignment="1">
      <alignment horizontal="left" vertical="center"/>
    </xf>
    <xf numFmtId="0" fontId="0" fillId="25" borderId="116" xfId="0" applyFill="1" applyBorder="1" applyAlignment="1">
      <alignment horizontal="center" vertical="center"/>
    </xf>
    <xf numFmtId="0" fontId="0" fillId="25" borderId="0" xfId="0" applyFill="1" applyBorder="1" applyAlignment="1">
      <alignment horizontal="center" vertical="center"/>
    </xf>
    <xf numFmtId="0" fontId="0" fillId="25" borderId="117" xfId="0" applyFill="1" applyBorder="1" applyAlignment="1">
      <alignment horizontal="center" vertical="center"/>
    </xf>
    <xf numFmtId="0" fontId="0" fillId="25" borderId="18" xfId="0" applyFont="1" applyFill="1" applyBorder="1"/>
    <xf numFmtId="0" fontId="0" fillId="25" borderId="43" xfId="0" applyFont="1" applyFill="1" applyBorder="1" applyAlignment="1">
      <alignment horizontal="left" vertical="center"/>
    </xf>
    <xf numFmtId="0" fontId="0" fillId="25" borderId="10" xfId="0" applyFont="1" applyFill="1" applyBorder="1" applyAlignment="1">
      <alignment horizontal="center" vertical="center"/>
    </xf>
    <xf numFmtId="0" fontId="0" fillId="25" borderId="0" xfId="0" applyFont="1" applyFill="1" applyBorder="1" applyAlignment="1">
      <alignment horizontal="center" vertical="center"/>
    </xf>
    <xf numFmtId="0" fontId="51" fillId="10" borderId="38" xfId="578" applyFont="1" applyFill="1" applyBorder="1" applyAlignment="1" applyProtection="1">
      <alignment horizontal="left" vertical="center"/>
    </xf>
    <xf numFmtId="0" fontId="49" fillId="30" borderId="38" xfId="578" applyFont="1" applyFill="1" applyBorder="1" applyAlignment="1" applyProtection="1">
      <alignment vertical="center"/>
    </xf>
    <xf numFmtId="0" fontId="110" fillId="30" borderId="46" xfId="578" applyFill="1" applyBorder="1" applyProtection="1"/>
    <xf numFmtId="0" fontId="67" fillId="30" borderId="49" xfId="412" applyNumberFormat="1" applyFont="1" applyFill="1" applyBorder="1" applyAlignment="1" applyProtection="1">
      <alignment horizontal="center" vertical="center"/>
    </xf>
    <xf numFmtId="0" fontId="62" fillId="15" borderId="0" xfId="578" applyFont="1" applyFill="1" applyAlignment="1" applyProtection="1">
      <alignment horizontal="left" vertical="center" indent="1"/>
    </xf>
    <xf numFmtId="0" fontId="63" fillId="15" borderId="0" xfId="578" applyFont="1" applyFill="1" applyBorder="1" applyAlignment="1" applyProtection="1">
      <alignment horizontal="left" vertical="center" indent="1"/>
    </xf>
    <xf numFmtId="0" fontId="51" fillId="15" borderId="0" xfId="578" applyFont="1" applyFill="1" applyAlignment="1" applyProtection="1">
      <alignment horizontal="left" vertical="center" indent="1"/>
      <protection locked="0"/>
    </xf>
    <xf numFmtId="0" fontId="65" fillId="15" borderId="0" xfId="0" applyFont="1" applyFill="1" applyBorder="1" applyAlignment="1" applyProtection="1">
      <alignment horizontal="left" vertical="center" indent="1"/>
    </xf>
    <xf numFmtId="0" fontId="0" fillId="15" borderId="0" xfId="0" applyFill="1" applyBorder="1" applyAlignment="1" applyProtection="1">
      <alignment horizontal="left" indent="1"/>
    </xf>
    <xf numFmtId="0" fontId="21" fillId="15" borderId="0" xfId="0" applyFont="1" applyFill="1" applyBorder="1" applyAlignment="1" applyProtection="1">
      <alignment horizontal="left" indent="1"/>
    </xf>
    <xf numFmtId="0" fontId="35" fillId="15" borderId="0" xfId="0" applyFont="1" applyFill="1" applyBorder="1" applyAlignment="1" applyProtection="1">
      <alignment horizontal="left" indent="1"/>
    </xf>
    <xf numFmtId="0" fontId="65" fillId="15" borderId="0" xfId="0" applyFont="1" applyFill="1" applyAlignment="1" applyProtection="1">
      <alignment horizontal="left" vertical="center" indent="1"/>
    </xf>
    <xf numFmtId="0" fontId="0" fillId="15" borderId="0" xfId="0" applyFill="1" applyAlignment="1" applyProtection="1">
      <alignment horizontal="left" indent="1"/>
    </xf>
    <xf numFmtId="168" fontId="0" fillId="0" borderId="0" xfId="0" applyNumberFormat="1"/>
    <xf numFmtId="0" fontId="58" fillId="15" borderId="0" xfId="578" applyFont="1" applyFill="1" applyBorder="1" applyAlignment="1">
      <alignment horizontal="left" indent="1"/>
    </xf>
    <xf numFmtId="0" fontId="39" fillId="15" borderId="0" xfId="578" applyFont="1" applyFill="1" applyBorder="1" applyAlignment="1">
      <alignment horizontal="left" indent="1"/>
    </xf>
    <xf numFmtId="0" fontId="21" fillId="15" borderId="0" xfId="578" applyFont="1" applyFill="1" applyAlignment="1" applyProtection="1">
      <alignment horizontal="center" vertical="center"/>
    </xf>
    <xf numFmtId="0" fontId="0" fillId="0" borderId="0" xfId="0" applyFill="1" applyBorder="1" applyAlignment="1" applyProtection="1">
      <alignment horizontal="left" indent="1"/>
    </xf>
    <xf numFmtId="0" fontId="0" fillId="0" borderId="0" xfId="0" applyFill="1" applyAlignment="1" applyProtection="1">
      <alignment horizontal="left" indent="1"/>
    </xf>
    <xf numFmtId="0" fontId="0" fillId="0" borderId="0" xfId="0" applyFont="1" applyFill="1" applyBorder="1" applyAlignment="1">
      <alignment vertical="center" wrapText="1"/>
    </xf>
    <xf numFmtId="0" fontId="69" fillId="16" borderId="2" xfId="0" applyFont="1" applyFill="1" applyBorder="1" applyAlignment="1">
      <alignment horizontal="center" vertical="center"/>
    </xf>
    <xf numFmtId="2" fontId="69" fillId="9" borderId="2" xfId="0" applyNumberFormat="1" applyFont="1" applyFill="1" applyBorder="1" applyAlignment="1">
      <alignment horizontal="center" vertical="center"/>
    </xf>
    <xf numFmtId="0" fontId="40" fillId="16" borderId="2" xfId="0" applyFont="1" applyFill="1" applyBorder="1" applyAlignment="1">
      <alignment horizontal="center" vertical="center"/>
    </xf>
    <xf numFmtId="1" fontId="0" fillId="9" borderId="2" xfId="0" applyNumberFormat="1" applyFont="1" applyFill="1" applyBorder="1" applyAlignment="1">
      <alignment horizontal="center" vertical="center"/>
    </xf>
    <xf numFmtId="0" fontId="0" fillId="0" borderId="118" xfId="0" applyFont="1" applyBorder="1" applyAlignment="1">
      <alignment horizontal="center" vertical="center"/>
    </xf>
    <xf numFmtId="2" fontId="0" fillId="9" borderId="2" xfId="0" applyNumberFormat="1" applyFont="1" applyFill="1" applyBorder="1" applyAlignment="1">
      <alignment horizontal="center" vertical="center"/>
    </xf>
    <xf numFmtId="2" fontId="0" fillId="0" borderId="118" xfId="0" applyNumberFormat="1" applyFont="1" applyBorder="1" applyAlignment="1">
      <alignment horizontal="center" vertical="center"/>
    </xf>
    <xf numFmtId="0" fontId="0" fillId="0" borderId="0" xfId="0" applyAlignment="1">
      <alignment horizontal="left" indent="1"/>
    </xf>
    <xf numFmtId="0" fontId="51" fillId="20" borderId="0" xfId="0" applyFont="1" applyFill="1" applyBorder="1"/>
    <xf numFmtId="0" fontId="51" fillId="20" borderId="0" xfId="0" applyFont="1" applyFill="1" applyBorder="1" applyAlignment="1">
      <alignment horizontal="right"/>
    </xf>
    <xf numFmtId="0" fontId="49" fillId="20" borderId="0" xfId="0" applyFont="1" applyFill="1" applyBorder="1" applyAlignment="1">
      <alignment horizontal="center" vertical="center" wrapText="1"/>
    </xf>
    <xf numFmtId="0" fontId="51" fillId="0" borderId="0" xfId="0" applyFont="1" applyFill="1" applyBorder="1" applyAlignment="1">
      <alignment horizontal="left" indent="3"/>
    </xf>
    <xf numFmtId="0" fontId="100" fillId="0" borderId="0" xfId="0" applyFont="1" applyFill="1" applyBorder="1" applyAlignment="1">
      <alignment horizontal="left" vertical="center" wrapText="1" indent="3"/>
    </xf>
    <xf numFmtId="0" fontId="100" fillId="0" borderId="0" xfId="0" applyFont="1" applyFill="1" applyBorder="1" applyAlignment="1">
      <alignment vertical="center"/>
    </xf>
    <xf numFmtId="0" fontId="100" fillId="0" borderId="0" xfId="0" applyFont="1" applyFill="1" applyBorder="1" applyAlignment="1">
      <alignment horizontal="left" vertical="top" indent="3"/>
    </xf>
    <xf numFmtId="0" fontId="51" fillId="0" borderId="0" xfId="0" applyFont="1" applyFill="1" applyBorder="1" applyAlignment="1">
      <alignment horizontal="left" vertical="center" indent="3"/>
    </xf>
    <xf numFmtId="0" fontId="51" fillId="0" borderId="0" xfId="0" applyFont="1" applyFill="1" applyBorder="1" applyAlignment="1">
      <alignment horizontal="left" vertical="top" indent="1"/>
    </xf>
    <xf numFmtId="0" fontId="53" fillId="20" borderId="0" xfId="0" applyFont="1" applyFill="1" applyBorder="1" applyAlignment="1">
      <alignment vertical="center"/>
    </xf>
    <xf numFmtId="0" fontId="45" fillId="20" borderId="0" xfId="0" applyFont="1" applyFill="1" applyBorder="1" applyProtection="1"/>
    <xf numFmtId="14" fontId="53" fillId="20" borderId="0" xfId="0" applyNumberFormat="1" applyFont="1" applyFill="1" applyBorder="1" applyAlignment="1" applyProtection="1">
      <alignment horizontal="center"/>
      <protection locked="0"/>
    </xf>
    <xf numFmtId="0" fontId="45" fillId="20" borderId="0" xfId="0" applyFont="1" applyFill="1" applyBorder="1" applyAlignment="1" applyProtection="1">
      <alignment horizontal="center"/>
    </xf>
    <xf numFmtId="14" fontId="45" fillId="20" borderId="0" xfId="0" applyNumberFormat="1" applyFont="1" applyFill="1" applyBorder="1" applyAlignment="1" applyProtection="1">
      <alignment horizontal="center"/>
      <protection locked="0"/>
    </xf>
    <xf numFmtId="0" fontId="71" fillId="20" borderId="0" xfId="0" applyFont="1" applyFill="1" applyBorder="1" applyAlignment="1" applyProtection="1">
      <alignment vertical="center" wrapText="1"/>
    </xf>
    <xf numFmtId="0" fontId="21" fillId="27" borderId="2" xfId="0" applyFont="1" applyFill="1" applyBorder="1" applyAlignment="1">
      <alignment vertical="center"/>
    </xf>
    <xf numFmtId="14" fontId="51" fillId="0" borderId="35" xfId="0" applyNumberFormat="1" applyFont="1" applyBorder="1" applyAlignment="1" applyProtection="1">
      <alignment horizontal="center" vertical="center" shrinkToFit="1"/>
      <protection locked="0"/>
    </xf>
    <xf numFmtId="0" fontId="0" fillId="15" borderId="0" xfId="0" applyFont="1" applyFill="1" applyBorder="1" applyProtection="1"/>
    <xf numFmtId="0" fontId="69" fillId="15" borderId="0" xfId="578" applyFont="1" applyFill="1" applyAlignment="1" applyProtection="1">
      <alignment horizontal="right" vertical="center"/>
    </xf>
    <xf numFmtId="0" fontId="40" fillId="0" borderId="46" xfId="578" applyFont="1" applyBorder="1" applyAlignment="1" applyProtection="1">
      <alignment vertical="center"/>
    </xf>
    <xf numFmtId="0" fontId="40" fillId="0" borderId="39" xfId="578" applyFont="1" applyBorder="1" applyAlignment="1" applyProtection="1">
      <alignment vertical="center"/>
    </xf>
    <xf numFmtId="0" fontId="0" fillId="15" borderId="0" xfId="0" applyFont="1" applyFill="1" applyBorder="1" applyAlignment="1" applyProtection="1">
      <alignment vertical="top"/>
    </xf>
    <xf numFmtId="0" fontId="0" fillId="15" borderId="0" xfId="578" applyFont="1" applyFill="1" applyBorder="1" applyAlignment="1" applyProtection="1"/>
    <xf numFmtId="0" fontId="50" fillId="15" borderId="0" xfId="578" applyFont="1" applyFill="1" applyBorder="1" applyAlignment="1" applyProtection="1">
      <alignment vertical="center" wrapText="1"/>
    </xf>
    <xf numFmtId="168" fontId="39" fillId="0" borderId="49" xfId="578" applyNumberFormat="1" applyFont="1" applyFill="1" applyBorder="1" applyAlignment="1" applyProtection="1">
      <alignment horizontal="center" vertical="center" wrapText="1"/>
    </xf>
    <xf numFmtId="172" fontId="50" fillId="10" borderId="34" xfId="578" applyNumberFormat="1" applyFont="1" applyFill="1" applyBorder="1" applyAlignment="1" applyProtection="1">
      <alignment horizontal="center" vertical="center" shrinkToFit="1"/>
      <protection locked="0"/>
    </xf>
    <xf numFmtId="0" fontId="50" fillId="10" borderId="49" xfId="578" applyNumberFormat="1" applyFont="1" applyFill="1" applyBorder="1" applyAlignment="1" applyProtection="1">
      <alignment horizontal="center" vertical="center" wrapText="1"/>
      <protection locked="0"/>
    </xf>
    <xf numFmtId="0" fontId="50" fillId="10" borderId="21" xfId="578" applyFont="1" applyFill="1" applyBorder="1" applyAlignment="1" applyProtection="1">
      <alignment horizontal="center" vertical="center" wrapText="1"/>
      <protection locked="0"/>
    </xf>
    <xf numFmtId="4" fontId="50" fillId="10" borderId="21" xfId="578" applyNumberFormat="1" applyFont="1" applyFill="1" applyBorder="1" applyAlignment="1" applyProtection="1">
      <alignment horizontal="center" vertical="center" shrinkToFit="1"/>
      <protection locked="0"/>
    </xf>
    <xf numFmtId="167" fontId="50" fillId="10" borderId="21" xfId="578" applyNumberFormat="1" applyFont="1" applyFill="1" applyBorder="1" applyAlignment="1" applyProtection="1">
      <alignment horizontal="center" vertical="center" shrinkToFit="1"/>
      <protection locked="0"/>
    </xf>
    <xf numFmtId="168" fontId="50" fillId="0" borderId="49" xfId="578" applyNumberFormat="1" applyFont="1" applyFill="1" applyBorder="1" applyAlignment="1" applyProtection="1">
      <alignment horizontal="center" vertical="center" shrinkToFit="1"/>
    </xf>
    <xf numFmtId="0" fontId="0" fillId="0" borderId="21" xfId="0" applyBorder="1" applyProtection="1">
      <protection locked="0"/>
    </xf>
    <xf numFmtId="0" fontId="0" fillId="0" borderId="11" xfId="0" applyBorder="1" applyProtection="1">
      <protection locked="0"/>
    </xf>
    <xf numFmtId="0" fontId="0" fillId="0" borderId="20" xfId="0" applyBorder="1" applyProtection="1">
      <protection locked="0"/>
    </xf>
    <xf numFmtId="0" fontId="58" fillId="0" borderId="0" xfId="0" applyFont="1" applyFill="1" applyAlignment="1" applyProtection="1">
      <alignment vertical="center"/>
    </xf>
    <xf numFmtId="0" fontId="0" fillId="0" borderId="21" xfId="0" applyBorder="1" applyAlignment="1" applyProtection="1">
      <alignment vertical="center"/>
      <protection locked="0"/>
    </xf>
    <xf numFmtId="0" fontId="0" fillId="0" borderId="11" xfId="0" applyBorder="1" applyAlignment="1" applyProtection="1">
      <alignment vertical="center"/>
      <protection locked="0"/>
    </xf>
    <xf numFmtId="0" fontId="50" fillId="0" borderId="20" xfId="0" applyFont="1" applyBorder="1" applyAlignment="1" applyProtection="1">
      <alignment vertical="center"/>
      <protection locked="0"/>
    </xf>
    <xf numFmtId="167" fontId="50" fillId="10" borderId="119" xfId="578" applyNumberFormat="1" applyFont="1" applyFill="1" applyBorder="1" applyAlignment="1" applyProtection="1">
      <alignment horizontal="center" vertical="center" wrapText="1"/>
      <protection locked="0"/>
    </xf>
    <xf numFmtId="4" fontId="50" fillId="10" borderId="120" xfId="578" applyNumberFormat="1" applyFont="1" applyFill="1" applyBorder="1" applyAlignment="1" applyProtection="1">
      <alignment horizontal="center" vertical="center" wrapText="1"/>
      <protection locked="0"/>
    </xf>
    <xf numFmtId="0" fontId="50" fillId="10" borderId="120" xfId="578" applyFont="1" applyFill="1" applyBorder="1" applyAlignment="1" applyProtection="1">
      <alignment horizontal="center" vertical="center" wrapText="1"/>
      <protection locked="0"/>
    </xf>
    <xf numFmtId="16" fontId="50" fillId="10" borderId="121" xfId="578" applyNumberFormat="1" applyFont="1" applyFill="1" applyBorder="1" applyAlignment="1" applyProtection="1">
      <alignment horizontal="center" vertical="center" wrapText="1"/>
      <protection locked="0"/>
    </xf>
    <xf numFmtId="16" fontId="50" fillId="10" borderId="122" xfId="578" applyNumberFormat="1" applyFont="1" applyFill="1" applyBorder="1" applyAlignment="1" applyProtection="1">
      <alignment horizontal="center" vertical="center" wrapText="1"/>
      <protection locked="0"/>
    </xf>
    <xf numFmtId="167" fontId="50" fillId="10" borderId="123" xfId="578" applyNumberFormat="1" applyFont="1" applyFill="1" applyBorder="1" applyAlignment="1" applyProtection="1">
      <alignment horizontal="center" vertical="center" wrapText="1"/>
      <protection locked="0"/>
    </xf>
    <xf numFmtId="4" fontId="50" fillId="10" borderId="21" xfId="578" applyNumberFormat="1" applyFont="1" applyFill="1" applyBorder="1" applyAlignment="1" applyProtection="1">
      <alignment horizontal="center" vertical="center" wrapText="1"/>
      <protection locked="0"/>
    </xf>
    <xf numFmtId="16" fontId="50" fillId="10" borderId="49" xfId="578" applyNumberFormat="1" applyFont="1" applyFill="1" applyBorder="1" applyAlignment="1" applyProtection="1">
      <alignment horizontal="center" vertical="center" wrapText="1"/>
      <protection locked="0"/>
    </xf>
    <xf numFmtId="16" fontId="50" fillId="10" borderId="124" xfId="578" applyNumberFormat="1" applyFont="1" applyFill="1" applyBorder="1" applyAlignment="1" applyProtection="1">
      <alignment horizontal="center" vertical="center" wrapText="1"/>
      <protection locked="0"/>
    </xf>
    <xf numFmtId="167" fontId="50" fillId="10" borderId="125" xfId="578" applyNumberFormat="1" applyFont="1" applyFill="1" applyBorder="1" applyAlignment="1" applyProtection="1">
      <alignment horizontal="center" vertical="center" wrapText="1"/>
      <protection locked="0"/>
    </xf>
    <xf numFmtId="4" fontId="50" fillId="10" borderId="49" xfId="578" applyNumberFormat="1" applyFont="1" applyFill="1" applyBorder="1" applyAlignment="1" applyProtection="1">
      <alignment horizontal="center" vertical="center" wrapText="1"/>
      <protection locked="0"/>
    </xf>
    <xf numFmtId="0" fontId="50" fillId="10" borderId="49" xfId="578" applyFont="1" applyFill="1" applyBorder="1" applyAlignment="1" applyProtection="1">
      <alignment horizontal="center" vertical="center" wrapText="1"/>
      <protection locked="0"/>
    </xf>
    <xf numFmtId="0" fontId="58" fillId="0" borderId="0" xfId="0" applyFont="1" applyFill="1" applyAlignment="1" applyProtection="1">
      <alignment horizontal="left"/>
    </xf>
    <xf numFmtId="0" fontId="170" fillId="18" borderId="64" xfId="412" applyNumberFormat="1" applyFont="1" applyFill="1" applyBorder="1" applyAlignment="1" applyProtection="1">
      <alignment horizontal="center" vertical="center"/>
    </xf>
    <xf numFmtId="0" fontId="69" fillId="20" borderId="0" xfId="578" applyFont="1" applyFill="1" applyBorder="1" applyAlignment="1" applyProtection="1">
      <alignment horizontal="left" vertical="center" indent="1"/>
    </xf>
    <xf numFmtId="173" fontId="39" fillId="0" borderId="34" xfId="0" applyNumberFormat="1" applyFont="1" applyFill="1" applyBorder="1" applyAlignment="1" applyProtection="1">
      <alignment horizontal="center" vertical="center"/>
    </xf>
    <xf numFmtId="0" fontId="50" fillId="0" borderId="69" xfId="0" applyFont="1" applyFill="1" applyBorder="1" applyAlignment="1" applyProtection="1">
      <alignment horizontal="left" vertical="center"/>
    </xf>
    <xf numFmtId="0" fontId="50" fillId="0" borderId="83" xfId="0" applyFont="1" applyFill="1" applyBorder="1" applyAlignment="1" applyProtection="1">
      <alignment horizontal="left" vertical="center"/>
    </xf>
    <xf numFmtId="0" fontId="39" fillId="0" borderId="83" xfId="0" applyFont="1" applyFill="1" applyBorder="1" applyAlignment="1">
      <alignment horizontal="center" vertical="center" wrapText="1"/>
    </xf>
    <xf numFmtId="173" fontId="39" fillId="0" borderId="126" xfId="0" applyNumberFormat="1" applyFont="1" applyFill="1" applyBorder="1" applyAlignment="1" applyProtection="1">
      <alignment horizontal="center" vertical="center"/>
    </xf>
    <xf numFmtId="172" fontId="49" fillId="15" borderId="0" xfId="578" applyNumberFormat="1" applyFont="1" applyFill="1" applyBorder="1" applyAlignment="1" applyProtection="1">
      <alignment horizontal="left" vertical="center" indent="1"/>
      <protection locked="0"/>
    </xf>
    <xf numFmtId="0" fontId="49" fillId="15" borderId="0" xfId="0" applyFont="1" applyFill="1" applyBorder="1" applyAlignment="1" applyProtection="1">
      <alignment horizontal="left" vertical="center" indent="1"/>
    </xf>
    <xf numFmtId="0" fontId="35" fillId="15" borderId="0" xfId="578" applyFont="1" applyFill="1" applyBorder="1" applyAlignment="1" applyProtection="1">
      <alignment horizontal="left" vertical="center" indent="1"/>
    </xf>
    <xf numFmtId="0" fontId="39" fillId="15" borderId="0" xfId="578" applyFont="1" applyFill="1" applyBorder="1" applyAlignment="1" applyProtection="1">
      <alignment horizontal="left" indent="1"/>
    </xf>
    <xf numFmtId="0" fontId="21" fillId="15" borderId="0" xfId="578" applyFont="1" applyFill="1" applyBorder="1" applyAlignment="1" applyProtection="1">
      <alignment horizontal="center" vertical="center"/>
    </xf>
    <xf numFmtId="0" fontId="69" fillId="15" borderId="0" xfId="578" applyFont="1" applyFill="1" applyBorder="1" applyAlignment="1" applyProtection="1">
      <alignment horizontal="right" vertical="center"/>
    </xf>
    <xf numFmtId="0" fontId="21" fillId="0" borderId="0" xfId="578" applyFont="1" applyFill="1" applyBorder="1" applyAlignment="1" applyProtection="1">
      <alignment horizontal="right" vertical="center"/>
    </xf>
    <xf numFmtId="0" fontId="35" fillId="0" borderId="0" xfId="578" applyFont="1" applyFill="1" applyBorder="1" applyAlignment="1" applyProtection="1">
      <alignment horizontal="right" vertical="center"/>
    </xf>
    <xf numFmtId="0" fontId="49" fillId="0" borderId="0" xfId="578" applyFont="1" applyFill="1" applyBorder="1" applyAlignment="1" applyProtection="1">
      <alignment horizontal="left" vertical="center" indent="1"/>
    </xf>
    <xf numFmtId="0" fontId="0" fillId="0" borderId="0" xfId="0" applyFont="1" applyFill="1" applyBorder="1" applyProtection="1"/>
    <xf numFmtId="0" fontId="0" fillId="0" borderId="0" xfId="0" applyBorder="1" applyProtection="1"/>
    <xf numFmtId="0" fontId="0" fillId="0" borderId="0" xfId="578" applyFont="1" applyFill="1" applyBorder="1" applyAlignment="1" applyProtection="1">
      <alignment vertical="center" shrinkToFit="1"/>
    </xf>
    <xf numFmtId="0" fontId="39" fillId="31" borderId="2" xfId="0" applyFont="1" applyFill="1" applyBorder="1" applyAlignment="1">
      <alignment horizontal="center" vertical="center"/>
    </xf>
    <xf numFmtId="0" fontId="0" fillId="17" borderId="96" xfId="0" applyFill="1" applyBorder="1" applyAlignment="1">
      <alignment horizontal="center" vertical="center"/>
    </xf>
    <xf numFmtId="0" fontId="0" fillId="17" borderId="95" xfId="0" applyFont="1" applyFill="1" applyBorder="1" applyAlignment="1">
      <alignment horizontal="right" vertical="center"/>
    </xf>
    <xf numFmtId="0" fontId="0" fillId="0" borderId="2" xfId="0" applyFill="1" applyBorder="1" applyAlignment="1">
      <alignment horizontal="center"/>
    </xf>
    <xf numFmtId="0" fontId="27" fillId="32" borderId="128" xfId="0" applyFont="1" applyFill="1" applyBorder="1" applyAlignment="1">
      <alignment horizontal="center" vertical="center" wrapText="1"/>
    </xf>
    <xf numFmtId="0" fontId="27" fillId="32" borderId="129" xfId="0" applyFont="1" applyFill="1" applyBorder="1" applyAlignment="1">
      <alignment horizontal="center" vertical="center" wrapText="1"/>
    </xf>
    <xf numFmtId="4" fontId="0" fillId="0" borderId="70" xfId="0" applyNumberFormat="1" applyBorder="1" applyAlignment="1">
      <alignment horizontal="center" vertical="center"/>
    </xf>
    <xf numFmtId="4" fontId="0" fillId="0" borderId="71" xfId="0" applyNumberFormat="1" applyBorder="1" applyAlignment="1">
      <alignment horizontal="center" vertical="center"/>
    </xf>
    <xf numFmtId="4" fontId="0" fillId="0" borderId="130" xfId="0" applyNumberFormat="1" applyBorder="1" applyAlignment="1">
      <alignment horizontal="center" vertical="center"/>
    </xf>
    <xf numFmtId="4" fontId="0" fillId="0" borderId="131" xfId="0" applyNumberFormat="1" applyBorder="1" applyAlignment="1">
      <alignment horizontal="center" vertical="center"/>
    </xf>
    <xf numFmtId="0" fontId="9" fillId="0" borderId="10" xfId="0" applyFont="1" applyFill="1" applyBorder="1" applyAlignment="1">
      <alignment horizontal="center" wrapText="1"/>
    </xf>
    <xf numFmtId="0" fontId="0" fillId="0" borderId="0" xfId="0" applyFont="1" applyFill="1" applyBorder="1" applyAlignment="1"/>
    <xf numFmtId="0" fontId="40" fillId="33" borderId="2" xfId="0" applyFont="1" applyFill="1" applyBorder="1" applyAlignment="1">
      <alignment horizontal="center" vertical="center"/>
    </xf>
    <xf numFmtId="0" fontId="0" fillId="0" borderId="63" xfId="0" applyFont="1" applyFill="1" applyBorder="1" applyAlignment="1">
      <alignment horizontal="center" vertical="center"/>
    </xf>
    <xf numFmtId="0" fontId="9" fillId="0" borderId="0" xfId="0" applyFont="1" applyFill="1"/>
    <xf numFmtId="0" fontId="0" fillId="33" borderId="2" xfId="0" applyFont="1" applyFill="1" applyBorder="1" applyAlignment="1">
      <alignment vertical="center"/>
    </xf>
    <xf numFmtId="0" fontId="49" fillId="33" borderId="2" xfId="0" applyFont="1" applyFill="1" applyBorder="1" applyAlignment="1">
      <alignment horizontal="center" vertical="center"/>
    </xf>
    <xf numFmtId="0" fontId="49" fillId="33" borderId="2" xfId="564" applyFont="1" applyFill="1" applyBorder="1" applyAlignment="1">
      <alignment horizontal="center" vertical="center"/>
    </xf>
    <xf numFmtId="0" fontId="110" fillId="0" borderId="22" xfId="577" applyBorder="1" applyAlignment="1">
      <alignment horizontal="center"/>
    </xf>
    <xf numFmtId="0" fontId="110" fillId="0" borderId="10" xfId="577" applyBorder="1" applyAlignment="1">
      <alignment horizontal="center"/>
    </xf>
    <xf numFmtId="0" fontId="110" fillId="0" borderId="20" xfId="577" applyBorder="1" applyAlignment="1">
      <alignment horizontal="center"/>
    </xf>
    <xf numFmtId="0" fontId="110" fillId="0" borderId="22" xfId="577" applyBorder="1" applyAlignment="1">
      <alignment horizontal="center" vertical="center"/>
    </xf>
    <xf numFmtId="0" fontId="110" fillId="0" borderId="10" xfId="577" applyFont="1" applyBorder="1" applyAlignment="1">
      <alignment horizontal="center" vertical="center"/>
    </xf>
    <xf numFmtId="0" fontId="110" fillId="0" borderId="26" xfId="577" applyBorder="1" applyAlignment="1">
      <alignment horizontal="center" vertical="center"/>
    </xf>
    <xf numFmtId="167" fontId="110" fillId="0" borderId="10" xfId="577" applyNumberFormat="1" applyBorder="1" applyAlignment="1">
      <alignment horizontal="center" vertical="center"/>
    </xf>
    <xf numFmtId="167" fontId="110" fillId="0" borderId="26" xfId="577" applyNumberFormat="1" applyBorder="1" applyAlignment="1">
      <alignment horizontal="center" vertical="center"/>
    </xf>
    <xf numFmtId="167" fontId="110" fillId="0" borderId="22" xfId="577" applyNumberFormat="1" applyBorder="1" applyAlignment="1">
      <alignment horizontal="center" vertical="center"/>
    </xf>
    <xf numFmtId="0" fontId="110" fillId="25" borderId="116" xfId="577" applyFill="1" applyBorder="1" applyAlignment="1">
      <alignment horizontal="center" vertical="center"/>
    </xf>
    <xf numFmtId="0" fontId="110" fillId="25" borderId="0" xfId="577" applyFill="1" applyBorder="1" applyAlignment="1">
      <alignment horizontal="center" vertical="center"/>
    </xf>
    <xf numFmtId="0" fontId="110" fillId="25" borderId="117" xfId="577" applyFill="1" applyBorder="1" applyAlignment="1">
      <alignment horizontal="center" vertical="center"/>
    </xf>
    <xf numFmtId="0" fontId="110" fillId="0" borderId="41" xfId="577" applyFont="1" applyBorder="1" applyAlignment="1">
      <alignment horizontal="center" vertical="center"/>
    </xf>
    <xf numFmtId="0" fontId="110" fillId="0" borderId="34" xfId="577" applyBorder="1" applyAlignment="1">
      <alignment horizontal="center" vertical="center"/>
    </xf>
    <xf numFmtId="0" fontId="110" fillId="0" borderId="42" xfId="577" applyBorder="1" applyAlignment="1">
      <alignment horizontal="center" vertical="center"/>
    </xf>
    <xf numFmtId="0" fontId="110" fillId="14" borderId="16" xfId="577" applyFill="1" applyBorder="1" applyAlignment="1">
      <alignment horizontal="center"/>
    </xf>
    <xf numFmtId="0" fontId="110" fillId="14" borderId="18" xfId="577" applyFill="1" applyBorder="1" applyAlignment="1">
      <alignment horizontal="center"/>
    </xf>
    <xf numFmtId="0" fontId="110" fillId="14" borderId="17" xfId="577" applyFill="1" applyBorder="1" applyAlignment="1">
      <alignment horizontal="center"/>
    </xf>
    <xf numFmtId="0" fontId="110" fillId="14" borderId="16" xfId="577" applyFill="1" applyBorder="1" applyAlignment="1">
      <alignment horizontal="center" vertical="center"/>
    </xf>
    <xf numFmtId="0" fontId="110" fillId="14" borderId="18" xfId="577" applyFill="1" applyBorder="1" applyAlignment="1">
      <alignment horizontal="center" vertical="center"/>
    </xf>
    <xf numFmtId="0" fontId="110" fillId="14" borderId="19" xfId="577" applyFill="1" applyBorder="1" applyAlignment="1">
      <alignment horizontal="center" vertical="center"/>
    </xf>
    <xf numFmtId="0" fontId="110" fillId="15" borderId="134" xfId="577" applyFill="1" applyBorder="1" applyAlignment="1"/>
    <xf numFmtId="0" fontId="54" fillId="15" borderId="88" xfId="577" applyFont="1" applyFill="1" applyBorder="1" applyAlignment="1">
      <alignment horizontal="center"/>
    </xf>
    <xf numFmtId="0" fontId="110" fillId="15" borderId="135" xfId="577" applyFill="1" applyBorder="1" applyAlignment="1"/>
    <xf numFmtId="2" fontId="110" fillId="15" borderId="62" xfId="577" applyNumberFormat="1" applyFill="1" applyBorder="1" applyAlignment="1"/>
    <xf numFmtId="2" fontId="110" fillId="15" borderId="94" xfId="577" applyNumberFormat="1" applyFill="1" applyBorder="1" applyAlignment="1"/>
    <xf numFmtId="0" fontId="110" fillId="15" borderId="56" xfId="577" applyFill="1" applyBorder="1" applyAlignment="1"/>
    <xf numFmtId="0" fontId="110" fillId="15" borderId="0" xfId="577" applyFill="1" applyBorder="1" applyAlignment="1"/>
    <xf numFmtId="0" fontId="110" fillId="15" borderId="37" xfId="577" applyFill="1" applyBorder="1" applyAlignment="1"/>
    <xf numFmtId="2" fontId="54" fillId="15" borderId="10" xfId="577" applyNumberFormat="1" applyFont="1" applyFill="1" applyBorder="1" applyAlignment="1">
      <alignment horizontal="center"/>
    </xf>
    <xf numFmtId="2" fontId="54" fillId="15" borderId="26" xfId="577" applyNumberFormat="1" applyFont="1" applyFill="1" applyBorder="1" applyAlignment="1">
      <alignment horizontal="center"/>
    </xf>
    <xf numFmtId="0" fontId="54" fillId="15" borderId="10" xfId="577" applyFont="1" applyFill="1" applyBorder="1" applyAlignment="1">
      <alignment horizontal="center"/>
    </xf>
    <xf numFmtId="2" fontId="110" fillId="15" borderId="0" xfId="577" applyNumberFormat="1" applyFill="1" applyBorder="1" applyAlignment="1"/>
    <xf numFmtId="2" fontId="110" fillId="15" borderId="117" xfId="577" applyNumberFormat="1" applyFill="1" applyBorder="1" applyAlignment="1"/>
    <xf numFmtId="0" fontId="54" fillId="15" borderId="26" xfId="577" applyFont="1" applyFill="1" applyBorder="1" applyAlignment="1">
      <alignment horizontal="center"/>
    </xf>
    <xf numFmtId="0" fontId="110" fillId="15" borderId="60" xfId="577" applyFill="1" applyBorder="1" applyAlignment="1"/>
    <xf numFmtId="0" fontId="110" fillId="15" borderId="91" xfId="577" applyFill="1" applyBorder="1" applyAlignment="1"/>
    <xf numFmtId="0" fontId="110" fillId="15" borderId="136" xfId="577" applyFill="1" applyBorder="1" applyAlignment="1"/>
    <xf numFmtId="2" fontId="54" fillId="15" borderId="12" xfId="577" applyNumberFormat="1" applyFont="1" applyFill="1" applyBorder="1" applyAlignment="1">
      <alignment horizontal="center"/>
    </xf>
    <xf numFmtId="2" fontId="54" fillId="15" borderId="75" xfId="577" applyNumberFormat="1" applyFont="1" applyFill="1" applyBorder="1" applyAlignment="1">
      <alignment horizontal="center"/>
    </xf>
    <xf numFmtId="0" fontId="110" fillId="25" borderId="16" xfId="577" applyFill="1" applyBorder="1" applyAlignment="1">
      <alignment horizontal="center"/>
    </xf>
    <xf numFmtId="0" fontId="110" fillId="25" borderId="18" xfId="577" applyFill="1" applyBorder="1" applyAlignment="1">
      <alignment horizontal="center"/>
    </xf>
    <xf numFmtId="0" fontId="110" fillId="25" borderId="17" xfId="577" applyFill="1" applyBorder="1" applyAlignment="1">
      <alignment horizontal="center"/>
    </xf>
    <xf numFmtId="0" fontId="110" fillId="25" borderId="16" xfId="577" applyFill="1" applyBorder="1" applyAlignment="1">
      <alignment horizontal="center" vertical="center"/>
    </xf>
    <xf numFmtId="0" fontId="110" fillId="25" borderId="18" xfId="577" applyFill="1" applyBorder="1" applyAlignment="1">
      <alignment horizontal="center" vertical="center"/>
    </xf>
    <xf numFmtId="0" fontId="110" fillId="25" borderId="19" xfId="577" applyFill="1" applyBorder="1" applyAlignment="1">
      <alignment horizontal="center" vertical="center"/>
    </xf>
    <xf numFmtId="0" fontId="110" fillId="0" borderId="22" xfId="577" applyFill="1" applyBorder="1" applyAlignment="1">
      <alignment horizontal="center"/>
    </xf>
    <xf numFmtId="0" fontId="110" fillId="0" borderId="10" xfId="577" applyFill="1" applyBorder="1" applyAlignment="1">
      <alignment horizontal="center"/>
    </xf>
    <xf numFmtId="0" fontId="110" fillId="0" borderId="20" xfId="577" applyFill="1" applyBorder="1" applyAlignment="1">
      <alignment horizontal="center"/>
    </xf>
    <xf numFmtId="0" fontId="110" fillId="0" borderId="22" xfId="577" applyFill="1" applyBorder="1" applyAlignment="1">
      <alignment horizontal="center" vertical="center"/>
    </xf>
    <xf numFmtId="0" fontId="110" fillId="0" borderId="10" xfId="577" applyFont="1" applyFill="1" applyBorder="1" applyAlignment="1">
      <alignment horizontal="center" vertical="center"/>
    </xf>
    <xf numFmtId="0" fontId="110" fillId="0" borderId="26" xfId="577" applyFill="1" applyBorder="1" applyAlignment="1">
      <alignment horizontal="center" vertical="center"/>
    </xf>
    <xf numFmtId="0" fontId="110" fillId="0" borderId="116" xfId="577" applyFill="1" applyBorder="1" applyAlignment="1">
      <alignment horizontal="center" vertical="center"/>
    </xf>
    <xf numFmtId="0" fontId="110" fillId="0" borderId="0" xfId="577" applyFill="1" applyBorder="1" applyAlignment="1">
      <alignment horizontal="center" vertical="center"/>
    </xf>
    <xf numFmtId="0" fontId="110" fillId="0" borderId="117" xfId="577" applyFill="1" applyBorder="1" applyAlignment="1">
      <alignment horizontal="center" vertical="center"/>
    </xf>
    <xf numFmtId="2" fontId="110" fillId="0" borderId="22" xfId="577" applyNumberFormat="1" applyFill="1" applyBorder="1" applyAlignment="1">
      <alignment horizontal="center" vertical="center"/>
    </xf>
    <xf numFmtId="2" fontId="110" fillId="0" borderId="10" xfId="577" applyNumberFormat="1" applyFont="1" applyFill="1" applyBorder="1" applyAlignment="1">
      <alignment horizontal="center" vertical="center"/>
    </xf>
    <xf numFmtId="176" fontId="110" fillId="0" borderId="26" xfId="577" applyNumberFormat="1" applyFill="1" applyBorder="1" applyAlignment="1">
      <alignment horizontal="center" vertical="center"/>
    </xf>
    <xf numFmtId="2" fontId="110" fillId="0" borderId="26" xfId="577" applyNumberFormat="1" applyFill="1" applyBorder="1" applyAlignment="1">
      <alignment horizontal="center" vertical="center"/>
    </xf>
    <xf numFmtId="0" fontId="110" fillId="0" borderId="26" xfId="577" applyFont="1" applyFill="1" applyBorder="1" applyAlignment="1">
      <alignment horizontal="center" vertical="center"/>
    </xf>
    <xf numFmtId="167" fontId="110" fillId="0" borderId="10" xfId="577" applyNumberFormat="1" applyBorder="1" applyAlignment="1">
      <alignment horizontal="center"/>
    </xf>
    <xf numFmtId="167" fontId="110" fillId="0" borderId="20" xfId="577" applyNumberFormat="1" applyBorder="1" applyAlignment="1">
      <alignment horizontal="center"/>
    </xf>
    <xf numFmtId="167" fontId="110" fillId="0" borderId="10" xfId="577" applyNumberFormat="1" applyFont="1" applyBorder="1" applyAlignment="1">
      <alignment horizontal="center" vertical="center"/>
    </xf>
    <xf numFmtId="0" fontId="110" fillId="0" borderId="28" xfId="577" applyBorder="1" applyAlignment="1">
      <alignment horizontal="center"/>
    </xf>
    <xf numFmtId="167" fontId="110" fillId="0" borderId="28" xfId="577" applyNumberFormat="1" applyBorder="1" applyAlignment="1">
      <alignment horizontal="center"/>
    </xf>
    <xf numFmtId="167" fontId="110" fillId="0" borderId="38" xfId="577" applyNumberFormat="1" applyBorder="1" applyAlignment="1">
      <alignment horizontal="center"/>
    </xf>
    <xf numFmtId="0" fontId="110" fillId="0" borderId="29" xfId="577" applyBorder="1" applyAlignment="1">
      <alignment horizontal="center" vertical="center"/>
    </xf>
    <xf numFmtId="0" fontId="110" fillId="0" borderId="28" xfId="577" applyFont="1" applyBorder="1" applyAlignment="1">
      <alignment horizontal="center" vertical="center"/>
    </xf>
    <xf numFmtId="0" fontId="110" fillId="0" borderId="137" xfId="577" applyBorder="1" applyAlignment="1">
      <alignment horizontal="center" vertical="center"/>
    </xf>
    <xf numFmtId="167" fontId="110" fillId="0" borderId="28" xfId="577" applyNumberFormat="1" applyFont="1" applyBorder="1" applyAlignment="1">
      <alignment horizontal="center" vertical="center"/>
    </xf>
    <xf numFmtId="167" fontId="110" fillId="0" borderId="137" xfId="577" applyNumberFormat="1" applyBorder="1" applyAlignment="1">
      <alignment horizontal="center" vertical="center"/>
    </xf>
    <xf numFmtId="167" fontId="110" fillId="0" borderId="29" xfId="577" applyNumberFormat="1" applyBorder="1" applyAlignment="1">
      <alignment horizontal="center" vertical="center"/>
    </xf>
    <xf numFmtId="0" fontId="9" fillId="0" borderId="34" xfId="0" applyFont="1" applyFill="1" applyBorder="1" applyAlignment="1">
      <alignment horizontal="left" vertical="center"/>
    </xf>
    <xf numFmtId="0" fontId="9" fillId="0" borderId="34" xfId="0" applyFont="1" applyFill="1" applyBorder="1" applyAlignment="1">
      <alignment horizontal="center" vertical="center"/>
    </xf>
    <xf numFmtId="0" fontId="51" fillId="0" borderId="0" xfId="0" applyFont="1" applyFill="1" applyBorder="1" applyAlignment="1">
      <alignment horizontal="left" vertical="center"/>
    </xf>
    <xf numFmtId="0" fontId="0" fillId="0" borderId="0" xfId="0" applyFont="1" applyFill="1" applyBorder="1" applyAlignment="1">
      <alignment horizontal="left" vertical="center" indent="1"/>
    </xf>
    <xf numFmtId="0" fontId="45" fillId="0" borderId="0" xfId="0" applyFont="1" applyFill="1" applyBorder="1"/>
    <xf numFmtId="4" fontId="51" fillId="19" borderId="64" xfId="0" applyNumberFormat="1" applyFont="1" applyFill="1" applyBorder="1" applyAlignment="1" applyProtection="1">
      <alignment horizontal="center" vertical="center" shrinkToFit="1"/>
      <protection locked="0"/>
    </xf>
    <xf numFmtId="0" fontId="51" fillId="0" borderId="64" xfId="0" applyFont="1" applyFill="1" applyBorder="1" applyAlignment="1">
      <alignment horizontal="center" vertical="center" shrinkToFit="1"/>
    </xf>
    <xf numFmtId="0" fontId="38" fillId="34" borderId="138" xfId="0" applyFont="1" applyFill="1" applyBorder="1" applyAlignment="1">
      <alignment horizontal="center" vertical="center"/>
    </xf>
    <xf numFmtId="0" fontId="0" fillId="34" borderId="0" xfId="0" applyFill="1"/>
    <xf numFmtId="0" fontId="58" fillId="35" borderId="22" xfId="0" applyFont="1" applyFill="1" applyBorder="1" applyAlignment="1" applyProtection="1">
      <alignment horizontal="center"/>
      <protection hidden="1"/>
    </xf>
    <xf numFmtId="0" fontId="44" fillId="35" borderId="20" xfId="0" applyFont="1" applyFill="1" applyBorder="1" applyAlignment="1">
      <alignment horizontal="left"/>
    </xf>
    <xf numFmtId="0" fontId="44" fillId="35" borderId="11" xfId="0" applyFont="1" applyFill="1" applyBorder="1" applyAlignment="1">
      <alignment horizontal="left"/>
    </xf>
    <xf numFmtId="0" fontId="44" fillId="35" borderId="21" xfId="0" applyFont="1" applyFill="1" applyBorder="1" applyAlignment="1">
      <alignment horizontal="left"/>
    </xf>
    <xf numFmtId="0" fontId="44" fillId="35" borderId="11" xfId="0" applyFont="1" applyFill="1" applyBorder="1" applyAlignment="1">
      <alignment horizontal="center"/>
    </xf>
    <xf numFmtId="0" fontId="44" fillId="35" borderId="47" xfId="0" applyFont="1" applyFill="1" applyBorder="1" applyAlignment="1">
      <alignment horizontal="left"/>
    </xf>
    <xf numFmtId="0" fontId="44" fillId="35" borderId="48" xfId="0" applyFont="1" applyFill="1" applyBorder="1" applyAlignment="1">
      <alignment horizontal="left"/>
    </xf>
    <xf numFmtId="0" fontId="44" fillId="35" borderId="49" xfId="0" applyFont="1" applyFill="1" applyBorder="1" applyAlignment="1">
      <alignment horizontal="left"/>
    </xf>
    <xf numFmtId="0" fontId="73" fillId="35" borderId="49" xfId="0" applyFont="1" applyFill="1" applyBorder="1"/>
    <xf numFmtId="0" fontId="73" fillId="35" borderId="54" xfId="0" applyFont="1" applyFill="1" applyBorder="1"/>
    <xf numFmtId="0" fontId="58" fillId="36" borderId="25" xfId="0" applyFont="1" applyFill="1" applyBorder="1" applyAlignment="1" applyProtection="1">
      <alignment horizontal="left"/>
      <protection hidden="1"/>
    </xf>
    <xf numFmtId="0" fontId="44" fillId="36" borderId="20" xfId="0" applyFont="1" applyFill="1" applyBorder="1" applyAlignment="1">
      <alignment horizontal="left"/>
    </xf>
    <xf numFmtId="0" fontId="44" fillId="36" borderId="11" xfId="0" applyFont="1" applyFill="1" applyBorder="1" applyAlignment="1">
      <alignment horizontal="left"/>
    </xf>
    <xf numFmtId="0" fontId="44" fillId="36" borderId="21" xfId="0" applyFont="1" applyFill="1" applyBorder="1" applyAlignment="1">
      <alignment horizontal="left"/>
    </xf>
    <xf numFmtId="172" fontId="55" fillId="37" borderId="34" xfId="578" applyNumberFormat="1" applyFont="1" applyFill="1" applyBorder="1" applyAlignment="1" applyProtection="1">
      <alignment horizontal="center" vertical="center" wrapText="1"/>
      <protection locked="0"/>
    </xf>
    <xf numFmtId="0" fontId="55" fillId="37" borderId="49" xfId="578" applyNumberFormat="1" applyFont="1" applyFill="1" applyBorder="1" applyAlignment="1" applyProtection="1">
      <alignment horizontal="center" vertical="center" wrapText="1"/>
      <protection locked="0"/>
    </xf>
    <xf numFmtId="0" fontId="55" fillId="37" borderId="21" xfId="578" applyFont="1" applyFill="1" applyBorder="1" applyAlignment="1" applyProtection="1">
      <alignment horizontal="center" vertical="center" wrapText="1"/>
      <protection locked="0"/>
    </xf>
    <xf numFmtId="4" fontId="55" fillId="37" borderId="21" xfId="578" applyNumberFormat="1" applyFont="1" applyFill="1" applyBorder="1" applyAlignment="1" applyProtection="1">
      <alignment horizontal="center" vertical="center" wrapText="1"/>
      <protection locked="0"/>
    </xf>
    <xf numFmtId="167" fontId="55" fillId="37" borderId="21" xfId="578" applyNumberFormat="1" applyFont="1" applyFill="1" applyBorder="1" applyAlignment="1" applyProtection="1">
      <alignment horizontal="center" vertical="center" wrapText="1"/>
      <protection locked="0"/>
    </xf>
    <xf numFmtId="168" fontId="55" fillId="37" borderId="49" xfId="578" applyNumberFormat="1" applyFont="1" applyFill="1" applyBorder="1" applyAlignment="1" applyProtection="1">
      <alignment horizontal="center" vertical="center" wrapText="1"/>
    </xf>
    <xf numFmtId="0" fontId="0" fillId="0" borderId="0" xfId="0" applyFill="1" applyBorder="1" applyAlignment="1">
      <alignment horizontal="left"/>
    </xf>
    <xf numFmtId="0" fontId="50" fillId="0" borderId="0" xfId="578" applyFont="1" applyFill="1" applyBorder="1" applyAlignment="1" applyProtection="1">
      <alignment horizontal="left" wrapText="1"/>
    </xf>
    <xf numFmtId="2" fontId="51" fillId="19" borderId="64" xfId="0" applyNumberFormat="1" applyFont="1" applyFill="1" applyBorder="1" applyAlignment="1" applyProtection="1">
      <alignment horizontal="center" vertical="center" shrinkToFit="1"/>
      <protection locked="0"/>
    </xf>
    <xf numFmtId="0" fontId="51" fillId="38" borderId="64" xfId="0" applyFont="1" applyFill="1" applyBorder="1" applyAlignment="1" applyProtection="1">
      <alignment horizontal="center" vertical="center" shrinkToFit="1"/>
      <protection locked="0"/>
    </xf>
    <xf numFmtId="1" fontId="51" fillId="19" borderId="64" xfId="0" applyNumberFormat="1" applyFont="1" applyFill="1" applyBorder="1" applyAlignment="1" applyProtection="1">
      <alignment horizontal="center" vertical="center" wrapText="1"/>
      <protection locked="0"/>
    </xf>
    <xf numFmtId="0" fontId="51" fillId="0" borderId="64" xfId="0" applyFont="1" applyFill="1" applyBorder="1" applyAlignment="1" applyProtection="1">
      <alignment horizontal="center" vertical="center" wrapText="1"/>
    </xf>
    <xf numFmtId="1" fontId="49" fillId="0" borderId="64" xfId="0" applyNumberFormat="1" applyFont="1" applyFill="1" applyBorder="1" applyAlignment="1" applyProtection="1">
      <alignment horizontal="center" vertical="center" wrapText="1"/>
    </xf>
    <xf numFmtId="1" fontId="51" fillId="0" borderId="64" xfId="0" applyNumberFormat="1" applyFont="1" applyFill="1" applyBorder="1" applyAlignment="1" applyProtection="1">
      <alignment horizontal="center" vertical="center" wrapText="1"/>
    </xf>
    <xf numFmtId="1" fontId="49" fillId="0" borderId="64" xfId="0" applyNumberFormat="1" applyFont="1" applyFill="1" applyBorder="1" applyAlignment="1" applyProtection="1">
      <alignment horizontal="center" vertical="center"/>
    </xf>
    <xf numFmtId="168" fontId="49" fillId="0" borderId="64" xfId="0" applyNumberFormat="1" applyFont="1" applyFill="1" applyBorder="1" applyAlignment="1" applyProtection="1">
      <alignment horizontal="center" shrinkToFit="1"/>
    </xf>
    <xf numFmtId="2" fontId="126" fillId="19" borderId="64" xfId="579" applyNumberFormat="1" applyFont="1" applyFill="1" applyBorder="1" applyAlignment="1" applyProtection="1">
      <alignment horizontal="center" vertical="center" shrinkToFit="1"/>
      <protection locked="0"/>
    </xf>
    <xf numFmtId="0" fontId="126" fillId="38" borderId="64" xfId="579" applyFont="1" applyFill="1" applyBorder="1" applyAlignment="1" applyProtection="1">
      <alignment horizontal="center" vertical="center" wrapText="1"/>
      <protection locked="0"/>
    </xf>
    <xf numFmtId="0" fontId="49" fillId="30" borderId="64" xfId="578" applyFont="1" applyFill="1" applyBorder="1" applyAlignment="1" applyProtection="1">
      <alignment horizontal="center" vertical="center" wrapText="1"/>
      <protection locked="0"/>
    </xf>
    <xf numFmtId="0" fontId="58" fillId="10" borderId="64" xfId="578" applyNumberFormat="1" applyFont="1" applyFill="1" applyBorder="1" applyAlignment="1" applyProtection="1">
      <alignment horizontal="center" vertical="center"/>
      <protection locked="0"/>
    </xf>
    <xf numFmtId="4" fontId="57" fillId="10" borderId="64" xfId="578" applyNumberFormat="1" applyFont="1" applyFill="1" applyBorder="1" applyAlignment="1" applyProtection="1">
      <alignment horizontal="center" vertical="center"/>
      <protection locked="0"/>
    </xf>
    <xf numFmtId="4" fontId="58" fillId="9" borderId="78" xfId="578" applyNumberFormat="1" applyFont="1" applyFill="1" applyBorder="1" applyAlignment="1">
      <alignment horizontal="center" vertical="center"/>
    </xf>
    <xf numFmtId="0" fontId="42" fillId="15" borderId="0" xfId="0" applyFont="1" applyFill="1" applyBorder="1"/>
    <xf numFmtId="0" fontId="27" fillId="0" borderId="64" xfId="0" applyFont="1" applyFill="1" applyBorder="1" applyAlignment="1" applyProtection="1">
      <alignment horizontal="center" vertical="center"/>
    </xf>
    <xf numFmtId="0" fontId="50" fillId="0" borderId="64" xfId="0" applyFont="1" applyFill="1" applyBorder="1" applyAlignment="1" applyProtection="1">
      <alignment horizontal="center" vertical="center"/>
    </xf>
    <xf numFmtId="2" fontId="27" fillId="0" borderId="64" xfId="0" applyNumberFormat="1" applyFont="1" applyFill="1" applyBorder="1" applyAlignment="1" applyProtection="1">
      <alignment horizontal="center" vertical="center"/>
    </xf>
    <xf numFmtId="9" fontId="42" fillId="0" borderId="64" xfId="547" applyFont="1" applyFill="1" applyBorder="1" applyAlignment="1" applyProtection="1">
      <alignment horizontal="center" vertical="center"/>
      <protection hidden="1"/>
    </xf>
    <xf numFmtId="0" fontId="27" fillId="0" borderId="64" xfId="0" applyFont="1" applyFill="1" applyBorder="1" applyAlignment="1">
      <alignment horizontal="center" vertical="center"/>
    </xf>
    <xf numFmtId="0" fontId="50" fillId="0" borderId="64" xfId="0" applyFont="1" applyFill="1" applyBorder="1" applyAlignment="1" applyProtection="1">
      <alignment horizontal="center" vertical="top"/>
    </xf>
    <xf numFmtId="2" fontId="27" fillId="0" borderId="64" xfId="0" applyNumberFormat="1" applyFont="1" applyFill="1" applyBorder="1" applyAlignment="1" applyProtection="1">
      <alignment horizontal="center" vertical="top"/>
    </xf>
    <xf numFmtId="9" fontId="42" fillId="0" borderId="64" xfId="547" applyFont="1" applyFill="1" applyBorder="1" applyAlignment="1" applyProtection="1">
      <alignment horizontal="center" vertical="top"/>
      <protection hidden="1"/>
    </xf>
    <xf numFmtId="0" fontId="27" fillId="0" borderId="64" xfId="0" applyFont="1" applyFill="1" applyBorder="1" applyAlignment="1">
      <alignment horizontal="center" vertical="top"/>
    </xf>
    <xf numFmtId="3" fontId="42" fillId="0" borderId="64" xfId="0" applyNumberFormat="1" applyFont="1" applyFill="1" applyBorder="1" applyAlignment="1">
      <alignment horizontal="center" vertical="center"/>
    </xf>
    <xf numFmtId="0" fontId="0" fillId="0" borderId="64" xfId="0" applyFill="1" applyBorder="1"/>
    <xf numFmtId="0" fontId="21" fillId="0" borderId="64" xfId="0" applyFont="1" applyFill="1" applyBorder="1" applyAlignment="1">
      <alignment horizontal="right" vertical="center" indent="1"/>
    </xf>
    <xf numFmtId="0" fontId="45" fillId="10" borderId="64" xfId="0" applyFont="1" applyFill="1" applyBorder="1" applyAlignment="1" applyProtection="1">
      <alignment horizontal="center" vertical="center"/>
      <protection locked="0"/>
    </xf>
    <xf numFmtId="1" fontId="0" fillId="0" borderId="64" xfId="0" applyNumberFormat="1" applyFont="1" applyFill="1" applyBorder="1" applyAlignment="1" applyProtection="1">
      <alignment horizontal="center" vertical="center" shrinkToFit="1"/>
      <protection hidden="1"/>
    </xf>
    <xf numFmtId="2" fontId="0" fillId="0" borderId="64" xfId="0" applyNumberFormat="1" applyFont="1" applyFill="1" applyBorder="1" applyAlignment="1" applyProtection="1">
      <alignment horizontal="center" vertical="center" shrinkToFit="1"/>
      <protection hidden="1"/>
    </xf>
    <xf numFmtId="3" fontId="40" fillId="0" borderId="64" xfId="546" applyNumberFormat="1" applyFont="1" applyFill="1" applyBorder="1" applyAlignment="1" applyProtection="1">
      <alignment horizontal="center" vertical="center" shrinkToFit="1"/>
      <protection hidden="1"/>
    </xf>
    <xf numFmtId="3" fontId="39" fillId="0" borderId="64" xfId="546" applyNumberFormat="1" applyFont="1" applyFill="1" applyBorder="1" applyAlignment="1" applyProtection="1">
      <alignment horizontal="center" vertical="center" shrinkToFit="1"/>
      <protection hidden="1"/>
    </xf>
    <xf numFmtId="3" fontId="45" fillId="10" borderId="64" xfId="0" applyNumberFormat="1" applyFont="1" applyFill="1" applyBorder="1" applyAlignment="1" applyProtection="1">
      <alignment horizontal="center" vertical="center"/>
      <protection locked="0"/>
    </xf>
    <xf numFmtId="3" fontId="45" fillId="15" borderId="64" xfId="0" applyNumberFormat="1" applyFont="1" applyFill="1" applyBorder="1" applyAlignment="1" applyProtection="1">
      <alignment horizontal="center" vertical="center" shrinkToFit="1"/>
      <protection hidden="1"/>
    </xf>
    <xf numFmtId="0" fontId="51" fillId="10" borderId="64" xfId="0" applyNumberFormat="1" applyFont="1" applyFill="1" applyBorder="1" applyAlignment="1" applyProtection="1">
      <alignment horizontal="center" vertical="center" shrinkToFit="1"/>
      <protection locked="0"/>
    </xf>
    <xf numFmtId="0" fontId="51" fillId="15" borderId="64" xfId="0" applyNumberFormat="1" applyFont="1" applyFill="1" applyBorder="1" applyAlignment="1" applyProtection="1">
      <alignment horizontal="center" vertical="center" shrinkToFit="1"/>
    </xf>
    <xf numFmtId="168" fontId="51" fillId="10" borderId="64" xfId="0" applyNumberFormat="1" applyFont="1" applyFill="1" applyBorder="1" applyAlignment="1" applyProtection="1">
      <alignment horizontal="center" vertical="center" shrinkToFit="1"/>
      <protection locked="0"/>
    </xf>
    <xf numFmtId="3" fontId="51" fillId="10" borderId="64" xfId="0" applyNumberFormat="1" applyFont="1" applyFill="1" applyBorder="1" applyAlignment="1" applyProtection="1">
      <alignment horizontal="center" vertical="center" shrinkToFit="1"/>
      <protection locked="0"/>
    </xf>
    <xf numFmtId="168" fontId="51" fillId="15" borderId="64" xfId="0" applyNumberFormat="1" applyFont="1" applyFill="1" applyBorder="1" applyAlignment="1" applyProtection="1">
      <alignment horizontal="center" vertical="center" shrinkToFit="1"/>
      <protection hidden="1"/>
    </xf>
    <xf numFmtId="167" fontId="51" fillId="15" borderId="64" xfId="0" applyNumberFormat="1" applyFont="1" applyFill="1" applyBorder="1" applyAlignment="1" applyProtection="1">
      <alignment horizontal="center" vertical="center" shrinkToFit="1"/>
      <protection hidden="1"/>
    </xf>
    <xf numFmtId="3" fontId="51" fillId="0" borderId="64" xfId="0" applyNumberFormat="1" applyFont="1" applyFill="1" applyBorder="1" applyAlignment="1" applyProtection="1">
      <alignment horizontal="center" vertical="center"/>
    </xf>
    <xf numFmtId="0" fontId="0" fillId="15" borderId="64" xfId="0" applyFill="1" applyBorder="1"/>
    <xf numFmtId="0" fontId="57" fillId="15" borderId="64" xfId="0" applyFont="1" applyFill="1" applyBorder="1" applyAlignment="1">
      <alignment horizontal="center" vertical="center"/>
    </xf>
    <xf numFmtId="0" fontId="51" fillId="15" borderId="64" xfId="0" applyFont="1" applyFill="1" applyBorder="1" applyAlignment="1">
      <alignment vertical="center"/>
    </xf>
    <xf numFmtId="0" fontId="0" fillId="15" borderId="64" xfId="0" applyFill="1" applyBorder="1" applyAlignment="1">
      <alignment vertical="center"/>
    </xf>
    <xf numFmtId="0" fontId="51" fillId="15" borderId="64" xfId="0" applyFont="1" applyFill="1" applyBorder="1" applyAlignment="1">
      <alignment horizontal="center" vertical="center"/>
    </xf>
    <xf numFmtId="0" fontId="51" fillId="0" borderId="64" xfId="0" applyFont="1" applyFill="1" applyBorder="1" applyAlignment="1">
      <alignment vertical="center"/>
    </xf>
    <xf numFmtId="0" fontId="0" fillId="0" borderId="64" xfId="0" applyFill="1" applyBorder="1" applyAlignment="1">
      <alignment vertical="center"/>
    </xf>
    <xf numFmtId="0" fontId="51" fillId="0" borderId="64" xfId="0" applyFont="1" applyFill="1" applyBorder="1" applyAlignment="1">
      <alignment horizontal="center" vertical="center"/>
    </xf>
    <xf numFmtId="0" fontId="27" fillId="15" borderId="64" xfId="0" applyFont="1" applyFill="1" applyBorder="1" applyAlignment="1" applyProtection="1">
      <alignment horizontal="center" vertical="center"/>
    </xf>
    <xf numFmtId="10" fontId="110" fillId="10" borderId="64" xfId="547" applyNumberFormat="1" applyFill="1" applyBorder="1" applyAlignment="1" applyProtection="1">
      <alignment horizontal="center" vertical="center"/>
      <protection locked="0"/>
    </xf>
    <xf numFmtId="0" fontId="0" fillId="15" borderId="64" xfId="0" applyFont="1" applyFill="1" applyBorder="1" applyAlignment="1">
      <alignment horizontal="center" vertical="center"/>
    </xf>
    <xf numFmtId="0" fontId="0" fillId="10" borderId="64" xfId="0" applyFill="1" applyBorder="1" applyAlignment="1" applyProtection="1">
      <alignment horizontal="center" vertical="center"/>
      <protection locked="0"/>
    </xf>
    <xf numFmtId="2" fontId="110" fillId="10" borderId="64" xfId="547" applyNumberFormat="1" applyFill="1" applyBorder="1" applyAlignment="1" applyProtection="1">
      <alignment horizontal="center" vertical="center"/>
      <protection locked="0"/>
    </xf>
    <xf numFmtId="2" fontId="0" fillId="15" borderId="64" xfId="0" applyNumberFormat="1" applyFill="1" applyBorder="1" applyAlignment="1">
      <alignment horizontal="center" vertical="center"/>
    </xf>
    <xf numFmtId="169" fontId="110" fillId="10" borderId="64" xfId="547" applyNumberFormat="1" applyFill="1" applyBorder="1" applyAlignment="1" applyProtection="1">
      <alignment horizontal="center" vertical="center"/>
      <protection locked="0"/>
    </xf>
    <xf numFmtId="10" fontId="110" fillId="15" borderId="64" xfId="547" applyNumberFormat="1" applyFill="1" applyBorder="1" applyAlignment="1" applyProtection="1">
      <alignment horizontal="center" vertical="center"/>
    </xf>
    <xf numFmtId="0" fontId="42" fillId="0" borderId="64" xfId="0" applyFont="1" applyBorder="1" applyAlignment="1">
      <alignment horizontal="left" vertical="center" wrapText="1" indent="1"/>
    </xf>
    <xf numFmtId="167" fontId="41" fillId="0" borderId="64" xfId="0" applyNumberFormat="1" applyFont="1" applyFill="1" applyBorder="1" applyAlignment="1">
      <alignment horizontal="center" vertical="center" shrinkToFit="1"/>
    </xf>
    <xf numFmtId="4" fontId="41" fillId="0" borderId="64" xfId="0" applyNumberFormat="1" applyFont="1" applyFill="1" applyBorder="1" applyAlignment="1">
      <alignment horizontal="center" vertical="center" shrinkToFit="1"/>
    </xf>
    <xf numFmtId="171" fontId="41" fillId="0" borderId="64" xfId="167" applyNumberFormat="1" applyFont="1" applyFill="1" applyBorder="1" applyAlignment="1" applyProtection="1">
      <alignment horizontal="center" vertical="center"/>
    </xf>
    <xf numFmtId="0" fontId="91" fillId="0" borderId="64" xfId="0" applyFont="1" applyBorder="1" applyAlignment="1">
      <alignment horizontal="left" vertical="center" wrapText="1" indent="1"/>
    </xf>
    <xf numFmtId="0" fontId="41" fillId="0" borderId="64" xfId="0" applyFont="1" applyBorder="1" applyAlignment="1">
      <alignment horizontal="left" vertical="center" wrapText="1" indent="1"/>
    </xf>
    <xf numFmtId="0" fontId="41" fillId="0" borderId="64" xfId="0" applyFont="1" applyFill="1" applyBorder="1" applyAlignment="1">
      <alignment horizontal="center" vertical="center" shrinkToFit="1"/>
    </xf>
    <xf numFmtId="0" fontId="41" fillId="0" borderId="64" xfId="0" applyFont="1" applyBorder="1" applyAlignment="1">
      <alignment horizontal="center" vertical="center" shrinkToFit="1"/>
    </xf>
    <xf numFmtId="167" fontId="41" fillId="0" borderId="64" xfId="0" applyNumberFormat="1" applyFont="1" applyBorder="1" applyAlignment="1">
      <alignment horizontal="center" vertical="center" shrinkToFit="1"/>
    </xf>
    <xf numFmtId="171" fontId="41" fillId="0" borderId="64" xfId="167" applyNumberFormat="1" applyFont="1" applyFill="1" applyBorder="1" applyAlignment="1" applyProtection="1">
      <alignment horizontal="center" vertical="center" shrinkToFit="1"/>
    </xf>
    <xf numFmtId="0" fontId="41" fillId="0" borderId="64" xfId="0" applyFont="1" applyBorder="1" applyAlignment="1">
      <alignment shrinkToFit="1"/>
    </xf>
    <xf numFmtId="0" fontId="72" fillId="0" borderId="64" xfId="0" applyFont="1" applyBorder="1" applyAlignment="1">
      <alignment horizontal="left" vertical="center" wrapText="1" indent="1"/>
    </xf>
    <xf numFmtId="168" fontId="72" fillId="0" borderId="64" xfId="0" applyNumberFormat="1" applyFont="1" applyBorder="1" applyAlignment="1">
      <alignment horizontal="center" vertical="center" shrinkToFit="1"/>
    </xf>
    <xf numFmtId="171" fontId="72" fillId="0" borderId="64" xfId="167" applyNumberFormat="1" applyFont="1" applyFill="1" applyBorder="1" applyAlignment="1" applyProtection="1">
      <alignment horizontal="center" vertical="center" shrinkToFit="1"/>
    </xf>
    <xf numFmtId="0" fontId="42" fillId="0" borderId="64" xfId="0" applyFont="1" applyBorder="1" applyAlignment="1">
      <alignment horizontal="left" vertical="center" indent="1"/>
    </xf>
    <xf numFmtId="0" fontId="41" fillId="0" borderId="64" xfId="0" applyFont="1" applyBorder="1" applyAlignment="1">
      <alignment horizontal="center" vertical="center"/>
    </xf>
    <xf numFmtId="0" fontId="40" fillId="38" borderId="64" xfId="0" applyFont="1" applyFill="1" applyBorder="1" applyAlignment="1" applyProtection="1">
      <alignment horizontal="left" vertical="center" wrapText="1"/>
      <protection locked="0"/>
    </xf>
    <xf numFmtId="0" fontId="40" fillId="39" borderId="64" xfId="578" applyFont="1" applyFill="1" applyBorder="1" applyAlignment="1" applyProtection="1">
      <alignment horizontal="center" vertical="center"/>
      <protection hidden="1"/>
    </xf>
    <xf numFmtId="1" fontId="118" fillId="39" borderId="64" xfId="578" applyNumberFormat="1" applyFont="1" applyFill="1" applyBorder="1" applyAlignment="1" applyProtection="1">
      <alignment horizontal="center" vertical="center"/>
      <protection hidden="1"/>
    </xf>
    <xf numFmtId="2" fontId="27" fillId="39" borderId="64" xfId="578" applyNumberFormat="1" applyFont="1" applyFill="1" applyBorder="1" applyAlignment="1" applyProtection="1">
      <alignment horizontal="center" vertical="center"/>
    </xf>
    <xf numFmtId="167" fontId="69" fillId="39" borderId="64" xfId="578" applyNumberFormat="1" applyFont="1" applyFill="1" applyBorder="1" applyAlignment="1" applyProtection="1">
      <alignment horizontal="center" vertical="center"/>
    </xf>
    <xf numFmtId="9" fontId="41" fillId="0" borderId="64" xfId="547" applyFont="1" applyFill="1" applyBorder="1" applyAlignment="1" applyProtection="1">
      <alignment horizontal="center" vertical="center" shrinkToFit="1"/>
    </xf>
    <xf numFmtId="0" fontId="50" fillId="38" borderId="64" xfId="0" applyFont="1" applyFill="1" applyBorder="1" applyAlignment="1" applyProtection="1">
      <alignment horizontal="left" vertical="center" wrapText="1" shrinkToFit="1"/>
    </xf>
    <xf numFmtId="0" fontId="49" fillId="34" borderId="64" xfId="0" applyFont="1" applyFill="1" applyBorder="1" applyAlignment="1" applyProtection="1">
      <alignment vertical="center"/>
    </xf>
    <xf numFmtId="0" fontId="0" fillId="34" borderId="64" xfId="0" applyFill="1" applyBorder="1" applyProtection="1"/>
    <xf numFmtId="0" fontId="0" fillId="34" borderId="64" xfId="0" applyFill="1" applyBorder="1" applyAlignment="1" applyProtection="1">
      <alignment wrapText="1"/>
    </xf>
    <xf numFmtId="0" fontId="0" fillId="38" borderId="64" xfId="0" applyFill="1" applyBorder="1" applyAlignment="1" applyProtection="1">
      <alignment horizontal="left" vertical="center" wrapText="1" shrinkToFit="1"/>
      <protection locked="0"/>
    </xf>
    <xf numFmtId="2" fontId="69" fillId="39" borderId="64" xfId="578" applyNumberFormat="1" applyFont="1" applyFill="1" applyBorder="1" applyAlignment="1" applyProtection="1">
      <alignment horizontal="center" vertical="center"/>
    </xf>
    <xf numFmtId="0" fontId="49" fillId="34" borderId="64" xfId="0" applyFont="1" applyFill="1" applyBorder="1" applyAlignment="1" applyProtection="1">
      <alignment horizontal="left" vertical="center"/>
    </xf>
    <xf numFmtId="0" fontId="0" fillId="38" borderId="64" xfId="0" applyFill="1" applyBorder="1" applyAlignment="1" applyProtection="1">
      <alignment horizontal="left" vertical="center" wrapText="1"/>
      <protection locked="0"/>
    </xf>
    <xf numFmtId="167" fontId="27" fillId="39" borderId="64" xfId="578" applyNumberFormat="1" applyFont="1" applyFill="1" applyBorder="1" applyAlignment="1" applyProtection="1">
      <alignment horizontal="center" vertical="center"/>
    </xf>
    <xf numFmtId="167" fontId="0" fillId="18" borderId="64" xfId="0" applyNumberFormat="1" applyFont="1" applyFill="1" applyBorder="1" applyAlignment="1" applyProtection="1">
      <alignment horizontal="center" vertical="center" shrinkToFit="1"/>
    </xf>
    <xf numFmtId="0" fontId="89" fillId="24" borderId="64" xfId="412" applyNumberFormat="1" applyFont="1" applyFill="1" applyBorder="1" applyAlignment="1" applyProtection="1">
      <alignment horizontal="center" vertical="center"/>
    </xf>
    <xf numFmtId="0" fontId="0" fillId="40" borderId="64" xfId="0" applyFont="1" applyFill="1" applyBorder="1" applyAlignment="1" applyProtection="1">
      <alignment horizontal="left" vertical="center" wrapText="1" indent="1" shrinkToFit="1"/>
    </xf>
    <xf numFmtId="0" fontId="0" fillId="40" borderId="64" xfId="0" applyFill="1" applyBorder="1" applyAlignment="1" applyProtection="1">
      <alignment horizontal="left" vertical="center" indent="1" shrinkToFit="1"/>
    </xf>
    <xf numFmtId="0" fontId="0" fillId="40" borderId="64" xfId="0" applyFill="1" applyBorder="1" applyAlignment="1" applyProtection="1">
      <alignment horizontal="center" vertical="center" shrinkToFit="1"/>
    </xf>
    <xf numFmtId="0" fontId="40" fillId="39" borderId="64" xfId="0" applyFont="1" applyFill="1" applyBorder="1" applyAlignment="1" applyProtection="1">
      <alignment horizontal="center" vertical="center"/>
    </xf>
    <xf numFmtId="167" fontId="45" fillId="38" borderId="64" xfId="0" applyNumberFormat="1" applyFont="1" applyFill="1" applyBorder="1" applyAlignment="1" applyProtection="1">
      <alignment horizontal="center" vertical="center" shrinkToFit="1"/>
    </xf>
    <xf numFmtId="0" fontId="39" fillId="19" borderId="64" xfId="0" applyFont="1" applyFill="1" applyBorder="1" applyAlignment="1" applyProtection="1">
      <alignment horizontal="center" vertical="center"/>
      <protection locked="0"/>
    </xf>
    <xf numFmtId="0" fontId="49" fillId="36" borderId="64" xfId="0" applyFont="1" applyFill="1" applyBorder="1" applyAlignment="1">
      <alignment horizontal="left" vertical="center" wrapText="1" indent="1"/>
    </xf>
    <xf numFmtId="167" fontId="0" fillId="34" borderId="64" xfId="0" applyNumberFormat="1" applyFill="1" applyBorder="1" applyAlignment="1" applyProtection="1">
      <alignment horizontal="left" vertical="center" indent="1" shrinkToFit="1"/>
    </xf>
    <xf numFmtId="0" fontId="38" fillId="34" borderId="64" xfId="0" applyFont="1" applyFill="1" applyBorder="1" applyAlignment="1" applyProtection="1">
      <alignment horizontal="center" vertical="center" shrinkToFit="1"/>
    </xf>
    <xf numFmtId="0" fontId="40" fillId="34" borderId="64" xfId="0" applyFont="1" applyFill="1" applyBorder="1" applyAlignment="1" applyProtection="1">
      <alignment horizontal="center" vertical="center" shrinkToFit="1"/>
    </xf>
    <xf numFmtId="0" fontId="38" fillId="34" borderId="64" xfId="0" applyFont="1" applyFill="1" applyBorder="1" applyAlignment="1" applyProtection="1">
      <alignment horizontal="center" vertical="center"/>
    </xf>
    <xf numFmtId="167" fontId="45" fillId="34" borderId="64" xfId="0" applyNumberFormat="1" applyFont="1" applyFill="1" applyBorder="1" applyAlignment="1" applyProtection="1">
      <alignment horizontal="center" vertical="center" shrinkToFit="1"/>
    </xf>
    <xf numFmtId="0" fontId="39" fillId="34" borderId="64" xfId="0" applyFont="1" applyFill="1" applyBorder="1" applyAlignment="1" applyProtection="1">
      <alignment horizontal="center" vertical="center"/>
    </xf>
    <xf numFmtId="0" fontId="45" fillId="40" borderId="64" xfId="0" applyFont="1" applyFill="1" applyBorder="1" applyAlignment="1" applyProtection="1">
      <alignment horizontal="left" vertical="center" wrapText="1" indent="1" shrinkToFit="1"/>
    </xf>
    <xf numFmtId="14" fontId="50" fillId="10" borderId="64" xfId="578" applyNumberFormat="1" applyFont="1" applyFill="1" applyBorder="1" applyAlignment="1" applyProtection="1">
      <alignment horizontal="center" vertical="center"/>
      <protection locked="0" hidden="1"/>
    </xf>
    <xf numFmtId="174" fontId="110" fillId="9" borderId="64" xfId="578" applyNumberFormat="1" applyFont="1" applyFill="1" applyBorder="1" applyAlignment="1" applyProtection="1">
      <alignment horizontal="center" vertical="center"/>
      <protection hidden="1"/>
    </xf>
    <xf numFmtId="0" fontId="110" fillId="9" borderId="64" xfId="578" applyFont="1" applyFill="1" applyBorder="1" applyAlignment="1" applyProtection="1">
      <alignment horizontal="center" vertical="center"/>
      <protection hidden="1"/>
    </xf>
    <xf numFmtId="1" fontId="110" fillId="10" borderId="64" xfId="578" applyNumberFormat="1" applyFont="1" applyFill="1" applyBorder="1" applyAlignment="1" applyProtection="1">
      <alignment horizontal="center" vertical="center"/>
      <protection locked="0" hidden="1"/>
    </xf>
    <xf numFmtId="174" fontId="110" fillId="10" borderId="64" xfId="578" applyNumberFormat="1" applyFont="1" applyFill="1" applyBorder="1" applyAlignment="1" applyProtection="1">
      <alignment horizontal="center" vertical="center"/>
      <protection locked="0" hidden="1"/>
    </xf>
    <xf numFmtId="0" fontId="110" fillId="10" borderId="64" xfId="578" applyFont="1" applyFill="1" applyBorder="1" applyAlignment="1" applyProtection="1">
      <alignment horizontal="center" vertical="center"/>
      <protection locked="0" hidden="1"/>
    </xf>
    <xf numFmtId="1" fontId="110" fillId="9" borderId="64" xfId="578" applyNumberFormat="1" applyFont="1" applyFill="1" applyBorder="1" applyAlignment="1" applyProtection="1">
      <alignment horizontal="center" vertical="center"/>
      <protection hidden="1"/>
    </xf>
    <xf numFmtId="174" fontId="110" fillId="14" borderId="64" xfId="578" applyNumberFormat="1" applyFont="1" applyFill="1" applyBorder="1" applyAlignment="1" applyProtection="1">
      <alignment horizontal="center" vertical="center"/>
      <protection hidden="1"/>
    </xf>
    <xf numFmtId="0" fontId="110" fillId="14" borderId="64" xfId="578" applyFont="1" applyFill="1" applyBorder="1" applyAlignment="1" applyProtection="1">
      <alignment horizontal="center" vertical="center"/>
      <protection hidden="1"/>
    </xf>
    <xf numFmtId="1" fontId="110" fillId="14" borderId="64" xfId="578" applyNumberFormat="1" applyFont="1" applyFill="1" applyBorder="1" applyAlignment="1" applyProtection="1">
      <alignment horizontal="center" vertical="center"/>
      <protection hidden="1"/>
    </xf>
    <xf numFmtId="167" fontId="39" fillId="9" borderId="64" xfId="578" applyNumberFormat="1" applyFont="1" applyFill="1" applyBorder="1" applyAlignment="1">
      <alignment horizontal="center" vertical="center"/>
    </xf>
    <xf numFmtId="0" fontId="0" fillId="0" borderId="64" xfId="0" applyBorder="1" applyAlignment="1">
      <alignment horizontal="left" vertical="center" indent="1"/>
    </xf>
    <xf numFmtId="1" fontId="51" fillId="19" borderId="64" xfId="0" applyNumberFormat="1" applyFont="1" applyFill="1" applyBorder="1" applyAlignment="1" applyProtection="1">
      <alignment horizontal="center" vertical="center" shrinkToFit="1"/>
      <protection locked="0"/>
    </xf>
    <xf numFmtId="1" fontId="51" fillId="0" borderId="64" xfId="0" applyNumberFormat="1" applyFont="1" applyFill="1" applyBorder="1" applyAlignment="1" applyProtection="1">
      <alignment horizontal="center" vertical="center" shrinkToFit="1"/>
    </xf>
    <xf numFmtId="0" fontId="0" fillId="0" borderId="64" xfId="0" applyBorder="1" applyAlignment="1">
      <alignment horizontal="left" vertical="center" indent="1" shrinkToFit="1"/>
    </xf>
    <xf numFmtId="0" fontId="51" fillId="38" borderId="64" xfId="0" applyFont="1" applyFill="1" applyBorder="1" applyAlignment="1" applyProtection="1">
      <alignment horizontal="center" vertical="center"/>
      <protection locked="0"/>
    </xf>
    <xf numFmtId="3" fontId="51" fillId="17" borderId="64" xfId="0" applyNumberFormat="1" applyFont="1" applyFill="1" applyBorder="1" applyAlignment="1">
      <alignment horizontal="center" vertical="center" shrinkToFit="1"/>
    </xf>
    <xf numFmtId="3" fontId="51" fillId="0" borderId="64" xfId="0" applyNumberFormat="1" applyFont="1" applyFill="1" applyBorder="1" applyAlignment="1">
      <alignment horizontal="center" vertical="center" shrinkToFit="1"/>
    </xf>
    <xf numFmtId="2" fontId="40" fillId="9" borderId="64" xfId="0" applyNumberFormat="1" applyFont="1" applyFill="1" applyBorder="1" applyAlignment="1">
      <alignment horizontal="center" vertical="center"/>
    </xf>
    <xf numFmtId="1" fontId="0" fillId="42" borderId="64" xfId="0" applyNumberFormat="1" applyFont="1" applyFill="1" applyBorder="1" applyAlignment="1" applyProtection="1">
      <alignment horizontal="center"/>
    </xf>
    <xf numFmtId="0" fontId="0" fillId="0" borderId="69" xfId="0" applyBorder="1" applyAlignment="1">
      <alignment horizontal="left" indent="1"/>
    </xf>
    <xf numFmtId="1" fontId="0" fillId="42" borderId="72" xfId="0" applyNumberFormat="1" applyFont="1" applyFill="1" applyBorder="1" applyAlignment="1" applyProtection="1">
      <alignment horizontal="center"/>
    </xf>
    <xf numFmtId="0" fontId="0" fillId="10" borderId="140" xfId="0" applyFill="1" applyBorder="1" applyAlignment="1" applyProtection="1">
      <alignment horizontal="center"/>
      <protection locked="0"/>
    </xf>
    <xf numFmtId="0" fontId="0" fillId="10" borderId="74" xfId="0" applyFill="1" applyBorder="1" applyAlignment="1" applyProtection="1">
      <alignment horizontal="center"/>
      <protection locked="0"/>
    </xf>
    <xf numFmtId="0" fontId="0" fillId="10" borderId="141" xfId="0" applyFill="1" applyBorder="1" applyAlignment="1" applyProtection="1">
      <alignment horizontal="center"/>
      <protection locked="0"/>
    </xf>
    <xf numFmtId="1" fontId="0" fillId="42" borderId="142" xfId="0" applyNumberFormat="1" applyFont="1" applyFill="1" applyBorder="1" applyAlignment="1" applyProtection="1">
      <alignment horizontal="center"/>
    </xf>
    <xf numFmtId="1" fontId="0" fillId="42" borderId="77" xfId="0" applyNumberFormat="1" applyFont="1" applyFill="1" applyBorder="1" applyAlignment="1" applyProtection="1">
      <alignment horizontal="center"/>
    </xf>
    <xf numFmtId="1" fontId="0" fillId="42" borderId="143" xfId="0" applyNumberFormat="1" applyFont="1" applyFill="1" applyBorder="1" applyAlignment="1" applyProtection="1">
      <alignment horizontal="center"/>
    </xf>
    <xf numFmtId="1" fontId="0" fillId="42" borderId="78" xfId="0" applyNumberFormat="1" applyFont="1" applyFill="1" applyBorder="1" applyAlignment="1" applyProtection="1">
      <alignment horizontal="center"/>
    </xf>
    <xf numFmtId="0" fontId="0" fillId="10" borderId="144" xfId="0" applyFill="1" applyBorder="1" applyAlignment="1" applyProtection="1">
      <alignment horizontal="center"/>
      <protection locked="0"/>
    </xf>
    <xf numFmtId="1" fontId="0" fillId="42" borderId="145" xfId="0" applyNumberFormat="1" applyFont="1" applyFill="1" applyBorder="1" applyAlignment="1" applyProtection="1">
      <alignment horizontal="center"/>
    </xf>
    <xf numFmtId="0" fontId="42" fillId="34" borderId="80" xfId="0" applyFont="1" applyFill="1" applyBorder="1"/>
    <xf numFmtId="0" fontId="50" fillId="43" borderId="2" xfId="0" applyFont="1" applyFill="1" applyBorder="1" applyAlignment="1">
      <alignment horizontal="center" vertical="center" wrapText="1"/>
    </xf>
    <xf numFmtId="0" fontId="10" fillId="43" borderId="2" xfId="0" applyFont="1" applyFill="1" applyBorder="1" applyAlignment="1">
      <alignment horizontal="center" vertical="center"/>
    </xf>
    <xf numFmtId="1" fontId="42" fillId="41" borderId="2" xfId="0" applyNumberFormat="1" applyFont="1" applyFill="1" applyBorder="1" applyAlignment="1" applyProtection="1">
      <alignment horizontal="center"/>
    </xf>
    <xf numFmtId="0" fontId="42" fillId="34" borderId="0" xfId="0" applyFont="1" applyFill="1" applyBorder="1"/>
    <xf numFmtId="0" fontId="72" fillId="34" borderId="0" xfId="0" applyFont="1" applyFill="1" applyBorder="1" applyAlignment="1">
      <alignment vertical="center"/>
    </xf>
    <xf numFmtId="0" fontId="69" fillId="34" borderId="0" xfId="0" applyFont="1" applyFill="1" applyBorder="1" applyAlignment="1">
      <alignment vertical="center"/>
    </xf>
    <xf numFmtId="0" fontId="40" fillId="34" borderId="0" xfId="0" applyFont="1" applyFill="1" applyBorder="1" applyAlignment="1">
      <alignment vertical="center"/>
    </xf>
    <xf numFmtId="0" fontId="42" fillId="44" borderId="0" xfId="0" applyFont="1" applyFill="1"/>
    <xf numFmtId="0" fontId="42" fillId="34" borderId="0" xfId="0" applyFont="1" applyFill="1"/>
    <xf numFmtId="0" fontId="10" fillId="43" borderId="2" xfId="0" applyFont="1" applyFill="1" applyBorder="1" applyAlignment="1">
      <alignment horizontal="center" vertical="center" wrapText="1"/>
    </xf>
    <xf numFmtId="0" fontId="9" fillId="43" borderId="79" xfId="0" applyFont="1" applyFill="1" applyBorder="1"/>
    <xf numFmtId="0" fontId="9" fillId="34" borderId="2" xfId="0" applyFont="1" applyFill="1" applyBorder="1" applyAlignment="1">
      <alignment horizontal="center" vertical="center" wrapText="1"/>
    </xf>
    <xf numFmtId="0" fontId="9" fillId="35" borderId="2" xfId="0" applyFont="1" applyFill="1" applyBorder="1" applyAlignment="1">
      <alignment horizontal="center" vertical="center" wrapText="1"/>
    </xf>
    <xf numFmtId="0" fontId="9" fillId="45" borderId="2" xfId="0" applyFont="1" applyFill="1" applyBorder="1" applyAlignment="1">
      <alignment horizontal="center" vertical="center" wrapText="1"/>
    </xf>
    <xf numFmtId="0" fontId="9" fillId="46" borderId="79" xfId="0" applyFont="1" applyFill="1" applyBorder="1" applyAlignment="1">
      <alignment horizontal="center" vertical="center" wrapText="1"/>
    </xf>
    <xf numFmtId="0" fontId="9" fillId="43" borderId="2" xfId="0" applyFont="1" applyFill="1" applyBorder="1" applyAlignment="1">
      <alignment horizontal="center" vertical="center" wrapText="1"/>
    </xf>
    <xf numFmtId="0" fontId="9" fillId="43" borderId="146" xfId="0" applyFont="1" applyFill="1" applyBorder="1"/>
    <xf numFmtId="0" fontId="9" fillId="43" borderId="2" xfId="0" applyFont="1" applyFill="1" applyBorder="1"/>
    <xf numFmtId="0" fontId="9" fillId="43" borderId="79" xfId="0" applyFont="1" applyFill="1" applyBorder="1" applyAlignment="1">
      <alignment horizontal="center" vertical="center"/>
    </xf>
    <xf numFmtId="0" fontId="9" fillId="43" borderId="2" xfId="0" applyFont="1" applyFill="1" applyBorder="1" applyAlignment="1">
      <alignment horizontal="center" vertical="center"/>
    </xf>
    <xf numFmtId="0" fontId="50" fillId="34" borderId="2" xfId="0" applyFont="1" applyFill="1" applyBorder="1" applyAlignment="1"/>
    <xf numFmtId="0" fontId="9" fillId="34" borderId="2" xfId="0" applyFont="1" applyFill="1" applyBorder="1" applyAlignment="1">
      <alignment horizontal="center"/>
    </xf>
    <xf numFmtId="0" fontId="9" fillId="34" borderId="2" xfId="0" applyFont="1" applyFill="1" applyBorder="1" applyAlignment="1">
      <alignment horizontal="center" vertical="center"/>
    </xf>
    <xf numFmtId="0" fontId="40" fillId="47" borderId="132" xfId="0" applyFont="1" applyFill="1" applyBorder="1" applyAlignment="1">
      <alignment horizontal="center" vertical="center" wrapText="1"/>
    </xf>
    <xf numFmtId="0" fontId="64" fillId="48" borderId="64" xfId="0" applyFont="1" applyFill="1" applyBorder="1" applyAlignment="1">
      <alignment horizontal="center" vertical="center"/>
    </xf>
    <xf numFmtId="0" fontId="63" fillId="0" borderId="0" xfId="0" applyFont="1" applyFill="1"/>
    <xf numFmtId="0" fontId="172" fillId="0" borderId="0" xfId="0" applyFont="1" applyFill="1"/>
    <xf numFmtId="0" fontId="8" fillId="14" borderId="2" xfId="0" applyFont="1" applyFill="1" applyBorder="1" applyAlignment="1">
      <alignment horizontal="center" vertical="center"/>
    </xf>
    <xf numFmtId="0" fontId="8" fillId="14" borderId="2" xfId="0" applyFont="1" applyFill="1" applyBorder="1" applyAlignment="1">
      <alignment horizontal="center" vertical="center" wrapText="1"/>
    </xf>
    <xf numFmtId="0" fontId="8" fillId="14" borderId="80" xfId="0" applyFont="1" applyFill="1" applyBorder="1" applyAlignment="1">
      <alignment vertical="top"/>
    </xf>
    <xf numFmtId="0" fontId="0" fillId="0" borderId="20" xfId="0" applyFont="1" applyFill="1" applyBorder="1"/>
    <xf numFmtId="0" fontId="39" fillId="0" borderId="38" xfId="0" applyFont="1" applyFill="1" applyBorder="1" applyAlignment="1">
      <alignment horizontal="center" vertical="center" wrapText="1"/>
    </xf>
    <xf numFmtId="0" fontId="149" fillId="50" borderId="0" xfId="0" applyFont="1" applyFill="1" applyBorder="1"/>
    <xf numFmtId="0" fontId="150" fillId="50" borderId="0" xfId="0" applyFont="1" applyFill="1" applyBorder="1" applyAlignment="1">
      <alignment horizontal="left" vertical="center"/>
    </xf>
    <xf numFmtId="0" fontId="151" fillId="50" borderId="0" xfId="0" applyFont="1" applyFill="1" applyBorder="1" applyAlignment="1">
      <alignment vertical="center"/>
    </xf>
    <xf numFmtId="0" fontId="110" fillId="51" borderId="0" xfId="578" applyFont="1" applyFill="1"/>
    <xf numFmtId="0" fontId="0" fillId="50" borderId="0" xfId="0" applyFill="1"/>
    <xf numFmtId="0" fontId="59" fillId="50" borderId="0" xfId="578" applyFont="1" applyFill="1" applyBorder="1" applyAlignment="1">
      <alignment horizontal="center" vertical="center"/>
    </xf>
    <xf numFmtId="0" fontId="161" fillId="51" borderId="0" xfId="578" applyFont="1" applyFill="1" applyBorder="1"/>
    <xf numFmtId="0" fontId="156" fillId="50" borderId="0" xfId="0" applyFont="1" applyFill="1" applyBorder="1" applyAlignment="1">
      <alignment vertical="center"/>
    </xf>
    <xf numFmtId="0" fontId="157" fillId="50" borderId="0" xfId="0" applyFont="1" applyFill="1" applyBorder="1" applyAlignment="1">
      <alignment vertical="center"/>
    </xf>
    <xf numFmtId="0" fontId="155" fillId="50" borderId="0" xfId="0" applyFont="1" applyFill="1" applyBorder="1" applyProtection="1"/>
    <xf numFmtId="0" fontId="153" fillId="50" borderId="0" xfId="0" applyFont="1" applyFill="1" applyBorder="1" applyAlignment="1" applyProtection="1">
      <alignment vertical="center"/>
    </xf>
    <xf numFmtId="0" fontId="153" fillId="50" borderId="0" xfId="0" applyFont="1" applyFill="1" applyBorder="1" applyAlignment="1" applyProtection="1">
      <alignment horizontal="left" vertical="center"/>
    </xf>
    <xf numFmtId="0" fontId="149" fillId="50" borderId="0" xfId="0" applyFont="1" applyFill="1" applyBorder="1" applyAlignment="1" applyProtection="1">
      <alignment horizontal="center" vertical="center"/>
      <protection hidden="1"/>
    </xf>
    <xf numFmtId="0" fontId="149" fillId="50" borderId="0" xfId="0" applyFont="1" applyFill="1" applyBorder="1" applyAlignment="1" applyProtection="1">
      <alignment vertical="center"/>
    </xf>
    <xf numFmtId="0" fontId="149" fillId="50" borderId="0" xfId="0" applyFont="1" applyFill="1" applyBorder="1" applyAlignment="1" applyProtection="1">
      <alignment vertical="center"/>
      <protection locked="0"/>
    </xf>
    <xf numFmtId="0" fontId="154" fillId="50" borderId="0" xfId="0" applyFont="1" applyFill="1" applyBorder="1" applyAlignment="1">
      <alignment horizontal="right" vertical="center"/>
    </xf>
    <xf numFmtId="0" fontId="153" fillId="50" borderId="0" xfId="0" applyFont="1" applyFill="1" applyBorder="1" applyAlignment="1">
      <alignment horizontal="left" vertical="center"/>
    </xf>
    <xf numFmtId="0" fontId="155" fillId="50" borderId="0" xfId="0" applyFont="1" applyFill="1" applyBorder="1" applyAlignment="1" applyProtection="1">
      <alignment vertical="center"/>
      <protection locked="0"/>
    </xf>
    <xf numFmtId="0" fontId="65" fillId="52" borderId="0" xfId="0" applyFont="1" applyFill="1" applyBorder="1" applyAlignment="1" applyProtection="1">
      <alignment horizontal="left" vertical="center"/>
    </xf>
    <xf numFmtId="0" fontId="80" fillId="52" borderId="0" xfId="0" applyFont="1" applyFill="1" applyBorder="1" applyAlignment="1" applyProtection="1">
      <alignment horizontal="left" vertical="center"/>
    </xf>
    <xf numFmtId="0" fontId="99" fillId="52" borderId="0" xfId="412" applyNumberFormat="1" applyFont="1" applyFill="1" applyBorder="1" applyAlignment="1" applyProtection="1">
      <alignment vertical="center"/>
    </xf>
    <xf numFmtId="0" fontId="164" fillId="51" borderId="0" xfId="0" applyFont="1" applyFill="1" applyBorder="1" applyAlignment="1">
      <alignment vertical="center"/>
    </xf>
    <xf numFmtId="0" fontId="163" fillId="51" borderId="0" xfId="0" applyFont="1" applyFill="1" applyBorder="1" applyAlignment="1">
      <alignment vertical="center" wrapText="1"/>
    </xf>
    <xf numFmtId="0" fontId="165" fillId="51" borderId="0" xfId="578" applyFont="1" applyFill="1" applyBorder="1" applyAlignment="1">
      <alignment horizontal="center" vertical="center"/>
    </xf>
    <xf numFmtId="0" fontId="150" fillId="51" borderId="0" xfId="0" applyFont="1" applyFill="1" applyAlignment="1">
      <alignment horizontal="left" vertical="center" indent="1"/>
    </xf>
    <xf numFmtId="0" fontId="150" fillId="51" borderId="0" xfId="0" applyFont="1" applyFill="1" applyAlignment="1">
      <alignment vertical="center"/>
    </xf>
    <xf numFmtId="0" fontId="150" fillId="50" borderId="0" xfId="0" applyFont="1" applyFill="1" applyBorder="1" applyAlignment="1" applyProtection="1">
      <alignment horizontal="left" vertical="center" indent="1"/>
    </xf>
    <xf numFmtId="0" fontId="166" fillId="50" borderId="0" xfId="0" applyFont="1" applyFill="1" applyBorder="1" applyAlignment="1" applyProtection="1">
      <alignment horizontal="left" indent="1" shrinkToFit="1"/>
    </xf>
    <xf numFmtId="0" fontId="156" fillId="52" borderId="0" xfId="0" applyFont="1" applyFill="1" applyBorder="1" applyAlignment="1" applyProtection="1">
      <alignment horizontal="left" vertical="center" indent="1"/>
    </xf>
    <xf numFmtId="0" fontId="162" fillId="52" borderId="0" xfId="0" applyFont="1" applyFill="1" applyBorder="1" applyAlignment="1" applyProtection="1">
      <alignment horizontal="left" vertical="center" indent="1"/>
      <protection hidden="1"/>
    </xf>
    <xf numFmtId="0" fontId="65" fillId="52" borderId="0" xfId="0" applyFont="1" applyFill="1" applyBorder="1" applyAlignment="1" applyProtection="1">
      <alignment horizontal="left" vertical="center"/>
      <protection hidden="1"/>
    </xf>
    <xf numFmtId="0" fontId="80" fillId="52" borderId="0" xfId="0" applyFont="1" applyFill="1" applyBorder="1" applyAlignment="1" applyProtection="1">
      <alignment horizontal="left" vertical="center"/>
      <protection hidden="1"/>
    </xf>
    <xf numFmtId="0" fontId="163" fillId="52" borderId="0" xfId="412" applyNumberFormat="1" applyFont="1" applyFill="1" applyBorder="1" applyAlignment="1" applyProtection="1">
      <alignment vertical="center"/>
    </xf>
    <xf numFmtId="0" fontId="162" fillId="50" borderId="0" xfId="0" applyFont="1" applyFill="1" applyBorder="1" applyAlignment="1">
      <alignment horizontal="left" vertical="center" indent="1"/>
    </xf>
    <xf numFmtId="0" fontId="150" fillId="50" borderId="0" xfId="0" applyFont="1" applyFill="1" applyBorder="1" applyAlignment="1">
      <alignment horizontal="left" vertical="center" indent="1"/>
    </xf>
    <xf numFmtId="0" fontId="167" fillId="50" borderId="0" xfId="0" applyFont="1" applyFill="1" applyBorder="1" applyAlignment="1">
      <alignment vertical="center"/>
    </xf>
    <xf numFmtId="0" fontId="150" fillId="53" borderId="35" xfId="0" applyFont="1" applyFill="1" applyBorder="1" applyAlignment="1" applyProtection="1">
      <alignment horizontal="left" vertical="center" wrapText="1" indent="1"/>
    </xf>
    <xf numFmtId="0" fontId="162" fillId="52" borderId="0" xfId="0" applyFont="1" applyFill="1" applyBorder="1" applyAlignment="1" applyProtection="1">
      <alignment horizontal="left" vertical="center" indent="1"/>
    </xf>
    <xf numFmtId="0" fontId="0" fillId="10" borderId="141" xfId="0" applyFill="1" applyBorder="1" applyAlignment="1" applyProtection="1">
      <alignment horizontal="center" vertical="center"/>
      <protection locked="0"/>
    </xf>
    <xf numFmtId="0" fontId="168" fillId="10" borderId="141" xfId="0" applyFont="1" applyFill="1" applyBorder="1" applyAlignment="1" applyProtection="1">
      <alignment horizontal="center" vertical="center"/>
      <protection locked="0"/>
    </xf>
    <xf numFmtId="0" fontId="168" fillId="54" borderId="73" xfId="0" applyFont="1" applyFill="1" applyBorder="1" applyAlignment="1" applyProtection="1">
      <alignment horizontal="center" vertical="center"/>
      <protection locked="0"/>
    </xf>
    <xf numFmtId="0" fontId="168" fillId="54" borderId="138" xfId="0" applyFont="1" applyFill="1" applyBorder="1" applyAlignment="1" applyProtection="1">
      <alignment horizontal="center" vertical="center"/>
      <protection locked="0"/>
    </xf>
    <xf numFmtId="0" fontId="53" fillId="55" borderId="64" xfId="578" applyFont="1" applyFill="1" applyBorder="1" applyAlignment="1" applyProtection="1">
      <alignment horizontal="center" vertical="center" wrapText="1"/>
    </xf>
    <xf numFmtId="0" fontId="53" fillId="55" borderId="49" xfId="578" applyFont="1" applyFill="1" applyBorder="1" applyAlignment="1" applyProtection="1">
      <alignment horizontal="center" vertical="center" wrapText="1"/>
    </xf>
    <xf numFmtId="0" fontId="50" fillId="55" borderId="48" xfId="578" applyFont="1" applyFill="1" applyBorder="1" applyAlignment="1" applyProtection="1">
      <alignment vertical="center" wrapText="1"/>
    </xf>
    <xf numFmtId="0" fontId="39" fillId="55" borderId="49" xfId="578" applyFont="1" applyFill="1" applyBorder="1" applyAlignment="1" applyProtection="1">
      <alignment horizontal="right" vertical="center"/>
    </xf>
    <xf numFmtId="0" fontId="40" fillId="55" borderId="64" xfId="578" applyFont="1" applyFill="1" applyBorder="1" applyAlignment="1" applyProtection="1">
      <alignment horizontal="center" vertical="center" wrapText="1"/>
    </xf>
    <xf numFmtId="0" fontId="39" fillId="55" borderId="64" xfId="578" applyFont="1" applyFill="1" applyBorder="1" applyAlignment="1" applyProtection="1">
      <alignment horizontal="center" vertical="center" wrapText="1"/>
    </xf>
    <xf numFmtId="0" fontId="50" fillId="56" borderId="49" xfId="578" applyFont="1" applyFill="1" applyBorder="1" applyAlignment="1" applyProtection="1">
      <alignment horizontal="center" vertical="center" wrapText="1"/>
    </xf>
    <xf numFmtId="167" fontId="39" fillId="57" borderId="64" xfId="578" applyNumberFormat="1" applyFont="1" applyFill="1" applyBorder="1" applyAlignment="1" applyProtection="1">
      <alignment horizontal="center"/>
      <protection hidden="1"/>
    </xf>
    <xf numFmtId="0" fontId="49" fillId="14" borderId="64" xfId="578" applyFont="1" applyFill="1" applyBorder="1" applyAlignment="1" applyProtection="1">
      <alignment vertical="center"/>
      <protection hidden="1"/>
    </xf>
    <xf numFmtId="0" fontId="39" fillId="14" borderId="64" xfId="578" applyFont="1" applyFill="1" applyBorder="1" applyAlignment="1" applyProtection="1">
      <alignment horizontal="right" vertical="center" wrapText="1" indent="1"/>
      <protection hidden="1"/>
    </xf>
    <xf numFmtId="0" fontId="40" fillId="14" borderId="64" xfId="578" applyFont="1" applyFill="1" applyBorder="1" applyAlignment="1" applyProtection="1">
      <alignment horizontal="center" vertical="center"/>
      <protection hidden="1"/>
    </xf>
    <xf numFmtId="0" fontId="58" fillId="40" borderId="0" xfId="0" applyFont="1" applyFill="1" applyBorder="1" applyAlignment="1">
      <alignment horizontal="left" vertical="center" indent="1"/>
    </xf>
    <xf numFmtId="0" fontId="49" fillId="40" borderId="0" xfId="0" applyFont="1" applyFill="1" applyBorder="1" applyAlignment="1">
      <alignment vertical="center" shrinkToFit="1"/>
    </xf>
    <xf numFmtId="0" fontId="0" fillId="40" borderId="0" xfId="0" applyFill="1" applyBorder="1" applyAlignment="1">
      <alignment vertical="center"/>
    </xf>
    <xf numFmtId="0" fontId="49" fillId="40" borderId="0" xfId="0" applyFont="1" applyFill="1" applyBorder="1" applyAlignment="1">
      <alignment horizontal="right" vertical="center"/>
    </xf>
    <xf numFmtId="0" fontId="0" fillId="40" borderId="0" xfId="0" applyFill="1" applyBorder="1"/>
    <xf numFmtId="0" fontId="58" fillId="40" borderId="0" xfId="0" applyFont="1" applyFill="1" applyBorder="1" applyAlignment="1">
      <alignment horizontal="right" vertical="center"/>
    </xf>
    <xf numFmtId="0" fontId="115" fillId="40" borderId="0" xfId="0" applyFont="1" applyFill="1" applyBorder="1" applyAlignment="1">
      <alignment vertical="top" wrapText="1"/>
    </xf>
    <xf numFmtId="0" fontId="51" fillId="40" borderId="0" xfId="0" applyFont="1" applyFill="1" applyBorder="1" applyAlignment="1">
      <alignment horizontal="right"/>
    </xf>
    <xf numFmtId="0" fontId="113" fillId="40" borderId="0" xfId="0" applyFont="1" applyFill="1" applyBorder="1" applyAlignment="1">
      <alignment vertical="center"/>
    </xf>
    <xf numFmtId="0" fontId="114" fillId="40" borderId="0" xfId="0" applyFont="1" applyFill="1" applyBorder="1" applyAlignment="1">
      <alignment vertical="top" wrapText="1"/>
    </xf>
    <xf numFmtId="0" fontId="114" fillId="40" borderId="0" xfId="0" applyFont="1" applyFill="1" applyAlignment="1">
      <alignment vertical="top" wrapText="1"/>
    </xf>
    <xf numFmtId="0" fontId="114" fillId="40" borderId="0" xfId="0" applyFont="1" applyFill="1" applyBorder="1" applyAlignment="1">
      <alignment vertical="top"/>
    </xf>
    <xf numFmtId="0" fontId="0" fillId="40" borderId="0" xfId="0" applyFill="1"/>
    <xf numFmtId="0" fontId="0" fillId="40" borderId="0" xfId="0" applyFill="1" applyAlignment="1">
      <alignment horizontal="right" vertical="center"/>
    </xf>
    <xf numFmtId="2" fontId="0" fillId="40" borderId="64" xfId="0" applyNumberFormat="1" applyFill="1" applyBorder="1" applyAlignment="1">
      <alignment horizontal="center" vertical="center"/>
    </xf>
    <xf numFmtId="0" fontId="116" fillId="40" borderId="0" xfId="0" applyFont="1" applyFill="1" applyBorder="1" applyAlignment="1">
      <alignment vertical="center"/>
    </xf>
    <xf numFmtId="0" fontId="39" fillId="40" borderId="0" xfId="0" applyFont="1" applyFill="1" applyAlignment="1">
      <alignment horizontal="right" vertical="center"/>
    </xf>
    <xf numFmtId="0" fontId="39" fillId="40" borderId="0" xfId="0" applyFont="1" applyFill="1" applyAlignment="1">
      <alignment horizontal="right" vertical="top"/>
    </xf>
    <xf numFmtId="167" fontId="39" fillId="40" borderId="64" xfId="0" applyNumberFormat="1" applyFont="1" applyFill="1" applyBorder="1" applyAlignment="1">
      <alignment horizontal="center" vertical="center"/>
    </xf>
    <xf numFmtId="0" fontId="112" fillId="40" borderId="0" xfId="0" applyFont="1" applyFill="1" applyBorder="1" applyAlignment="1"/>
    <xf numFmtId="0" fontId="50" fillId="40" borderId="0" xfId="0" applyFont="1" applyFill="1" applyAlignment="1">
      <alignment vertical="center"/>
    </xf>
    <xf numFmtId="0" fontId="0" fillId="40" borderId="130" xfId="0" applyFill="1" applyBorder="1" applyAlignment="1">
      <alignment horizontal="center" vertical="center" shrinkToFit="1"/>
    </xf>
    <xf numFmtId="0" fontId="62" fillId="40" borderId="149" xfId="0" applyFont="1" applyFill="1" applyBorder="1" applyAlignment="1">
      <alignment horizontal="center" vertical="center" wrapText="1"/>
    </xf>
    <xf numFmtId="0" fontId="0" fillId="40" borderId="150" xfId="0" applyFill="1" applyBorder="1" applyAlignment="1">
      <alignment horizontal="center" vertical="center" shrinkToFit="1"/>
    </xf>
    <xf numFmtId="0" fontId="78" fillId="40" borderId="151" xfId="0" applyFont="1" applyFill="1" applyBorder="1" applyAlignment="1">
      <alignment horizontal="center" vertical="center" wrapText="1" shrinkToFit="1"/>
    </xf>
    <xf numFmtId="0" fontId="0" fillId="40" borderId="131" xfId="0" applyFill="1" applyBorder="1" applyAlignment="1">
      <alignment horizontal="center" vertical="center" shrinkToFit="1"/>
    </xf>
    <xf numFmtId="0" fontId="38" fillId="40" borderId="138" xfId="0" applyFont="1" applyFill="1" applyBorder="1" applyAlignment="1">
      <alignment horizontal="center" vertical="center"/>
    </xf>
    <xf numFmtId="0" fontId="0" fillId="40" borderId="152" xfId="0" applyFill="1" applyBorder="1" applyAlignment="1">
      <alignment horizontal="center" vertical="center" shrinkToFit="1"/>
    </xf>
    <xf numFmtId="0" fontId="0" fillId="40" borderId="153" xfId="0" applyFill="1" applyBorder="1" applyAlignment="1">
      <alignment horizontal="center" vertical="center" shrinkToFit="1"/>
    </xf>
    <xf numFmtId="0" fontId="0" fillId="40" borderId="154" xfId="0" applyFill="1" applyBorder="1" applyAlignment="1">
      <alignment horizontal="center" vertical="center" shrinkToFit="1"/>
    </xf>
    <xf numFmtId="0" fontId="0" fillId="40" borderId="155" xfId="0" applyFill="1" applyBorder="1" applyAlignment="1">
      <alignment horizontal="center" vertical="center" shrinkToFit="1"/>
    </xf>
    <xf numFmtId="0" fontId="39" fillId="40" borderId="154" xfId="0" applyFont="1" applyFill="1" applyBorder="1" applyAlignment="1">
      <alignment horizontal="center" vertical="center" wrapText="1"/>
    </xf>
    <xf numFmtId="0" fontId="38" fillId="40" borderId="156" xfId="0" applyFont="1" applyFill="1" applyBorder="1" applyAlignment="1"/>
    <xf numFmtId="0" fontId="50" fillId="40" borderId="0" xfId="0" applyFont="1" applyFill="1" applyBorder="1" applyAlignment="1">
      <alignment horizontal="center" vertical="top" wrapText="1"/>
    </xf>
    <xf numFmtId="0" fontId="50" fillId="40" borderId="157" xfId="0" applyFont="1" applyFill="1" applyBorder="1" applyAlignment="1">
      <alignment horizontal="right"/>
    </xf>
    <xf numFmtId="0" fontId="50" fillId="40" borderId="156" xfId="0" applyFont="1" applyFill="1" applyBorder="1" applyAlignment="1"/>
    <xf numFmtId="0" fontId="50" fillId="40" borderId="0" xfId="0" applyFont="1" applyFill="1" applyBorder="1" applyAlignment="1">
      <alignment wrapText="1"/>
    </xf>
    <xf numFmtId="0" fontId="50" fillId="40" borderId="158" xfId="0" applyFont="1" applyFill="1" applyBorder="1" applyAlignment="1">
      <alignment vertical="center" wrapText="1"/>
    </xf>
    <xf numFmtId="0" fontId="50" fillId="40" borderId="159" xfId="0" applyFont="1" applyFill="1" applyBorder="1" applyAlignment="1">
      <alignment vertical="center" wrapText="1"/>
    </xf>
    <xf numFmtId="0" fontId="50" fillId="40" borderId="160" xfId="0" applyFont="1" applyFill="1" applyBorder="1" applyAlignment="1">
      <alignment horizontal="right" vertical="center"/>
    </xf>
    <xf numFmtId="0" fontId="50" fillId="40" borderId="158" xfId="0" applyFont="1" applyFill="1" applyBorder="1" applyAlignment="1">
      <alignment vertical="top"/>
    </xf>
    <xf numFmtId="0" fontId="40" fillId="40" borderId="64" xfId="0" applyFont="1" applyFill="1" applyBorder="1" applyAlignment="1" applyProtection="1">
      <alignment vertical="center"/>
    </xf>
    <xf numFmtId="0" fontId="0" fillId="40" borderId="64" xfId="0" applyFill="1" applyBorder="1" applyProtection="1"/>
    <xf numFmtId="0" fontId="49" fillId="40" borderId="64" xfId="0" applyFont="1" applyFill="1" applyBorder="1" applyAlignment="1" applyProtection="1">
      <alignment horizontal="right" vertical="center"/>
    </xf>
    <xf numFmtId="0" fontId="39" fillId="40" borderId="64" xfId="0" applyFont="1" applyFill="1" applyBorder="1" applyAlignment="1" applyProtection="1">
      <alignment vertical="center"/>
    </xf>
    <xf numFmtId="0" fontId="49" fillId="40" borderId="64" xfId="0" applyFont="1" applyFill="1" applyBorder="1" applyAlignment="1" applyProtection="1">
      <alignment horizontal="right" vertical="center" indent="1"/>
    </xf>
    <xf numFmtId="0" fontId="53" fillId="40" borderId="64" xfId="0" applyFont="1" applyFill="1" applyBorder="1" applyAlignment="1" applyProtection="1">
      <alignment horizontal="right" vertical="center" wrapText="1" indent="1"/>
    </xf>
    <xf numFmtId="0" fontId="91" fillId="49" borderId="64" xfId="578" applyFont="1" applyFill="1" applyBorder="1" applyAlignment="1" applyProtection="1">
      <alignment horizontal="center" vertical="center" wrapText="1"/>
      <protection hidden="1"/>
    </xf>
    <xf numFmtId="0" fontId="101" fillId="49" borderId="64" xfId="578" applyFont="1" applyFill="1" applyBorder="1" applyAlignment="1" applyProtection="1">
      <alignment horizontal="center" vertical="center" wrapText="1"/>
      <protection hidden="1"/>
    </xf>
    <xf numFmtId="0" fontId="35" fillId="49" borderId="64" xfId="578" applyFont="1" applyFill="1" applyBorder="1" applyAlignment="1" applyProtection="1">
      <alignment horizontal="center" vertical="center" wrapText="1"/>
      <protection hidden="1"/>
    </xf>
    <xf numFmtId="0" fontId="91" fillId="49" borderId="64" xfId="578" applyFont="1" applyFill="1" applyBorder="1" applyAlignment="1" applyProtection="1">
      <alignment horizontal="center" vertical="center" textRotation="90" wrapText="1"/>
      <protection hidden="1"/>
    </xf>
    <xf numFmtId="0" fontId="58" fillId="40" borderId="64" xfId="0" applyFont="1" applyFill="1" applyBorder="1" applyAlignment="1" applyProtection="1">
      <alignment horizontal="center" vertical="center"/>
    </xf>
    <xf numFmtId="0" fontId="72" fillId="49" borderId="64" xfId="578" applyFont="1" applyFill="1" applyBorder="1" applyAlignment="1" applyProtection="1">
      <alignment horizontal="center" vertical="center" wrapText="1"/>
      <protection hidden="1"/>
    </xf>
    <xf numFmtId="0" fontId="40" fillId="40" borderId="64" xfId="0" applyFont="1" applyFill="1" applyBorder="1" applyAlignment="1" applyProtection="1">
      <alignment horizontal="center" vertical="center" wrapText="1"/>
    </xf>
    <xf numFmtId="0" fontId="69" fillId="49" borderId="64" xfId="578" applyFont="1" applyFill="1" applyBorder="1" applyAlignment="1" applyProtection="1">
      <alignment horizontal="center" vertical="center" wrapText="1"/>
      <protection hidden="1"/>
    </xf>
    <xf numFmtId="0" fontId="53" fillId="49" borderId="64" xfId="0" applyFont="1" applyFill="1" applyBorder="1" applyAlignment="1" applyProtection="1">
      <alignment horizontal="left" vertical="center" wrapText="1" indent="1"/>
      <protection hidden="1"/>
    </xf>
    <xf numFmtId="0" fontId="49" fillId="49" borderId="64" xfId="0" applyFont="1" applyFill="1" applyBorder="1" applyAlignment="1" applyProtection="1">
      <alignment horizontal="left" vertical="center" wrapText="1" indent="1"/>
      <protection hidden="1"/>
    </xf>
    <xf numFmtId="0" fontId="73" fillId="49" borderId="64" xfId="0" applyFont="1" applyFill="1" applyBorder="1" applyAlignment="1" applyProtection="1">
      <alignment horizontal="center" vertical="center" wrapText="1"/>
    </xf>
    <xf numFmtId="0" fontId="39" fillId="40" borderId="64" xfId="0" applyFont="1" applyFill="1" applyBorder="1" applyAlignment="1" applyProtection="1">
      <alignment horizontal="left" vertical="center"/>
    </xf>
    <xf numFmtId="0" fontId="50" fillId="40" borderId="64" xfId="0" applyFont="1" applyFill="1" applyBorder="1" applyAlignment="1" applyProtection="1">
      <alignment horizontal="center"/>
    </xf>
    <xf numFmtId="0" fontId="69" fillId="40" borderId="64" xfId="0" applyFont="1" applyFill="1" applyBorder="1" applyAlignment="1">
      <alignment horizontal="left" vertical="center" indent="1"/>
    </xf>
    <xf numFmtId="0" fontId="91" fillId="40" borderId="64" xfId="0" applyFont="1" applyFill="1" applyBorder="1" applyAlignment="1">
      <alignment horizontal="center" vertical="center" wrapText="1"/>
    </xf>
    <xf numFmtId="0" fontId="101" fillId="40" borderId="64" xfId="0" applyFont="1" applyFill="1" applyBorder="1" applyAlignment="1">
      <alignment horizontal="center" vertical="center"/>
    </xf>
    <xf numFmtId="0" fontId="72" fillId="40" borderId="64" xfId="0" applyFont="1" applyFill="1" applyBorder="1" applyAlignment="1">
      <alignment horizontal="center" vertical="center"/>
    </xf>
    <xf numFmtId="171" fontId="72" fillId="40" borderId="64" xfId="167" applyNumberFormat="1" applyFont="1" applyFill="1" applyBorder="1" applyAlignment="1" applyProtection="1">
      <alignment horizontal="center" vertical="center" shrinkToFit="1"/>
    </xf>
    <xf numFmtId="0" fontId="101" fillId="40" borderId="64" xfId="0" applyFont="1" applyFill="1" applyBorder="1" applyAlignment="1">
      <alignment horizontal="center" vertical="center" shrinkToFit="1"/>
    </xf>
    <xf numFmtId="0" fontId="41" fillId="49" borderId="64" xfId="0" applyFont="1" applyFill="1" applyBorder="1" applyAlignment="1">
      <alignment horizontal="center" vertical="center"/>
    </xf>
    <xf numFmtId="2" fontId="41" fillId="49" borderId="64" xfId="0" applyNumberFormat="1" applyFont="1" applyFill="1" applyBorder="1" applyAlignment="1">
      <alignment horizontal="center" vertical="center"/>
    </xf>
    <xf numFmtId="0" fontId="41" fillId="40" borderId="64" xfId="0" applyFont="1" applyFill="1" applyBorder="1" applyAlignment="1">
      <alignment horizontal="center" vertical="center"/>
    </xf>
    <xf numFmtId="0" fontId="35" fillId="40" borderId="64" xfId="0" applyFont="1" applyFill="1" applyBorder="1" applyAlignment="1">
      <alignment horizontal="left" vertical="center" indent="1"/>
    </xf>
    <xf numFmtId="0" fontId="72" fillId="40" borderId="64" xfId="0" applyFont="1" applyFill="1" applyBorder="1" applyAlignment="1">
      <alignment horizontal="left" vertical="center"/>
    </xf>
    <xf numFmtId="0" fontId="39" fillId="40" borderId="0" xfId="0" applyFont="1" applyFill="1" applyBorder="1"/>
    <xf numFmtId="0" fontId="40" fillId="40" borderId="0" xfId="0" applyFont="1" applyFill="1" applyBorder="1"/>
    <xf numFmtId="0" fontId="0" fillId="40" borderId="0" xfId="0" applyFont="1" applyFill="1" applyBorder="1"/>
    <xf numFmtId="0" fontId="42" fillId="40" borderId="64" xfId="0" applyFont="1" applyFill="1" applyBorder="1" applyAlignment="1">
      <alignment horizontal="center" vertical="center"/>
    </xf>
    <xf numFmtId="167" fontId="42" fillId="40" borderId="64" xfId="0" applyNumberFormat="1" applyFont="1" applyFill="1" applyBorder="1" applyAlignment="1">
      <alignment horizontal="center" vertical="center" shrinkToFit="1"/>
    </xf>
    <xf numFmtId="3" fontId="42" fillId="40" borderId="64" xfId="0" applyNumberFormat="1" applyFont="1" applyFill="1" applyBorder="1" applyAlignment="1">
      <alignment horizontal="center" vertical="center"/>
    </xf>
    <xf numFmtId="0" fontId="42" fillId="40" borderId="64" xfId="0" applyFont="1" applyFill="1" applyBorder="1" applyAlignment="1">
      <alignment horizontal="center" vertical="center" shrinkToFit="1"/>
    </xf>
    <xf numFmtId="0" fontId="42" fillId="40" borderId="64" xfId="0" applyFont="1" applyFill="1" applyBorder="1" applyAlignment="1">
      <alignment horizontal="right" vertical="center"/>
    </xf>
    <xf numFmtId="0" fontId="53" fillId="40" borderId="53" xfId="0" applyFont="1" applyFill="1" applyBorder="1" applyAlignment="1" applyProtection="1">
      <alignment horizontal="center" vertical="center" wrapText="1"/>
    </xf>
    <xf numFmtId="0" fontId="45" fillId="20" borderId="0" xfId="0" applyFont="1" applyFill="1" applyBorder="1" applyProtection="1">
      <protection locked="0"/>
    </xf>
    <xf numFmtId="0" fontId="49" fillId="20" borderId="0" xfId="0" applyFont="1" applyFill="1" applyBorder="1" applyAlignment="1" applyProtection="1">
      <alignment horizontal="right" vertical="center"/>
      <protection locked="0"/>
    </xf>
    <xf numFmtId="0" fontId="173" fillId="0" borderId="0" xfId="412" applyFont="1"/>
    <xf numFmtId="1" fontId="51" fillId="17" borderId="64" xfId="0" applyNumberFormat="1" applyFont="1" applyFill="1" applyBorder="1" applyAlignment="1" applyProtection="1">
      <alignment horizontal="center" vertical="center" wrapText="1"/>
    </xf>
    <xf numFmtId="168" fontId="49" fillId="0" borderId="64" xfId="0" applyNumberFormat="1" applyFont="1" applyFill="1" applyBorder="1" applyAlignment="1" applyProtection="1">
      <alignment horizontal="center" vertical="center" shrinkToFit="1"/>
    </xf>
    <xf numFmtId="0" fontId="51" fillId="0" borderId="64" xfId="564" applyFont="1" applyFill="1" applyBorder="1" applyAlignment="1">
      <alignment horizontal="center" vertical="center"/>
    </xf>
    <xf numFmtId="0" fontId="49" fillId="0" borderId="64" xfId="564" applyFont="1" applyFill="1" applyBorder="1" applyAlignment="1">
      <alignment horizontal="center" vertical="center"/>
    </xf>
    <xf numFmtId="1" fontId="51" fillId="0" borderId="64" xfId="564" applyNumberFormat="1" applyFont="1" applyFill="1" applyBorder="1" applyAlignment="1">
      <alignment horizontal="center" vertical="center"/>
    </xf>
    <xf numFmtId="0" fontId="132" fillId="0" borderId="64" xfId="564" applyFont="1" applyFill="1" applyBorder="1" applyAlignment="1">
      <alignment horizontal="center" vertical="center"/>
    </xf>
    <xf numFmtId="0" fontId="51" fillId="0" borderId="64" xfId="555" applyFont="1" applyFill="1" applyBorder="1" applyAlignment="1">
      <alignment horizontal="center" vertical="center"/>
    </xf>
    <xf numFmtId="0" fontId="49" fillId="0" borderId="64" xfId="555" applyFont="1" applyFill="1" applyBorder="1" applyAlignment="1">
      <alignment horizontal="center" vertical="center"/>
    </xf>
    <xf numFmtId="0" fontId="51" fillId="0" borderId="64" xfId="409" applyNumberFormat="1" applyFont="1" applyFill="1" applyBorder="1" applyAlignment="1">
      <alignment horizontal="center" vertical="center"/>
    </xf>
    <xf numFmtId="1" fontId="51" fillId="0" borderId="64" xfId="555" applyNumberFormat="1" applyFont="1" applyFill="1" applyBorder="1" applyAlignment="1">
      <alignment horizontal="center" vertical="center"/>
    </xf>
    <xf numFmtId="0" fontId="132" fillId="0" borderId="64" xfId="555" applyFont="1" applyFill="1" applyBorder="1" applyAlignment="1">
      <alignment horizontal="center" vertical="center"/>
    </xf>
    <xf numFmtId="49" fontId="49" fillId="0" borderId="64" xfId="555" applyNumberFormat="1" applyFont="1" applyFill="1" applyBorder="1" applyAlignment="1">
      <alignment horizontal="center" vertical="center"/>
    </xf>
    <xf numFmtId="1" fontId="49" fillId="0" borderId="64" xfId="555" applyNumberFormat="1" applyFont="1" applyFill="1" applyBorder="1" applyAlignment="1">
      <alignment horizontal="center" vertical="center"/>
    </xf>
    <xf numFmtId="0" fontId="0" fillId="34" borderId="64" xfId="0" applyFill="1" applyBorder="1" applyAlignment="1">
      <alignment horizontal="center" vertical="center" wrapText="1"/>
    </xf>
    <xf numFmtId="0" fontId="45" fillId="34" borderId="64" xfId="0" applyFont="1" applyFill="1" applyBorder="1" applyAlignment="1">
      <alignment horizontal="center" vertical="center" wrapText="1"/>
    </xf>
    <xf numFmtId="0" fontId="0" fillId="34" borderId="0" xfId="0" applyFill="1" applyBorder="1" applyAlignment="1">
      <alignment horizontal="center" vertical="center" wrapText="1"/>
    </xf>
    <xf numFmtId="14" fontId="0" fillId="34" borderId="0" xfId="0" applyNumberFormat="1" applyFill="1" applyBorder="1" applyAlignment="1">
      <alignment horizontal="center" vertical="center"/>
    </xf>
    <xf numFmtId="0" fontId="0" fillId="34" borderId="64" xfId="0" applyFill="1" applyBorder="1" applyAlignment="1">
      <alignment horizontal="center" vertical="center"/>
    </xf>
    <xf numFmtId="0" fontId="0" fillId="34" borderId="63" xfId="0" applyFill="1" applyBorder="1" applyAlignment="1">
      <alignment horizontal="center" vertical="center" wrapText="1"/>
    </xf>
    <xf numFmtId="0" fontId="0" fillId="34" borderId="128" xfId="0" applyFill="1" applyBorder="1" applyAlignment="1">
      <alignment horizontal="center" vertical="center"/>
    </xf>
    <xf numFmtId="0" fontId="0" fillId="34" borderId="161" xfId="0" applyFill="1" applyBorder="1" applyAlignment="1">
      <alignment horizontal="center" vertical="center"/>
    </xf>
    <xf numFmtId="0" fontId="0" fillId="34" borderId="129" xfId="0" applyFill="1" applyBorder="1" applyAlignment="1">
      <alignment horizontal="center" vertical="center"/>
    </xf>
    <xf numFmtId="0" fontId="0" fillId="34" borderId="71" xfId="0" applyFill="1" applyBorder="1" applyAlignment="1">
      <alignment horizontal="center" vertical="center"/>
    </xf>
    <xf numFmtId="0" fontId="0" fillId="34" borderId="64" xfId="0" applyFill="1" applyBorder="1" applyAlignment="1">
      <alignment vertical="center"/>
    </xf>
    <xf numFmtId="0" fontId="40" fillId="34" borderId="64" xfId="0" applyFont="1" applyFill="1" applyBorder="1" applyAlignment="1">
      <alignment vertical="center"/>
    </xf>
    <xf numFmtId="0" fontId="0" fillId="47" borderId="64" xfId="0" applyFill="1" applyBorder="1" applyAlignment="1">
      <alignment horizontal="center" vertical="center"/>
    </xf>
    <xf numFmtId="0" fontId="111" fillId="40" borderId="142" xfId="0" applyFont="1" applyFill="1" applyBorder="1" applyAlignment="1">
      <alignment vertical="top"/>
    </xf>
    <xf numFmtId="0" fontId="39" fillId="40" borderId="0" xfId="0" applyFont="1" applyFill="1" applyAlignment="1">
      <alignment horizontal="right"/>
    </xf>
    <xf numFmtId="169" fontId="103" fillId="40" borderId="64" xfId="546" applyNumberFormat="1" applyFont="1" applyFill="1" applyBorder="1" applyAlignment="1">
      <alignment horizontal="center"/>
    </xf>
    <xf numFmtId="0" fontId="40" fillId="0" borderId="69" xfId="0" applyFont="1" applyFill="1" applyBorder="1" applyAlignment="1" applyProtection="1">
      <alignment horizontal="right" vertical="center"/>
    </xf>
    <xf numFmtId="0" fontId="40" fillId="0" borderId="78" xfId="0" applyFont="1" applyFill="1" applyBorder="1" applyAlignment="1" applyProtection="1">
      <alignment horizontal="center" vertical="center" shrinkToFit="1"/>
    </xf>
    <xf numFmtId="0" fontId="90" fillId="24" borderId="64" xfId="412" applyNumberFormat="1" applyFont="1" applyFill="1" applyBorder="1" applyAlignment="1" applyProtection="1">
      <alignment horizontal="center" vertical="center"/>
      <protection locked="0"/>
    </xf>
    <xf numFmtId="0" fontId="150" fillId="52" borderId="64" xfId="0" applyFont="1" applyFill="1" applyBorder="1" applyAlignment="1" applyProtection="1">
      <alignment horizontal="left" vertical="center"/>
    </xf>
    <xf numFmtId="0" fontId="0" fillId="58" borderId="64" xfId="0" applyFont="1" applyFill="1" applyBorder="1" applyAlignment="1" applyProtection="1">
      <alignment horizontal="center" vertical="center"/>
    </xf>
    <xf numFmtId="0" fontId="40" fillId="10" borderId="64" xfId="0" applyFont="1" applyFill="1" applyBorder="1" applyAlignment="1" applyProtection="1">
      <alignment horizontal="left" vertical="center" indent="1"/>
      <protection locked="0"/>
    </xf>
    <xf numFmtId="0" fontId="40" fillId="10" borderId="72" xfId="0" applyFont="1" applyFill="1" applyBorder="1" applyAlignment="1" applyProtection="1">
      <alignment horizontal="left" vertical="center" indent="1"/>
      <protection locked="0"/>
    </xf>
    <xf numFmtId="9" fontId="50" fillId="0" borderId="64" xfId="547" applyFont="1" applyFill="1" applyBorder="1" applyAlignment="1" applyProtection="1">
      <alignment horizontal="center" vertical="center"/>
    </xf>
    <xf numFmtId="0" fontId="0" fillId="15" borderId="64" xfId="0" applyFont="1" applyFill="1" applyBorder="1" applyAlignment="1" applyProtection="1">
      <alignment horizontal="center" vertical="center"/>
    </xf>
    <xf numFmtId="9" fontId="50" fillId="10" borderId="64" xfId="547" applyFont="1" applyFill="1" applyBorder="1" applyAlignment="1" applyProtection="1">
      <alignment horizontal="center" vertical="center"/>
      <protection locked="0"/>
    </xf>
    <xf numFmtId="9" fontId="50" fillId="10" borderId="72" xfId="547" applyFont="1" applyFill="1" applyBorder="1" applyAlignment="1" applyProtection="1">
      <alignment horizontal="center" vertical="center"/>
      <protection locked="0"/>
    </xf>
    <xf numFmtId="168" fontId="49" fillId="0" borderId="64" xfId="0" applyNumberFormat="1" applyFont="1" applyFill="1" applyBorder="1" applyAlignment="1">
      <alignment horizontal="right" vertical="center" indent="2"/>
    </xf>
    <xf numFmtId="0" fontId="142" fillId="52" borderId="0" xfId="0" applyFont="1" applyFill="1" applyBorder="1" applyAlignment="1" applyProtection="1">
      <alignment horizontal="left" vertical="center" indent="1"/>
    </xf>
    <xf numFmtId="0" fontId="150" fillId="50" borderId="132" xfId="0" applyFont="1" applyFill="1" applyBorder="1" applyAlignment="1">
      <alignment horizontal="left" vertical="center" indent="1"/>
    </xf>
    <xf numFmtId="0" fontId="80" fillId="50" borderId="132" xfId="0" applyFont="1" applyFill="1" applyBorder="1" applyAlignment="1">
      <alignment horizontal="left" vertical="center"/>
    </xf>
    <xf numFmtId="0" fontId="0" fillId="50" borderId="132" xfId="0" applyFill="1" applyBorder="1"/>
    <xf numFmtId="0" fontId="81" fillId="50" borderId="132" xfId="412" applyNumberFormat="1" applyFont="1" applyFill="1" applyBorder="1" applyAlignment="1" applyProtection="1">
      <alignment horizontal="center" vertical="center"/>
    </xf>
    <xf numFmtId="0" fontId="99" fillId="24" borderId="132" xfId="412" applyNumberFormat="1" applyFont="1" applyFill="1" applyBorder="1" applyAlignment="1" applyProtection="1">
      <alignment horizontal="center" vertical="center"/>
    </xf>
    <xf numFmtId="0" fontId="49" fillId="10" borderId="64" xfId="0" applyFont="1" applyFill="1" applyBorder="1" applyAlignment="1" applyProtection="1">
      <alignment horizontal="left" vertical="center" indent="1"/>
      <protection locked="0"/>
    </xf>
    <xf numFmtId="3" fontId="49" fillId="10" borderId="64" xfId="0" applyNumberFormat="1" applyFont="1" applyFill="1" applyBorder="1" applyAlignment="1" applyProtection="1">
      <alignment horizontal="center" vertical="center" wrapText="1"/>
      <protection locked="0"/>
    </xf>
    <xf numFmtId="168" fontId="51" fillId="10" borderId="64" xfId="0" applyNumberFormat="1" applyFont="1" applyFill="1" applyBorder="1" applyAlignment="1" applyProtection="1">
      <alignment horizontal="center" vertical="center" wrapText="1"/>
      <protection locked="0"/>
    </xf>
    <xf numFmtId="9" fontId="27" fillId="10" borderId="64" xfId="547" applyFont="1" applyFill="1" applyBorder="1" applyAlignment="1" applyProtection="1">
      <alignment horizontal="center" vertical="center" wrapText="1"/>
      <protection locked="0"/>
    </xf>
    <xf numFmtId="4" fontId="51" fillId="10" borderId="64" xfId="0" applyNumberFormat="1" applyFont="1" applyFill="1" applyBorder="1" applyAlignment="1" applyProtection="1">
      <alignment horizontal="center" vertical="center" wrapText="1"/>
      <protection locked="0"/>
    </xf>
    <xf numFmtId="3" fontId="49" fillId="15" borderId="64" xfId="0" applyNumberFormat="1" applyFont="1" applyFill="1" applyBorder="1" applyAlignment="1" applyProtection="1">
      <alignment horizontal="center" vertical="center"/>
    </xf>
    <xf numFmtId="3" fontId="51" fillId="15" borderId="64" xfId="0" applyNumberFormat="1" applyFont="1" applyFill="1" applyBorder="1" applyAlignment="1" applyProtection="1">
      <alignment horizontal="center" vertical="center"/>
    </xf>
    <xf numFmtId="9" fontId="27" fillId="15" borderId="64" xfId="547" applyFont="1" applyFill="1" applyBorder="1" applyAlignment="1" applyProtection="1">
      <alignment horizontal="center" vertical="center"/>
    </xf>
    <xf numFmtId="3" fontId="148" fillId="15" borderId="64" xfId="0" applyNumberFormat="1" applyFont="1" applyFill="1" applyBorder="1" applyAlignment="1" applyProtection="1">
      <alignment horizontal="center" vertical="center"/>
    </xf>
    <xf numFmtId="3" fontId="49" fillId="10" borderId="64" xfId="0" applyNumberFormat="1" applyFont="1" applyFill="1" applyBorder="1" applyAlignment="1" applyProtection="1">
      <alignment horizontal="left" vertical="center" wrapText="1" indent="1"/>
      <protection locked="0"/>
    </xf>
    <xf numFmtId="3" fontId="49" fillId="0" borderId="64" xfId="0" applyNumberFormat="1" applyFont="1" applyFill="1" applyBorder="1" applyAlignment="1" applyProtection="1">
      <alignment horizontal="center" vertical="center"/>
    </xf>
    <xf numFmtId="0" fontId="0" fillId="0" borderId="64" xfId="0" applyFont="1" applyFill="1" applyBorder="1" applyAlignment="1">
      <alignment horizontal="left" vertical="center"/>
    </xf>
    <xf numFmtId="168" fontId="51" fillId="0" borderId="64" xfId="0" applyNumberFormat="1" applyFont="1" applyFill="1" applyBorder="1" applyAlignment="1" applyProtection="1">
      <alignment horizontal="left" vertical="center"/>
    </xf>
    <xf numFmtId="3" fontId="39" fillId="0" borderId="64" xfId="0" applyNumberFormat="1" applyFont="1" applyFill="1" applyBorder="1" applyAlignment="1" applyProtection="1">
      <alignment horizontal="center"/>
    </xf>
    <xf numFmtId="3" fontId="49" fillId="0" borderId="64" xfId="0" applyNumberFormat="1" applyFont="1" applyFill="1" applyBorder="1" applyAlignment="1" applyProtection="1">
      <alignment horizontal="center" vertical="center" shrinkToFit="1"/>
    </xf>
    <xf numFmtId="167" fontId="50" fillId="0" borderId="64" xfId="0" applyNumberFormat="1" applyFont="1" applyFill="1" applyBorder="1" applyAlignment="1" applyProtection="1">
      <alignment horizontal="center" vertical="center"/>
    </xf>
    <xf numFmtId="9" fontId="27" fillId="0" borderId="64" xfId="547" applyFont="1" applyFill="1" applyBorder="1" applyAlignment="1" applyProtection="1">
      <alignment horizontal="center" vertical="center"/>
      <protection hidden="1"/>
    </xf>
    <xf numFmtId="9" fontId="50" fillId="0" borderId="64" xfId="0" applyNumberFormat="1" applyFont="1" applyFill="1" applyBorder="1" applyAlignment="1" applyProtection="1">
      <alignment horizontal="center" vertical="center"/>
    </xf>
    <xf numFmtId="0" fontId="0" fillId="0" borderId="64" xfId="0" applyFill="1" applyBorder="1" applyProtection="1"/>
    <xf numFmtId="0" fontId="40" fillId="0" borderId="64" xfId="0" applyFont="1" applyFill="1" applyBorder="1" applyAlignment="1" applyProtection="1">
      <alignment horizontal="left" vertical="center" wrapText="1"/>
    </xf>
    <xf numFmtId="170" fontId="76" fillId="19" borderId="64" xfId="417" applyNumberFormat="1" applyFont="1" applyFill="1" applyBorder="1" applyAlignment="1" applyProtection="1">
      <alignment horizontal="left" vertical="center"/>
      <protection locked="0" hidden="1"/>
    </xf>
    <xf numFmtId="168" fontId="39" fillId="0" borderId="64" xfId="0" applyNumberFormat="1" applyFont="1" applyFill="1" applyBorder="1" applyAlignment="1" applyProtection="1">
      <alignment horizontal="center" vertical="center"/>
    </xf>
    <xf numFmtId="3" fontId="49" fillId="19" borderId="64" xfId="0" applyNumberFormat="1" applyFont="1" applyFill="1" applyBorder="1" applyAlignment="1" applyProtection="1">
      <alignment horizontal="center" vertical="center" shrinkToFit="1"/>
      <protection locked="0"/>
    </xf>
    <xf numFmtId="2" fontId="27" fillId="0" borderId="64" xfId="547" applyNumberFormat="1" applyFont="1" applyFill="1" applyBorder="1" applyAlignment="1" applyProtection="1">
      <alignment horizontal="center" vertical="center"/>
      <protection hidden="1"/>
    </xf>
    <xf numFmtId="0" fontId="72" fillId="0" borderId="64" xfId="0" applyFont="1" applyFill="1" applyBorder="1" applyAlignment="1" applyProtection="1">
      <alignment horizontal="left" vertical="center" wrapText="1"/>
    </xf>
    <xf numFmtId="9" fontId="27" fillId="19" borderId="64" xfId="547" applyFont="1" applyFill="1" applyBorder="1" applyAlignment="1" applyProtection="1">
      <alignment horizontal="center" vertical="center"/>
      <protection hidden="1"/>
    </xf>
    <xf numFmtId="9" fontId="27" fillId="19" borderId="64" xfId="547" applyFont="1" applyFill="1" applyBorder="1" applyAlignment="1" applyProtection="1">
      <alignment horizontal="center" vertical="center"/>
      <protection locked="0" hidden="1"/>
    </xf>
    <xf numFmtId="9" fontId="0" fillId="0" borderId="64" xfId="0" applyNumberFormat="1" applyFill="1" applyBorder="1" applyAlignment="1">
      <alignment horizontal="center" vertical="center"/>
    </xf>
    <xf numFmtId="0" fontId="27" fillId="0" borderId="64" xfId="546" applyNumberFormat="1" applyFont="1" applyFill="1" applyBorder="1" applyAlignment="1" applyProtection="1">
      <alignment horizontal="center" vertical="center"/>
    </xf>
    <xf numFmtId="170" fontId="36" fillId="19" borderId="64" xfId="417" applyNumberFormat="1" applyFont="1" applyFill="1" applyBorder="1" applyAlignment="1" applyProtection="1">
      <alignment horizontal="center" vertical="center" shrinkToFit="1"/>
      <protection locked="0" hidden="1"/>
    </xf>
    <xf numFmtId="168" fontId="49" fillId="0" borderId="78" xfId="0" applyNumberFormat="1" applyFont="1" applyFill="1" applyBorder="1" applyAlignment="1" applyProtection="1">
      <alignment horizontal="center" vertical="center" shrinkToFit="1"/>
    </xf>
    <xf numFmtId="0" fontId="50" fillId="0" borderId="69" xfId="0" applyFont="1" applyFill="1" applyBorder="1" applyAlignment="1">
      <alignment horizontal="left" vertical="center"/>
    </xf>
    <xf numFmtId="0" fontId="50" fillId="0" borderId="78" xfId="0" applyFont="1" applyFill="1" applyBorder="1" applyAlignment="1">
      <alignment horizontal="left" vertical="center"/>
    </xf>
    <xf numFmtId="3" fontId="49" fillId="18" borderId="64" xfId="0" applyNumberFormat="1" applyFont="1" applyFill="1" applyBorder="1" applyAlignment="1" applyProtection="1">
      <alignment horizontal="center" vertical="center" shrinkToFit="1"/>
    </xf>
    <xf numFmtId="1" fontId="49" fillId="18" borderId="64" xfId="0" applyNumberFormat="1" applyFont="1" applyFill="1" applyBorder="1" applyAlignment="1" applyProtection="1">
      <alignment horizontal="center" vertical="center" wrapText="1"/>
    </xf>
    <xf numFmtId="0" fontId="51" fillId="0" borderId="70" xfId="564" applyFont="1" applyFill="1" applyBorder="1" applyAlignment="1">
      <alignment horizontal="center" vertical="center"/>
    </xf>
    <xf numFmtId="0" fontId="49" fillId="18" borderId="64" xfId="564" applyFont="1" applyFill="1" applyBorder="1" applyAlignment="1">
      <alignment horizontal="center" vertical="center"/>
    </xf>
    <xf numFmtId="0" fontId="49" fillId="18" borderId="71" xfId="564" applyFont="1" applyFill="1" applyBorder="1" applyAlignment="1">
      <alignment horizontal="center" vertical="center"/>
    </xf>
    <xf numFmtId="1" fontId="51" fillId="0" borderId="70" xfId="564" applyNumberFormat="1" applyFont="1" applyFill="1" applyBorder="1" applyAlignment="1">
      <alignment horizontal="center" vertical="center"/>
    </xf>
    <xf numFmtId="0" fontId="132" fillId="0" borderId="71" xfId="564" applyFont="1" applyFill="1" applyBorder="1" applyAlignment="1">
      <alignment horizontal="center" vertical="center"/>
    </xf>
    <xf numFmtId="0" fontId="49" fillId="18" borderId="64" xfId="564" quotePrefix="1" applyFont="1" applyFill="1" applyBorder="1" applyAlignment="1">
      <alignment horizontal="center" vertical="center"/>
    </xf>
    <xf numFmtId="0" fontId="51" fillId="0" borderId="130" xfId="564" applyFont="1" applyFill="1" applyBorder="1" applyAlignment="1">
      <alignment horizontal="center" vertical="center"/>
    </xf>
    <xf numFmtId="0" fontId="49" fillId="0" borderId="150" xfId="564" applyFont="1" applyFill="1" applyBorder="1" applyAlignment="1">
      <alignment horizontal="center" vertical="center"/>
    </xf>
    <xf numFmtId="0" fontId="51" fillId="0" borderId="150" xfId="564" applyFont="1" applyFill="1" applyBorder="1" applyAlignment="1">
      <alignment horizontal="center" vertical="center"/>
    </xf>
    <xf numFmtId="0" fontId="49" fillId="18" borderId="150" xfId="564" applyFont="1" applyFill="1" applyBorder="1" applyAlignment="1">
      <alignment horizontal="center" vertical="center"/>
    </xf>
    <xf numFmtId="0" fontId="49" fillId="18" borderId="131" xfId="564" applyFont="1" applyFill="1" applyBorder="1" applyAlignment="1">
      <alignment horizontal="center" vertical="center"/>
    </xf>
    <xf numFmtId="1" fontId="51" fillId="0" borderId="130" xfId="564" applyNumberFormat="1" applyFont="1" applyFill="1" applyBorder="1" applyAlignment="1">
      <alignment horizontal="center" vertical="center"/>
    </xf>
    <xf numFmtId="1" fontId="51" fillId="0" borderId="150" xfId="564" applyNumberFormat="1" applyFont="1" applyFill="1" applyBorder="1" applyAlignment="1">
      <alignment horizontal="center" vertical="center"/>
    </xf>
    <xf numFmtId="0" fontId="132" fillId="0" borderId="150" xfId="564" applyFont="1" applyFill="1" applyBorder="1" applyAlignment="1">
      <alignment horizontal="center" vertical="center"/>
    </xf>
    <xf numFmtId="0" fontId="132" fillId="0" borderId="131" xfId="564" applyFont="1" applyFill="1" applyBorder="1" applyAlignment="1">
      <alignment horizontal="center" vertical="center"/>
    </xf>
    <xf numFmtId="0" fontId="51" fillId="20" borderId="0" xfId="0" applyFont="1" applyFill="1" applyBorder="1"/>
    <xf numFmtId="0" fontId="0" fillId="0" borderId="0" xfId="0"/>
    <xf numFmtId="0" fontId="51" fillId="0" borderId="70" xfId="555" applyFont="1" applyFill="1" applyBorder="1" applyAlignment="1">
      <alignment horizontal="left" vertical="center" indent="1"/>
    </xf>
    <xf numFmtId="0" fontId="51" fillId="0" borderId="71" xfId="555" applyFont="1" applyFill="1" applyBorder="1"/>
    <xf numFmtId="0" fontId="51" fillId="0" borderId="70" xfId="555" applyFont="1" applyFill="1" applyBorder="1" applyAlignment="1">
      <alignment horizontal="center" vertical="center"/>
    </xf>
    <xf numFmtId="1" fontId="51" fillId="0" borderId="70" xfId="555" applyNumberFormat="1" applyFont="1" applyFill="1" applyBorder="1" applyAlignment="1">
      <alignment horizontal="center" vertical="center"/>
    </xf>
    <xf numFmtId="0" fontId="132" fillId="0" borderId="71" xfId="555" applyFont="1" applyFill="1" applyBorder="1" applyAlignment="1">
      <alignment horizontal="center" vertical="center"/>
    </xf>
    <xf numFmtId="0" fontId="51" fillId="0" borderId="71" xfId="555" applyFont="1" applyFill="1" applyBorder="1" applyAlignment="1">
      <alignment vertical="center"/>
    </xf>
    <xf numFmtId="0" fontId="110" fillId="0" borderId="70" xfId="0" applyFont="1" applyBorder="1"/>
    <xf numFmtId="0" fontId="45" fillId="18" borderId="64" xfId="564" applyFont="1" applyFill="1" applyBorder="1" applyAlignment="1">
      <alignment horizontal="left" vertical="center"/>
    </xf>
    <xf numFmtId="0" fontId="51" fillId="0" borderId="130" xfId="555" applyFont="1" applyFill="1" applyBorder="1" applyAlignment="1">
      <alignment horizontal="left" vertical="center" indent="1"/>
    </xf>
    <xf numFmtId="0" fontId="51" fillId="0" borderId="131" xfId="555" applyFont="1" applyFill="1" applyBorder="1"/>
    <xf numFmtId="0" fontId="51" fillId="0" borderId="130" xfId="555" applyFont="1" applyFill="1" applyBorder="1" applyAlignment="1">
      <alignment horizontal="center" vertical="center"/>
    </xf>
    <xf numFmtId="0" fontId="49" fillId="0" borderId="150" xfId="555" applyFont="1" applyFill="1" applyBorder="1" applyAlignment="1">
      <alignment horizontal="center" vertical="center"/>
    </xf>
    <xf numFmtId="0" fontId="51" fillId="0" borderId="150" xfId="409" applyNumberFormat="1" applyFont="1" applyFill="1" applyBorder="1" applyAlignment="1">
      <alignment horizontal="center" vertical="center"/>
    </xf>
    <xf numFmtId="0" fontId="45" fillId="18" borderId="150" xfId="564" applyFont="1" applyFill="1" applyBorder="1" applyAlignment="1">
      <alignment horizontal="left" vertical="center"/>
    </xf>
    <xf numFmtId="1" fontId="51" fillId="0" borderId="130" xfId="555" applyNumberFormat="1" applyFont="1" applyFill="1" applyBorder="1" applyAlignment="1">
      <alignment horizontal="center" vertical="center"/>
    </xf>
    <xf numFmtId="1" fontId="51" fillId="0" borderId="150" xfId="555" applyNumberFormat="1" applyFont="1" applyFill="1" applyBorder="1" applyAlignment="1">
      <alignment horizontal="center" vertical="center"/>
    </xf>
    <xf numFmtId="0" fontId="132" fillId="0" borderId="150" xfId="555" applyFont="1" applyFill="1" applyBorder="1" applyAlignment="1">
      <alignment horizontal="center" vertical="center"/>
    </xf>
    <xf numFmtId="0" fontId="132" fillId="0" borderId="131" xfId="555" applyFont="1" applyFill="1" applyBorder="1" applyAlignment="1">
      <alignment horizontal="center" vertical="center"/>
    </xf>
    <xf numFmtId="0" fontId="51" fillId="0" borderId="150" xfId="555" applyFont="1" applyFill="1" applyBorder="1" applyAlignment="1">
      <alignment horizontal="center" vertical="center"/>
    </xf>
    <xf numFmtId="49" fontId="49" fillId="0" borderId="150" xfId="555" applyNumberFormat="1" applyFont="1" applyFill="1" applyBorder="1" applyAlignment="1">
      <alignment horizontal="center" vertical="center"/>
    </xf>
    <xf numFmtId="1" fontId="49" fillId="0" borderId="150" xfId="555" applyNumberFormat="1" applyFont="1" applyFill="1" applyBorder="1" applyAlignment="1">
      <alignment horizontal="center" vertical="center"/>
    </xf>
    <xf numFmtId="0" fontId="50" fillId="20" borderId="0" xfId="0" applyFont="1" applyFill="1" applyBorder="1"/>
    <xf numFmtId="0" fontId="110" fillId="0" borderId="0" xfId="0" applyFont="1" applyBorder="1" applyAlignment="1">
      <alignment vertical="center"/>
    </xf>
    <xf numFmtId="0" fontId="51" fillId="0" borderId="71" xfId="0" applyFont="1" applyFill="1" applyBorder="1" applyAlignment="1">
      <alignment vertical="center"/>
    </xf>
    <xf numFmtId="0" fontId="51" fillId="0" borderId="70" xfId="0" applyFont="1" applyFill="1" applyBorder="1" applyAlignment="1">
      <alignment horizontal="center" vertical="center"/>
    </xf>
    <xf numFmtId="0" fontId="49" fillId="0" borderId="64" xfId="0" applyFont="1" applyFill="1" applyBorder="1" applyAlignment="1">
      <alignment horizontal="center" vertical="center"/>
    </xf>
    <xf numFmtId="1" fontId="51" fillId="0" borderId="70" xfId="0" applyNumberFormat="1" applyFont="1" applyFill="1" applyBorder="1" applyAlignment="1">
      <alignment horizontal="center" vertical="center"/>
    </xf>
    <xf numFmtId="1" fontId="51" fillId="0" borderId="64" xfId="0" applyNumberFormat="1" applyFont="1" applyFill="1" applyBorder="1" applyAlignment="1">
      <alignment horizontal="center" vertical="center"/>
    </xf>
    <xf numFmtId="0" fontId="132" fillId="0" borderId="64" xfId="0" applyFont="1" applyFill="1" applyBorder="1" applyAlignment="1">
      <alignment horizontal="center" vertical="center"/>
    </xf>
    <xf numFmtId="0" fontId="132" fillId="0" borderId="71" xfId="0" applyFont="1" applyFill="1" applyBorder="1" applyAlignment="1">
      <alignment horizontal="center" vertical="center"/>
    </xf>
    <xf numFmtId="49" fontId="49" fillId="0" borderId="64" xfId="0" applyNumberFormat="1" applyFont="1" applyFill="1" applyBorder="1" applyAlignment="1">
      <alignment horizontal="center" vertical="center"/>
    </xf>
    <xf numFmtId="1" fontId="49" fillId="0" borderId="64" xfId="0" applyNumberFormat="1" applyFont="1" applyFill="1" applyBorder="1" applyAlignment="1">
      <alignment horizontal="center" vertical="center"/>
    </xf>
    <xf numFmtId="0" fontId="51" fillId="0" borderId="189" xfId="0" applyFont="1" applyFill="1" applyBorder="1" applyAlignment="1">
      <alignment horizontal="left" vertical="center" indent="1"/>
    </xf>
    <xf numFmtId="0" fontId="51" fillId="0" borderId="168" xfId="0" applyFont="1" applyFill="1" applyBorder="1" applyAlignment="1">
      <alignment vertical="center"/>
    </xf>
    <xf numFmtId="0" fontId="0" fillId="0" borderId="64" xfId="0" applyBorder="1"/>
    <xf numFmtId="0" fontId="51" fillId="0" borderId="190" xfId="0" applyFont="1" applyFill="1" applyBorder="1" applyAlignment="1">
      <alignment horizontal="left" vertical="center" indent="1"/>
    </xf>
    <xf numFmtId="0" fontId="51" fillId="0" borderId="191" xfId="0" applyFont="1" applyFill="1" applyBorder="1" applyAlignment="1">
      <alignment vertical="center"/>
    </xf>
    <xf numFmtId="0" fontId="51" fillId="0" borderId="130" xfId="0" applyFont="1" applyFill="1" applyBorder="1" applyAlignment="1">
      <alignment horizontal="center" vertical="center"/>
    </xf>
    <xf numFmtId="0" fontId="49" fillId="0" borderId="150" xfId="0" applyFont="1" applyFill="1" applyBorder="1" applyAlignment="1">
      <alignment horizontal="center" vertical="center"/>
    </xf>
    <xf numFmtId="0" fontId="51" fillId="0" borderId="150" xfId="0" applyFont="1" applyFill="1" applyBorder="1" applyAlignment="1">
      <alignment horizontal="center" vertical="center"/>
    </xf>
    <xf numFmtId="1" fontId="51" fillId="0" borderId="130" xfId="0" applyNumberFormat="1" applyFont="1" applyFill="1" applyBorder="1" applyAlignment="1">
      <alignment horizontal="center" vertical="center"/>
    </xf>
    <xf numFmtId="1" fontId="51" fillId="0" borderId="150" xfId="0" applyNumberFormat="1" applyFont="1" applyFill="1" applyBorder="1" applyAlignment="1">
      <alignment horizontal="center" vertical="center"/>
    </xf>
    <xf numFmtId="0" fontId="132" fillId="0" borderId="150" xfId="0" applyFont="1" applyFill="1" applyBorder="1" applyAlignment="1">
      <alignment horizontal="center" vertical="center"/>
    </xf>
    <xf numFmtId="0" fontId="132" fillId="0" borderId="131" xfId="0" applyFont="1" applyFill="1" applyBorder="1" applyAlignment="1">
      <alignment horizontal="center" vertical="center"/>
    </xf>
    <xf numFmtId="49" fontId="49" fillId="0" borderId="150" xfId="0" applyNumberFormat="1" applyFont="1" applyFill="1" applyBorder="1" applyAlignment="1">
      <alignment horizontal="center" vertical="center"/>
    </xf>
    <xf numFmtId="1" fontId="49" fillId="0" borderId="150" xfId="0" applyNumberFormat="1" applyFont="1" applyFill="1" applyBorder="1" applyAlignment="1">
      <alignment horizontal="center" vertical="center"/>
    </xf>
    <xf numFmtId="0" fontId="51" fillId="0" borderId="78" xfId="0" applyFont="1" applyFill="1" applyBorder="1" applyAlignment="1">
      <alignment horizontal="left" vertical="center"/>
    </xf>
    <xf numFmtId="0" fontId="38" fillId="18" borderId="64" xfId="564" applyFont="1" applyFill="1" applyBorder="1" applyAlignment="1">
      <alignment horizontal="left" vertical="center"/>
    </xf>
    <xf numFmtId="0" fontId="49" fillId="18" borderId="69" xfId="564" applyFont="1" applyFill="1" applyBorder="1" applyAlignment="1">
      <alignment horizontal="center" vertical="center"/>
    </xf>
    <xf numFmtId="0" fontId="51" fillId="0" borderId="71" xfId="0" applyFont="1" applyFill="1" applyBorder="1" applyAlignment="1">
      <alignment horizontal="center" vertical="center"/>
    </xf>
    <xf numFmtId="1" fontId="51" fillId="0" borderId="70" xfId="0" applyNumberFormat="1" applyFont="1" applyFill="1" applyBorder="1" applyAlignment="1">
      <alignment horizontal="left" vertical="center"/>
    </xf>
    <xf numFmtId="0" fontId="51" fillId="0" borderId="78" xfId="0" applyFont="1" applyFill="1" applyBorder="1" applyAlignment="1">
      <alignment horizontal="center" vertical="center"/>
    </xf>
    <xf numFmtId="0" fontId="51" fillId="0" borderId="152" xfId="0" applyFont="1" applyFill="1" applyBorder="1" applyAlignment="1">
      <alignment horizontal="center" vertical="center"/>
    </xf>
    <xf numFmtId="0" fontId="49" fillId="18" borderId="151" xfId="564" applyFont="1" applyFill="1" applyBorder="1" applyAlignment="1">
      <alignment horizontal="center" vertical="center"/>
    </xf>
    <xf numFmtId="0" fontId="51" fillId="0" borderId="131" xfId="0" applyFont="1" applyFill="1" applyBorder="1" applyAlignment="1">
      <alignment horizontal="center" vertical="center"/>
    </xf>
    <xf numFmtId="0" fontId="50" fillId="0" borderId="0" xfId="0" applyFont="1" applyBorder="1"/>
    <xf numFmtId="0" fontId="49" fillId="0" borderId="71" xfId="0" applyFont="1" applyFill="1" applyBorder="1" applyAlignment="1">
      <alignment horizontal="center" vertical="center"/>
    </xf>
    <xf numFmtId="0" fontId="49" fillId="0" borderId="64" xfId="0" quotePrefix="1" applyFont="1" applyFill="1" applyBorder="1" applyAlignment="1">
      <alignment horizontal="center" vertical="center"/>
    </xf>
    <xf numFmtId="0" fontId="49" fillId="0" borderId="156" xfId="0" applyFont="1" applyFill="1" applyBorder="1" applyAlignment="1">
      <alignment horizontal="left"/>
    </xf>
    <xf numFmtId="0" fontId="49" fillId="0" borderId="0" xfId="0" applyFont="1" applyFill="1" applyBorder="1" applyAlignment="1">
      <alignment horizontal="center"/>
    </xf>
    <xf numFmtId="0" fontId="49" fillId="0" borderId="157" xfId="0" applyFont="1" applyFill="1" applyBorder="1" applyAlignment="1">
      <alignment horizontal="center"/>
    </xf>
    <xf numFmtId="0" fontId="51" fillId="0" borderId="157" xfId="0" applyFont="1" applyFill="1" applyBorder="1" applyAlignment="1">
      <alignment horizontal="center" vertical="center"/>
    </xf>
    <xf numFmtId="0" fontId="51" fillId="0" borderId="70" xfId="0" applyFont="1" applyFill="1" applyBorder="1" applyAlignment="1">
      <alignment horizontal="left" vertical="center"/>
    </xf>
    <xf numFmtId="49" fontId="51" fillId="0" borderId="70" xfId="0" applyNumberFormat="1" applyFont="1" applyFill="1" applyBorder="1" applyAlignment="1">
      <alignment horizontal="center" vertical="center"/>
    </xf>
    <xf numFmtId="49" fontId="51" fillId="0" borderId="64" xfId="0" applyNumberFormat="1" applyFont="1" applyFill="1" applyBorder="1" applyAlignment="1">
      <alignment horizontal="center" vertical="center"/>
    </xf>
    <xf numFmtId="0" fontId="51" fillId="0" borderId="70" xfId="0" applyFont="1" applyFill="1" applyBorder="1" applyAlignment="1">
      <alignment vertical="center"/>
    </xf>
    <xf numFmtId="1" fontId="51" fillId="0" borderId="64" xfId="0" quotePrefix="1" applyNumberFormat="1" applyFont="1" applyFill="1" applyBorder="1" applyAlignment="1">
      <alignment horizontal="center" vertical="center"/>
    </xf>
    <xf numFmtId="1" fontId="51" fillId="0" borderId="150" xfId="0" quotePrefix="1" applyNumberFormat="1" applyFont="1" applyFill="1" applyBorder="1" applyAlignment="1">
      <alignment horizontal="center" vertical="center"/>
    </xf>
    <xf numFmtId="0" fontId="51" fillId="0" borderId="130" xfId="0" applyFont="1" applyFill="1" applyBorder="1" applyAlignment="1">
      <alignment horizontal="left" vertical="center"/>
    </xf>
    <xf numFmtId="0" fontId="50" fillId="0" borderId="0" xfId="0" applyFont="1" applyFill="1" applyBorder="1" applyAlignment="1">
      <alignment horizontal="left" vertical="center" indent="1"/>
    </xf>
    <xf numFmtId="0" fontId="110" fillId="62" borderId="87" xfId="577" applyFill="1" applyBorder="1" applyAlignment="1">
      <alignment horizontal="center" vertical="center"/>
    </xf>
    <xf numFmtId="0" fontId="110" fillId="62" borderId="62" xfId="577" applyFill="1" applyBorder="1" applyAlignment="1">
      <alignment horizontal="center" vertical="center"/>
    </xf>
    <xf numFmtId="0" fontId="110" fillId="62" borderId="94" xfId="577" applyFill="1" applyBorder="1" applyAlignment="1">
      <alignment horizontal="center" vertical="center"/>
    </xf>
    <xf numFmtId="0" fontId="110" fillId="62" borderId="116" xfId="577" applyFill="1" applyBorder="1" applyAlignment="1">
      <alignment horizontal="center" vertical="center"/>
    </xf>
    <xf numFmtId="0" fontId="110" fillId="62" borderId="0" xfId="577" applyFill="1" applyBorder="1" applyAlignment="1">
      <alignment horizontal="center" vertical="center"/>
    </xf>
    <xf numFmtId="0" fontId="110" fillId="62" borderId="117" xfId="577" applyFill="1" applyBorder="1" applyAlignment="1">
      <alignment horizontal="center" vertical="center"/>
    </xf>
    <xf numFmtId="0" fontId="110" fillId="62" borderId="96" xfId="577" applyFont="1" applyFill="1" applyBorder="1" applyAlignment="1">
      <alignment horizontal="center" vertical="center"/>
    </xf>
    <xf numFmtId="0" fontId="110" fillId="62" borderId="91" xfId="577" applyFill="1" applyBorder="1" applyAlignment="1">
      <alignment horizontal="center" vertical="center"/>
    </xf>
    <xf numFmtId="0" fontId="110" fillId="62" borderId="133" xfId="577" applyFill="1" applyBorder="1" applyAlignment="1">
      <alignment horizontal="center" vertical="center"/>
    </xf>
    <xf numFmtId="0" fontId="0" fillId="63" borderId="10" xfId="0" applyFill="1" applyBorder="1"/>
    <xf numFmtId="0" fontId="0" fillId="63" borderId="20" xfId="0" applyFont="1" applyFill="1" applyBorder="1"/>
    <xf numFmtId="0" fontId="0" fillId="63" borderId="97" xfId="0" applyFill="1" applyBorder="1" applyAlignment="1">
      <alignment horizontal="center" vertical="center"/>
    </xf>
    <xf numFmtId="0" fontId="37" fillId="63" borderId="98" xfId="0" applyFont="1" applyFill="1" applyBorder="1" applyAlignment="1">
      <alignment horizontal="center" vertical="center" wrapText="1"/>
    </xf>
    <xf numFmtId="0" fontId="0" fillId="63" borderId="99" xfId="0" applyFont="1" applyFill="1" applyBorder="1" applyAlignment="1">
      <alignment horizontal="left" vertical="center"/>
    </xf>
    <xf numFmtId="0" fontId="0" fillId="63" borderId="100" xfId="0" applyFont="1" applyFill="1" applyBorder="1" applyAlignment="1">
      <alignment horizontal="center" vertical="center"/>
    </xf>
    <xf numFmtId="0" fontId="0" fillId="63" borderId="101" xfId="0" applyFont="1" applyFill="1" applyBorder="1" applyAlignment="1">
      <alignment horizontal="center" vertical="center"/>
    </xf>
    <xf numFmtId="0" fontId="0" fillId="63" borderId="102" xfId="0" applyFont="1" applyFill="1" applyBorder="1" applyAlignment="1" applyProtection="1">
      <alignment horizontal="center" vertical="center"/>
    </xf>
    <xf numFmtId="0" fontId="0" fillId="63" borderId="103" xfId="0" applyFont="1" applyFill="1" applyBorder="1" applyAlignment="1" applyProtection="1">
      <alignment horizontal="center" vertical="center"/>
    </xf>
    <xf numFmtId="0" fontId="0" fillId="63" borderId="99" xfId="0" applyFont="1" applyFill="1" applyBorder="1" applyAlignment="1" applyProtection="1">
      <alignment horizontal="left" vertical="center"/>
    </xf>
    <xf numFmtId="0" fontId="0" fillId="63" borderId="100" xfId="0" applyFont="1" applyFill="1" applyBorder="1" applyAlignment="1" applyProtection="1">
      <alignment horizontal="center" vertical="center"/>
    </xf>
    <xf numFmtId="0" fontId="0" fillId="63" borderId="101" xfId="0" applyFont="1" applyFill="1" applyBorder="1" applyAlignment="1" applyProtection="1">
      <alignment horizontal="center" vertical="center"/>
    </xf>
    <xf numFmtId="0" fontId="0" fillId="63" borderId="104" xfId="0" applyFont="1" applyFill="1" applyBorder="1" applyAlignment="1">
      <alignment horizontal="center" vertical="center"/>
    </xf>
    <xf numFmtId="0" fontId="0" fillId="63" borderId="102" xfId="0" applyFont="1" applyFill="1" applyBorder="1" applyAlignment="1">
      <alignment horizontal="center" vertical="center"/>
    </xf>
    <xf numFmtId="0" fontId="0" fillId="63" borderId="103" xfId="0" applyFont="1" applyFill="1" applyBorder="1" applyAlignment="1">
      <alignment horizontal="center" vertical="center"/>
    </xf>
    <xf numFmtId="0" fontId="0" fillId="63" borderId="104" xfId="0" applyFont="1" applyFill="1" applyBorder="1" applyAlignment="1">
      <alignment horizontal="left" vertical="center"/>
    </xf>
    <xf numFmtId="0" fontId="0" fillId="63" borderId="105" xfId="0" applyFont="1" applyFill="1" applyBorder="1" applyAlignment="1">
      <alignment horizontal="left" vertical="center"/>
    </xf>
    <xf numFmtId="0" fontId="0" fillId="63" borderId="21" xfId="0" applyFont="1" applyFill="1" applyBorder="1" applyAlignment="1">
      <alignment horizontal="left" vertical="center"/>
    </xf>
    <xf numFmtId="0" fontId="0" fillId="63" borderId="30" xfId="0" applyFont="1" applyFill="1" applyBorder="1" applyAlignment="1">
      <alignment horizontal="center"/>
    </xf>
    <xf numFmtId="0" fontId="0" fillId="63" borderId="12" xfId="0" applyFont="1" applyFill="1" applyBorder="1" applyAlignment="1">
      <alignment horizontal="center"/>
    </xf>
    <xf numFmtId="0" fontId="0" fillId="63" borderId="13" xfId="0" applyFont="1" applyFill="1" applyBorder="1" applyAlignment="1">
      <alignment horizontal="center"/>
    </xf>
    <xf numFmtId="0" fontId="0" fillId="63" borderId="30" xfId="0" applyFont="1" applyFill="1" applyBorder="1" applyAlignment="1">
      <alignment horizontal="center" vertical="center"/>
    </xf>
    <xf numFmtId="0" fontId="0" fillId="63" borderId="12" xfId="0" applyFont="1" applyFill="1" applyBorder="1" applyAlignment="1">
      <alignment horizontal="center" vertical="center"/>
    </xf>
    <xf numFmtId="0" fontId="0" fillId="63" borderId="75" xfId="0" applyFont="1" applyFill="1" applyBorder="1" applyAlignment="1">
      <alignment horizontal="center" vertical="center"/>
    </xf>
    <xf numFmtId="0" fontId="0" fillId="63" borderId="22" xfId="0" applyFont="1" applyFill="1" applyBorder="1" applyAlignment="1">
      <alignment horizontal="center" vertical="center"/>
    </xf>
    <xf numFmtId="0" fontId="29" fillId="63" borderId="20" xfId="0" applyFont="1" applyFill="1" applyBorder="1" applyAlignment="1">
      <alignment horizontal="center" vertical="center"/>
    </xf>
    <xf numFmtId="0" fontId="0" fillId="63" borderId="106" xfId="0" applyFont="1" applyFill="1" applyBorder="1" applyAlignment="1">
      <alignment horizontal="center" vertical="center"/>
    </xf>
    <xf numFmtId="0" fontId="0" fillId="63" borderId="107" xfId="0" applyFont="1" applyFill="1" applyBorder="1" applyAlignment="1">
      <alignment horizontal="center" vertical="center"/>
    </xf>
    <xf numFmtId="0" fontId="0" fillId="63" borderId="108" xfId="0" applyFont="1" applyFill="1" applyBorder="1" applyAlignment="1">
      <alignment horizontal="center" vertical="center"/>
    </xf>
    <xf numFmtId="0" fontId="0" fillId="63" borderId="109" xfId="0" applyFont="1" applyFill="1" applyBorder="1" applyAlignment="1">
      <alignment horizontal="center" vertical="center"/>
    </xf>
    <xf numFmtId="0" fontId="0" fillId="63" borderId="106" xfId="0" applyFont="1" applyFill="1" applyBorder="1" applyAlignment="1" applyProtection="1">
      <alignment horizontal="center" vertical="center"/>
    </xf>
    <xf numFmtId="0" fontId="0" fillId="63" borderId="107" xfId="0" applyFont="1" applyFill="1" applyBorder="1" applyAlignment="1" applyProtection="1">
      <alignment horizontal="center" vertical="center"/>
    </xf>
    <xf numFmtId="0" fontId="0" fillId="63" borderId="108" xfId="0" applyFont="1" applyFill="1" applyBorder="1" applyAlignment="1" applyProtection="1">
      <alignment horizontal="center" vertical="center"/>
    </xf>
    <xf numFmtId="0" fontId="0" fillId="63" borderId="110" xfId="0" applyFont="1" applyFill="1" applyBorder="1" applyAlignment="1" applyProtection="1">
      <alignment horizontal="center" vertical="center"/>
    </xf>
    <xf numFmtId="0" fontId="0" fillId="63" borderId="111" xfId="0" applyFont="1" applyFill="1" applyBorder="1" applyAlignment="1">
      <alignment horizontal="center" vertical="center"/>
    </xf>
    <xf numFmtId="0" fontId="0" fillId="63" borderId="14" xfId="0" applyFont="1" applyFill="1" applyBorder="1" applyAlignment="1">
      <alignment horizontal="center" vertical="center"/>
    </xf>
    <xf numFmtId="0" fontId="0" fillId="62" borderId="16" xfId="0" applyFill="1" applyBorder="1"/>
    <xf numFmtId="0" fontId="0" fillId="62" borderId="17" xfId="0" applyFill="1" applyBorder="1"/>
    <xf numFmtId="0" fontId="0" fillId="62" borderId="16" xfId="0" applyFill="1" applyBorder="1" applyAlignment="1">
      <alignment horizontal="center"/>
    </xf>
    <xf numFmtId="0" fontId="0" fillId="62" borderId="18" xfId="0" applyFill="1" applyBorder="1" applyAlignment="1">
      <alignment horizontal="center"/>
    </xf>
    <xf numFmtId="0" fontId="0" fillId="62" borderId="112" xfId="0" applyFill="1" applyBorder="1" applyAlignment="1">
      <alignment horizontal="center"/>
    </xf>
    <xf numFmtId="0" fontId="0" fillId="62" borderId="32" xfId="0" applyFill="1" applyBorder="1" applyAlignment="1">
      <alignment horizontal="center" vertical="center"/>
    </xf>
    <xf numFmtId="0" fontId="0" fillId="62" borderId="112" xfId="0" applyFill="1" applyBorder="1" applyAlignment="1">
      <alignment horizontal="center" vertical="center"/>
    </xf>
    <xf numFmtId="0" fontId="0" fillId="62" borderId="33" xfId="0" applyFill="1" applyBorder="1" applyAlignment="1">
      <alignment horizontal="center" vertical="center"/>
    </xf>
    <xf numFmtId="0" fontId="0" fillId="62" borderId="44" xfId="0" applyFont="1" applyFill="1" applyBorder="1" applyAlignment="1">
      <alignment horizontal="left" vertical="center"/>
    </xf>
    <xf numFmtId="0" fontId="0" fillId="62" borderId="17" xfId="0" applyFill="1" applyBorder="1" applyAlignment="1">
      <alignment horizontal="center"/>
    </xf>
    <xf numFmtId="0" fontId="0" fillId="62" borderId="16" xfId="0" applyFill="1" applyBorder="1" applyAlignment="1">
      <alignment horizontal="center" vertical="center"/>
    </xf>
    <xf numFmtId="0" fontId="0" fillId="62" borderId="18" xfId="0" applyFill="1" applyBorder="1" applyAlignment="1">
      <alignment horizontal="center" vertical="center"/>
    </xf>
    <xf numFmtId="0" fontId="0" fillId="62" borderId="19" xfId="0" applyFill="1" applyBorder="1" applyAlignment="1">
      <alignment horizontal="center" vertical="center"/>
    </xf>
    <xf numFmtId="0" fontId="0" fillId="62" borderId="43" xfId="0" applyFill="1" applyBorder="1" applyAlignment="1">
      <alignment horizontal="center" vertical="center"/>
    </xf>
    <xf numFmtId="0" fontId="0" fillId="63" borderId="10" xfId="0" applyFont="1" applyFill="1" applyBorder="1" applyAlignment="1">
      <alignment horizontal="center" vertical="center" wrapText="1"/>
    </xf>
    <xf numFmtId="2" fontId="0" fillId="15" borderId="62" xfId="0" applyNumberFormat="1" applyFill="1" applyBorder="1" applyAlignment="1"/>
    <xf numFmtId="2" fontId="0" fillId="15" borderId="94" xfId="0" applyNumberFormat="1" applyFill="1" applyBorder="1" applyAlignment="1"/>
    <xf numFmtId="2" fontId="54" fillId="15" borderId="10" xfId="0" applyNumberFormat="1" applyFont="1" applyFill="1" applyBorder="1" applyAlignment="1">
      <alignment horizontal="center"/>
    </xf>
    <xf numFmtId="2" fontId="0" fillId="15" borderId="0" xfId="0" applyNumberFormat="1" applyFill="1" applyBorder="1" applyAlignment="1"/>
    <xf numFmtId="2" fontId="0" fillId="15" borderId="117" xfId="0" applyNumberFormat="1" applyFill="1" applyBorder="1" applyAlignment="1"/>
    <xf numFmtId="2" fontId="54" fillId="15" borderId="12" xfId="0" applyNumberFormat="1" applyFont="1" applyFill="1" applyBorder="1" applyAlignment="1">
      <alignment horizontal="center"/>
    </xf>
    <xf numFmtId="0" fontId="0" fillId="15" borderId="196" xfId="0" applyFill="1" applyBorder="1" applyAlignment="1"/>
    <xf numFmtId="0" fontId="0" fillId="15" borderId="57" xfId="0" applyFill="1" applyBorder="1" applyAlignment="1"/>
    <xf numFmtId="0" fontId="0" fillId="15" borderId="58" xfId="0" applyFill="1" applyBorder="1" applyAlignment="1"/>
    <xf numFmtId="0" fontId="0" fillId="15" borderId="197" xfId="0" applyFill="1" applyBorder="1" applyAlignment="1"/>
    <xf numFmtId="0" fontId="0" fillId="15" borderId="198" xfId="0" applyFill="1" applyBorder="1" applyAlignment="1"/>
    <xf numFmtId="0" fontId="0" fillId="15" borderId="199" xfId="0" applyFill="1" applyBorder="1" applyAlignment="1"/>
    <xf numFmtId="0" fontId="110" fillId="14" borderId="200" xfId="577" applyFill="1" applyBorder="1" applyAlignment="1">
      <alignment horizontal="center" vertical="center"/>
    </xf>
    <xf numFmtId="0" fontId="110" fillId="25" borderId="112" xfId="577" applyFill="1" applyBorder="1" applyAlignment="1">
      <alignment horizontal="center" vertical="center"/>
    </xf>
    <xf numFmtId="0" fontId="0" fillId="15" borderId="147" xfId="0" applyFill="1" applyBorder="1" applyAlignment="1"/>
    <xf numFmtId="0" fontId="0" fillId="15" borderId="63" xfId="0" applyFill="1" applyBorder="1" applyAlignment="1"/>
    <xf numFmtId="3" fontId="110" fillId="64" borderId="16" xfId="577" applyNumberFormat="1" applyFill="1" applyBorder="1" applyAlignment="1">
      <alignment horizontal="center" vertical="center"/>
    </xf>
    <xf numFmtId="0" fontId="54" fillId="65" borderId="127" xfId="0" applyFont="1" applyFill="1" applyBorder="1" applyAlignment="1">
      <alignment horizontal="center"/>
    </xf>
    <xf numFmtId="0" fontId="54" fillId="65" borderId="201" xfId="0" applyFont="1" applyFill="1" applyBorder="1" applyAlignment="1">
      <alignment horizontal="center"/>
    </xf>
    <xf numFmtId="2" fontId="54" fillId="65" borderId="10" xfId="0" applyNumberFormat="1" applyFont="1" applyFill="1" applyBorder="1" applyAlignment="1">
      <alignment horizontal="center"/>
    </xf>
    <xf numFmtId="2" fontId="54" fillId="65" borderId="26" xfId="0" applyNumberFormat="1" applyFont="1" applyFill="1" applyBorder="1" applyAlignment="1">
      <alignment horizontal="center"/>
    </xf>
    <xf numFmtId="2" fontId="54" fillId="65" borderId="75" xfId="0" applyNumberFormat="1" applyFont="1" applyFill="1" applyBorder="1" applyAlignment="1">
      <alignment horizontal="center"/>
    </xf>
    <xf numFmtId="0" fontId="54" fillId="65" borderId="10" xfId="0" applyFont="1" applyFill="1" applyBorder="1" applyAlignment="1">
      <alignment horizontal="center"/>
    </xf>
    <xf numFmtId="0" fontId="54" fillId="65" borderId="26" xfId="0" applyFont="1" applyFill="1" applyBorder="1" applyAlignment="1">
      <alignment horizontal="center"/>
    </xf>
    <xf numFmtId="0" fontId="50" fillId="67" borderId="69" xfId="578" applyFont="1" applyFill="1" applyBorder="1" applyAlignment="1" applyProtection="1">
      <alignment vertical="center"/>
    </xf>
    <xf numFmtId="0" fontId="110" fillId="67" borderId="78" xfId="578" applyFill="1" applyBorder="1" applyProtection="1"/>
    <xf numFmtId="0" fontId="58" fillId="69" borderId="38" xfId="578" applyFont="1" applyFill="1" applyBorder="1" applyAlignment="1" applyProtection="1">
      <alignment horizontal="left" vertical="center"/>
    </xf>
    <xf numFmtId="0" fontId="0" fillId="69" borderId="46" xfId="0" applyFill="1" applyBorder="1" applyProtection="1"/>
    <xf numFmtId="0" fontId="110" fillId="69" borderId="39" xfId="578" applyFill="1" applyBorder="1" applyProtection="1"/>
    <xf numFmtId="0" fontId="49" fillId="69" borderId="38" xfId="578" applyFont="1" applyFill="1" applyBorder="1" applyAlignment="1" applyProtection="1">
      <alignment horizontal="left" vertical="center"/>
    </xf>
    <xf numFmtId="0" fontId="51" fillId="69" borderId="46" xfId="578" applyFont="1" applyFill="1" applyBorder="1" applyAlignment="1" applyProtection="1">
      <alignment horizontal="left" vertical="center"/>
    </xf>
    <xf numFmtId="0" fontId="51" fillId="69" borderId="39" xfId="578" applyFont="1" applyFill="1" applyBorder="1" applyAlignment="1" applyProtection="1">
      <alignment horizontal="left" vertical="center"/>
    </xf>
    <xf numFmtId="0" fontId="110" fillId="70" borderId="83" xfId="578" applyFont="1" applyFill="1" applyBorder="1" applyAlignment="1">
      <alignment horizontal="left" indent="1"/>
    </xf>
    <xf numFmtId="0" fontId="49" fillId="70" borderId="64" xfId="578" applyFont="1" applyFill="1" applyBorder="1" applyAlignment="1">
      <alignment horizontal="center" vertical="center" wrapText="1"/>
    </xf>
    <xf numFmtId="0" fontId="70" fillId="68" borderId="64" xfId="412" applyNumberFormat="1" applyFont="1" applyFill="1" applyBorder="1" applyAlignment="1" applyProtection="1">
      <alignment horizontal="left" vertical="center" indent="1"/>
    </xf>
    <xf numFmtId="0" fontId="80" fillId="68" borderId="64" xfId="0" applyFont="1" applyFill="1" applyBorder="1" applyAlignment="1">
      <alignment horizontal="left" vertical="center" indent="1"/>
    </xf>
    <xf numFmtId="0" fontId="58" fillId="68" borderId="69" xfId="0" applyFont="1" applyFill="1" applyBorder="1" applyAlignment="1">
      <alignment horizontal="left" vertical="center" wrapText="1" indent="1"/>
    </xf>
    <xf numFmtId="0" fontId="49" fillId="68" borderId="78" xfId="0" applyFont="1" applyFill="1" applyBorder="1" applyAlignment="1">
      <alignment horizontal="left" vertical="center" wrapText="1" indent="1"/>
    </xf>
    <xf numFmtId="0" fontId="49" fillId="68" borderId="77" xfId="0" applyFont="1" applyFill="1" applyBorder="1" applyAlignment="1">
      <alignment horizontal="center" vertical="center" wrapText="1"/>
    </xf>
    <xf numFmtId="0" fontId="49" fillId="68" borderId="63" xfId="0" applyFont="1" applyFill="1" applyBorder="1" applyAlignment="1">
      <alignment horizontal="center" vertical="center" wrapText="1"/>
    </xf>
    <xf numFmtId="0" fontId="51" fillId="68" borderId="78" xfId="0" applyFont="1" applyFill="1" applyBorder="1" applyAlignment="1">
      <alignment horizontal="center" vertical="center"/>
    </xf>
    <xf numFmtId="0" fontId="110" fillId="68" borderId="64" xfId="0" applyFont="1" applyFill="1" applyBorder="1" applyAlignment="1">
      <alignment horizontal="center" vertical="center" wrapText="1"/>
    </xf>
    <xf numFmtId="0" fontId="50" fillId="68" borderId="64" xfId="0" applyFont="1" applyFill="1" applyBorder="1" applyAlignment="1">
      <alignment horizontal="center" vertical="center"/>
    </xf>
    <xf numFmtId="0" fontId="51" fillId="68" borderId="64" xfId="0" applyFont="1" applyFill="1" applyBorder="1" applyAlignment="1">
      <alignment horizontal="center" vertical="center"/>
    </xf>
    <xf numFmtId="0" fontId="51" fillId="68" borderId="64" xfId="0" applyFont="1" applyFill="1" applyBorder="1" applyAlignment="1">
      <alignment horizontal="center" vertical="center" wrapText="1"/>
    </xf>
    <xf numFmtId="0" fontId="49" fillId="68" borderId="64" xfId="0" applyFont="1" applyFill="1" applyBorder="1" applyAlignment="1">
      <alignment horizontal="center" vertical="center"/>
    </xf>
    <xf numFmtId="0" fontId="49" fillId="68" borderId="64" xfId="0" applyFont="1" applyFill="1" applyBorder="1" applyAlignment="1">
      <alignment horizontal="center" vertical="center" shrinkToFit="1"/>
    </xf>
    <xf numFmtId="1" fontId="49" fillId="68" borderId="64" xfId="0" applyNumberFormat="1" applyFont="1" applyFill="1" applyBorder="1" applyAlignment="1" applyProtection="1">
      <alignment horizontal="center" vertical="center" wrapText="1"/>
      <protection locked="0"/>
    </xf>
    <xf numFmtId="1" fontId="49" fillId="68" borderId="64" xfId="0" applyNumberFormat="1" applyFont="1" applyFill="1" applyBorder="1" applyAlignment="1" applyProtection="1">
      <alignment horizontal="center" vertical="center" wrapText="1"/>
    </xf>
    <xf numFmtId="1" fontId="49" fillId="68" borderId="64" xfId="0" applyNumberFormat="1" applyFont="1" applyFill="1" applyBorder="1" applyAlignment="1" applyProtection="1">
      <alignment horizontal="center" vertical="center"/>
    </xf>
    <xf numFmtId="0" fontId="51" fillId="68" borderId="69" xfId="0" applyFont="1" applyFill="1" applyBorder="1" applyAlignment="1">
      <alignment horizontal="left" vertical="center" indent="1"/>
    </xf>
    <xf numFmtId="0" fontId="51" fillId="68" borderId="83" xfId="0" applyFont="1" applyFill="1" applyBorder="1" applyAlignment="1">
      <alignment horizontal="left" vertical="center" indent="1"/>
    </xf>
    <xf numFmtId="0" fontId="51" fillId="68" borderId="83" xfId="0" applyFont="1" applyFill="1" applyBorder="1" applyAlignment="1">
      <alignment vertical="top"/>
    </xf>
    <xf numFmtId="0" fontId="51" fillId="68" borderId="78" xfId="0" applyFont="1" applyFill="1" applyBorder="1" applyAlignment="1">
      <alignment vertical="top"/>
    </xf>
    <xf numFmtId="0" fontId="51" fillId="68" borderId="64" xfId="0" applyFont="1" applyFill="1" applyBorder="1" applyAlignment="1">
      <alignment vertical="top"/>
    </xf>
    <xf numFmtId="0" fontId="49" fillId="68" borderId="83" xfId="0" applyFont="1" applyFill="1" applyBorder="1" applyAlignment="1">
      <alignment vertical="center"/>
    </xf>
    <xf numFmtId="0" fontId="49" fillId="68" borderId="78" xfId="0" applyFont="1" applyFill="1" applyBorder="1" applyAlignment="1">
      <alignment vertical="center"/>
    </xf>
    <xf numFmtId="0" fontId="49" fillId="68" borderId="64" xfId="0" applyFont="1" applyFill="1" applyBorder="1" applyAlignment="1">
      <alignment vertical="center"/>
    </xf>
    <xf numFmtId="0" fontId="174" fillId="68" borderId="78" xfId="0" applyFont="1" applyFill="1" applyBorder="1" applyAlignment="1">
      <alignment vertical="top"/>
    </xf>
    <xf numFmtId="0" fontId="174" fillId="68" borderId="64" xfId="0" applyFont="1" applyFill="1" applyBorder="1" applyAlignment="1">
      <alignment horizontal="right" vertical="center" indent="1"/>
    </xf>
    <xf numFmtId="3" fontId="49" fillId="68" borderId="64" xfId="0" applyNumberFormat="1" applyFont="1" applyFill="1" applyBorder="1" applyAlignment="1" applyProtection="1">
      <alignment horizontal="center" vertical="center" shrinkToFit="1"/>
    </xf>
    <xf numFmtId="0" fontId="51" fillId="68" borderId="64" xfId="0" applyFont="1" applyFill="1" applyBorder="1" applyAlignment="1">
      <alignment horizontal="right" vertical="center" indent="1"/>
    </xf>
    <xf numFmtId="168" fontId="49" fillId="68" borderId="64" xfId="0" applyNumberFormat="1" applyFont="1" applyFill="1" applyBorder="1" applyAlignment="1" applyProtection="1">
      <alignment horizontal="center" vertical="center"/>
    </xf>
    <xf numFmtId="0" fontId="49" fillId="68" borderId="64" xfId="0" applyFont="1" applyFill="1" applyBorder="1" applyAlignment="1">
      <alignment horizontal="right" vertical="center" indent="1"/>
    </xf>
    <xf numFmtId="0" fontId="58" fillId="68" borderId="64" xfId="0" applyFont="1" applyFill="1" applyBorder="1" applyAlignment="1">
      <alignment vertical="center"/>
    </xf>
    <xf numFmtId="0" fontId="49" fillId="68" borderId="70" xfId="0" applyFont="1" applyFill="1" applyBorder="1" applyAlignment="1">
      <alignment horizontal="center" vertical="center" wrapText="1"/>
    </xf>
    <xf numFmtId="0" fontId="49" fillId="68" borderId="64" xfId="0" applyFont="1" applyFill="1" applyBorder="1" applyAlignment="1">
      <alignment horizontal="center" vertical="center" wrapText="1"/>
    </xf>
    <xf numFmtId="0" fontId="49" fillId="68" borderId="71" xfId="0" applyFont="1" applyFill="1" applyBorder="1" applyAlignment="1">
      <alignment horizontal="center" vertical="center" wrapText="1"/>
    </xf>
    <xf numFmtId="0" fontId="49" fillId="68" borderId="189" xfId="0" applyFont="1" applyFill="1" applyBorder="1" applyAlignment="1">
      <alignment horizontal="left" vertical="center" indent="1"/>
    </xf>
    <xf numFmtId="0" fontId="49" fillId="68" borderId="168" xfId="0" applyFont="1" applyFill="1" applyBorder="1" applyAlignment="1">
      <alignment vertical="center"/>
    </xf>
    <xf numFmtId="0" fontId="49" fillId="68" borderId="71" xfId="0" applyFont="1" applyFill="1" applyBorder="1" applyAlignment="1">
      <alignment horizontal="center" vertical="center"/>
    </xf>
    <xf numFmtId="0" fontId="49" fillId="68" borderId="70" xfId="0" applyFont="1" applyFill="1" applyBorder="1" applyAlignment="1">
      <alignment horizontal="center" vertical="center" shrinkToFit="1"/>
    </xf>
    <xf numFmtId="0" fontId="49" fillId="68" borderId="70" xfId="0" applyFont="1" applyFill="1" applyBorder="1" applyAlignment="1">
      <alignment horizontal="center" vertical="center"/>
    </xf>
    <xf numFmtId="0" fontId="51" fillId="68" borderId="70" xfId="0" applyFont="1" applyFill="1" applyBorder="1" applyAlignment="1">
      <alignment horizontal="center" vertical="center" shrinkToFit="1"/>
    </xf>
    <xf numFmtId="0" fontId="51" fillId="68" borderId="64" xfId="0" applyFont="1" applyFill="1" applyBorder="1" applyAlignment="1">
      <alignment horizontal="center" vertical="center" wrapText="1" shrinkToFit="1"/>
    </xf>
    <xf numFmtId="0" fontId="51" fillId="68" borderId="64" xfId="409" applyNumberFormat="1" applyFont="1" applyFill="1" applyBorder="1" applyAlignment="1" applyProtection="1">
      <alignment horizontal="center" vertical="center"/>
    </xf>
    <xf numFmtId="0" fontId="49" fillId="68" borderId="64" xfId="555" applyFont="1" applyFill="1" applyBorder="1" applyAlignment="1" applyProtection="1">
      <alignment horizontal="center" vertical="center"/>
    </xf>
    <xf numFmtId="0" fontId="58" fillId="68" borderId="128" xfId="0" applyFont="1" applyFill="1" applyBorder="1" applyAlignment="1">
      <alignment horizontal="left" vertical="center" indent="1"/>
    </xf>
    <xf numFmtId="0" fontId="49" fillId="68" borderId="129" xfId="0" applyFont="1" applyFill="1" applyBorder="1" applyAlignment="1">
      <alignment vertical="center"/>
    </xf>
    <xf numFmtId="0" fontId="51" fillId="68" borderId="71" xfId="0" applyFont="1" applyFill="1" applyBorder="1" applyAlignment="1">
      <alignment horizontal="center" vertical="center"/>
    </xf>
    <xf numFmtId="0" fontId="51" fillId="68" borderId="70" xfId="0" applyFont="1" applyFill="1" applyBorder="1" applyAlignment="1">
      <alignment horizontal="center" vertical="center" wrapText="1"/>
    </xf>
    <xf numFmtId="0" fontId="51" fillId="68" borderId="64" xfId="0" applyFont="1" applyFill="1" applyBorder="1" applyAlignment="1">
      <alignment horizontal="center"/>
    </xf>
    <xf numFmtId="0" fontId="51" fillId="68" borderId="71" xfId="0" applyFont="1" applyFill="1" applyBorder="1" applyAlignment="1">
      <alignment horizontal="center"/>
    </xf>
    <xf numFmtId="0" fontId="51" fillId="68" borderId="70" xfId="0" applyFont="1" applyFill="1" applyBorder="1" applyAlignment="1">
      <alignment vertical="center"/>
    </xf>
    <xf numFmtId="0" fontId="51" fillId="68" borderId="64" xfId="0" applyFont="1" applyFill="1" applyBorder="1" applyAlignment="1">
      <alignment vertical="center"/>
    </xf>
    <xf numFmtId="0" fontId="51" fillId="68" borderId="64" xfId="0" applyFont="1" applyFill="1" applyBorder="1" applyAlignment="1"/>
    <xf numFmtId="0" fontId="51" fillId="68" borderId="71" xfId="0" applyFont="1" applyFill="1" applyBorder="1" applyAlignment="1"/>
    <xf numFmtId="0" fontId="51" fillId="68" borderId="128" xfId="0" applyFont="1" applyFill="1" applyBorder="1" applyAlignment="1">
      <alignment horizontal="left" vertical="center" indent="1"/>
    </xf>
    <xf numFmtId="0" fontId="51" fillId="68" borderId="129" xfId="0" applyFont="1" applyFill="1" applyBorder="1" applyAlignment="1">
      <alignment horizontal="right" vertical="center"/>
    </xf>
    <xf numFmtId="0" fontId="49" fillId="68" borderId="128" xfId="0" applyFont="1" applyFill="1" applyBorder="1" applyAlignment="1">
      <alignment horizontal="center" vertical="center" wrapText="1"/>
    </xf>
    <xf numFmtId="0" fontId="49" fillId="68" borderId="161" xfId="0" applyFont="1" applyFill="1" applyBorder="1" applyAlignment="1">
      <alignment horizontal="center" vertical="center" wrapText="1"/>
    </xf>
    <xf numFmtId="0" fontId="49" fillId="68" borderId="129" xfId="0" applyFont="1" applyFill="1" applyBorder="1" applyAlignment="1">
      <alignment horizontal="center" vertical="center" wrapText="1"/>
    </xf>
    <xf numFmtId="0" fontId="51" fillId="68" borderId="69" xfId="0" applyFont="1" applyFill="1" applyBorder="1" applyAlignment="1">
      <alignment horizontal="center" vertical="center"/>
    </xf>
    <xf numFmtId="0" fontId="51" fillId="68" borderId="64" xfId="0" applyFont="1" applyFill="1" applyBorder="1" applyAlignment="1">
      <alignment horizontal="center" vertical="center" shrinkToFit="1"/>
    </xf>
    <xf numFmtId="0" fontId="51" fillId="68" borderId="70" xfId="0" applyFont="1" applyFill="1" applyBorder="1" applyAlignment="1">
      <alignment horizontal="center" vertical="center"/>
    </xf>
    <xf numFmtId="0" fontId="51" fillId="68" borderId="78" xfId="0" applyFont="1" applyFill="1" applyBorder="1" applyAlignment="1">
      <alignment horizontal="center" vertical="center" shrinkToFit="1"/>
    </xf>
    <xf numFmtId="0" fontId="51" fillId="68" borderId="71" xfId="0" applyFont="1" applyFill="1" applyBorder="1" applyAlignment="1">
      <alignment horizontal="center" vertical="center" shrinkToFit="1"/>
    </xf>
    <xf numFmtId="0" fontId="58" fillId="68" borderId="104" xfId="0" applyFont="1" applyFill="1" applyBorder="1" applyAlignment="1">
      <alignment horizontal="left" vertical="center" indent="1"/>
    </xf>
    <xf numFmtId="0" fontId="49" fillId="68" borderId="103" xfId="0" applyFont="1" applyFill="1" applyBorder="1" applyAlignment="1">
      <alignment vertical="center"/>
    </xf>
    <xf numFmtId="49" fontId="51" fillId="68" borderId="64" xfId="0" applyNumberFormat="1" applyFont="1" applyFill="1" applyBorder="1" applyAlignment="1">
      <alignment horizontal="center" vertical="center"/>
    </xf>
    <xf numFmtId="0" fontId="49" fillId="68" borderId="104" xfId="0" applyFont="1" applyFill="1" applyBorder="1" applyAlignment="1">
      <alignment horizontal="left" vertical="center" indent="1"/>
    </xf>
    <xf numFmtId="1" fontId="51" fillId="68" borderId="64" xfId="0" applyNumberFormat="1" applyFont="1" applyFill="1" applyBorder="1" applyAlignment="1">
      <alignment horizontal="center" vertical="center"/>
    </xf>
    <xf numFmtId="0" fontId="51" fillId="68" borderId="150" xfId="0" applyFont="1" applyFill="1" applyBorder="1" applyAlignment="1">
      <alignment horizontal="center" vertical="center"/>
    </xf>
    <xf numFmtId="1" fontId="51" fillId="68" borderId="150" xfId="0" applyNumberFormat="1" applyFont="1" applyFill="1" applyBorder="1" applyAlignment="1">
      <alignment horizontal="center" vertical="center"/>
    </xf>
    <xf numFmtId="0" fontId="49" fillId="68" borderId="150" xfId="0" applyFont="1" applyFill="1" applyBorder="1" applyAlignment="1">
      <alignment horizontal="center" vertical="center"/>
    </xf>
    <xf numFmtId="1" fontId="49" fillId="68" borderId="64" xfId="0" applyNumberFormat="1" applyFont="1" applyFill="1" applyBorder="1" applyAlignment="1">
      <alignment horizontal="center" vertical="center"/>
    </xf>
    <xf numFmtId="16" fontId="51" fillId="68" borderId="64" xfId="0" quotePrefix="1" applyNumberFormat="1" applyFont="1" applyFill="1" applyBorder="1" applyAlignment="1">
      <alignment horizontal="center" vertical="center"/>
    </xf>
    <xf numFmtId="16" fontId="51" fillId="68" borderId="64" xfId="0" applyNumberFormat="1" applyFont="1" applyFill="1" applyBorder="1" applyAlignment="1">
      <alignment horizontal="center" vertical="center"/>
    </xf>
    <xf numFmtId="0" fontId="49" fillId="68" borderId="64" xfId="0" quotePrefix="1" applyFont="1" applyFill="1" applyBorder="1" applyAlignment="1">
      <alignment horizontal="center" vertical="center"/>
    </xf>
    <xf numFmtId="0" fontId="51" fillId="68" borderId="64" xfId="409" applyNumberFormat="1" applyFont="1" applyFill="1" applyBorder="1" applyAlignment="1">
      <alignment horizontal="center" vertical="center"/>
    </xf>
    <xf numFmtId="0" fontId="49" fillId="68" borderId="64" xfId="555" applyFont="1" applyFill="1" applyBorder="1" applyAlignment="1">
      <alignment horizontal="center" vertical="center"/>
    </xf>
    <xf numFmtId="0" fontId="51" fillId="68" borderId="150" xfId="409" applyNumberFormat="1" applyFont="1" applyFill="1" applyBorder="1" applyAlignment="1">
      <alignment horizontal="center" vertical="center"/>
    </xf>
    <xf numFmtId="0" fontId="49" fillId="68" borderId="150" xfId="555" applyFont="1" applyFill="1" applyBorder="1" applyAlignment="1">
      <alignment horizontal="center" vertical="center"/>
    </xf>
    <xf numFmtId="0" fontId="51" fillId="68" borderId="150" xfId="409" applyNumberFormat="1" applyFont="1" applyFill="1" applyBorder="1" applyAlignment="1" applyProtection="1">
      <alignment horizontal="center" vertical="center"/>
    </xf>
    <xf numFmtId="0" fontId="49" fillId="68" borderId="150" xfId="555" applyFont="1" applyFill="1" applyBorder="1" applyAlignment="1" applyProtection="1">
      <alignment horizontal="center" vertical="center"/>
    </xf>
    <xf numFmtId="0" fontId="40" fillId="68" borderId="63" xfId="0" applyFont="1" applyFill="1" applyBorder="1" applyAlignment="1">
      <alignment horizontal="center" vertical="center" wrapText="1"/>
    </xf>
    <xf numFmtId="0" fontId="50" fillId="68" borderId="63" xfId="0" applyFont="1" applyFill="1" applyBorder="1" applyAlignment="1">
      <alignment horizontal="center" vertical="center" wrapText="1"/>
    </xf>
    <xf numFmtId="0" fontId="38" fillId="68" borderId="64" xfId="0" applyFont="1" applyFill="1" applyBorder="1" applyAlignment="1" applyProtection="1">
      <alignment horizontal="center" vertical="center" wrapText="1"/>
      <protection hidden="1"/>
    </xf>
    <xf numFmtId="0" fontId="53" fillId="68" borderId="64" xfId="0" applyFont="1" applyFill="1" applyBorder="1" applyAlignment="1" applyProtection="1">
      <alignment horizontal="center" vertical="center"/>
      <protection hidden="1"/>
    </xf>
    <xf numFmtId="0" fontId="176" fillId="68" borderId="64" xfId="0" applyFont="1" applyFill="1" applyBorder="1" applyAlignment="1">
      <alignment horizontal="center" vertical="center" wrapText="1"/>
    </xf>
    <xf numFmtId="0" fontId="53" fillId="68" borderId="64" xfId="0" applyFont="1" applyFill="1" applyBorder="1" applyAlignment="1" applyProtection="1">
      <alignment horizontal="center" vertical="center" wrapText="1"/>
      <protection hidden="1"/>
    </xf>
    <xf numFmtId="0" fontId="45" fillId="68" borderId="64" xfId="0" applyFont="1" applyFill="1" applyBorder="1" applyAlignment="1" applyProtection="1">
      <alignment horizontal="center" vertical="center" wrapText="1"/>
      <protection hidden="1"/>
    </xf>
    <xf numFmtId="0" fontId="53" fillId="68" borderId="64" xfId="0" applyFont="1" applyFill="1" applyBorder="1" applyAlignment="1" applyProtection="1">
      <alignment horizontal="center" vertical="center"/>
      <protection locked="0"/>
    </xf>
    <xf numFmtId="0" fontId="53" fillId="68" borderId="64" xfId="0" applyFont="1" applyFill="1" applyBorder="1" applyAlignment="1" applyProtection="1">
      <alignment horizontal="center" vertical="center" wrapText="1"/>
    </xf>
    <xf numFmtId="0" fontId="53" fillId="68" borderId="64" xfId="0" applyFont="1" applyFill="1" applyBorder="1" applyAlignment="1" applyProtection="1">
      <alignment horizontal="center" wrapText="1"/>
    </xf>
    <xf numFmtId="0" fontId="53" fillId="68" borderId="64" xfId="546" applyNumberFormat="1" applyFont="1" applyFill="1" applyBorder="1" applyAlignment="1" applyProtection="1">
      <alignment horizontal="center" vertical="center" wrapText="1"/>
    </xf>
    <xf numFmtId="0" fontId="38" fillId="68" borderId="64" xfId="0" applyFont="1" applyFill="1" applyBorder="1" applyAlignment="1" applyProtection="1">
      <alignment horizontal="center" vertical="center" wrapText="1"/>
    </xf>
    <xf numFmtId="0" fontId="45" fillId="68" borderId="64" xfId="0" applyFont="1" applyFill="1" applyBorder="1" applyAlignment="1" applyProtection="1">
      <alignment horizontal="center" vertical="center" wrapText="1"/>
    </xf>
    <xf numFmtId="0" fontId="50" fillId="68" borderId="83" xfId="0" applyFont="1" applyFill="1" applyBorder="1" applyAlignment="1" applyProtection="1">
      <alignment shrinkToFit="1"/>
    </xf>
    <xf numFmtId="0" fontId="50" fillId="68" borderId="78" xfId="0" applyFont="1" applyFill="1" applyBorder="1" applyAlignment="1" applyProtection="1">
      <alignment shrinkToFit="1"/>
    </xf>
    <xf numFmtId="0" fontId="53" fillId="68" borderId="64" xfId="0" applyFont="1" applyFill="1" applyBorder="1" applyAlignment="1" applyProtection="1">
      <alignment horizontal="left" vertical="center"/>
    </xf>
    <xf numFmtId="0" fontId="110" fillId="68" borderId="64" xfId="0" applyFont="1" applyFill="1" applyBorder="1" applyAlignment="1" applyProtection="1">
      <alignment horizontal="center" vertical="center"/>
      <protection locked="0"/>
    </xf>
    <xf numFmtId="0" fontId="53" fillId="68" borderId="64" xfId="0" applyFont="1" applyFill="1" applyBorder="1" applyAlignment="1" applyProtection="1">
      <alignment horizontal="center" vertical="center" shrinkToFit="1"/>
      <protection locked="0"/>
    </xf>
    <xf numFmtId="0" fontId="53" fillId="68" borderId="64" xfId="546" applyNumberFormat="1" applyFont="1" applyFill="1" applyBorder="1" applyAlignment="1" applyProtection="1">
      <alignment horizontal="center" vertical="center" shrinkToFit="1"/>
    </xf>
    <xf numFmtId="167" fontId="53" fillId="68" borderId="64" xfId="0" applyNumberFormat="1" applyFont="1" applyFill="1" applyBorder="1" applyAlignment="1" applyProtection="1">
      <alignment horizontal="center" vertical="center"/>
    </xf>
    <xf numFmtId="0" fontId="45" fillId="68" borderId="64" xfId="0" applyFont="1" applyFill="1" applyBorder="1" applyAlignment="1" applyProtection="1">
      <alignment vertical="center"/>
    </xf>
    <xf numFmtId="2" fontId="53" fillId="68" borderId="64" xfId="0" applyNumberFormat="1" applyFont="1" applyFill="1" applyBorder="1" applyAlignment="1" applyProtection="1">
      <alignment horizontal="center" vertical="center"/>
    </xf>
    <xf numFmtId="168" fontId="53" fillId="68" borderId="64" xfId="0" applyNumberFormat="1" applyFont="1" applyFill="1" applyBorder="1" applyAlignment="1" applyProtection="1">
      <alignment horizontal="center" vertical="center"/>
    </xf>
    <xf numFmtId="0" fontId="45" fillId="68" borderId="64" xfId="0" applyFont="1" applyFill="1" applyBorder="1" applyAlignment="1" applyProtection="1">
      <alignment horizontal="center" vertical="center"/>
    </xf>
    <xf numFmtId="3" fontId="53" fillId="68" borderId="64" xfId="0" applyNumberFormat="1" applyFont="1" applyFill="1" applyBorder="1" applyAlignment="1" applyProtection="1">
      <alignment horizontal="center" vertical="center"/>
    </xf>
    <xf numFmtId="0" fontId="53" fillId="68" borderId="64" xfId="0" applyFont="1" applyFill="1" applyBorder="1" applyAlignment="1" applyProtection="1">
      <alignment vertical="center"/>
    </xf>
    <xf numFmtId="0" fontId="53" fillId="68" borderId="64" xfId="0" applyFont="1" applyFill="1" applyBorder="1" applyAlignment="1" applyProtection="1">
      <alignment horizontal="right" vertical="center"/>
    </xf>
    <xf numFmtId="0" fontId="53" fillId="68" borderId="64" xfId="0" applyFont="1" applyFill="1" applyBorder="1" applyAlignment="1" applyProtection="1">
      <alignment horizontal="center" vertical="center"/>
    </xf>
    <xf numFmtId="168" fontId="188" fillId="68" borderId="64" xfId="0" applyNumberFormat="1" applyFont="1" applyFill="1" applyBorder="1" applyAlignment="1" applyProtection="1">
      <alignment horizontal="center" vertical="center" shrinkToFit="1"/>
    </xf>
    <xf numFmtId="167" fontId="188" fillId="68" borderId="64" xfId="0" applyNumberFormat="1" applyFont="1" applyFill="1" applyBorder="1" applyAlignment="1" applyProtection="1">
      <alignment horizontal="center" vertical="center" shrinkToFit="1"/>
    </xf>
    <xf numFmtId="0" fontId="40" fillId="72" borderId="64" xfId="0" applyFont="1" applyFill="1" applyBorder="1" applyAlignment="1" applyProtection="1">
      <alignment horizontal="center" vertical="center" wrapText="1"/>
    </xf>
    <xf numFmtId="0" fontId="40" fillId="73" borderId="64" xfId="0" applyFont="1" applyFill="1" applyBorder="1" applyAlignment="1" applyProtection="1">
      <alignment horizontal="center" vertical="center" wrapText="1"/>
    </xf>
    <xf numFmtId="0" fontId="40" fillId="73" borderId="64" xfId="0" applyFont="1" applyFill="1" applyBorder="1" applyAlignment="1" applyProtection="1">
      <alignment horizontal="center" vertical="center"/>
    </xf>
    <xf numFmtId="0" fontId="40" fillId="73" borderId="72" xfId="0" applyFont="1" applyFill="1" applyBorder="1" applyAlignment="1" applyProtection="1">
      <alignment horizontal="center" vertical="center"/>
    </xf>
    <xf numFmtId="0" fontId="40" fillId="74" borderId="64" xfId="0" applyFont="1" applyFill="1" applyBorder="1" applyAlignment="1">
      <alignment horizontal="center" vertical="center" wrapText="1"/>
    </xf>
    <xf numFmtId="0" fontId="62" fillId="66" borderId="64" xfId="0" applyFont="1" applyFill="1" applyBorder="1" applyAlignment="1">
      <alignment horizontal="left" vertical="center" wrapText="1" indent="1"/>
    </xf>
    <xf numFmtId="0" fontId="39" fillId="66" borderId="64" xfId="0" applyFont="1" applyFill="1" applyBorder="1" applyAlignment="1">
      <alignment horizontal="center" vertical="center" wrapText="1"/>
    </xf>
    <xf numFmtId="0" fontId="0" fillId="68" borderId="64" xfId="0" applyFill="1" applyBorder="1" applyAlignment="1">
      <alignment vertical="center"/>
    </xf>
    <xf numFmtId="0" fontId="0" fillId="68" borderId="64" xfId="0" applyFill="1" applyBorder="1" applyAlignment="1">
      <alignment horizontal="center" vertical="center"/>
    </xf>
    <xf numFmtId="0" fontId="0" fillId="68" borderId="64" xfId="0" applyFill="1" applyBorder="1" applyAlignment="1">
      <alignment horizontal="center" vertical="center" wrapText="1"/>
    </xf>
    <xf numFmtId="0" fontId="45" fillId="68" borderId="64" xfId="0" applyFont="1" applyFill="1" applyBorder="1" applyAlignment="1">
      <alignment horizontal="center" vertical="center"/>
    </xf>
    <xf numFmtId="0" fontId="50" fillId="68" borderId="64" xfId="0" applyFont="1" applyFill="1" applyBorder="1" applyAlignment="1">
      <alignment horizontal="center" vertical="center" wrapText="1"/>
    </xf>
    <xf numFmtId="0" fontId="40" fillId="68" borderId="64" xfId="0" applyFont="1" applyFill="1" applyBorder="1" applyAlignment="1">
      <alignment horizontal="left" vertical="center" indent="1"/>
    </xf>
    <xf numFmtId="0" fontId="40" fillId="68" borderId="64" xfId="0" applyFont="1" applyFill="1" applyBorder="1" applyAlignment="1">
      <alignment horizontal="center" vertical="center"/>
    </xf>
    <xf numFmtId="1" fontId="51" fillId="68" borderId="64" xfId="0" applyNumberFormat="1" applyFont="1" applyFill="1" applyBorder="1" applyAlignment="1" applyProtection="1">
      <alignment horizontal="center" vertical="center" shrinkToFit="1"/>
      <protection locked="0"/>
    </xf>
    <xf numFmtId="1" fontId="51" fillId="68" borderId="64" xfId="0" applyNumberFormat="1" applyFont="1" applyFill="1" applyBorder="1" applyAlignment="1" applyProtection="1">
      <alignment horizontal="center" shrinkToFit="1"/>
    </xf>
    <xf numFmtId="1" fontId="49" fillId="68" borderId="64" xfId="0" applyNumberFormat="1" applyFont="1" applyFill="1" applyBorder="1" applyAlignment="1" applyProtection="1">
      <alignment horizontal="center" vertical="center" shrinkToFit="1"/>
    </xf>
    <xf numFmtId="0" fontId="40" fillId="68" borderId="69" xfId="0" applyFont="1" applyFill="1" applyBorder="1" applyAlignment="1">
      <alignment horizontal="left" vertical="center" indent="1"/>
    </xf>
    <xf numFmtId="0" fontId="40" fillId="70" borderId="78" xfId="0" applyFont="1" applyFill="1" applyBorder="1" applyAlignment="1">
      <alignment horizontal="center" vertical="center"/>
    </xf>
    <xf numFmtId="0" fontId="0" fillId="70" borderId="64" xfId="0" applyFont="1" applyFill="1" applyBorder="1" applyAlignment="1">
      <alignment vertical="center"/>
    </xf>
    <xf numFmtId="1" fontId="47" fillId="70" borderId="78" xfId="0" applyNumberFormat="1" applyFont="1" applyFill="1" applyBorder="1" applyAlignment="1">
      <alignment horizontal="center" vertical="center"/>
    </xf>
    <xf numFmtId="1" fontId="47" fillId="70" borderId="142" xfId="0" applyNumberFormat="1" applyFont="1" applyFill="1" applyBorder="1" applyAlignment="1">
      <alignment horizontal="center" vertical="center"/>
    </xf>
    <xf numFmtId="1" fontId="47" fillId="70" borderId="72" xfId="0" applyNumberFormat="1" applyFont="1" applyFill="1" applyBorder="1" applyAlignment="1">
      <alignment horizontal="center" vertical="center"/>
    </xf>
    <xf numFmtId="1" fontId="47" fillId="70" borderId="63" xfId="0" applyNumberFormat="1" applyFont="1" applyFill="1" applyBorder="1" applyAlignment="1">
      <alignment horizontal="center" vertical="center"/>
    </xf>
    <xf numFmtId="1" fontId="47" fillId="70" borderId="147" xfId="0" applyNumberFormat="1" applyFont="1" applyFill="1" applyBorder="1" applyAlignment="1">
      <alignment horizontal="center" vertical="center"/>
    </xf>
    <xf numFmtId="1" fontId="47" fillId="70" borderId="64" xfId="0" applyNumberFormat="1" applyFont="1" applyFill="1" applyBorder="1" applyAlignment="1">
      <alignment horizontal="center" vertical="center"/>
    </xf>
    <xf numFmtId="1" fontId="47" fillId="70" borderId="148" xfId="0" applyNumberFormat="1" applyFont="1" applyFill="1" applyBorder="1" applyAlignment="1">
      <alignment horizontal="center" vertical="center"/>
    </xf>
    <xf numFmtId="0" fontId="49" fillId="68" borderId="41" xfId="0" applyFont="1" applyFill="1" applyBorder="1" applyAlignment="1">
      <alignment horizontal="center" vertical="center" wrapText="1"/>
    </xf>
    <xf numFmtId="0" fontId="50" fillId="68" borderId="49" xfId="0" applyFont="1" applyFill="1" applyBorder="1" applyAlignment="1">
      <alignment horizontal="center" vertical="center" wrapText="1"/>
    </xf>
    <xf numFmtId="0" fontId="50" fillId="68" borderId="54" xfId="0" applyFont="1" applyFill="1" applyBorder="1" applyAlignment="1">
      <alignment horizontal="center" vertical="center" wrapText="1"/>
    </xf>
    <xf numFmtId="0" fontId="58" fillId="75" borderId="22" xfId="0" applyFont="1" applyFill="1" applyBorder="1" applyAlignment="1" applyProtection="1">
      <alignment horizontal="center"/>
      <protection hidden="1"/>
    </xf>
    <xf numFmtId="0" fontId="78" fillId="75" borderId="49" xfId="0" applyFont="1" applyFill="1" applyBorder="1"/>
    <xf numFmtId="0" fontId="78" fillId="75" borderId="54" xfId="0" applyFont="1" applyFill="1" applyBorder="1"/>
    <xf numFmtId="0" fontId="58" fillId="72" borderId="22" xfId="0" applyFont="1" applyFill="1" applyBorder="1" applyAlignment="1" applyProtection="1">
      <alignment horizontal="left"/>
      <protection hidden="1"/>
    </xf>
    <xf numFmtId="0" fontId="78" fillId="72" borderId="49" xfId="0" applyFont="1" applyFill="1" applyBorder="1"/>
    <xf numFmtId="0" fontId="78" fillId="72" borderId="54" xfId="0" applyFont="1" applyFill="1" applyBorder="1"/>
    <xf numFmtId="0" fontId="78" fillId="75" borderId="10" xfId="0" applyFont="1" applyFill="1" applyBorder="1" applyAlignment="1"/>
    <xf numFmtId="0" fontId="78" fillId="75" borderId="26" xfId="0" applyFont="1" applyFill="1" applyBorder="1" applyAlignment="1"/>
    <xf numFmtId="0" fontId="78" fillId="72" borderId="10" xfId="0" applyFont="1" applyFill="1" applyBorder="1" applyAlignment="1"/>
    <xf numFmtId="0" fontId="78" fillId="72" borderId="26" xfId="0" applyFont="1" applyFill="1" applyBorder="1" applyAlignment="1"/>
    <xf numFmtId="0" fontId="58" fillId="68" borderId="45" xfId="0" applyFont="1" applyFill="1" applyBorder="1" applyAlignment="1">
      <alignment horizontal="center" vertical="center" wrapText="1"/>
    </xf>
    <xf numFmtId="0" fontId="49" fillId="75" borderId="139" xfId="0" applyFont="1" applyFill="1" applyBorder="1"/>
    <xf numFmtId="0" fontId="49" fillId="75" borderId="42" xfId="0" applyFont="1" applyFill="1" applyBorder="1" applyAlignment="1"/>
    <xf numFmtId="0" fontId="49" fillId="75" borderId="41" xfId="0" applyFont="1" applyFill="1" applyBorder="1"/>
    <xf numFmtId="0" fontId="49" fillId="75" borderId="54" xfId="0" applyFont="1" applyFill="1" applyBorder="1"/>
    <xf numFmtId="0" fontId="58" fillId="75" borderId="41" xfId="0" applyFont="1" applyFill="1" applyBorder="1" applyAlignment="1" applyProtection="1">
      <alignment horizontal="center"/>
      <protection hidden="1"/>
    </xf>
    <xf numFmtId="0" fontId="49" fillId="72" borderId="25" xfId="0" applyFont="1" applyFill="1" applyBorder="1"/>
    <xf numFmtId="0" fontId="49" fillId="72" borderId="26" xfId="0" applyFont="1" applyFill="1" applyBorder="1" applyAlignment="1"/>
    <xf numFmtId="0" fontId="49" fillId="72" borderId="22" xfId="0" applyFont="1" applyFill="1" applyBorder="1"/>
    <xf numFmtId="0" fontId="49" fillId="72" borderId="27" xfId="0" applyFont="1" applyFill="1" applyBorder="1"/>
    <xf numFmtId="0" fontId="106" fillId="72" borderId="49" xfId="0" applyFont="1" applyFill="1" applyBorder="1" applyAlignment="1">
      <alignment horizontal="center"/>
    </xf>
    <xf numFmtId="0" fontId="49" fillId="72" borderId="49" xfId="0" applyFont="1" applyFill="1" applyBorder="1" applyAlignment="1">
      <alignment horizontal="center"/>
    </xf>
    <xf numFmtId="0" fontId="106" fillId="72" borderId="54" xfId="0" applyFont="1" applyFill="1" applyBorder="1" applyAlignment="1">
      <alignment horizontal="center"/>
    </xf>
    <xf numFmtId="0" fontId="73" fillId="75" borderId="49" xfId="0" applyFont="1" applyFill="1" applyBorder="1"/>
    <xf numFmtId="0" fontId="73" fillId="75" borderId="54" xfId="0" applyFont="1" applyFill="1" applyBorder="1"/>
    <xf numFmtId="0" fontId="107" fillId="72" borderId="49" xfId="0" applyFont="1" applyFill="1" applyBorder="1" applyAlignment="1">
      <alignment horizontal="center"/>
    </xf>
    <xf numFmtId="0" fontId="107" fillId="72" borderId="54" xfId="0" applyFont="1" applyFill="1" applyBorder="1" applyAlignment="1">
      <alignment horizontal="center"/>
    </xf>
    <xf numFmtId="0" fontId="58" fillId="72" borderId="25" xfId="0" applyFont="1" applyFill="1" applyBorder="1" applyAlignment="1" applyProtection="1">
      <alignment horizontal="left"/>
      <protection hidden="1"/>
    </xf>
    <xf numFmtId="0" fontId="58" fillId="72" borderId="10" xfId="0" applyFont="1" applyFill="1" applyBorder="1" applyAlignment="1" applyProtection="1">
      <alignment horizontal="left"/>
      <protection hidden="1"/>
    </xf>
    <xf numFmtId="0" fontId="58" fillId="72" borderId="21" xfId="0" applyFont="1" applyFill="1" applyBorder="1" applyAlignment="1" applyProtection="1">
      <alignment horizontal="left"/>
      <protection hidden="1"/>
    </xf>
    <xf numFmtId="167" fontId="106" fillId="75" borderId="10" xfId="0" applyNumberFormat="1" applyFont="1" applyFill="1" applyBorder="1" applyAlignment="1">
      <alignment horizontal="center"/>
    </xf>
    <xf numFmtId="167" fontId="106" fillId="75" borderId="26" xfId="0" applyNumberFormat="1" applyFont="1" applyFill="1" applyBorder="1" applyAlignment="1">
      <alignment horizontal="center"/>
    </xf>
    <xf numFmtId="167" fontId="106" fillId="72" borderId="10" xfId="0" applyNumberFormat="1" applyFont="1" applyFill="1" applyBorder="1" applyAlignment="1">
      <alignment horizontal="center"/>
    </xf>
    <xf numFmtId="167" fontId="106" fillId="72" borderId="26" xfId="0" applyNumberFormat="1" applyFont="1" applyFill="1" applyBorder="1" applyAlignment="1">
      <alignment horizontal="center"/>
    </xf>
    <xf numFmtId="0" fontId="106" fillId="72" borderId="10" xfId="0" applyFont="1" applyFill="1" applyBorder="1" applyAlignment="1">
      <alignment horizontal="left" wrapText="1"/>
    </xf>
    <xf numFmtId="0" fontId="106" fillId="72" borderId="26" xfId="0" applyFont="1" applyFill="1" applyBorder="1" applyAlignment="1">
      <alignment horizontal="left" wrapText="1"/>
    </xf>
    <xf numFmtId="175" fontId="49" fillId="75" borderId="25" xfId="0" applyNumberFormat="1" applyFont="1" applyFill="1" applyBorder="1" applyAlignment="1">
      <alignment horizontal="center"/>
    </xf>
    <xf numFmtId="175" fontId="49" fillId="75" borderId="26" xfId="0" applyNumberFormat="1" applyFont="1" applyFill="1" applyBorder="1" applyAlignment="1">
      <alignment horizontal="center"/>
    </xf>
    <xf numFmtId="175" fontId="49" fillId="75" borderId="22" xfId="0" applyNumberFormat="1" applyFont="1" applyFill="1" applyBorder="1" applyAlignment="1">
      <alignment horizontal="center"/>
    </xf>
    <xf numFmtId="175" fontId="49" fillId="75" borderId="27" xfId="0" applyNumberFormat="1" applyFont="1" applyFill="1" applyBorder="1" applyAlignment="1">
      <alignment horizontal="center"/>
    </xf>
    <xf numFmtId="175" fontId="49" fillId="72" borderId="25" xfId="0" applyNumberFormat="1" applyFont="1" applyFill="1" applyBorder="1" applyAlignment="1">
      <alignment horizontal="center"/>
    </xf>
    <xf numFmtId="175" fontId="49" fillId="72" borderId="26" xfId="0" applyNumberFormat="1" applyFont="1" applyFill="1" applyBorder="1" applyAlignment="1">
      <alignment horizontal="center"/>
    </xf>
    <xf numFmtId="175" fontId="49" fillId="72" borderId="22" xfId="0" applyNumberFormat="1" applyFont="1" applyFill="1" applyBorder="1" applyAlignment="1">
      <alignment horizontal="center"/>
    </xf>
    <xf numFmtId="175" fontId="49" fillId="72" borderId="27" xfId="0" applyNumberFormat="1" applyFont="1" applyFill="1" applyBorder="1" applyAlignment="1">
      <alignment horizontal="center"/>
    </xf>
    <xf numFmtId="0" fontId="108" fillId="72" borderId="22" xfId="0" applyFont="1" applyFill="1" applyBorder="1" applyAlignment="1">
      <alignment vertical="center"/>
    </xf>
    <xf numFmtId="4" fontId="49" fillId="72" borderId="25" xfId="0" applyNumberFormat="1" applyFont="1" applyFill="1" applyBorder="1" applyAlignment="1">
      <alignment horizontal="center"/>
    </xf>
    <xf numFmtId="4" fontId="49" fillId="72" borderId="26" xfId="0" applyNumberFormat="1" applyFont="1" applyFill="1" applyBorder="1" applyAlignment="1">
      <alignment horizontal="center"/>
    </xf>
    <xf numFmtId="4" fontId="49" fillId="72" borderId="22" xfId="0" applyNumberFormat="1" applyFont="1" applyFill="1" applyBorder="1" applyAlignment="1">
      <alignment horizontal="center"/>
    </xf>
    <xf numFmtId="4" fontId="49" fillId="72" borderId="27" xfId="0" applyNumberFormat="1" applyFont="1" applyFill="1" applyBorder="1" applyAlignment="1">
      <alignment horizontal="center"/>
    </xf>
    <xf numFmtId="0" fontId="49" fillId="72" borderId="22" xfId="0" applyFont="1" applyFill="1" applyBorder="1" applyAlignment="1">
      <alignment wrapText="1"/>
    </xf>
    <xf numFmtId="0" fontId="40" fillId="72" borderId="22" xfId="0" applyFont="1" applyFill="1" applyBorder="1" applyAlignment="1">
      <alignment wrapText="1"/>
    </xf>
    <xf numFmtId="175" fontId="0" fillId="75" borderId="25" xfId="0" applyNumberFormat="1" applyFont="1" applyFill="1" applyBorder="1" applyAlignment="1">
      <alignment horizontal="left" vertical="center"/>
    </xf>
    <xf numFmtId="175" fontId="0" fillId="75" borderId="27" xfId="0" applyNumberFormat="1" applyFont="1" applyFill="1" applyBorder="1" applyAlignment="1">
      <alignment horizontal="right" vertical="center"/>
    </xf>
    <xf numFmtId="168" fontId="49" fillId="72" borderId="26" xfId="0" applyNumberFormat="1" applyFont="1" applyFill="1" applyBorder="1" applyAlignment="1">
      <alignment horizontal="center"/>
    </xf>
    <xf numFmtId="168" fontId="49" fillId="72" borderId="22" xfId="0" applyNumberFormat="1" applyFont="1" applyFill="1" applyBorder="1" applyAlignment="1">
      <alignment horizontal="center"/>
    </xf>
    <xf numFmtId="0" fontId="58" fillId="72" borderId="22" xfId="0" applyFont="1" applyFill="1" applyBorder="1" applyAlignment="1">
      <alignment vertical="center"/>
    </xf>
    <xf numFmtId="0" fontId="58" fillId="72" borderId="22" xfId="0" applyFont="1" applyFill="1" applyBorder="1" applyAlignment="1">
      <alignment horizontal="left" vertical="center"/>
    </xf>
    <xf numFmtId="168" fontId="49" fillId="0" borderId="25" xfId="0" applyNumberFormat="1" applyFont="1" applyFill="1" applyBorder="1" applyAlignment="1" applyProtection="1">
      <alignment horizontal="center" vertical="center"/>
    </xf>
    <xf numFmtId="168" fontId="49" fillId="0" borderId="26" xfId="0" applyNumberFormat="1" applyFont="1" applyFill="1" applyBorder="1" applyAlignment="1" applyProtection="1">
      <alignment horizontal="center" vertical="center"/>
    </xf>
    <xf numFmtId="168" fontId="49" fillId="0" borderId="22" xfId="0" applyNumberFormat="1" applyFont="1" applyFill="1" applyBorder="1" applyAlignment="1" applyProtection="1">
      <alignment horizontal="center" vertical="center"/>
    </xf>
    <xf numFmtId="168" fontId="49" fillId="0" borderId="27" xfId="0" applyNumberFormat="1" applyFont="1" applyFill="1" applyBorder="1" applyAlignment="1" applyProtection="1">
      <alignment horizontal="center" vertical="center"/>
    </xf>
    <xf numFmtId="0" fontId="73" fillId="75" borderId="10" xfId="0" applyFont="1" applyFill="1" applyBorder="1" applyAlignment="1"/>
    <xf numFmtId="167" fontId="40" fillId="68" borderId="10" xfId="0" applyNumberFormat="1" applyFont="1" applyFill="1" applyBorder="1" applyAlignment="1"/>
    <xf numFmtId="4" fontId="49" fillId="75" borderId="27" xfId="0" applyNumberFormat="1" applyFont="1" applyFill="1" applyBorder="1" applyAlignment="1">
      <alignment horizontal="center"/>
    </xf>
    <xf numFmtId="168" fontId="49" fillId="72" borderId="27" xfId="0" applyNumberFormat="1" applyFont="1" applyFill="1" applyBorder="1" applyAlignment="1">
      <alignment horizontal="center"/>
    </xf>
    <xf numFmtId="0" fontId="40" fillId="72" borderId="22" xfId="0" applyFont="1" applyFill="1" applyBorder="1" applyAlignment="1">
      <alignment horizontal="left" wrapText="1"/>
    </xf>
    <xf numFmtId="0" fontId="58" fillId="68" borderId="38" xfId="0" applyFont="1" applyFill="1" applyBorder="1" applyAlignment="1" applyProtection="1">
      <alignment horizontal="left" vertical="center"/>
    </xf>
    <xf numFmtId="0" fontId="0" fillId="68" borderId="46" xfId="0" applyFont="1" applyFill="1" applyBorder="1"/>
    <xf numFmtId="0" fontId="40" fillId="68" borderId="46" xfId="0" applyFont="1" applyFill="1" applyBorder="1" applyAlignment="1" applyProtection="1">
      <alignment horizontal="center" vertical="center"/>
    </xf>
    <xf numFmtId="168" fontId="39" fillId="68" borderId="28" xfId="0" applyNumberFormat="1" applyFont="1" applyFill="1" applyBorder="1" applyAlignment="1" applyProtection="1">
      <alignment horizontal="center" vertical="center"/>
    </xf>
    <xf numFmtId="0" fontId="58" fillId="68" borderId="20" xfId="0" applyFont="1" applyFill="1" applyBorder="1" applyAlignment="1" applyProtection="1">
      <alignment horizontal="left" vertical="center"/>
    </xf>
    <xf numFmtId="0" fontId="0" fillId="68" borderId="11" xfId="0" applyFont="1" applyFill="1" applyBorder="1" applyAlignment="1">
      <alignment vertical="center"/>
    </xf>
    <xf numFmtId="0" fontId="40" fillId="68" borderId="11" xfId="0" applyFont="1" applyFill="1" applyBorder="1" applyAlignment="1" applyProtection="1">
      <alignment horizontal="center" vertical="center"/>
    </xf>
    <xf numFmtId="168" fontId="39" fillId="68" borderId="10" xfId="0" applyNumberFormat="1" applyFont="1" applyFill="1" applyBorder="1" applyAlignment="1" applyProtection="1">
      <alignment horizontal="center" vertical="center" wrapText="1" shrinkToFit="1"/>
    </xf>
    <xf numFmtId="0" fontId="0" fillId="68" borderId="46" xfId="0" applyFont="1" applyFill="1" applyBorder="1" applyAlignment="1">
      <alignment horizontal="center"/>
    </xf>
    <xf numFmtId="0" fontId="49" fillId="76" borderId="10" xfId="0" applyFont="1" applyFill="1" applyBorder="1" applyAlignment="1" applyProtection="1">
      <alignment horizontal="center" vertical="center"/>
    </xf>
    <xf numFmtId="0" fontId="49" fillId="76" borderId="28" xfId="0" applyFont="1" applyFill="1" applyBorder="1" applyAlignment="1" applyProtection="1">
      <alignment horizontal="center" vertical="center" wrapText="1"/>
    </xf>
    <xf numFmtId="0" fontId="49" fillId="76" borderId="10" xfId="0" applyFont="1" applyFill="1" applyBorder="1" applyAlignment="1" applyProtection="1">
      <alignment horizontal="center" vertical="center" wrapText="1" shrinkToFit="1"/>
    </xf>
    <xf numFmtId="0" fontId="49" fillId="72" borderId="10" xfId="0" applyFont="1" applyFill="1" applyBorder="1" applyAlignment="1">
      <alignment horizontal="center" vertical="center" wrapText="1"/>
    </xf>
    <xf numFmtId="0" fontId="53" fillId="72" borderId="10" xfId="0" applyFont="1" applyFill="1" applyBorder="1" applyAlignment="1">
      <alignment horizontal="center" vertical="center" wrapText="1"/>
    </xf>
    <xf numFmtId="0" fontId="40" fillId="72" borderId="10" xfId="0" applyFont="1" applyFill="1" applyBorder="1" applyAlignment="1">
      <alignment horizontal="center" vertical="center" wrapText="1"/>
    </xf>
    <xf numFmtId="0" fontId="53" fillId="72" borderId="20" xfId="0" applyFont="1" applyFill="1" applyBorder="1" applyAlignment="1">
      <alignment horizontal="center" vertical="center" wrapText="1"/>
    </xf>
    <xf numFmtId="0" fontId="58" fillId="72" borderId="10" xfId="0" applyFont="1" applyFill="1" applyBorder="1" applyAlignment="1">
      <alignment horizontal="center" vertical="center" wrapText="1"/>
    </xf>
    <xf numFmtId="0" fontId="62" fillId="70" borderId="20" xfId="578" applyFont="1" applyFill="1" applyBorder="1" applyAlignment="1">
      <alignment horizontal="left" vertical="center" wrapText="1" indent="1"/>
    </xf>
    <xf numFmtId="0" fontId="50" fillId="70" borderId="11" xfId="578" applyFont="1" applyFill="1" applyBorder="1" applyAlignment="1">
      <alignment horizontal="left" vertical="center" wrapText="1" indent="1"/>
    </xf>
    <xf numFmtId="0" fontId="58" fillId="70" borderId="11" xfId="578" applyFont="1" applyFill="1" applyBorder="1" applyAlignment="1">
      <alignment horizontal="right" vertical="center" indent="1"/>
    </xf>
    <xf numFmtId="168" fontId="58" fillId="70" borderId="10" xfId="578" applyNumberFormat="1" applyFont="1" applyFill="1" applyBorder="1" applyAlignment="1">
      <alignment horizontal="center" vertical="center" wrapText="1"/>
    </xf>
    <xf numFmtId="0" fontId="49" fillId="72" borderId="69" xfId="0" applyFont="1" applyFill="1" applyBorder="1" applyAlignment="1" applyProtection="1">
      <alignment horizontal="left" vertical="center" indent="1"/>
    </xf>
    <xf numFmtId="0" fontId="49" fillId="72" borderId="83" xfId="0" applyFont="1" applyFill="1" applyBorder="1" applyAlignment="1" applyProtection="1">
      <alignment horizontal="left" vertical="center" wrapText="1"/>
    </xf>
    <xf numFmtId="0" fontId="49" fillId="72" borderId="78" xfId="0" applyFont="1" applyFill="1" applyBorder="1" applyAlignment="1" applyProtection="1">
      <alignment horizontal="left" vertical="center" wrapText="1"/>
    </xf>
    <xf numFmtId="3" fontId="49" fillId="72" borderId="78" xfId="0" applyNumberFormat="1" applyFont="1" applyFill="1" applyBorder="1" applyAlignment="1" applyProtection="1">
      <alignment horizontal="center" vertical="center"/>
    </xf>
    <xf numFmtId="3" fontId="51" fillId="72" borderId="64" xfId="0" applyNumberFormat="1" applyFont="1" applyFill="1" applyBorder="1" applyAlignment="1" applyProtection="1">
      <alignment horizontal="center" vertical="center"/>
    </xf>
    <xf numFmtId="0" fontId="0" fillId="72" borderId="64" xfId="0" applyFont="1" applyFill="1" applyBorder="1"/>
    <xf numFmtId="9" fontId="50" fillId="72" borderId="64" xfId="547" applyFont="1" applyFill="1" applyBorder="1" applyAlignment="1" applyProtection="1">
      <alignment horizontal="center"/>
    </xf>
    <xf numFmtId="9" fontId="50" fillId="72" borderId="64" xfId="547" applyFont="1" applyFill="1" applyBorder="1" applyAlignment="1" applyProtection="1">
      <alignment horizontal="center"/>
      <protection locked="0"/>
    </xf>
    <xf numFmtId="0" fontId="40" fillId="72" borderId="64" xfId="0" applyFont="1" applyFill="1" applyBorder="1" applyAlignment="1" applyProtection="1">
      <alignment horizontal="left" vertical="center" indent="1"/>
    </xf>
    <xf numFmtId="0" fontId="58" fillId="72" borderId="64" xfId="0" applyFont="1" applyFill="1" applyBorder="1" applyAlignment="1" applyProtection="1">
      <alignment horizontal="left" vertical="center" wrapText="1" indent="1"/>
    </xf>
    <xf numFmtId="0" fontId="45" fillId="72" borderId="64" xfId="0" applyFont="1" applyFill="1" applyBorder="1" applyAlignment="1" applyProtection="1">
      <alignment horizontal="center" vertical="center" wrapText="1"/>
    </xf>
    <xf numFmtId="0" fontId="39" fillId="72" borderId="64" xfId="0" applyFont="1" applyFill="1" applyBorder="1" applyAlignment="1" applyProtection="1">
      <alignment horizontal="center" vertical="center"/>
    </xf>
    <xf numFmtId="0" fontId="45" fillId="72" borderId="64" xfId="0" applyFont="1" applyFill="1" applyBorder="1" applyAlignment="1">
      <alignment horizontal="center" wrapText="1"/>
    </xf>
    <xf numFmtId="0" fontId="39" fillId="77" borderId="64" xfId="0" applyFont="1" applyFill="1" applyBorder="1" applyAlignment="1">
      <alignment horizontal="right" vertical="center" indent="1"/>
    </xf>
    <xf numFmtId="0" fontId="58" fillId="68" borderId="64" xfId="0" applyFont="1" applyFill="1" applyBorder="1" applyAlignment="1" applyProtection="1">
      <alignment horizontal="left" vertical="center" indent="1"/>
    </xf>
    <xf numFmtId="0" fontId="49" fillId="68" borderId="64" xfId="0" applyFont="1" applyFill="1" applyBorder="1" applyAlignment="1" applyProtection="1">
      <alignment horizontal="left" vertical="center"/>
    </xf>
    <xf numFmtId="0" fontId="51" fillId="68" borderId="64" xfId="0" applyFont="1" applyFill="1" applyBorder="1" applyAlignment="1" applyProtection="1">
      <alignment horizontal="right"/>
    </xf>
    <xf numFmtId="0" fontId="75" fillId="72" borderId="64" xfId="0" applyFont="1" applyFill="1" applyBorder="1" applyAlignment="1" applyProtection="1">
      <alignment horizontal="left" wrapText="1" indent="1"/>
    </xf>
    <xf numFmtId="0" fontId="39" fillId="72" borderId="64" xfId="0" applyFont="1" applyFill="1" applyBorder="1" applyAlignment="1" applyProtection="1">
      <alignment horizontal="center" vertical="center" wrapText="1"/>
    </xf>
    <xf numFmtId="0" fontId="49" fillId="68" borderId="64" xfId="0" applyFont="1" applyFill="1" applyBorder="1" applyAlignment="1" applyProtection="1">
      <alignment horizontal="center" vertical="center" wrapText="1"/>
    </xf>
    <xf numFmtId="0" fontId="49" fillId="68" borderId="64" xfId="0" applyFont="1" applyFill="1" applyBorder="1" applyAlignment="1" applyProtection="1">
      <alignment horizontal="left" vertical="center" indent="1"/>
    </xf>
    <xf numFmtId="0" fontId="158" fillId="68" borderId="64" xfId="0" applyFont="1" applyFill="1" applyBorder="1" applyAlignment="1" applyProtection="1">
      <alignment horizontal="left" vertical="center"/>
    </xf>
    <xf numFmtId="0" fontId="160" fillId="68" borderId="64" xfId="0" applyFont="1" applyFill="1" applyBorder="1" applyAlignment="1" applyProtection="1">
      <alignment horizontal="center" vertical="center"/>
    </xf>
    <xf numFmtId="0" fontId="35" fillId="68" borderId="64" xfId="0" applyFont="1" applyFill="1" applyBorder="1" applyAlignment="1" applyProtection="1">
      <alignment horizontal="left" vertical="center"/>
    </xf>
    <xf numFmtId="0" fontId="66" fillId="68" borderId="64" xfId="0" applyFont="1" applyFill="1" applyBorder="1" applyAlignment="1" applyProtection="1">
      <alignment horizontal="center" vertical="center"/>
    </xf>
    <xf numFmtId="0" fontId="71" fillId="68" borderId="64" xfId="0" applyFont="1" applyFill="1" applyBorder="1" applyAlignment="1" applyProtection="1">
      <alignment horizontal="left" wrapText="1" indent="1"/>
    </xf>
    <xf numFmtId="0" fontId="40" fillId="68" borderId="64" xfId="0" applyFont="1" applyFill="1" applyBorder="1" applyAlignment="1" applyProtection="1">
      <alignment horizontal="center" vertical="center" wrapText="1"/>
    </xf>
    <xf numFmtId="0" fontId="39" fillId="68" borderId="64" xfId="0" applyFont="1" applyFill="1" applyBorder="1" applyAlignment="1" applyProtection="1">
      <alignment horizontal="center" vertical="center" wrapText="1"/>
    </xf>
    <xf numFmtId="0" fontId="159" fillId="68" borderId="64" xfId="0" applyFont="1" applyFill="1" applyBorder="1" applyAlignment="1">
      <alignment horizontal="center" vertical="center" wrapText="1"/>
    </xf>
    <xf numFmtId="0" fontId="110" fillId="68" borderId="64" xfId="0" applyFont="1" applyFill="1" applyBorder="1"/>
    <xf numFmtId="0" fontId="49" fillId="68" borderId="64" xfId="0" applyFont="1" applyFill="1" applyBorder="1" applyAlignment="1">
      <alignment horizontal="right" vertical="center"/>
    </xf>
    <xf numFmtId="3" fontId="21" fillId="68" borderId="64" xfId="0" applyNumberFormat="1" applyFont="1" applyFill="1" applyBorder="1" applyAlignment="1">
      <alignment horizontal="center" vertical="center"/>
    </xf>
    <xf numFmtId="0" fontId="50" fillId="68" borderId="64" xfId="0" applyFont="1" applyFill="1" applyBorder="1" applyAlignment="1" applyProtection="1">
      <alignment horizontal="center" vertical="center" wrapText="1"/>
    </xf>
    <xf numFmtId="0" fontId="110" fillId="68" borderId="64" xfId="0" applyFont="1" applyFill="1" applyBorder="1" applyAlignment="1" applyProtection="1">
      <alignment horizontal="center" vertical="center" wrapText="1"/>
    </xf>
    <xf numFmtId="3" fontId="49" fillId="68" borderId="64" xfId="0" applyNumberFormat="1" applyFont="1" applyFill="1" applyBorder="1" applyAlignment="1" applyProtection="1">
      <alignment horizontal="center" vertical="center"/>
    </xf>
    <xf numFmtId="0" fontId="51" fillId="68" borderId="64" xfId="0" applyFont="1" applyFill="1" applyBorder="1" applyAlignment="1" applyProtection="1">
      <alignment horizontal="center" vertical="center" wrapText="1"/>
    </xf>
    <xf numFmtId="0" fontId="0" fillId="0" borderId="0" xfId="0" applyFill="1" applyBorder="1" applyProtection="1"/>
    <xf numFmtId="0" fontId="49" fillId="68" borderId="72" xfId="0" applyFont="1" applyFill="1" applyBorder="1" applyAlignment="1">
      <alignment horizontal="left" vertical="center"/>
    </xf>
    <xf numFmtId="0" fontId="39" fillId="68" borderId="72" xfId="0" applyFont="1" applyFill="1" applyBorder="1" applyAlignment="1">
      <alignment horizontal="left" vertical="center"/>
    </xf>
    <xf numFmtId="0" fontId="27" fillId="68" borderId="64" xfId="0" applyFont="1" applyFill="1" applyBorder="1" applyAlignment="1">
      <alignment horizontal="center" vertical="center" wrapText="1"/>
    </xf>
    <xf numFmtId="0" fontId="42" fillId="68" borderId="64" xfId="0" applyFont="1" applyFill="1" applyBorder="1" applyAlignment="1" applyProtection="1">
      <alignment horizontal="center" vertical="center" wrapText="1"/>
    </xf>
    <xf numFmtId="0" fontId="78" fillId="68" borderId="64" xfId="0" applyFont="1" applyFill="1" applyBorder="1" applyAlignment="1" applyProtection="1">
      <alignment horizontal="center" vertical="center" wrapText="1"/>
    </xf>
    <xf numFmtId="0" fontId="38" fillId="68" borderId="64" xfId="0" applyFont="1" applyFill="1" applyBorder="1" applyAlignment="1">
      <alignment horizontal="center" vertical="center" wrapText="1"/>
    </xf>
    <xf numFmtId="0" fontId="40" fillId="68" borderId="64" xfId="0" applyFont="1" applyFill="1" applyBorder="1" applyAlignment="1" applyProtection="1">
      <alignment horizontal="left" vertical="center"/>
    </xf>
    <xf numFmtId="0" fontId="0" fillId="68" borderId="64" xfId="0" applyFill="1" applyBorder="1" applyAlignment="1" applyProtection="1">
      <alignment horizontal="left"/>
    </xf>
    <xf numFmtId="0" fontId="0" fillId="68" borderId="64" xfId="0" applyFont="1" applyFill="1" applyBorder="1" applyAlignment="1" applyProtection="1">
      <alignment horizontal="left" vertical="center"/>
    </xf>
    <xf numFmtId="0" fontId="40" fillId="68" borderId="64" xfId="0" applyFont="1" applyFill="1" applyBorder="1" applyAlignment="1" applyProtection="1">
      <alignment horizontal="left" vertical="top"/>
    </xf>
    <xf numFmtId="0" fontId="0" fillId="68" borderId="64" xfId="0" applyFill="1" applyBorder="1" applyAlignment="1" applyProtection="1">
      <alignment horizontal="left" vertical="top"/>
    </xf>
    <xf numFmtId="0" fontId="27" fillId="68" borderId="64" xfId="0" applyFont="1" applyFill="1" applyBorder="1" applyAlignment="1" applyProtection="1">
      <alignment horizontal="center" vertical="center" wrapText="1"/>
    </xf>
    <xf numFmtId="0" fontId="21" fillId="68" borderId="64" xfId="0" applyFont="1" applyFill="1" applyBorder="1" applyAlignment="1" applyProtection="1">
      <alignment horizontal="center" vertical="center" wrapText="1"/>
    </xf>
    <xf numFmtId="0" fontId="27" fillId="68" borderId="64" xfId="0" applyFont="1" applyFill="1" applyBorder="1" applyAlignment="1" applyProtection="1">
      <alignment horizontal="center" vertical="center"/>
    </xf>
    <xf numFmtId="0" fontId="110" fillId="70" borderId="78" xfId="578" applyFont="1" applyFill="1" applyBorder="1" applyAlignment="1" applyProtection="1">
      <alignment horizontal="left" indent="1"/>
    </xf>
    <xf numFmtId="0" fontId="0" fillId="0" borderId="0" xfId="0" applyFont="1" applyFill="1" applyBorder="1" applyAlignment="1">
      <alignment horizontal="center"/>
    </xf>
    <xf numFmtId="0" fontId="10" fillId="43" borderId="79" xfId="0" applyFont="1" applyFill="1" applyBorder="1" applyAlignment="1">
      <alignment horizontal="center" vertical="center"/>
    </xf>
    <xf numFmtId="1" fontId="42" fillId="41" borderId="79" xfId="0" applyNumberFormat="1" applyFont="1" applyFill="1" applyBorder="1" applyAlignment="1" applyProtection="1">
      <alignment horizontal="center"/>
    </xf>
    <xf numFmtId="0" fontId="8" fillId="14" borderId="79" xfId="0" applyFont="1" applyFill="1" applyBorder="1" applyAlignment="1">
      <alignment horizontal="center" vertical="center" wrapText="1"/>
    </xf>
    <xf numFmtId="0" fontId="0" fillId="0" borderId="79" xfId="0" applyFont="1" applyBorder="1" applyAlignment="1">
      <alignment horizontal="center" vertical="center"/>
    </xf>
    <xf numFmtId="0" fontId="42" fillId="0" borderId="79" xfId="0" applyFont="1" applyBorder="1" applyAlignment="1">
      <alignment horizontal="center" vertical="center"/>
    </xf>
    <xf numFmtId="0" fontId="42" fillId="0" borderId="0" xfId="0" applyFont="1" applyBorder="1" applyAlignment="1">
      <alignment horizontal="center" vertical="center"/>
    </xf>
    <xf numFmtId="0" fontId="8" fillId="43" borderId="79" xfId="0" applyFont="1" applyFill="1" applyBorder="1" applyAlignment="1">
      <alignment horizontal="center" vertical="center" wrapText="1"/>
    </xf>
    <xf numFmtId="0" fontId="8" fillId="43" borderId="2" xfId="0" applyFont="1" applyFill="1" applyBorder="1" applyAlignment="1">
      <alignment horizontal="center" vertical="center" wrapText="1"/>
    </xf>
    <xf numFmtId="0" fontId="39" fillId="0" borderId="64" xfId="564" applyFont="1" applyFill="1" applyBorder="1" applyAlignment="1">
      <alignment horizontal="center" vertical="center"/>
    </xf>
    <xf numFmtId="1" fontId="42" fillId="41" borderId="202" xfId="0" applyNumberFormat="1" applyFont="1" applyFill="1" applyBorder="1" applyAlignment="1" applyProtection="1">
      <alignment horizontal="center"/>
    </xf>
    <xf numFmtId="0" fontId="40" fillId="68" borderId="72" xfId="0" applyFont="1" applyFill="1" applyBorder="1" applyAlignment="1" applyProtection="1">
      <alignment horizontal="center" vertical="center" wrapText="1"/>
    </xf>
    <xf numFmtId="0" fontId="53" fillId="68" borderId="72" xfId="0" applyFont="1" applyFill="1" applyBorder="1" applyAlignment="1" applyProtection="1">
      <alignment horizontal="center" vertical="center" wrapText="1"/>
    </xf>
    <xf numFmtId="0" fontId="53" fillId="68" borderId="72" xfId="546" applyNumberFormat="1" applyFont="1" applyFill="1" applyBorder="1" applyAlignment="1" applyProtection="1">
      <alignment horizontal="center" vertical="center" wrapText="1"/>
    </xf>
    <xf numFmtId="0" fontId="45" fillId="68" borderId="72" xfId="0" applyFont="1" applyFill="1" applyBorder="1" applyAlignment="1" applyProtection="1">
      <alignment horizontal="center" vertical="center" wrapText="1"/>
    </xf>
    <xf numFmtId="0" fontId="191" fillId="78" borderId="0" xfId="0" applyFont="1" applyFill="1" applyBorder="1" applyAlignment="1" applyProtection="1">
      <alignment vertical="top" wrapText="1"/>
      <protection locked="0"/>
    </xf>
    <xf numFmtId="0" fontId="191" fillId="78" borderId="0" xfId="0" applyFont="1" applyFill="1" applyBorder="1" applyAlignment="1" applyProtection="1">
      <alignment horizontal="left"/>
      <protection locked="0"/>
    </xf>
    <xf numFmtId="0" fontId="0" fillId="78" borderId="0" xfId="0" applyFill="1" applyProtection="1">
      <protection locked="0"/>
    </xf>
    <xf numFmtId="0" fontId="49" fillId="68" borderId="64" xfId="0" applyFont="1" applyFill="1" applyBorder="1" applyAlignment="1">
      <alignment horizontal="left" vertical="center" indent="1"/>
    </xf>
    <xf numFmtId="0" fontId="49" fillId="68" borderId="64" xfId="0" applyFont="1" applyFill="1" applyBorder="1" applyAlignment="1">
      <alignment horizontal="center" vertical="center" wrapText="1"/>
    </xf>
    <xf numFmtId="0" fontId="189" fillId="79" borderId="159" xfId="0" applyFont="1" applyFill="1" applyBorder="1" applyAlignment="1" applyProtection="1"/>
    <xf numFmtId="0" fontId="189" fillId="79" borderId="0" xfId="0" applyFont="1" applyFill="1" applyBorder="1" applyAlignment="1" applyProtection="1">
      <alignment horizontal="center"/>
    </xf>
    <xf numFmtId="0" fontId="7" fillId="79" borderId="0" xfId="0" applyFont="1" applyFill="1" applyProtection="1"/>
    <xf numFmtId="0" fontId="0" fillId="79" borderId="0" xfId="0" applyFont="1" applyFill="1" applyProtection="1"/>
    <xf numFmtId="0" fontId="189" fillId="79" borderId="0" xfId="0" applyFont="1" applyFill="1" applyBorder="1" applyAlignment="1">
      <alignment horizontal="center"/>
    </xf>
    <xf numFmtId="0" fontId="7" fillId="79" borderId="0" xfId="0" applyFont="1" applyFill="1"/>
    <xf numFmtId="0" fontId="0" fillId="79" borderId="0" xfId="0" applyFont="1" applyFill="1"/>
    <xf numFmtId="0" fontId="190" fillId="79" borderId="0" xfId="0" applyFont="1" applyFill="1" applyBorder="1" applyAlignment="1">
      <alignment horizontal="left"/>
    </xf>
    <xf numFmtId="0" fontId="7" fillId="79" borderId="0" xfId="0" applyFont="1" applyFill="1" applyAlignment="1">
      <alignment horizontal="center" wrapText="1"/>
    </xf>
    <xf numFmtId="0" fontId="190" fillId="79" borderId="0" xfId="0" applyFont="1" applyFill="1" applyProtection="1"/>
    <xf numFmtId="0" fontId="193" fillId="79" borderId="0" xfId="0" applyFont="1" applyFill="1" applyAlignment="1" applyProtection="1">
      <alignment vertical="center"/>
    </xf>
    <xf numFmtId="0" fontId="189" fillId="79" borderId="0" xfId="0" applyFont="1" applyFill="1" applyAlignment="1" applyProtection="1">
      <alignment vertical="center"/>
    </xf>
    <xf numFmtId="0" fontId="193" fillId="79" borderId="0" xfId="0" applyFont="1" applyFill="1" applyAlignment="1" applyProtection="1"/>
    <xf numFmtId="0" fontId="189" fillId="79" borderId="0" xfId="0" applyFont="1" applyFill="1" applyAlignment="1" applyProtection="1"/>
    <xf numFmtId="0" fontId="7" fillId="79" borderId="0" xfId="0" applyFont="1" applyFill="1" applyAlignment="1" applyProtection="1"/>
    <xf numFmtId="0" fontId="7" fillId="79" borderId="143" xfId="0" applyFont="1" applyFill="1" applyBorder="1" applyAlignment="1" applyProtection="1"/>
    <xf numFmtId="0" fontId="0" fillId="79" borderId="0" xfId="0" applyFill="1"/>
    <xf numFmtId="0" fontId="0" fillId="79" borderId="0" xfId="0" applyFill="1" applyAlignment="1">
      <alignment vertical="center"/>
    </xf>
    <xf numFmtId="0" fontId="45" fillId="79" borderId="0" xfId="0" applyFont="1" applyFill="1" applyBorder="1" applyAlignment="1">
      <alignment horizontal="center"/>
    </xf>
    <xf numFmtId="0" fontId="45" fillId="79" borderId="0" xfId="0" applyFont="1" applyFill="1" applyProtection="1"/>
    <xf numFmtId="0" fontId="0" fillId="79" borderId="0" xfId="0" applyFill="1" applyProtection="1"/>
    <xf numFmtId="0" fontId="38" fillId="66" borderId="0" xfId="0" applyFont="1" applyFill="1" applyBorder="1" applyAlignment="1" applyProtection="1">
      <alignment horizontal="center" vertical="center"/>
      <protection hidden="1"/>
    </xf>
    <xf numFmtId="0" fontId="38" fillId="0" borderId="0" xfId="0" applyFont="1" applyAlignment="1" applyProtection="1">
      <alignment horizontal="center" vertical="center"/>
    </xf>
    <xf numFmtId="0" fontId="38" fillId="66" borderId="141" xfId="0" applyFont="1" applyFill="1" applyBorder="1" applyAlignment="1" applyProtection="1">
      <alignment horizontal="center" vertical="center"/>
    </xf>
    <xf numFmtId="0" fontId="38" fillId="66" borderId="143" xfId="0" applyFont="1" applyFill="1" applyBorder="1" applyAlignment="1" applyProtection="1">
      <alignment horizontal="center" vertical="center"/>
    </xf>
    <xf numFmtId="0" fontId="198" fillId="66" borderId="0" xfId="0" applyFont="1" applyFill="1" applyBorder="1" applyAlignment="1" applyProtection="1">
      <alignment horizontal="center" vertical="center" textRotation="90"/>
      <protection hidden="1"/>
    </xf>
    <xf numFmtId="0" fontId="51" fillId="68" borderId="64" xfId="0" applyFont="1" applyFill="1" applyBorder="1" applyAlignment="1">
      <alignment horizontal="center" shrinkToFit="1"/>
    </xf>
    <xf numFmtId="0" fontId="39" fillId="80" borderId="64" xfId="0" applyFont="1" applyFill="1" applyBorder="1" applyAlignment="1" applyProtection="1">
      <alignment horizontal="center" vertical="center"/>
      <protection hidden="1"/>
    </xf>
    <xf numFmtId="0" fontId="40" fillId="80" borderId="64" xfId="0" applyFont="1" applyFill="1" applyBorder="1" applyAlignment="1" applyProtection="1">
      <alignment horizontal="center" vertical="center" wrapText="1"/>
      <protection hidden="1"/>
    </xf>
    <xf numFmtId="0" fontId="38" fillId="80" borderId="64" xfId="0" applyFont="1" applyFill="1" applyBorder="1" applyAlignment="1" applyProtection="1">
      <alignment horizontal="center" vertical="center" wrapText="1"/>
      <protection hidden="1"/>
    </xf>
    <xf numFmtId="0" fontId="45" fillId="80" borderId="64" xfId="0" applyFont="1" applyFill="1" applyBorder="1" applyAlignment="1" applyProtection="1">
      <alignment horizontal="center" vertical="center" wrapText="1"/>
      <protection hidden="1"/>
    </xf>
    <xf numFmtId="0" fontId="51" fillId="82" borderId="67" xfId="0" applyFont="1" applyFill="1" applyBorder="1" applyAlignment="1" applyProtection="1">
      <alignment horizontal="left" vertical="center"/>
      <protection hidden="1"/>
    </xf>
    <xf numFmtId="0" fontId="51" fillId="0" borderId="0" xfId="0" applyFont="1" applyAlignment="1" applyProtection="1">
      <alignment horizontal="center" vertical="center"/>
    </xf>
    <xf numFmtId="0" fontId="51" fillId="0" borderId="64" xfId="624" applyFont="1" applyFill="1" applyBorder="1" applyAlignment="1">
      <alignment horizontal="left" vertical="center" indent="1"/>
    </xf>
    <xf numFmtId="0" fontId="51" fillId="0" borderId="64" xfId="624" applyFont="1" applyFill="1" applyBorder="1" applyAlignment="1">
      <alignment horizontal="center" vertical="center"/>
    </xf>
    <xf numFmtId="0" fontId="51" fillId="0" borderId="64" xfId="0" applyFont="1" applyBorder="1" applyAlignment="1" applyProtection="1">
      <alignment horizontal="center" vertical="center"/>
    </xf>
    <xf numFmtId="0" fontId="39" fillId="81" borderId="64" xfId="0" applyFont="1" applyFill="1" applyBorder="1" applyAlignment="1" applyProtection="1">
      <alignment horizontal="center" vertical="center" shrinkToFit="1"/>
      <protection locked="0" hidden="1"/>
    </xf>
    <xf numFmtId="2" fontId="40" fillId="78" borderId="64" xfId="0" applyNumberFormat="1" applyFont="1" applyFill="1" applyBorder="1" applyAlignment="1" applyProtection="1">
      <alignment horizontal="center" vertical="center"/>
      <protection locked="0" hidden="1"/>
    </xf>
    <xf numFmtId="167" fontId="40" fillId="78" borderId="64" xfId="0" applyNumberFormat="1" applyFont="1" applyFill="1" applyBorder="1" applyAlignment="1" applyProtection="1">
      <alignment horizontal="center" vertical="center"/>
      <protection locked="0" hidden="1"/>
    </xf>
    <xf numFmtId="167" fontId="110" fillId="9" borderId="64" xfId="578" applyNumberFormat="1" applyFont="1" applyFill="1" applyBorder="1" applyAlignment="1" applyProtection="1">
      <alignment horizontal="center" vertical="center"/>
      <protection hidden="1"/>
    </xf>
    <xf numFmtId="2" fontId="40" fillId="9" borderId="64" xfId="578" applyNumberFormat="1" applyFont="1" applyFill="1" applyBorder="1" applyAlignment="1" applyProtection="1">
      <alignment horizontal="center" vertical="center"/>
      <protection hidden="1"/>
    </xf>
    <xf numFmtId="0" fontId="58" fillId="83" borderId="64" xfId="0" applyFont="1" applyFill="1" applyBorder="1" applyAlignment="1" applyProtection="1">
      <alignment horizontal="center" vertical="center"/>
    </xf>
    <xf numFmtId="0" fontId="38" fillId="66" borderId="0" xfId="0" applyFont="1" applyFill="1" applyBorder="1" applyAlignment="1" applyProtection="1">
      <alignment horizontal="center" vertical="center"/>
    </xf>
    <xf numFmtId="0" fontId="51" fillId="82" borderId="68" xfId="0" applyFont="1" applyFill="1" applyBorder="1" applyAlignment="1" applyProtection="1">
      <alignment horizontal="left" vertical="center"/>
      <protection hidden="1"/>
    </xf>
    <xf numFmtId="0" fontId="53" fillId="80" borderId="64" xfId="0" applyFont="1" applyFill="1" applyBorder="1" applyAlignment="1" applyProtection="1">
      <alignment horizontal="center" vertical="center" wrapText="1"/>
      <protection hidden="1"/>
    </xf>
    <xf numFmtId="0" fontId="38" fillId="84" borderId="64" xfId="0" applyFont="1" applyFill="1" applyBorder="1" applyAlignment="1" applyProtection="1">
      <alignment horizontal="center" vertical="center" wrapText="1"/>
      <protection hidden="1"/>
    </xf>
    <xf numFmtId="0" fontId="73" fillId="80" borderId="64" xfId="0" applyFont="1" applyFill="1" applyBorder="1" applyAlignment="1" applyProtection="1">
      <alignment horizontal="center" vertical="center" wrapText="1"/>
      <protection hidden="1"/>
    </xf>
    <xf numFmtId="0" fontId="0" fillId="80" borderId="64" xfId="0" applyFont="1" applyFill="1" applyBorder="1" applyAlignment="1" applyProtection="1">
      <alignment horizontal="center" vertical="center" wrapText="1"/>
      <protection hidden="1"/>
    </xf>
    <xf numFmtId="0" fontId="51" fillId="0" borderId="68" xfId="0" applyFont="1" applyFill="1" applyBorder="1" applyAlignment="1" applyProtection="1">
      <alignment horizontal="left" vertical="center"/>
      <protection hidden="1"/>
    </xf>
    <xf numFmtId="0" fontId="38" fillId="81" borderId="64" xfId="0" applyFont="1" applyFill="1" applyBorder="1" applyAlignment="1" applyProtection="1">
      <alignment horizontal="left" vertical="center"/>
      <protection locked="0" hidden="1"/>
    </xf>
    <xf numFmtId="2" fontId="0" fillId="0" borderId="64" xfId="0" quotePrefix="1" applyNumberFormat="1" applyFont="1" applyFill="1" applyBorder="1" applyAlignment="1" applyProtection="1">
      <alignment horizontal="center" vertical="center"/>
      <protection hidden="1"/>
    </xf>
    <xf numFmtId="2" fontId="38" fillId="84" borderId="64" xfId="0" quotePrefix="1" applyNumberFormat="1" applyFont="1" applyFill="1" applyBorder="1" applyAlignment="1" applyProtection="1">
      <alignment horizontal="center" vertical="center"/>
      <protection locked="0" hidden="1"/>
    </xf>
    <xf numFmtId="169" fontId="53" fillId="78" borderId="64" xfId="0" applyNumberFormat="1" applyFont="1" applyFill="1" applyBorder="1" applyAlignment="1" applyProtection="1">
      <alignment horizontal="center" vertical="center"/>
      <protection locked="0" hidden="1"/>
    </xf>
    <xf numFmtId="2" fontId="0" fillId="0" borderId="64" xfId="0" applyNumberFormat="1" applyFont="1" applyBorder="1" applyAlignment="1" applyProtection="1">
      <alignment horizontal="center" vertical="center"/>
      <protection hidden="1"/>
    </xf>
    <xf numFmtId="0" fontId="49" fillId="86" borderId="64" xfId="624" applyFont="1" applyFill="1" applyBorder="1" applyAlignment="1">
      <alignment horizontal="left" vertical="center" indent="1"/>
    </xf>
    <xf numFmtId="0" fontId="49" fillId="86" borderId="64" xfId="0" applyFont="1" applyFill="1" applyBorder="1" applyAlignment="1" applyProtection="1">
      <alignment horizontal="center" vertical="center"/>
    </xf>
    <xf numFmtId="0" fontId="49" fillId="86" borderId="64" xfId="624" applyFont="1" applyFill="1" applyBorder="1" applyAlignment="1">
      <alignment horizontal="center" vertical="center"/>
    </xf>
    <xf numFmtId="2" fontId="49" fillId="86" borderId="64" xfId="624" applyNumberFormat="1" applyFont="1" applyFill="1" applyBorder="1" applyAlignment="1">
      <alignment horizontal="center" vertical="center"/>
    </xf>
    <xf numFmtId="2" fontId="51" fillId="0" borderId="64" xfId="624" applyNumberFormat="1" applyFont="1" applyFill="1" applyBorder="1" applyAlignment="1">
      <alignment horizontal="center" vertical="center"/>
    </xf>
    <xf numFmtId="0" fontId="73" fillId="85" borderId="74" xfId="0" applyFont="1" applyFill="1" applyBorder="1" applyAlignment="1" applyProtection="1">
      <alignment horizontal="left" vertical="center" wrapText="1"/>
      <protection hidden="1"/>
    </xf>
    <xf numFmtId="0" fontId="73" fillId="85" borderId="0" xfId="0" applyFont="1" applyFill="1" applyBorder="1" applyAlignment="1" applyProtection="1">
      <alignment horizontal="left" vertical="center" wrapText="1"/>
      <protection hidden="1"/>
    </xf>
    <xf numFmtId="0" fontId="73" fillId="85" borderId="0" xfId="0" applyFont="1" applyFill="1" applyBorder="1" applyAlignment="1" applyProtection="1">
      <alignment horizontal="right" vertical="center"/>
      <protection hidden="1"/>
    </xf>
    <xf numFmtId="0" fontId="73" fillId="85" borderId="143" xfId="0" applyFont="1" applyFill="1" applyBorder="1" applyAlignment="1" applyProtection="1">
      <alignment horizontal="left" vertical="center" wrapText="1"/>
      <protection hidden="1"/>
    </xf>
    <xf numFmtId="0" fontId="38" fillId="85" borderId="64" xfId="0" applyFont="1" applyFill="1" applyBorder="1" applyAlignment="1" applyProtection="1">
      <alignment horizontal="left" vertical="center"/>
      <protection hidden="1"/>
    </xf>
    <xf numFmtId="0" fontId="38" fillId="85" borderId="64" xfId="0" applyFont="1" applyFill="1" applyBorder="1" applyAlignment="1" applyProtection="1">
      <alignment horizontal="center" vertical="center"/>
      <protection hidden="1"/>
    </xf>
    <xf numFmtId="0" fontId="38" fillId="85" borderId="64" xfId="0" applyFont="1" applyFill="1" applyBorder="1" applyAlignment="1" applyProtection="1">
      <alignment horizontal="left" vertical="center" wrapText="1" indent="1"/>
      <protection hidden="1"/>
    </xf>
    <xf numFmtId="0" fontId="51" fillId="86" borderId="64" xfId="624" applyFont="1" applyFill="1" applyBorder="1" applyAlignment="1">
      <alignment horizontal="left" vertical="center" indent="1"/>
    </xf>
    <xf numFmtId="0" fontId="51" fillId="86" borderId="64" xfId="624" applyFont="1" applyFill="1" applyBorder="1" applyAlignment="1">
      <alignment horizontal="center" vertical="center"/>
    </xf>
    <xf numFmtId="0" fontId="51" fillId="86" borderId="64" xfId="409" applyNumberFormat="1" applyFont="1" applyFill="1" applyBorder="1" applyAlignment="1" applyProtection="1">
      <alignment horizontal="center" vertical="center"/>
    </xf>
    <xf numFmtId="0" fontId="51" fillId="86" borderId="64" xfId="0" applyFont="1" applyFill="1" applyBorder="1" applyAlignment="1" applyProtection="1">
      <alignment horizontal="center" vertical="center"/>
    </xf>
    <xf numFmtId="2" fontId="51" fillId="86" borderId="64" xfId="624" applyNumberFormat="1" applyFont="1" applyFill="1" applyBorder="1" applyAlignment="1">
      <alignment horizontal="center" vertical="center"/>
    </xf>
    <xf numFmtId="0" fontId="38" fillId="66" borderId="143" xfId="0" applyFont="1" applyFill="1" applyBorder="1" applyAlignment="1" applyProtection="1">
      <alignment horizontal="center" vertical="center"/>
      <protection hidden="1"/>
    </xf>
    <xf numFmtId="0" fontId="38" fillId="85" borderId="159" xfId="0" applyFont="1" applyFill="1" applyBorder="1" applyAlignment="1" applyProtection="1">
      <alignment horizontal="left" vertical="center" wrapText="1" indent="1"/>
      <protection hidden="1"/>
    </xf>
    <xf numFmtId="0" fontId="51" fillId="0" borderId="68" xfId="0" applyFont="1" applyBorder="1" applyAlignment="1" applyProtection="1">
      <alignment horizontal="left" vertical="center"/>
      <protection hidden="1"/>
    </xf>
    <xf numFmtId="0" fontId="199" fillId="66" borderId="0" xfId="0" applyFont="1" applyFill="1" applyAlignment="1" applyProtection="1">
      <protection hidden="1"/>
    </xf>
    <xf numFmtId="0" fontId="200" fillId="66" borderId="0" xfId="0" applyFont="1" applyFill="1" applyAlignment="1" applyProtection="1">
      <alignment vertical="center"/>
      <protection hidden="1"/>
    </xf>
    <xf numFmtId="0" fontId="201" fillId="66" borderId="0" xfId="0" applyFont="1" applyFill="1" applyAlignment="1" applyProtection="1">
      <alignment horizontal="left" vertical="center"/>
      <protection hidden="1"/>
    </xf>
    <xf numFmtId="0" fontId="38" fillId="66" borderId="0" xfId="0" applyFont="1" applyFill="1" applyAlignment="1" applyProtection="1">
      <alignment horizontal="center" vertical="center"/>
      <protection hidden="1"/>
    </xf>
    <xf numFmtId="2" fontId="38" fillId="0" borderId="64" xfId="0" quotePrefix="1" applyNumberFormat="1" applyFont="1" applyFill="1" applyBorder="1" applyAlignment="1" applyProtection="1">
      <alignment horizontal="center" vertical="center"/>
      <protection hidden="1"/>
    </xf>
    <xf numFmtId="2" fontId="38" fillId="0" borderId="64" xfId="0" applyNumberFormat="1" applyFont="1" applyBorder="1" applyAlignment="1" applyProtection="1">
      <alignment horizontal="center" vertical="center"/>
      <protection hidden="1"/>
    </xf>
    <xf numFmtId="0" fontId="38" fillId="0" borderId="0" xfId="0" applyFont="1" applyFill="1" applyBorder="1" applyAlignment="1" applyProtection="1">
      <alignment horizontal="center" vertical="center"/>
    </xf>
    <xf numFmtId="0" fontId="39" fillId="0" borderId="0" xfId="0" applyFont="1" applyFill="1" applyBorder="1" applyAlignment="1" applyProtection="1">
      <alignment horizontal="center" vertical="center"/>
      <protection hidden="1"/>
    </xf>
    <xf numFmtId="0" fontId="38" fillId="0" borderId="0" xfId="0" applyFont="1" applyFill="1" applyBorder="1" applyAlignment="1" applyProtection="1">
      <alignment horizontal="center" vertical="center" wrapText="1"/>
      <protection hidden="1"/>
    </xf>
    <xf numFmtId="0" fontId="53" fillId="0" borderId="0" xfId="0" applyFont="1" applyFill="1" applyBorder="1" applyAlignment="1" applyProtection="1">
      <alignment horizontal="center" vertical="center"/>
    </xf>
    <xf numFmtId="2" fontId="38" fillId="0" borderId="0" xfId="0" applyNumberFormat="1" applyFont="1" applyFill="1" applyBorder="1" applyAlignment="1" applyProtection="1">
      <alignment horizontal="center" vertical="center"/>
    </xf>
    <xf numFmtId="2" fontId="40" fillId="0" borderId="0" xfId="578" applyNumberFormat="1" applyFont="1" applyFill="1" applyBorder="1" applyAlignment="1" applyProtection="1">
      <alignment horizontal="center" vertical="center"/>
      <protection hidden="1"/>
    </xf>
    <xf numFmtId="0" fontId="58" fillId="0" borderId="0" xfId="0" applyFont="1" applyFill="1" applyBorder="1" applyAlignment="1" applyProtection="1">
      <alignment horizontal="center" vertical="center"/>
    </xf>
    <xf numFmtId="0" fontId="40" fillId="68" borderId="73" xfId="0" applyFont="1" applyFill="1" applyBorder="1" applyAlignment="1" applyProtection="1">
      <alignment horizontal="left" vertical="center"/>
    </xf>
    <xf numFmtId="0" fontId="38" fillId="0" borderId="170" xfId="0" applyFont="1" applyBorder="1" applyAlignment="1" applyProtection="1">
      <alignment horizontal="center" vertical="center"/>
    </xf>
    <xf numFmtId="0" fontId="50" fillId="0" borderId="203" xfId="0" applyFont="1" applyFill="1" applyBorder="1" applyAlignment="1" applyProtection="1">
      <alignment horizontal="left" vertical="center"/>
      <protection hidden="1"/>
    </xf>
    <xf numFmtId="2" fontId="0" fillId="0" borderId="71" xfId="0" applyNumberFormat="1" applyFont="1" applyFill="1" applyBorder="1" applyAlignment="1" applyProtection="1">
      <alignment horizontal="center" vertical="center"/>
      <protection hidden="1"/>
    </xf>
    <xf numFmtId="0" fontId="50" fillId="0" borderId="70" xfId="0" applyFont="1" applyFill="1" applyBorder="1" applyAlignment="1" applyProtection="1">
      <alignment horizontal="left" vertical="center"/>
      <protection hidden="1"/>
    </xf>
    <xf numFmtId="0" fontId="57" fillId="0" borderId="0" xfId="0" applyFont="1" applyAlignment="1" applyProtection="1">
      <alignment horizontal="center" vertical="center"/>
    </xf>
    <xf numFmtId="0" fontId="51" fillId="0" borderId="0" xfId="0" applyFont="1" applyAlignment="1" applyProtection="1">
      <alignment horizontal="left" vertical="center"/>
    </xf>
    <xf numFmtId="0" fontId="0" fillId="88" borderId="64" xfId="0" applyFont="1" applyFill="1" applyBorder="1" applyAlignment="1" applyProtection="1">
      <alignment horizontal="left" vertical="center" indent="1"/>
      <protection hidden="1"/>
    </xf>
    <xf numFmtId="0" fontId="0" fillId="88" borderId="64" xfId="0" applyFont="1" applyFill="1" applyBorder="1" applyAlignment="1" applyProtection="1">
      <alignment horizontal="center" vertical="center"/>
      <protection hidden="1"/>
    </xf>
    <xf numFmtId="0" fontId="202" fillId="66" borderId="0" xfId="0" applyFont="1" applyFill="1" applyBorder="1" applyAlignment="1" applyProtection="1">
      <alignment vertical="center" textRotation="90"/>
      <protection hidden="1"/>
    </xf>
    <xf numFmtId="0" fontId="50" fillId="0" borderId="130" xfId="0" applyFont="1" applyFill="1" applyBorder="1" applyAlignment="1" applyProtection="1">
      <alignment horizontal="left" vertical="center"/>
      <protection hidden="1"/>
    </xf>
    <xf numFmtId="2" fontId="0" fillId="0" borderId="131" xfId="0" applyNumberFormat="1" applyFont="1" applyFill="1" applyBorder="1" applyAlignment="1" applyProtection="1">
      <alignment horizontal="center" vertical="center"/>
      <protection hidden="1"/>
    </xf>
    <xf numFmtId="0" fontId="38" fillId="66" borderId="74" xfId="0" applyFont="1" applyFill="1" applyBorder="1" applyAlignment="1" applyProtection="1">
      <alignment horizontal="center" vertical="center"/>
    </xf>
    <xf numFmtId="0" fontId="38" fillId="66" borderId="159" xfId="0" applyFont="1" applyFill="1" applyBorder="1" applyAlignment="1" applyProtection="1">
      <alignment horizontal="center" vertical="center"/>
      <protection hidden="1"/>
    </xf>
    <xf numFmtId="0" fontId="38" fillId="66" borderId="77" xfId="0" applyFont="1" applyFill="1" applyBorder="1" applyAlignment="1" applyProtection="1">
      <alignment horizontal="center" vertical="center"/>
      <protection hidden="1"/>
    </xf>
    <xf numFmtId="0" fontId="38" fillId="66" borderId="156" xfId="0" applyFont="1" applyFill="1" applyBorder="1" applyAlignment="1" applyProtection="1">
      <alignment horizontal="center" vertical="center"/>
    </xf>
    <xf numFmtId="0" fontId="38" fillId="66" borderId="0" xfId="0" applyFont="1" applyFill="1" applyAlignment="1" applyProtection="1">
      <alignment horizontal="center" vertical="center"/>
    </xf>
    <xf numFmtId="0" fontId="204" fillId="80" borderId="64" xfId="0" applyFont="1" applyFill="1" applyBorder="1" applyAlignment="1" applyProtection="1">
      <alignment horizontal="center" vertical="center" wrapText="1"/>
      <protection hidden="1"/>
    </xf>
    <xf numFmtId="0" fontId="204" fillId="80" borderId="64" xfId="0" applyFont="1" applyFill="1" applyBorder="1" applyAlignment="1" applyProtection="1">
      <alignment horizontal="center" vertical="center"/>
      <protection hidden="1"/>
    </xf>
    <xf numFmtId="0" fontId="204" fillId="89" borderId="140" xfId="0" applyFont="1" applyFill="1" applyBorder="1" applyAlignment="1" applyProtection="1">
      <alignment horizontal="center" vertical="center"/>
      <protection hidden="1"/>
    </xf>
    <xf numFmtId="0" fontId="204" fillId="90" borderId="64" xfId="0" applyFont="1" applyFill="1" applyBorder="1" applyAlignment="1" applyProtection="1">
      <alignment horizontal="center" vertical="center" wrapText="1"/>
      <protection hidden="1"/>
    </xf>
    <xf numFmtId="0" fontId="40" fillId="80" borderId="64" xfId="0" applyFont="1" applyFill="1" applyBorder="1" applyAlignment="1" applyProtection="1">
      <alignment horizontal="center" vertical="center"/>
      <protection hidden="1"/>
    </xf>
    <xf numFmtId="0" fontId="204" fillId="89" borderId="141" xfId="0" applyFont="1" applyFill="1" applyBorder="1" applyAlignment="1" applyProtection="1">
      <alignment horizontal="center" vertical="center"/>
      <protection hidden="1"/>
    </xf>
    <xf numFmtId="0" fontId="38" fillId="66" borderId="0" xfId="0" applyFont="1" applyFill="1" applyAlignment="1" applyProtection="1">
      <alignment horizontal="center" vertical="top"/>
    </xf>
    <xf numFmtId="0" fontId="190" fillId="78" borderId="64" xfId="0" applyFont="1" applyFill="1" applyBorder="1" applyAlignment="1" applyProtection="1">
      <alignment horizontal="center" vertical="center"/>
      <protection locked="0" hidden="1"/>
    </xf>
    <xf numFmtId="2" fontId="190" fillId="78" borderId="64" xfId="0" applyNumberFormat="1" applyFont="1" applyFill="1" applyBorder="1" applyAlignment="1" applyProtection="1">
      <alignment horizontal="center" vertical="center"/>
      <protection locked="0" hidden="1"/>
    </xf>
    <xf numFmtId="0" fontId="190" fillId="91" borderId="64" xfId="0" applyFont="1" applyFill="1" applyBorder="1" applyAlignment="1" applyProtection="1">
      <alignment horizontal="center" vertical="center"/>
      <protection locked="0" hidden="1"/>
    </xf>
    <xf numFmtId="2" fontId="0" fillId="9" borderId="64" xfId="578" applyNumberFormat="1" applyFont="1" applyFill="1" applyBorder="1" applyAlignment="1" applyProtection="1">
      <alignment horizontal="center" vertical="center"/>
      <protection hidden="1"/>
    </xf>
    <xf numFmtId="0" fontId="204" fillId="89" borderId="74" xfId="0" applyFont="1" applyFill="1" applyBorder="1" applyAlignment="1" applyProtection="1">
      <alignment horizontal="center" vertical="center"/>
      <protection hidden="1"/>
    </xf>
    <xf numFmtId="0" fontId="40" fillId="80" borderId="72" xfId="0" applyFont="1" applyFill="1" applyBorder="1" applyAlignment="1" applyProtection="1">
      <alignment horizontal="center" vertical="center" wrapText="1"/>
      <protection hidden="1"/>
    </xf>
    <xf numFmtId="0" fontId="204" fillId="80" borderId="69" xfId="0" applyFont="1" applyFill="1" applyBorder="1" applyAlignment="1" applyProtection="1">
      <alignment horizontal="center" vertical="center" wrapText="1"/>
      <protection hidden="1"/>
    </xf>
    <xf numFmtId="0" fontId="190" fillId="78" borderId="69" xfId="0" applyFont="1" applyFill="1" applyBorder="1" applyAlignment="1" applyProtection="1">
      <alignment horizontal="center" vertical="center"/>
      <protection locked="0" hidden="1"/>
    </xf>
    <xf numFmtId="0" fontId="190" fillId="78" borderId="69" xfId="0" applyFont="1" applyFill="1" applyBorder="1" applyAlignment="1" applyProtection="1">
      <alignment vertical="center"/>
      <protection locked="0" hidden="1"/>
    </xf>
    <xf numFmtId="0" fontId="40" fillId="80" borderId="72" xfId="0" applyFont="1" applyFill="1" applyBorder="1" applyAlignment="1" applyProtection="1">
      <alignment horizontal="center" vertical="center"/>
      <protection hidden="1"/>
    </xf>
    <xf numFmtId="0" fontId="205" fillId="80" borderId="69" xfId="0" applyFont="1" applyFill="1" applyBorder="1" applyAlignment="1" applyProtection="1">
      <alignment horizontal="center" vertical="center" wrapText="1"/>
      <protection hidden="1"/>
    </xf>
    <xf numFmtId="2" fontId="190" fillId="78" borderId="69" xfId="0" applyNumberFormat="1" applyFont="1" applyFill="1" applyBorder="1" applyAlignment="1" applyProtection="1">
      <alignment horizontal="center" vertical="center"/>
      <protection locked="0" hidden="1"/>
    </xf>
    <xf numFmtId="2" fontId="190" fillId="78" borderId="64" xfId="0" applyNumberFormat="1" applyFont="1" applyFill="1" applyBorder="1" applyAlignment="1" applyProtection="1">
      <alignment horizontal="left" vertical="center"/>
      <protection locked="0" hidden="1"/>
    </xf>
    <xf numFmtId="0" fontId="190" fillId="91" borderId="64" xfId="0" applyFont="1" applyFill="1" applyBorder="1" applyAlignment="1" applyProtection="1">
      <alignment horizontal="right" vertical="center"/>
      <protection locked="0" hidden="1"/>
    </xf>
    <xf numFmtId="0" fontId="0" fillId="0" borderId="0" xfId="0" applyFont="1" applyAlignment="1" applyProtection="1">
      <alignment horizontal="center" vertical="center"/>
    </xf>
    <xf numFmtId="0" fontId="0" fillId="0" borderId="0" xfId="0" applyFont="1" applyBorder="1" applyAlignment="1" applyProtection="1">
      <alignment horizontal="center" vertical="center"/>
    </xf>
    <xf numFmtId="0" fontId="38" fillId="0" borderId="0" xfId="0" applyFont="1" applyFill="1" applyAlignment="1" applyProtection="1">
      <alignment horizontal="center" vertical="center"/>
    </xf>
    <xf numFmtId="0" fontId="38" fillId="0" borderId="0" xfId="0" applyFont="1" applyBorder="1" applyAlignment="1" applyProtection="1">
      <alignment horizontal="center" vertical="center"/>
    </xf>
    <xf numFmtId="1" fontId="69" fillId="41" borderId="2" xfId="0" applyNumberFormat="1" applyFont="1" applyFill="1" applyBorder="1" applyAlignment="1" applyProtection="1">
      <alignment horizontal="right"/>
    </xf>
    <xf numFmtId="1" fontId="69" fillId="92" borderId="204" xfId="0" applyNumberFormat="1" applyFont="1" applyFill="1" applyBorder="1" applyAlignment="1" applyProtection="1">
      <alignment horizontal="center" vertical="center"/>
    </xf>
    <xf numFmtId="14" fontId="49" fillId="0" borderId="35" xfId="0" applyNumberFormat="1" applyFont="1" applyBorder="1" applyAlignment="1" applyProtection="1">
      <alignment horizontal="center" vertical="center" shrinkToFit="1"/>
      <protection locked="0"/>
    </xf>
    <xf numFmtId="0" fontId="67" fillId="30" borderId="39" xfId="412" applyNumberFormat="1" applyFont="1" applyFill="1" applyBorder="1" applyAlignment="1" applyProtection="1">
      <alignment horizontal="right" vertical="center" indent="1"/>
    </xf>
    <xf numFmtId="0" fontId="49" fillId="87" borderId="64" xfId="0" applyFont="1" applyFill="1" applyBorder="1" applyAlignment="1">
      <alignment horizontal="center" vertical="center" shrinkToFit="1"/>
    </xf>
    <xf numFmtId="0" fontId="49" fillId="87" borderId="64" xfId="0" applyFont="1" applyFill="1" applyBorder="1" applyAlignment="1">
      <alignment horizontal="center" vertical="center" wrapText="1"/>
    </xf>
    <xf numFmtId="0" fontId="51" fillId="88" borderId="64" xfId="624" applyFont="1" applyFill="1" applyBorder="1" applyAlignment="1">
      <alignment horizontal="center" vertical="center"/>
    </xf>
    <xf numFmtId="0" fontId="51" fillId="88" borderId="64" xfId="409" applyNumberFormat="1" applyFont="1" applyFill="1" applyBorder="1" applyAlignment="1" applyProtection="1">
      <alignment horizontal="center" vertical="center"/>
    </xf>
    <xf numFmtId="0" fontId="51" fillId="88" borderId="64" xfId="0" applyFont="1" applyFill="1" applyBorder="1" applyAlignment="1" applyProtection="1">
      <alignment horizontal="center" vertical="center"/>
    </xf>
    <xf numFmtId="0" fontId="208" fillId="66" borderId="0" xfId="0" applyFont="1" applyFill="1" applyAlignment="1" applyProtection="1">
      <alignment vertical="center"/>
      <protection hidden="1"/>
    </xf>
    <xf numFmtId="0" fontId="45" fillId="68" borderId="69" xfId="0" applyFont="1" applyFill="1" applyBorder="1" applyAlignment="1" applyProtection="1">
      <alignment horizontal="center" vertical="center" wrapText="1"/>
    </xf>
    <xf numFmtId="0" fontId="53" fillId="68" borderId="69" xfId="0" applyFont="1" applyFill="1" applyBorder="1" applyAlignment="1" applyProtection="1">
      <alignment horizontal="center" vertical="center" wrapText="1"/>
    </xf>
    <xf numFmtId="0" fontId="50" fillId="79" borderId="0" xfId="0" applyFont="1" applyFill="1" applyAlignment="1" applyProtection="1">
      <alignment horizontal="left" vertical="center" wrapText="1"/>
    </xf>
    <xf numFmtId="0" fontId="50" fillId="79" borderId="0" xfId="0" applyFont="1" applyFill="1" applyAlignment="1" applyProtection="1">
      <alignment horizontal="left" vertical="center" indent="1"/>
    </xf>
    <xf numFmtId="0" fontId="50" fillId="79" borderId="0" xfId="0" applyFont="1" applyFill="1" applyAlignment="1" applyProtection="1">
      <alignment vertical="center"/>
    </xf>
    <xf numFmtId="0" fontId="0" fillId="0" borderId="0" xfId="0" applyAlignment="1">
      <alignment horizontal="left" vertical="center" indent="1"/>
    </xf>
    <xf numFmtId="0" fontId="50" fillId="79" borderId="0" xfId="0" applyFont="1" applyFill="1" applyAlignment="1" applyProtection="1">
      <alignment horizontal="center" vertical="center"/>
    </xf>
    <xf numFmtId="0" fontId="189" fillId="79" borderId="159" xfId="0" applyFont="1" applyFill="1" applyBorder="1" applyAlignment="1" applyProtection="1">
      <alignment horizontal="left" indent="1"/>
    </xf>
    <xf numFmtId="0" fontId="45" fillId="79" borderId="0" xfId="0" applyFont="1" applyFill="1" applyBorder="1" applyAlignment="1" applyProtection="1"/>
    <xf numFmtId="0" fontId="0" fillId="79" borderId="0" xfId="0" applyFont="1" applyFill="1" applyBorder="1" applyAlignment="1" applyProtection="1"/>
    <xf numFmtId="0" fontId="0" fillId="79" borderId="0" xfId="0" applyFont="1" applyFill="1" applyBorder="1" applyAlignment="1" applyProtection="1">
      <alignment horizontal="right"/>
    </xf>
    <xf numFmtId="0" fontId="0" fillId="79" borderId="0" xfId="0" applyFont="1" applyFill="1" applyBorder="1" applyAlignment="1" applyProtection="1">
      <alignment horizontal="center"/>
    </xf>
    <xf numFmtId="0" fontId="53" fillId="68" borderId="64" xfId="0" applyFont="1" applyFill="1" applyBorder="1" applyAlignment="1" applyProtection="1">
      <alignment horizontal="left" vertical="center" indent="1"/>
      <protection locked="0"/>
    </xf>
    <xf numFmtId="0" fontId="39" fillId="68" borderId="69" xfId="0" applyFont="1" applyFill="1" applyBorder="1" applyAlignment="1" applyProtection="1">
      <alignment horizontal="left" vertical="center" indent="1"/>
    </xf>
    <xf numFmtId="0" fontId="5" fillId="79" borderId="0" xfId="0" applyFont="1" applyFill="1" applyAlignment="1" applyProtection="1">
      <alignment horizontal="left"/>
    </xf>
    <xf numFmtId="0" fontId="40" fillId="79" borderId="0" xfId="0" applyFont="1" applyFill="1" applyBorder="1" applyAlignment="1">
      <alignment horizontal="center" vertical="center"/>
    </xf>
    <xf numFmtId="1" fontId="7" fillId="0" borderId="64" xfId="0" applyNumberFormat="1" applyFont="1" applyBorder="1" applyAlignment="1" applyProtection="1">
      <alignment horizontal="center" vertical="center"/>
    </xf>
    <xf numFmtId="167" fontId="7" fillId="0" borderId="64" xfId="0" applyNumberFormat="1" applyFont="1" applyBorder="1" applyAlignment="1" applyProtection="1">
      <alignment horizontal="center" vertical="center"/>
    </xf>
    <xf numFmtId="167" fontId="7" fillId="0" borderId="69" xfId="0" applyNumberFormat="1" applyFont="1" applyBorder="1" applyAlignment="1" applyProtection="1">
      <alignment horizontal="center" vertical="center"/>
    </xf>
    <xf numFmtId="0" fontId="7" fillId="0" borderId="64" xfId="0" applyFont="1" applyBorder="1" applyAlignment="1" applyProtection="1">
      <alignment horizontal="left" vertical="center" indent="1"/>
    </xf>
    <xf numFmtId="168" fontId="53" fillId="68" borderId="28" xfId="0" applyNumberFormat="1" applyFont="1" applyFill="1" applyBorder="1" applyAlignment="1" applyProtection="1">
      <alignment horizontal="center" vertical="center" wrapText="1"/>
    </xf>
    <xf numFmtId="168" fontId="7" fillId="0" borderId="64" xfId="0" applyNumberFormat="1" applyFont="1" applyBorder="1" applyAlignment="1" applyProtection="1">
      <alignment horizontal="center" vertical="center" shrinkToFit="1"/>
    </xf>
    <xf numFmtId="168" fontId="7" fillId="0" borderId="69" xfId="0" applyNumberFormat="1" applyFont="1" applyBorder="1" applyAlignment="1" applyProtection="1">
      <alignment horizontal="center" vertical="center" shrinkToFit="1"/>
    </xf>
    <xf numFmtId="0" fontId="170" fillId="83" borderId="78" xfId="412" applyNumberFormat="1" applyFont="1" applyFill="1" applyBorder="1" applyAlignment="1" applyProtection="1">
      <alignment horizontal="center" vertical="center"/>
    </xf>
    <xf numFmtId="0" fontId="110" fillId="0" borderId="0" xfId="578"/>
    <xf numFmtId="0" fontId="39" fillId="0" borderId="206" xfId="578" applyFont="1" applyBorder="1" applyAlignment="1">
      <alignment horizontal="center" vertical="center" wrapText="1"/>
    </xf>
    <xf numFmtId="0" fontId="53" fillId="0" borderId="206" xfId="578" applyFont="1" applyBorder="1" applyAlignment="1">
      <alignment horizontal="center" vertical="center" wrapText="1"/>
    </xf>
    <xf numFmtId="0" fontId="214" fillId="0" borderId="207" xfId="578" applyFont="1" applyFill="1" applyBorder="1" applyAlignment="1">
      <alignment horizontal="center" vertical="center" wrapText="1"/>
    </xf>
    <xf numFmtId="0" fontId="50" fillId="0" borderId="0" xfId="578" applyFont="1" applyAlignment="1">
      <alignment horizontal="left" vertical="center" wrapText="1"/>
    </xf>
    <xf numFmtId="0" fontId="110" fillId="0" borderId="0" xfId="578" applyFill="1" applyBorder="1"/>
    <xf numFmtId="0" fontId="170" fillId="18" borderId="64" xfId="412" applyNumberFormat="1" applyFont="1" applyFill="1" applyBorder="1" applyProtection="1"/>
    <xf numFmtId="0" fontId="66" fillId="0" borderId="0" xfId="578" applyFont="1" applyBorder="1" applyAlignment="1">
      <alignment horizontal="left" vertical="center" wrapText="1"/>
    </xf>
    <xf numFmtId="0" fontId="134" fillId="51" borderId="143" xfId="578" applyFont="1" applyFill="1" applyBorder="1" applyAlignment="1" applyProtection="1">
      <alignment vertical="center" wrapText="1"/>
    </xf>
    <xf numFmtId="0" fontId="170" fillId="18" borderId="208" xfId="412" applyNumberFormat="1" applyFont="1" applyFill="1" applyBorder="1" applyAlignment="1" applyProtection="1">
      <alignment horizontal="center" vertical="center"/>
    </xf>
    <xf numFmtId="0" fontId="40" fillId="0" borderId="217" xfId="578" applyFont="1" applyBorder="1" applyAlignment="1" applyProtection="1">
      <alignment horizontal="center" vertical="center" wrapText="1"/>
    </xf>
    <xf numFmtId="16" fontId="8" fillId="0" borderId="218" xfId="578" applyNumberFormat="1" applyFont="1" applyBorder="1" applyAlignment="1" applyProtection="1">
      <alignment horizontal="center" vertical="center"/>
      <protection locked="0"/>
    </xf>
    <xf numFmtId="0" fontId="110" fillId="0" borderId="218" xfId="578" applyBorder="1" applyAlignment="1" applyProtection="1">
      <alignment horizontal="center" vertical="center" wrapText="1"/>
      <protection locked="0"/>
    </xf>
    <xf numFmtId="2" fontId="110" fillId="0" borderId="219" xfId="578" applyNumberFormat="1" applyBorder="1" applyAlignment="1" applyProtection="1">
      <alignment horizontal="center"/>
    </xf>
    <xf numFmtId="0" fontId="45" fillId="0" borderId="218" xfId="578" applyFont="1" applyBorder="1" applyAlignment="1" applyProtection="1">
      <alignment horizontal="center" vertical="center" wrapText="1"/>
      <protection locked="0"/>
    </xf>
    <xf numFmtId="0" fontId="110" fillId="0" borderId="218" xfId="578" applyFont="1" applyBorder="1" applyAlignment="1" applyProtection="1">
      <alignment horizontal="center" vertical="center" wrapText="1"/>
      <protection locked="0"/>
    </xf>
    <xf numFmtId="0" fontId="170" fillId="83" borderId="222" xfId="412" applyNumberFormat="1" applyFont="1" applyFill="1" applyBorder="1" applyAlignment="1" applyProtection="1">
      <alignment horizontal="center" vertical="center"/>
    </xf>
    <xf numFmtId="0" fontId="110" fillId="0" borderId="0" xfId="578" applyAlignment="1">
      <alignment horizontal="center"/>
    </xf>
    <xf numFmtId="0" fontId="222" fillId="0" borderId="73" xfId="412" applyFont="1" applyBorder="1" applyAlignment="1">
      <alignment horizontal="center" vertical="center"/>
    </xf>
    <xf numFmtId="0" fontId="222" fillId="0" borderId="156" xfId="412" applyFont="1" applyBorder="1" applyAlignment="1">
      <alignment vertical="center"/>
    </xf>
    <xf numFmtId="0" fontId="224" fillId="0" borderId="156" xfId="412" applyFont="1" applyBorder="1" applyAlignment="1">
      <alignment vertical="center" wrapText="1"/>
    </xf>
    <xf numFmtId="0" fontId="110" fillId="0" borderId="0" xfId="578" applyFill="1"/>
    <xf numFmtId="0" fontId="110" fillId="0" borderId="0" xfId="578" applyFill="1" applyAlignment="1">
      <alignment horizontal="center"/>
    </xf>
    <xf numFmtId="0" fontId="110" fillId="0" borderId="73" xfId="578" applyFill="1" applyBorder="1"/>
    <xf numFmtId="0" fontId="51" fillId="0" borderId="0" xfId="578" applyFont="1" applyBorder="1" applyAlignment="1">
      <alignment vertical="center" wrapText="1"/>
    </xf>
    <xf numFmtId="0" fontId="110" fillId="0" borderId="222" xfId="578" applyBorder="1"/>
    <xf numFmtId="0" fontId="110" fillId="0" borderId="213" xfId="578" applyFill="1" applyBorder="1"/>
    <xf numFmtId="0" fontId="110" fillId="0" borderId="213" xfId="578" applyFill="1" applyBorder="1" applyAlignment="1">
      <alignment horizontal="center"/>
    </xf>
    <xf numFmtId="0" fontId="110" fillId="0" borderId="0" xfId="578" applyFill="1" applyBorder="1" applyAlignment="1">
      <alignment horizontal="center"/>
    </xf>
    <xf numFmtId="0" fontId="110" fillId="0" borderId="156" xfId="578" applyFill="1" applyBorder="1"/>
    <xf numFmtId="0" fontId="110" fillId="0" borderId="0" xfId="578" applyNumberFormat="1" applyFill="1" applyBorder="1"/>
    <xf numFmtId="0" fontId="110" fillId="0" borderId="157" xfId="578" applyNumberFormat="1" applyFill="1" applyBorder="1"/>
    <xf numFmtId="0" fontId="110" fillId="0" borderId="222" xfId="578" applyFill="1" applyBorder="1"/>
    <xf numFmtId="0" fontId="110" fillId="0" borderId="222" xfId="578" applyFill="1" applyBorder="1" applyAlignment="1">
      <alignment horizontal="center"/>
    </xf>
    <xf numFmtId="0" fontId="51" fillId="0" borderId="0" xfId="578" applyFont="1" applyAlignment="1">
      <alignment vertical="center" wrapText="1"/>
    </xf>
    <xf numFmtId="0" fontId="217" fillId="0" borderId="0" xfId="626" applyFont="1" applyAlignment="1">
      <alignment horizontal="left" vertical="center" indent="2"/>
    </xf>
    <xf numFmtId="0" fontId="217" fillId="0" borderId="0" xfId="626" applyFont="1"/>
    <xf numFmtId="0" fontId="218" fillId="0" borderId="0" xfId="626" applyFont="1"/>
    <xf numFmtId="0" fontId="219" fillId="0" borderId="0" xfId="626" applyFont="1"/>
    <xf numFmtId="0" fontId="110" fillId="0" borderId="208" xfId="578" applyFill="1" applyBorder="1"/>
    <xf numFmtId="0" fontId="110" fillId="0" borderId="208" xfId="578" applyFill="1" applyBorder="1" applyAlignment="1">
      <alignment horizontal="center"/>
    </xf>
    <xf numFmtId="0" fontId="110" fillId="0" borderId="175" xfId="578" applyFill="1" applyBorder="1"/>
    <xf numFmtId="0" fontId="110" fillId="0" borderId="176" xfId="578" applyFill="1" applyBorder="1"/>
    <xf numFmtId="0" fontId="110" fillId="0" borderId="176" xfId="578" applyNumberFormat="1" applyFill="1" applyBorder="1"/>
    <xf numFmtId="0" fontId="110" fillId="0" borderId="149" xfId="578" applyNumberFormat="1" applyFill="1" applyBorder="1"/>
    <xf numFmtId="0" fontId="39" fillId="0" borderId="0" xfId="578" applyFont="1" applyAlignment="1" applyProtection="1">
      <alignment horizontal="left" vertical="center" indent="1"/>
    </xf>
    <xf numFmtId="0" fontId="40" fillId="0" borderId="0" xfId="578" applyFont="1" applyBorder="1" applyAlignment="1" applyProtection="1">
      <alignment horizontal="right" vertical="center" wrapText="1" indent="1"/>
    </xf>
    <xf numFmtId="0" fontId="39" fillId="0" borderId="0" xfId="578" applyFont="1" applyFill="1" applyBorder="1" applyAlignment="1" applyProtection="1">
      <alignment horizontal="left" vertical="center" indent="1"/>
    </xf>
    <xf numFmtId="0" fontId="110" fillId="0" borderId="0" xfId="578" applyProtection="1"/>
    <xf numFmtId="0" fontId="40" fillId="0" borderId="0" xfId="578" applyFont="1" applyFill="1" applyAlignment="1" applyProtection="1">
      <alignment horizontal="center" vertical="center"/>
    </xf>
    <xf numFmtId="0" fontId="0" fillId="0" borderId="218" xfId="578" applyFont="1" applyBorder="1" applyAlignment="1" applyProtection="1">
      <alignment horizontal="center" vertical="center" wrapText="1"/>
      <protection locked="0"/>
    </xf>
    <xf numFmtId="0" fontId="57" fillId="0" borderId="73" xfId="412" applyFont="1" applyBorder="1" applyAlignment="1">
      <alignment vertical="center" wrapText="1"/>
    </xf>
    <xf numFmtId="0" fontId="51" fillId="68" borderId="64" xfId="0" applyFont="1" applyFill="1" applyBorder="1" applyAlignment="1">
      <alignment horizontal="center" vertical="center"/>
    </xf>
    <xf numFmtId="0" fontId="51" fillId="68" borderId="64" xfId="0" applyFont="1" applyFill="1" applyBorder="1" applyAlignment="1">
      <alignment horizontal="center" vertical="center" wrapText="1"/>
    </xf>
    <xf numFmtId="0" fontId="49" fillId="68" borderId="64" xfId="0" applyFont="1" applyFill="1" applyBorder="1" applyAlignment="1">
      <alignment horizontal="center" vertical="center"/>
    </xf>
    <xf numFmtId="0" fontId="49" fillId="68" borderId="64" xfId="0" applyFont="1" applyFill="1" applyBorder="1" applyAlignment="1">
      <alignment horizontal="center" vertical="center" wrapText="1"/>
    </xf>
    <xf numFmtId="0" fontId="51" fillId="68" borderId="64" xfId="0" applyFont="1" applyFill="1" applyBorder="1" applyAlignment="1">
      <alignment horizontal="center" vertical="center" wrapText="1" shrinkToFit="1"/>
    </xf>
    <xf numFmtId="0" fontId="49" fillId="68" borderId="64" xfId="0" applyFont="1" applyFill="1" applyBorder="1" applyAlignment="1">
      <alignment horizontal="center" vertical="center" wrapText="1" shrinkToFit="1"/>
    </xf>
    <xf numFmtId="0" fontId="49" fillId="68" borderId="64" xfId="0" applyFont="1" applyFill="1" applyBorder="1" applyAlignment="1">
      <alignment horizontal="center" vertical="center"/>
    </xf>
    <xf numFmtId="0" fontId="49" fillId="68" borderId="70" xfId="0" applyFont="1" applyFill="1" applyBorder="1" applyAlignment="1">
      <alignment horizontal="center" vertical="center" wrapText="1"/>
    </xf>
    <xf numFmtId="0" fontId="49" fillId="68" borderId="64" xfId="0" applyFont="1" applyFill="1" applyBorder="1" applyAlignment="1">
      <alignment horizontal="center" vertical="center" wrapText="1"/>
    </xf>
    <xf numFmtId="0" fontId="49" fillId="68" borderId="71" xfId="0" applyFont="1" applyFill="1" applyBorder="1" applyAlignment="1">
      <alignment horizontal="center" vertical="center" wrapText="1"/>
    </xf>
    <xf numFmtId="0" fontId="49" fillId="68" borderId="71" xfId="0" applyFont="1" applyFill="1" applyBorder="1" applyAlignment="1">
      <alignment horizontal="center" vertical="center" wrapText="1" shrinkToFit="1"/>
    </xf>
    <xf numFmtId="0" fontId="49" fillId="68" borderId="70" xfId="0" applyFont="1" applyFill="1" applyBorder="1" applyAlignment="1">
      <alignment horizontal="center" vertical="center"/>
    </xf>
    <xf numFmtId="0" fontId="49" fillId="68" borderId="64" xfId="0" applyFont="1" applyFill="1" applyBorder="1" applyAlignment="1">
      <alignment horizontal="center" vertical="center" shrinkToFit="1"/>
    </xf>
    <xf numFmtId="0" fontId="51" fillId="68" borderId="64" xfId="0" applyFont="1" applyFill="1" applyBorder="1" applyAlignment="1">
      <alignment horizontal="center" vertical="center"/>
    </xf>
    <xf numFmtId="0" fontId="51" fillId="68" borderId="64" xfId="0" applyFont="1" applyFill="1" applyBorder="1" applyAlignment="1">
      <alignment horizontal="center" vertical="center" wrapText="1" shrinkToFit="1"/>
    </xf>
    <xf numFmtId="0" fontId="51" fillId="68" borderId="71" xfId="0" applyFont="1" applyFill="1" applyBorder="1" applyAlignment="1">
      <alignment horizontal="center" vertical="center" wrapText="1" shrinkToFit="1"/>
    </xf>
    <xf numFmtId="0" fontId="51" fillId="68" borderId="64" xfId="0" applyFont="1" applyFill="1" applyBorder="1" applyAlignment="1">
      <alignment horizontal="center" vertical="center" wrapText="1"/>
    </xf>
    <xf numFmtId="0" fontId="51" fillId="68" borderId="69" xfId="0" applyFont="1" applyFill="1" applyBorder="1" applyAlignment="1">
      <alignment horizontal="center" vertical="center" wrapText="1" shrinkToFit="1"/>
    </xf>
    <xf numFmtId="0" fontId="51" fillId="68" borderId="70" xfId="0" applyFont="1" applyFill="1" applyBorder="1" applyAlignment="1">
      <alignment horizontal="center" vertical="center" wrapText="1"/>
    </xf>
    <xf numFmtId="0" fontId="174" fillId="68" borderId="78" xfId="0" applyFont="1" applyFill="1" applyBorder="1" applyAlignment="1">
      <alignment horizontal="left" vertical="center" indent="1"/>
    </xf>
    <xf numFmtId="0" fontId="42" fillId="0" borderId="0" xfId="0" applyFont="1" applyFill="1" applyBorder="1"/>
    <xf numFmtId="0" fontId="0" fillId="0" borderId="0" xfId="0" applyFill="1" applyBorder="1" applyAlignment="1">
      <alignment vertical="center"/>
    </xf>
    <xf numFmtId="0" fontId="27" fillId="0" borderId="0" xfId="0" applyFont="1" applyFill="1" applyBorder="1"/>
    <xf numFmtId="0" fontId="40" fillId="0" borderId="132" xfId="0" applyFont="1" applyFill="1" applyBorder="1" applyAlignment="1">
      <alignment horizontal="center" vertical="center"/>
    </xf>
    <xf numFmtId="0" fontId="64" fillId="48" borderId="0" xfId="0" applyFont="1" applyFill="1" applyBorder="1" applyAlignment="1">
      <alignment horizontal="center" vertical="center"/>
    </xf>
    <xf numFmtId="0" fontId="40" fillId="33" borderId="0" xfId="0" applyFont="1" applyFill="1" applyBorder="1" applyAlignment="1">
      <alignment horizontal="center" vertical="center"/>
    </xf>
    <xf numFmtId="0" fontId="0" fillId="33" borderId="0" xfId="0" applyFont="1" applyFill="1" applyBorder="1" applyAlignment="1">
      <alignment vertical="center"/>
    </xf>
    <xf numFmtId="0" fontId="49" fillId="33" borderId="0" xfId="0" applyFont="1" applyFill="1" applyBorder="1" applyAlignment="1">
      <alignment horizontal="center" vertical="center"/>
    </xf>
    <xf numFmtId="0" fontId="49" fillId="33" borderId="0" xfId="564" applyFont="1" applyFill="1" applyBorder="1" applyAlignment="1">
      <alignment horizontal="center" vertical="center"/>
    </xf>
    <xf numFmtId="0" fontId="8" fillId="34" borderId="2" xfId="0" applyFont="1" applyFill="1" applyBorder="1" applyAlignment="1">
      <alignment horizontal="center" vertical="center" wrapText="1"/>
    </xf>
    <xf numFmtId="0" fontId="49" fillId="0" borderId="69" xfId="555" applyFont="1" applyFill="1" applyBorder="1" applyAlignment="1">
      <alignment horizontal="center" vertical="center"/>
    </xf>
    <xf numFmtId="0" fontId="49" fillId="0" borderId="151" xfId="555" applyFont="1" applyFill="1" applyBorder="1" applyAlignment="1">
      <alignment horizontal="center" vertical="center"/>
    </xf>
    <xf numFmtId="0" fontId="49" fillId="0" borderId="69" xfId="564" applyFont="1" applyFill="1" applyBorder="1" applyAlignment="1">
      <alignment horizontal="center" vertical="center"/>
    </xf>
    <xf numFmtId="0" fontId="49" fillId="68" borderId="189" xfId="0" applyFont="1" applyFill="1" applyBorder="1" applyAlignment="1">
      <alignment horizontal="center" vertical="center" wrapText="1"/>
    </xf>
    <xf numFmtId="0" fontId="49" fillId="68" borderId="83" xfId="0" applyFont="1" applyFill="1" applyBorder="1" applyAlignment="1">
      <alignment horizontal="center" vertical="center" wrapText="1"/>
    </xf>
    <xf numFmtId="0" fontId="49" fillId="0" borderId="151" xfId="564" applyFont="1" applyFill="1" applyBorder="1" applyAlignment="1">
      <alignment horizontal="center" vertical="center"/>
    </xf>
    <xf numFmtId="0" fontId="51" fillId="20" borderId="0" xfId="0" applyFont="1" applyFill="1" applyBorder="1" applyAlignment="1">
      <alignment horizontal="center" wrapText="1"/>
    </xf>
    <xf numFmtId="0" fontId="51" fillId="20" borderId="0" xfId="0" applyFont="1" applyFill="1" applyBorder="1" applyAlignment="1">
      <alignment horizontal="center"/>
    </xf>
    <xf numFmtId="0" fontId="51" fillId="0" borderId="64" xfId="0" applyFont="1" applyFill="1" applyBorder="1" applyAlignment="1" applyProtection="1">
      <alignment horizontal="center" vertical="center" shrinkToFit="1"/>
      <protection locked="0"/>
    </xf>
    <xf numFmtId="1" fontId="42" fillId="0" borderId="79" xfId="0" applyNumberFormat="1" applyFont="1" applyFill="1" applyBorder="1" applyAlignment="1" applyProtection="1">
      <alignment horizontal="center"/>
    </xf>
    <xf numFmtId="0" fontId="51" fillId="0" borderId="85" xfId="0" applyFont="1" applyFill="1" applyBorder="1" applyAlignment="1" applyProtection="1">
      <alignment horizontal="center" vertical="center" shrinkToFit="1"/>
      <protection locked="0"/>
    </xf>
    <xf numFmtId="0" fontId="51" fillId="0" borderId="243" xfId="0" applyFont="1" applyFill="1" applyBorder="1" applyAlignment="1" applyProtection="1">
      <alignment horizontal="center" vertical="center" shrinkToFit="1"/>
      <protection locked="0"/>
    </xf>
    <xf numFmtId="0" fontId="51" fillId="0" borderId="188" xfId="0" applyFont="1" applyFill="1" applyBorder="1" applyAlignment="1">
      <alignment horizontal="left" vertical="center" indent="1"/>
    </xf>
    <xf numFmtId="0" fontId="51" fillId="0" borderId="146" xfId="0" applyFont="1" applyFill="1" applyBorder="1" applyAlignment="1">
      <alignment horizontal="left" vertical="center" indent="1"/>
    </xf>
    <xf numFmtId="0" fontId="110" fillId="0" borderId="146" xfId="564" applyFont="1" applyFill="1" applyBorder="1" applyAlignment="1">
      <alignment vertical="center"/>
    </xf>
    <xf numFmtId="0" fontId="110" fillId="0" borderId="186" xfId="564" applyFont="1" applyFill="1" applyBorder="1" applyAlignment="1">
      <alignment vertical="center"/>
    </xf>
    <xf numFmtId="0" fontId="50" fillId="0" borderId="246" xfId="564" applyFont="1" applyFill="1" applyBorder="1"/>
    <xf numFmtId="0" fontId="50" fillId="0" borderId="247" xfId="564" applyFont="1" applyFill="1" applyBorder="1"/>
    <xf numFmtId="0" fontId="51" fillId="0" borderId="246" xfId="555" applyFont="1" applyFill="1" applyBorder="1" applyAlignment="1">
      <alignment vertical="center"/>
    </xf>
    <xf numFmtId="0" fontId="9" fillId="43" borderId="132" xfId="0" applyFont="1" applyFill="1" applyBorder="1" applyAlignment="1">
      <alignment horizontal="center" vertical="center"/>
    </xf>
    <xf numFmtId="0" fontId="0" fillId="0" borderId="69" xfId="0" applyFont="1" applyFill="1" applyBorder="1" applyAlignment="1">
      <alignment horizontal="center" vertical="center"/>
    </xf>
    <xf numFmtId="0" fontId="0" fillId="0" borderId="69" xfId="564" applyFont="1" applyFill="1" applyBorder="1" applyAlignment="1">
      <alignment horizontal="center" vertical="center"/>
    </xf>
    <xf numFmtId="0" fontId="0" fillId="93" borderId="69" xfId="564" applyFont="1" applyFill="1" applyBorder="1" applyAlignment="1">
      <alignment horizontal="center" vertical="center"/>
    </xf>
    <xf numFmtId="0" fontId="0" fillId="0" borderId="78" xfId="564" applyFont="1" applyFill="1" applyBorder="1" applyAlignment="1">
      <alignment horizontal="center" vertical="center"/>
    </xf>
    <xf numFmtId="0" fontId="0" fillId="0" borderId="78" xfId="409" applyNumberFormat="1" applyFont="1" applyFill="1" applyBorder="1" applyAlignment="1" applyProtection="1">
      <alignment horizontal="center" vertical="center"/>
    </xf>
    <xf numFmtId="0" fontId="0" fillId="33" borderId="69" xfId="0" applyFont="1" applyFill="1" applyBorder="1" applyAlignment="1">
      <alignment horizontal="center" vertical="center"/>
    </xf>
    <xf numFmtId="0" fontId="0" fillId="33" borderId="78" xfId="0" applyFont="1" applyFill="1" applyBorder="1" applyAlignment="1">
      <alignment horizontal="center" vertical="center"/>
    </xf>
    <xf numFmtId="0" fontId="0" fillId="0" borderId="78" xfId="555" applyFont="1" applyFill="1" applyBorder="1" applyAlignment="1">
      <alignment horizontal="center" vertical="center"/>
    </xf>
    <xf numFmtId="0" fontId="0" fillId="93" borderId="78" xfId="555" applyFont="1" applyFill="1" applyBorder="1" applyAlignment="1">
      <alignment horizontal="center" vertical="center"/>
    </xf>
    <xf numFmtId="0" fontId="0" fillId="33" borderId="69" xfId="564" applyFont="1" applyFill="1" applyBorder="1" applyAlignment="1">
      <alignment horizontal="center" vertical="center"/>
    </xf>
    <xf numFmtId="0" fontId="0" fillId="33" borderId="78" xfId="564" applyFont="1" applyFill="1" applyBorder="1" applyAlignment="1">
      <alignment horizontal="center" vertical="center"/>
    </xf>
    <xf numFmtId="0" fontId="0" fillId="0" borderId="78" xfId="0" applyFont="1" applyFill="1" applyBorder="1" applyAlignment="1">
      <alignment horizontal="center" vertical="center"/>
    </xf>
    <xf numFmtId="0" fontId="0" fillId="93" borderId="69" xfId="0" applyFont="1" applyFill="1" applyBorder="1" applyAlignment="1">
      <alignment horizontal="center" vertical="center"/>
    </xf>
    <xf numFmtId="0" fontId="0" fillId="93" borderId="78" xfId="0" applyFont="1" applyFill="1" applyBorder="1" applyAlignment="1">
      <alignment horizontal="center" vertical="center"/>
    </xf>
    <xf numFmtId="0" fontId="0" fillId="0" borderId="140" xfId="0" applyFont="1" applyFill="1" applyBorder="1" applyAlignment="1">
      <alignment horizontal="center" vertical="center"/>
    </xf>
    <xf numFmtId="0" fontId="0" fillId="93" borderId="140" xfId="0" applyFont="1" applyFill="1" applyBorder="1" applyAlignment="1">
      <alignment horizontal="center" vertical="center"/>
    </xf>
    <xf numFmtId="0" fontId="0" fillId="0" borderId="193" xfId="0" applyFont="1" applyFill="1" applyBorder="1" applyAlignment="1">
      <alignment horizontal="center" vertical="center"/>
    </xf>
    <xf numFmtId="0" fontId="0" fillId="0" borderId="248" xfId="555" applyFont="1" applyFill="1" applyBorder="1" applyAlignment="1">
      <alignment horizontal="center" vertical="center"/>
    </xf>
    <xf numFmtId="0" fontId="0" fillId="0" borderId="248" xfId="0" applyFont="1" applyFill="1" applyBorder="1" applyAlignment="1">
      <alignment horizontal="center" vertical="center"/>
    </xf>
    <xf numFmtId="0" fontId="0" fillId="93" borderId="193" xfId="0" applyFont="1" applyFill="1" applyBorder="1" applyAlignment="1">
      <alignment horizontal="center" vertical="center"/>
    </xf>
    <xf numFmtId="0" fontId="0" fillId="93" borderId="248" xfId="0" applyFont="1" applyFill="1" applyBorder="1" applyAlignment="1">
      <alignment horizontal="center" vertical="center"/>
    </xf>
    <xf numFmtId="0" fontId="0" fillId="0" borderId="151" xfId="0" applyFont="1" applyFill="1" applyBorder="1" applyAlignment="1">
      <alignment horizontal="center" vertical="center"/>
    </xf>
    <xf numFmtId="0" fontId="0" fillId="0" borderId="152" xfId="555" applyFont="1" applyFill="1" applyBorder="1" applyAlignment="1">
      <alignment horizontal="center" vertical="center"/>
    </xf>
    <xf numFmtId="0" fontId="0" fillId="0" borderId="152" xfId="0" applyFont="1" applyFill="1" applyBorder="1" applyAlignment="1">
      <alignment horizontal="center" vertical="center"/>
    </xf>
    <xf numFmtId="0" fontId="0" fillId="93" borderId="151" xfId="0" applyFont="1" applyFill="1" applyBorder="1" applyAlignment="1">
      <alignment horizontal="center" vertical="center"/>
    </xf>
    <xf numFmtId="0" fontId="0" fillId="93" borderId="152" xfId="0" applyFont="1" applyFill="1" applyBorder="1" applyAlignment="1">
      <alignment horizontal="center" vertical="center"/>
    </xf>
    <xf numFmtId="0" fontId="0" fillId="33" borderId="140" xfId="0" applyFont="1" applyFill="1" applyBorder="1" applyAlignment="1">
      <alignment horizontal="center" vertical="center"/>
    </xf>
    <xf numFmtId="0" fontId="0" fillId="33" borderId="142" xfId="0" applyFont="1" applyFill="1" applyBorder="1" applyAlignment="1">
      <alignment horizontal="center" vertical="center"/>
    </xf>
    <xf numFmtId="0" fontId="0" fillId="33" borderId="193" xfId="0" applyFont="1" applyFill="1" applyBorder="1" applyAlignment="1">
      <alignment horizontal="center" vertical="center"/>
    </xf>
    <xf numFmtId="0" fontId="0" fillId="33" borderId="248" xfId="0" applyFont="1" applyFill="1" applyBorder="1" applyAlignment="1">
      <alignment horizontal="center" vertical="center"/>
    </xf>
    <xf numFmtId="0" fontId="0" fillId="33" borderId="228" xfId="0" applyFont="1" applyFill="1" applyBorder="1" applyAlignment="1">
      <alignment horizontal="center" vertical="center"/>
    </xf>
    <xf numFmtId="0" fontId="0" fillId="33" borderId="168" xfId="0" applyFont="1" applyFill="1" applyBorder="1" applyAlignment="1">
      <alignment horizontal="center" vertical="center"/>
    </xf>
    <xf numFmtId="0" fontId="0" fillId="33" borderId="151" xfId="0" applyFont="1" applyFill="1" applyBorder="1" applyAlignment="1">
      <alignment horizontal="center" vertical="center"/>
    </xf>
    <xf numFmtId="0" fontId="0" fillId="33" borderId="152" xfId="0" applyFont="1" applyFill="1" applyBorder="1" applyAlignment="1">
      <alignment horizontal="center" vertical="center"/>
    </xf>
    <xf numFmtId="0" fontId="0" fillId="33" borderId="191" xfId="0" applyFont="1" applyFill="1" applyBorder="1" applyAlignment="1">
      <alignment horizontal="center" vertical="center"/>
    </xf>
    <xf numFmtId="0" fontId="0" fillId="93" borderId="152" xfId="555" applyFont="1" applyFill="1" applyBorder="1" applyAlignment="1">
      <alignment horizontal="center" vertical="center"/>
    </xf>
    <xf numFmtId="0" fontId="0" fillId="0" borderId="142" xfId="0" applyFont="1" applyFill="1" applyBorder="1" applyAlignment="1">
      <alignment horizontal="center" vertical="center"/>
    </xf>
    <xf numFmtId="0" fontId="0" fillId="93" borderId="142" xfId="0" applyFont="1" applyFill="1" applyBorder="1" applyAlignment="1">
      <alignment horizontal="center" vertical="center"/>
    </xf>
    <xf numFmtId="0" fontId="0" fillId="0" borderId="249" xfId="0" applyFont="1" applyFill="1" applyBorder="1" applyAlignment="1">
      <alignment horizontal="center" vertical="center"/>
    </xf>
    <xf numFmtId="0" fontId="0" fillId="0" borderId="250" xfId="0" applyFont="1" applyFill="1" applyBorder="1" applyAlignment="1">
      <alignment horizontal="center" vertical="center"/>
    </xf>
    <xf numFmtId="0" fontId="0" fillId="93" borderId="249" xfId="0" applyFont="1" applyFill="1" applyBorder="1" applyAlignment="1">
      <alignment horizontal="center" vertical="center"/>
    </xf>
    <xf numFmtId="0" fontId="0" fillId="93" borderId="250" xfId="0" applyFont="1" applyFill="1" applyBorder="1" applyAlignment="1">
      <alignment horizontal="center" vertical="center"/>
    </xf>
    <xf numFmtId="0" fontId="0" fillId="33" borderId="249" xfId="0" applyFont="1" applyFill="1" applyBorder="1" applyAlignment="1">
      <alignment horizontal="center" vertical="center"/>
    </xf>
    <xf numFmtId="0" fontId="0" fillId="33" borderId="250" xfId="0" applyFont="1" applyFill="1" applyBorder="1" applyAlignment="1">
      <alignment horizontal="center" vertical="center"/>
    </xf>
    <xf numFmtId="0" fontId="0" fillId="33" borderId="251" xfId="0" applyFont="1" applyFill="1" applyBorder="1" applyAlignment="1">
      <alignment horizontal="center" vertical="center"/>
    </xf>
    <xf numFmtId="0" fontId="0" fillId="33" borderId="253" xfId="0" applyFont="1" applyFill="1" applyBorder="1" applyAlignment="1">
      <alignment horizontal="center" vertical="center"/>
    </xf>
    <xf numFmtId="0" fontId="0" fillId="0" borderId="254" xfId="0" applyFont="1" applyFill="1" applyBorder="1" applyAlignment="1">
      <alignment horizontal="center" vertical="center"/>
    </xf>
    <xf numFmtId="0" fontId="0" fillId="0" borderId="255" xfId="0" applyFont="1" applyFill="1" applyBorder="1" applyAlignment="1">
      <alignment horizontal="center" vertical="center"/>
    </xf>
    <xf numFmtId="0" fontId="0" fillId="93" borderId="254" xfId="0" applyFont="1" applyFill="1" applyBorder="1" applyAlignment="1">
      <alignment horizontal="center" vertical="center"/>
    </xf>
    <xf numFmtId="0" fontId="0" fillId="93" borderId="255" xfId="0" applyFont="1" applyFill="1" applyBorder="1" applyAlignment="1">
      <alignment horizontal="center" vertical="center"/>
    </xf>
    <xf numFmtId="0" fontId="0" fillId="94" borderId="78" xfId="409" applyNumberFormat="1" applyFont="1" applyFill="1" applyBorder="1" applyAlignment="1" applyProtection="1">
      <alignment horizontal="center" vertical="center"/>
    </xf>
    <xf numFmtId="0" fontId="51" fillId="0" borderId="64" xfId="0" applyFont="1" applyFill="1" applyBorder="1" applyAlignment="1" applyProtection="1">
      <alignment horizontal="center" vertical="center" shrinkToFit="1"/>
    </xf>
    <xf numFmtId="0" fontId="126" fillId="0" borderId="64" xfId="579" applyFont="1" applyFill="1" applyBorder="1" applyAlignment="1" applyProtection="1">
      <alignment horizontal="center" vertical="center" wrapText="1"/>
    </xf>
    <xf numFmtId="14" fontId="51" fillId="0" borderId="38" xfId="0" applyNumberFormat="1" applyFont="1" applyBorder="1" applyAlignment="1" applyProtection="1">
      <alignment horizontal="center" vertical="center"/>
      <protection locked="0"/>
    </xf>
    <xf numFmtId="0" fontId="50" fillId="78" borderId="64" xfId="0" applyFont="1" applyFill="1" applyBorder="1" applyAlignment="1" applyProtection="1">
      <alignment horizontal="center" vertical="center" shrinkToFit="1"/>
      <protection locked="0"/>
    </xf>
    <xf numFmtId="16" fontId="50" fillId="78" borderId="64" xfId="0" applyNumberFormat="1" applyFont="1" applyFill="1" applyBorder="1" applyAlignment="1" applyProtection="1">
      <alignment horizontal="center" vertical="center" shrinkToFit="1"/>
      <protection locked="0"/>
    </xf>
    <xf numFmtId="1" fontId="50" fillId="83" borderId="83" xfId="0" applyNumberFormat="1" applyFont="1" applyFill="1" applyBorder="1" applyAlignment="1">
      <alignment horizontal="center" vertical="center" shrinkToFit="1"/>
    </xf>
    <xf numFmtId="0" fontId="50" fillId="95" borderId="64" xfId="0" applyFont="1" applyFill="1" applyBorder="1" applyAlignment="1" applyProtection="1">
      <alignment horizontal="center" vertical="center" shrinkToFit="1"/>
      <protection locked="0"/>
    </xf>
    <xf numFmtId="16" fontId="50" fillId="78" borderId="69" xfId="0" applyNumberFormat="1" applyFont="1" applyFill="1" applyBorder="1" applyAlignment="1" applyProtection="1">
      <alignment horizontal="center" vertical="center" shrinkToFit="1"/>
      <protection locked="0"/>
    </xf>
    <xf numFmtId="1" fontId="50" fillId="83" borderId="64" xfId="0" applyNumberFormat="1" applyFont="1" applyFill="1" applyBorder="1" applyAlignment="1">
      <alignment horizontal="center" vertical="center" shrinkToFit="1"/>
    </xf>
    <xf numFmtId="16" fontId="50" fillId="78" borderId="78" xfId="0" applyNumberFormat="1" applyFont="1" applyFill="1" applyBorder="1" applyAlignment="1" applyProtection="1">
      <alignment horizontal="center" vertical="center" shrinkToFit="1"/>
      <protection locked="0"/>
    </xf>
    <xf numFmtId="1" fontId="50" fillId="83" borderId="71" xfId="0" applyNumberFormat="1" applyFont="1" applyFill="1" applyBorder="1" applyAlignment="1">
      <alignment horizontal="center" vertical="center" shrinkToFit="1"/>
    </xf>
    <xf numFmtId="169" fontId="227" fillId="83" borderId="70" xfId="546" applyNumberFormat="1" applyFont="1" applyFill="1" applyBorder="1" applyAlignment="1">
      <alignment horizontal="center" vertical="center" wrapText="1"/>
    </xf>
    <xf numFmtId="0" fontId="228" fillId="83" borderId="168" xfId="0" applyFont="1" applyFill="1" applyBorder="1" applyAlignment="1">
      <alignment horizontal="center" vertical="center" wrapText="1" shrinkToFit="1"/>
    </xf>
    <xf numFmtId="0" fontId="50" fillId="78" borderId="64" xfId="0" applyFont="1" applyFill="1" applyBorder="1" applyAlignment="1" applyProtection="1">
      <alignment horizontal="center" vertical="center"/>
      <protection locked="0"/>
    </xf>
    <xf numFmtId="0" fontId="50" fillId="78" borderId="69" xfId="0" applyFont="1" applyFill="1" applyBorder="1" applyAlignment="1" applyProtection="1">
      <alignment horizontal="center" vertical="center" wrapText="1"/>
      <protection locked="0"/>
    </xf>
    <xf numFmtId="0" fontId="50" fillId="95" borderId="70" xfId="0" applyFont="1" applyFill="1" applyBorder="1" applyAlignment="1" applyProtection="1">
      <alignment horizontal="center" vertical="center" shrinkToFit="1"/>
      <protection locked="0"/>
    </xf>
    <xf numFmtId="1" fontId="50" fillId="83" borderId="64" xfId="0" applyNumberFormat="1" applyFont="1" applyFill="1" applyBorder="1" applyAlignment="1">
      <alignment horizontal="center" vertical="center"/>
    </xf>
    <xf numFmtId="2" fontId="50" fillId="78" borderId="64" xfId="0" applyNumberFormat="1" applyFont="1" applyFill="1" applyBorder="1" applyAlignment="1" applyProtection="1">
      <alignment horizontal="center" vertical="center"/>
      <protection locked="0"/>
    </xf>
    <xf numFmtId="0" fontId="50" fillId="68" borderId="256" xfId="0" applyFont="1" applyFill="1" applyBorder="1" applyAlignment="1">
      <alignment horizontal="center" vertical="center"/>
    </xf>
    <xf numFmtId="0" fontId="0" fillId="0" borderId="256" xfId="0" applyBorder="1" applyAlignment="1">
      <alignment horizontal="center" vertical="center" wrapText="1"/>
    </xf>
    <xf numFmtId="0" fontId="0" fillId="0" borderId="256" xfId="0" applyBorder="1" applyAlignment="1">
      <alignment horizontal="center" vertical="center"/>
    </xf>
    <xf numFmtId="0" fontId="0" fillId="33" borderId="227" xfId="0" applyFont="1" applyFill="1" applyBorder="1" applyAlignment="1">
      <alignment horizontal="center" vertical="center"/>
    </xf>
    <xf numFmtId="0" fontId="0" fillId="33" borderId="83" xfId="0" applyFont="1" applyFill="1" applyBorder="1" applyAlignment="1">
      <alignment horizontal="center" vertical="center"/>
    </xf>
    <xf numFmtId="0" fontId="0" fillId="33" borderId="260" xfId="0" applyFont="1" applyFill="1" applyBorder="1" applyAlignment="1">
      <alignment horizontal="center" vertical="center"/>
    </xf>
    <xf numFmtId="0" fontId="0" fillId="93" borderId="226" xfId="0" applyFont="1" applyFill="1" applyBorder="1" applyAlignment="1">
      <alignment horizontal="center" vertical="center"/>
    </xf>
    <xf numFmtId="0" fontId="0" fillId="93" borderId="261" xfId="0" applyFont="1" applyFill="1" applyBorder="1" applyAlignment="1">
      <alignment horizontal="center" vertical="center"/>
    </xf>
    <xf numFmtId="0" fontId="0" fillId="33" borderId="226" xfId="0" applyFont="1" applyFill="1" applyBorder="1" applyAlignment="1">
      <alignment horizontal="center" vertical="center"/>
    </xf>
    <xf numFmtId="0" fontId="0" fillId="33" borderId="261" xfId="0" applyFont="1" applyFill="1" applyBorder="1" applyAlignment="1">
      <alignment horizontal="center" vertical="center"/>
    </xf>
    <xf numFmtId="0" fontId="42" fillId="0" borderId="226" xfId="0" applyFont="1" applyBorder="1" applyAlignment="1">
      <alignment horizontal="center"/>
    </xf>
    <xf numFmtId="0" fontId="0" fillId="0" borderId="261" xfId="0" applyFont="1" applyFill="1" applyBorder="1" applyAlignment="1">
      <alignment horizontal="center" vertical="center"/>
    </xf>
    <xf numFmtId="0" fontId="42" fillId="0" borderId="248" xfId="0" applyFont="1" applyBorder="1" applyAlignment="1">
      <alignment horizontal="center"/>
    </xf>
    <xf numFmtId="0" fontId="0" fillId="0" borderId="262" xfId="0" applyFont="1" applyFill="1" applyBorder="1" applyAlignment="1">
      <alignment horizontal="center" vertical="center"/>
    </xf>
    <xf numFmtId="0" fontId="0" fillId="93" borderId="262" xfId="0" applyFont="1" applyFill="1" applyBorder="1" applyAlignment="1">
      <alignment horizontal="center" vertical="center"/>
    </xf>
    <xf numFmtId="0" fontId="0" fillId="93" borderId="263" xfId="0" applyFont="1" applyFill="1" applyBorder="1" applyAlignment="1">
      <alignment horizontal="center" vertical="center"/>
    </xf>
    <xf numFmtId="0" fontId="0" fillId="33" borderId="262" xfId="0" applyFont="1" applyFill="1" applyBorder="1" applyAlignment="1">
      <alignment horizontal="center" vertical="center"/>
    </xf>
    <xf numFmtId="0" fontId="0" fillId="33" borderId="263" xfId="0" applyFont="1" applyFill="1" applyBorder="1" applyAlignment="1">
      <alignment horizontal="center" vertical="center"/>
    </xf>
    <xf numFmtId="0" fontId="0" fillId="33" borderId="264" xfId="0" applyFont="1" applyFill="1" applyBorder="1" applyAlignment="1">
      <alignment horizontal="center" vertical="center"/>
    </xf>
    <xf numFmtId="0" fontId="0" fillId="0" borderId="240" xfId="0" applyFont="1" applyFill="1" applyBorder="1" applyAlignment="1">
      <alignment horizontal="center" vertical="center"/>
    </xf>
    <xf numFmtId="0" fontId="0" fillId="0" borderId="265" xfId="555" applyFont="1" applyFill="1" applyBorder="1" applyAlignment="1">
      <alignment horizontal="center" vertical="center"/>
    </xf>
    <xf numFmtId="0" fontId="0" fillId="0" borderId="265" xfId="0" applyFont="1" applyFill="1" applyBorder="1" applyAlignment="1">
      <alignment horizontal="center" vertical="center"/>
    </xf>
    <xf numFmtId="0" fontId="0" fillId="93" borderId="240" xfId="0" applyFont="1" applyFill="1" applyBorder="1" applyAlignment="1">
      <alignment horizontal="center" vertical="center"/>
    </xf>
    <xf numFmtId="0" fontId="0" fillId="93" borderId="265" xfId="0" applyFont="1" applyFill="1" applyBorder="1" applyAlignment="1">
      <alignment horizontal="center" vertical="center"/>
    </xf>
    <xf numFmtId="0" fontId="0" fillId="33" borderId="240" xfId="0" applyFont="1" applyFill="1" applyBorder="1" applyAlignment="1">
      <alignment horizontal="center" vertical="center"/>
    </xf>
    <xf numFmtId="0" fontId="0" fillId="33" borderId="265" xfId="0" applyFont="1" applyFill="1" applyBorder="1" applyAlignment="1">
      <alignment horizontal="center" vertical="center"/>
    </xf>
    <xf numFmtId="0" fontId="0" fillId="33" borderId="245" xfId="0" applyFont="1" applyFill="1" applyBorder="1" applyAlignment="1">
      <alignment horizontal="center" vertical="center"/>
    </xf>
    <xf numFmtId="0" fontId="42" fillId="0" borderId="262" xfId="0" applyFont="1" applyBorder="1" applyAlignment="1">
      <alignment horizontal="center"/>
    </xf>
    <xf numFmtId="0" fontId="42" fillId="0" borderId="263" xfId="0" applyFont="1" applyBorder="1" applyAlignment="1">
      <alignment horizontal="center"/>
    </xf>
    <xf numFmtId="0" fontId="0" fillId="33" borderId="266" xfId="0" applyFont="1" applyFill="1" applyBorder="1" applyAlignment="1">
      <alignment horizontal="center" vertical="center"/>
    </xf>
    <xf numFmtId="0" fontId="51" fillId="0" borderId="268" xfId="555" applyFont="1" applyFill="1" applyBorder="1" applyAlignment="1">
      <alignment vertical="center"/>
    </xf>
    <xf numFmtId="0" fontId="0" fillId="0" borderId="142" xfId="555" applyFont="1" applyFill="1" applyBorder="1" applyAlignment="1">
      <alignment horizontal="center" vertical="center"/>
    </xf>
    <xf numFmtId="0" fontId="0" fillId="33" borderId="258" xfId="0" applyFont="1" applyFill="1" applyBorder="1" applyAlignment="1">
      <alignment horizontal="center" vertical="center"/>
    </xf>
    <xf numFmtId="0" fontId="51" fillId="0" borderId="267" xfId="555" applyFont="1" applyFill="1" applyBorder="1" applyAlignment="1">
      <alignment vertical="center"/>
    </xf>
    <xf numFmtId="0" fontId="0" fillId="0" borderId="140" xfId="564" applyFont="1" applyFill="1" applyBorder="1" applyAlignment="1">
      <alignment horizontal="center" vertical="center"/>
    </xf>
    <xf numFmtId="0" fontId="0" fillId="93" borderId="140" xfId="564" applyFont="1" applyFill="1" applyBorder="1" applyAlignment="1">
      <alignment horizontal="center" vertical="center"/>
    </xf>
    <xf numFmtId="0" fontId="0" fillId="93" borderId="142" xfId="555" applyFont="1" applyFill="1" applyBorder="1" applyAlignment="1">
      <alignment horizontal="center" vertical="center"/>
    </xf>
    <xf numFmtId="0" fontId="0" fillId="33" borderId="140" xfId="564" applyFont="1" applyFill="1" applyBorder="1" applyAlignment="1">
      <alignment horizontal="center" vertical="center"/>
    </xf>
    <xf numFmtId="0" fontId="0" fillId="33" borderId="142" xfId="564" applyFont="1" applyFill="1" applyBorder="1" applyAlignment="1">
      <alignment horizontal="center" vertical="center"/>
    </xf>
    <xf numFmtId="0" fontId="50" fillId="0" borderId="269" xfId="564" applyFont="1" applyFill="1" applyBorder="1"/>
    <xf numFmtId="0" fontId="0" fillId="0" borderId="270" xfId="0" applyFont="1" applyFill="1" applyBorder="1" applyAlignment="1">
      <alignment horizontal="center" vertical="center"/>
    </xf>
    <xf numFmtId="0" fontId="0" fillId="93" borderId="270" xfId="0" applyFont="1" applyFill="1" applyBorder="1" applyAlignment="1">
      <alignment horizontal="center" vertical="center"/>
    </xf>
    <xf numFmtId="0" fontId="0" fillId="33" borderId="270" xfId="0" applyFont="1" applyFill="1" applyBorder="1" applyAlignment="1">
      <alignment horizontal="center" vertical="center"/>
    </xf>
    <xf numFmtId="0" fontId="0" fillId="0" borderId="147" xfId="0" applyBorder="1"/>
    <xf numFmtId="0" fontId="0" fillId="0" borderId="213" xfId="0" applyBorder="1"/>
    <xf numFmtId="0" fontId="49" fillId="15" borderId="214" xfId="578" applyFont="1" applyFill="1" applyBorder="1" applyAlignment="1" applyProtection="1">
      <alignment vertical="center"/>
    </xf>
    <xf numFmtId="0" fontId="49" fillId="15" borderId="215" xfId="578" applyFont="1" applyFill="1" applyBorder="1" applyAlignment="1" applyProtection="1">
      <alignment vertical="center"/>
    </xf>
    <xf numFmtId="0" fontId="49" fillId="15" borderId="216" xfId="578" applyFont="1" applyFill="1" applyBorder="1" applyAlignment="1" applyProtection="1">
      <alignment vertical="center"/>
    </xf>
    <xf numFmtId="3" fontId="49" fillId="19" borderId="64" xfId="0" applyNumberFormat="1" applyFont="1" applyFill="1" applyBorder="1" applyAlignment="1" applyProtection="1">
      <alignment horizontal="center" vertical="center"/>
      <protection locked="0"/>
    </xf>
    <xf numFmtId="0" fontId="40" fillId="68" borderId="213" xfId="0" applyFont="1" applyFill="1" applyBorder="1" applyAlignment="1">
      <alignment horizontal="center" vertical="center" wrapText="1"/>
    </xf>
    <xf numFmtId="0" fontId="73" fillId="68" borderId="213" xfId="0" applyFont="1" applyFill="1" applyBorder="1" applyAlignment="1">
      <alignment horizontal="center" vertical="center" wrapText="1"/>
    </xf>
    <xf numFmtId="0" fontId="69" fillId="68" borderId="213" xfId="0" applyFont="1" applyFill="1" applyBorder="1" applyAlignment="1" applyProtection="1">
      <alignment horizontal="center" vertical="center" wrapText="1"/>
    </xf>
    <xf numFmtId="0" fontId="76" fillId="68" borderId="213" xfId="0" applyFont="1" applyFill="1" applyBorder="1" applyAlignment="1" applyProtection="1">
      <alignment horizontal="center" vertical="center" wrapText="1"/>
    </xf>
    <xf numFmtId="0" fontId="27" fillId="68" borderId="213" xfId="0" applyFont="1" applyFill="1" applyBorder="1" applyAlignment="1" applyProtection="1">
      <alignment horizontal="center" vertical="center" wrapText="1"/>
    </xf>
    <xf numFmtId="0" fontId="42" fillId="68" borderId="213" xfId="0" applyFont="1" applyFill="1" applyBorder="1" applyAlignment="1" applyProtection="1">
      <alignment horizontal="center" vertical="center" wrapText="1"/>
    </xf>
    <xf numFmtId="0" fontId="0" fillId="0" borderId="272" xfId="0" applyFont="1" applyFill="1" applyBorder="1" applyAlignment="1" applyProtection="1">
      <alignment horizontal="left" vertical="center" wrapText="1"/>
      <protection locked="0"/>
    </xf>
    <xf numFmtId="0" fontId="49" fillId="68" borderId="78" xfId="0" applyFont="1" applyFill="1" applyBorder="1" applyAlignment="1">
      <alignment horizontal="center" vertical="center" shrinkToFit="1"/>
    </xf>
    <xf numFmtId="0" fontId="0" fillId="33" borderId="275" xfId="0" applyFont="1" applyFill="1" applyBorder="1" applyAlignment="1">
      <alignment horizontal="center" vertical="center"/>
    </xf>
    <xf numFmtId="0" fontId="51" fillId="0" borderId="141" xfId="0" applyFont="1" applyFill="1" applyBorder="1" applyAlignment="1">
      <alignment horizontal="center" vertical="center"/>
    </xf>
    <xf numFmtId="0" fontId="40" fillId="0" borderId="2" xfId="564" applyNumberFormat="1" applyFont="1" applyFill="1" applyBorder="1" applyAlignment="1">
      <alignment horizontal="center" vertical="center"/>
    </xf>
    <xf numFmtId="1" fontId="51" fillId="0" borderId="178" xfId="0" applyNumberFormat="1" applyFont="1" applyFill="1" applyBorder="1" applyAlignment="1">
      <alignment horizontal="center" vertical="center"/>
    </xf>
    <xf numFmtId="0" fontId="27" fillId="0" borderId="0" xfId="0" applyFont="1" applyBorder="1"/>
    <xf numFmtId="0" fontId="0" fillId="33" borderId="85" xfId="0" applyFont="1" applyFill="1" applyBorder="1" applyAlignment="1">
      <alignment horizontal="center" vertical="center"/>
    </xf>
    <xf numFmtId="0" fontId="40" fillId="0" borderId="274" xfId="564" applyFont="1" applyFill="1" applyBorder="1" applyAlignment="1">
      <alignment horizontal="center" vertical="center"/>
    </xf>
    <xf numFmtId="49" fontId="40" fillId="0" borderId="274" xfId="564" applyNumberFormat="1" applyFont="1" applyFill="1" applyBorder="1" applyAlignment="1">
      <alignment horizontal="center" vertical="center"/>
    </xf>
    <xf numFmtId="0" fontId="51" fillId="0" borderId="141" xfId="0" applyFont="1" applyFill="1" applyBorder="1" applyAlignment="1">
      <alignment vertical="center"/>
    </xf>
    <xf numFmtId="1" fontId="51" fillId="0" borderId="141" xfId="0" applyNumberFormat="1" applyFont="1" applyFill="1" applyBorder="1" applyAlignment="1">
      <alignment horizontal="center" vertical="center"/>
    </xf>
    <xf numFmtId="0" fontId="42" fillId="0" borderId="0" xfId="0" applyFont="1" applyBorder="1"/>
    <xf numFmtId="2" fontId="40" fillId="0" borderId="2" xfId="564" applyNumberFormat="1" applyFont="1" applyFill="1" applyBorder="1" applyAlignment="1">
      <alignment horizontal="center" vertical="center"/>
    </xf>
    <xf numFmtId="0" fontId="0" fillId="0" borderId="252" xfId="564" applyFont="1" applyFill="1" applyBorder="1" applyAlignment="1">
      <alignment vertical="center"/>
    </xf>
    <xf numFmtId="0" fontId="110" fillId="9" borderId="271" xfId="578" applyFill="1" applyBorder="1" applyProtection="1"/>
    <xf numFmtId="0" fontId="50" fillId="67" borderId="240" xfId="578" applyFont="1" applyFill="1" applyBorder="1" applyAlignment="1" applyProtection="1">
      <alignment vertical="center"/>
    </xf>
    <xf numFmtId="0" fontId="0" fillId="68" borderId="265" xfId="0" applyFill="1" applyBorder="1"/>
    <xf numFmtId="0" fontId="0" fillId="10" borderId="64" xfId="0" applyFont="1" applyFill="1" applyBorder="1" applyAlignment="1" applyProtection="1">
      <alignment horizontal="center" vertical="center"/>
    </xf>
    <xf numFmtId="9" fontId="50" fillId="72" borderId="72" xfId="547" applyFont="1" applyFill="1" applyBorder="1" applyAlignment="1" applyProtection="1">
      <alignment horizontal="center"/>
      <protection locked="0"/>
    </xf>
    <xf numFmtId="0" fontId="40" fillId="0" borderId="0" xfId="0" applyFont="1" applyFill="1" applyBorder="1" applyAlignment="1" applyProtection="1">
      <alignment horizontal="left" vertical="center" indent="1"/>
    </xf>
    <xf numFmtId="0" fontId="0" fillId="0" borderId="0" xfId="0" applyFont="1" applyFill="1" applyBorder="1" applyAlignment="1" applyProtection="1">
      <alignment horizontal="center" vertical="center"/>
    </xf>
    <xf numFmtId="0" fontId="0" fillId="0" borderId="0" xfId="0" applyFont="1" applyFill="1" applyBorder="1" applyAlignment="1" applyProtection="1">
      <alignment horizontal="center" vertical="center"/>
      <protection locked="0"/>
    </xf>
    <xf numFmtId="9" fontId="50" fillId="0" borderId="0" xfId="547" applyFont="1" applyFill="1" applyBorder="1" applyAlignment="1" applyProtection="1">
      <alignment horizontal="center" vertical="center"/>
    </xf>
    <xf numFmtId="9" fontId="50" fillId="0" borderId="0" xfId="547" applyFont="1" applyFill="1" applyBorder="1" applyAlignment="1" applyProtection="1">
      <alignment horizontal="center"/>
    </xf>
    <xf numFmtId="9" fontId="50" fillId="0" borderId="0" xfId="547" applyFont="1" applyFill="1" applyBorder="1" applyAlignment="1" applyProtection="1">
      <alignment horizontal="center"/>
      <protection locked="0"/>
    </xf>
    <xf numFmtId="0" fontId="53" fillId="0" borderId="0" xfId="0" applyFont="1" applyFill="1" applyBorder="1" applyAlignment="1" applyProtection="1">
      <alignment horizontal="left" vertical="center" indent="1"/>
    </xf>
    <xf numFmtId="0" fontId="0" fillId="0" borderId="0" xfId="0" applyBorder="1" applyAlignment="1">
      <alignment horizontal="center"/>
    </xf>
    <xf numFmtId="0" fontId="0" fillId="0" borderId="220" xfId="0" applyFill="1" applyBorder="1"/>
    <xf numFmtId="0" fontId="0" fillId="0" borderId="220" xfId="0" applyFill="1" applyBorder="1" applyAlignment="1">
      <alignment horizontal="left" vertical="center"/>
    </xf>
    <xf numFmtId="0" fontId="0" fillId="0" borderId="220" xfId="0" applyFont="1" applyFill="1" applyBorder="1" applyAlignment="1">
      <alignment horizontal="center" vertical="center"/>
    </xf>
    <xf numFmtId="0" fontId="0" fillId="0" borderId="220" xfId="0" applyFill="1" applyBorder="1" applyAlignment="1">
      <alignment horizontal="center" vertical="center"/>
    </xf>
    <xf numFmtId="0" fontId="0" fillId="0" borderId="0" xfId="0" applyFill="1" applyBorder="1" applyAlignment="1">
      <alignment horizontal="left" vertical="center"/>
    </xf>
    <xf numFmtId="0" fontId="0" fillId="0" borderId="0" xfId="0" applyFill="1" applyBorder="1" applyAlignment="1">
      <alignment horizontal="center" vertical="center"/>
    </xf>
    <xf numFmtId="10" fontId="0" fillId="0" borderId="0" xfId="0" applyNumberFormat="1" applyFill="1" applyBorder="1" applyAlignment="1">
      <alignment horizontal="center" vertical="center"/>
    </xf>
    <xf numFmtId="9" fontId="0" fillId="0" borderId="0" xfId="0" applyNumberFormat="1" applyFill="1" applyBorder="1" applyAlignment="1">
      <alignment horizontal="center" vertical="center"/>
    </xf>
    <xf numFmtId="167" fontId="0" fillId="0" borderId="0" xfId="0" applyNumberFormat="1" applyFill="1" applyBorder="1" applyAlignment="1">
      <alignment horizontal="center" vertical="center"/>
    </xf>
    <xf numFmtId="1" fontId="0" fillId="0" borderId="0" xfId="0" applyNumberFormat="1" applyFill="1" applyBorder="1" applyAlignment="1">
      <alignment horizontal="center" vertical="center"/>
    </xf>
    <xf numFmtId="0" fontId="0" fillId="67" borderId="64" xfId="0" applyFont="1" applyFill="1" applyBorder="1" applyAlignment="1" applyProtection="1">
      <alignment horizontal="center" vertical="center"/>
    </xf>
    <xf numFmtId="1" fontId="0" fillId="10" borderId="64" xfId="0" applyNumberFormat="1" applyFont="1" applyFill="1" applyBorder="1" applyAlignment="1" applyProtection="1">
      <alignment horizontal="center" vertical="center"/>
      <protection locked="0"/>
    </xf>
    <xf numFmtId="0" fontId="190" fillId="99" borderId="278" xfId="0" applyFont="1" applyFill="1" applyBorder="1"/>
    <xf numFmtId="0" fontId="237" fillId="98" borderId="156" xfId="0" applyFont="1" applyFill="1" applyBorder="1"/>
    <xf numFmtId="0" fontId="190" fillId="100" borderId="278" xfId="0" applyFont="1" applyFill="1" applyBorder="1"/>
    <xf numFmtId="0" fontId="190" fillId="0" borderId="0" xfId="0" applyFont="1" applyFill="1" applyBorder="1"/>
    <xf numFmtId="0" fontId="237" fillId="98" borderId="279" xfId="0" applyFont="1" applyFill="1" applyBorder="1"/>
    <xf numFmtId="3" fontId="182" fillId="101" borderId="167" xfId="0" applyNumberFormat="1" applyFont="1" applyFill="1" applyBorder="1" applyAlignment="1" applyProtection="1">
      <alignment horizontal="center" vertical="center"/>
      <protection locked="0"/>
    </xf>
    <xf numFmtId="0" fontId="237" fillId="102" borderId="283" xfId="0" applyFont="1" applyFill="1" applyBorder="1"/>
    <xf numFmtId="0" fontId="190" fillId="104" borderId="278" xfId="0" applyFont="1" applyFill="1" applyBorder="1"/>
    <xf numFmtId="0" fontId="0" fillId="0" borderId="73" xfId="0" applyBorder="1"/>
    <xf numFmtId="0" fontId="0" fillId="0" borderId="178" xfId="0" applyBorder="1"/>
    <xf numFmtId="0" fontId="0" fillId="0" borderId="138" xfId="0" applyBorder="1"/>
    <xf numFmtId="0" fontId="190" fillId="104" borderId="277" xfId="0" applyFont="1" applyFill="1" applyBorder="1"/>
    <xf numFmtId="0" fontId="237" fillId="102" borderId="0" xfId="0" applyFont="1" applyFill="1" applyBorder="1"/>
    <xf numFmtId="0" fontId="0" fillId="0" borderId="0" xfId="0" applyNumberFormat="1"/>
    <xf numFmtId="0" fontId="237" fillId="102" borderId="284" xfId="0" applyFont="1" applyFill="1" applyBorder="1"/>
    <xf numFmtId="0" fontId="45" fillId="72" borderId="273" xfId="0" applyFont="1" applyFill="1" applyBorder="1" applyAlignment="1">
      <alignment horizontal="center" wrapText="1"/>
    </xf>
    <xf numFmtId="0" fontId="237" fillId="102" borderId="279" xfId="0" applyFont="1" applyFill="1" applyBorder="1"/>
    <xf numFmtId="0" fontId="190" fillId="103" borderId="280" xfId="0" applyFont="1" applyFill="1" applyBorder="1"/>
    <xf numFmtId="0" fontId="190" fillId="103" borderId="281" xfId="0" applyFont="1" applyFill="1" applyBorder="1"/>
    <xf numFmtId="0" fontId="190" fillId="103" borderId="224" xfId="0" applyFont="1" applyFill="1" applyBorder="1"/>
    <xf numFmtId="0" fontId="190" fillId="104" borderId="285" xfId="0" applyFont="1" applyFill="1" applyBorder="1"/>
    <xf numFmtId="0" fontId="190" fillId="103" borderId="277" xfId="0" applyFont="1" applyFill="1" applyBorder="1"/>
    <xf numFmtId="0" fontId="190" fillId="103" borderId="278" xfId="0" applyFont="1" applyFill="1" applyBorder="1"/>
    <xf numFmtId="0" fontId="237" fillId="102" borderId="286" xfId="0" applyFont="1" applyFill="1" applyBorder="1"/>
    <xf numFmtId="0" fontId="0" fillId="0" borderId="0" xfId="0" applyFont="1" applyFill="1" applyBorder="1" applyAlignment="1">
      <alignment horizontal="left"/>
    </xf>
    <xf numFmtId="0" fontId="8" fillId="0" borderId="0" xfId="0" applyFont="1" applyFill="1" applyBorder="1" applyAlignment="1">
      <alignment horizontal="left"/>
    </xf>
    <xf numFmtId="0" fontId="42" fillId="0" borderId="0" xfId="0" applyFont="1" applyFill="1" applyBorder="1" applyAlignment="1">
      <alignment horizontal="left"/>
    </xf>
    <xf numFmtId="0" fontId="66" fillId="0" borderId="0" xfId="0" applyFont="1" applyFill="1" applyBorder="1" applyAlignment="1">
      <alignment horizontal="left" vertical="center"/>
    </xf>
    <xf numFmtId="0" fontId="66" fillId="0" borderId="0" xfId="0" applyFont="1" applyFill="1" applyAlignment="1">
      <alignment horizontal="left" vertical="center"/>
    </xf>
    <xf numFmtId="0" fontId="0" fillId="0" borderId="0" xfId="0" applyFont="1" applyFill="1" applyAlignment="1">
      <alignment horizontal="left"/>
    </xf>
    <xf numFmtId="0" fontId="66" fillId="0" borderId="0" xfId="0" applyNumberFormat="1" applyFont="1" applyFill="1" applyBorder="1" applyAlignment="1">
      <alignment horizontal="left" vertical="center"/>
    </xf>
    <xf numFmtId="0" fontId="190" fillId="96" borderId="282" xfId="0" applyNumberFormat="1" applyFont="1" applyFill="1" applyBorder="1"/>
    <xf numFmtId="0" fontId="42" fillId="0" borderId="0" xfId="0" applyNumberFormat="1" applyFont="1"/>
    <xf numFmtId="0" fontId="190" fillId="97" borderId="282" xfId="0" applyNumberFormat="1" applyFont="1" applyFill="1" applyBorder="1"/>
    <xf numFmtId="0" fontId="190" fillId="99" borderId="278" xfId="0" applyNumberFormat="1" applyFont="1" applyFill="1" applyBorder="1"/>
    <xf numFmtId="0" fontId="190" fillId="99" borderId="281" xfId="0" applyNumberFormat="1" applyFont="1" applyFill="1" applyBorder="1"/>
    <xf numFmtId="0" fontId="190" fillId="99" borderId="223" xfId="0" applyFont="1" applyFill="1" applyBorder="1"/>
    <xf numFmtId="0" fontId="237" fillId="98" borderId="223" xfId="0" applyFont="1" applyFill="1" applyBorder="1"/>
    <xf numFmtId="0" fontId="237" fillId="98" borderId="224" xfId="0" applyFont="1" applyFill="1" applyBorder="1"/>
    <xf numFmtId="0" fontId="190" fillId="99" borderId="217" xfId="0" applyFont="1" applyFill="1" applyBorder="1"/>
    <xf numFmtId="0" fontId="190" fillId="99" borderId="285" xfId="0" applyFont="1" applyFill="1" applyBorder="1"/>
    <xf numFmtId="0" fontId="190" fillId="100" borderId="288" xfId="0" applyFont="1" applyFill="1" applyBorder="1"/>
    <xf numFmtId="0" fontId="190" fillId="99" borderId="277" xfId="0" applyNumberFormat="1" applyFont="1" applyFill="1" applyBorder="1"/>
    <xf numFmtId="0" fontId="190" fillId="0" borderId="0" xfId="0" applyNumberFormat="1" applyFont="1" applyFill="1" applyBorder="1"/>
    <xf numFmtId="0" fontId="237" fillId="98" borderId="0" xfId="0" applyFont="1" applyFill="1" applyBorder="1"/>
    <xf numFmtId="0" fontId="190" fillId="99" borderId="280" xfId="0" applyNumberFormat="1" applyFont="1" applyFill="1" applyBorder="1"/>
    <xf numFmtId="167" fontId="0" fillId="0" borderId="15" xfId="0" applyNumberFormat="1" applyFill="1" applyBorder="1" applyAlignment="1">
      <alignment horizontal="center" vertical="center"/>
    </xf>
    <xf numFmtId="167" fontId="0" fillId="0" borderId="89" xfId="0" applyNumberFormat="1" applyBorder="1" applyAlignment="1">
      <alignment horizontal="center" vertical="center"/>
    </xf>
    <xf numFmtId="167" fontId="0" fillId="0" borderId="29" xfId="0" applyNumberFormat="1" applyBorder="1" applyAlignment="1">
      <alignment horizontal="center" vertical="center"/>
    </xf>
    <xf numFmtId="167" fontId="0" fillId="17" borderId="289" xfId="0" applyNumberFormat="1" applyFill="1" applyBorder="1" applyAlignment="1">
      <alignment horizontal="center" vertical="center"/>
    </xf>
    <xf numFmtId="167" fontId="0" fillId="17" borderId="112" xfId="0" applyNumberFormat="1" applyFill="1" applyBorder="1" applyAlignment="1">
      <alignment horizontal="center" vertical="center"/>
    </xf>
    <xf numFmtId="167" fontId="0" fillId="0" borderId="290" xfId="0" applyNumberFormat="1" applyFill="1" applyBorder="1" applyAlignment="1">
      <alignment horizontal="center" vertical="center"/>
    </xf>
    <xf numFmtId="167" fontId="0" fillId="0" borderId="291" xfId="0" applyNumberFormat="1" applyFill="1" applyBorder="1" applyAlignment="1">
      <alignment horizontal="center" vertical="center"/>
    </xf>
    <xf numFmtId="167" fontId="0" fillId="0" borderId="292" xfId="0" applyNumberFormat="1" applyFill="1" applyBorder="1" applyAlignment="1">
      <alignment horizontal="center" vertical="center"/>
    </xf>
    <xf numFmtId="167" fontId="0" fillId="0" borderId="293" xfId="0" applyNumberFormat="1" applyFill="1" applyBorder="1" applyAlignment="1">
      <alignment horizontal="center" vertical="center"/>
    </xf>
    <xf numFmtId="1" fontId="0" fillId="0" borderId="29" xfId="0" applyNumberFormat="1" applyBorder="1" applyAlignment="1">
      <alignment horizontal="center" vertical="center"/>
    </xf>
    <xf numFmtId="167" fontId="0" fillId="17" borderId="289" xfId="0" applyNumberFormat="1" applyFont="1" applyFill="1" applyBorder="1" applyAlignment="1">
      <alignment horizontal="left" vertical="center"/>
    </xf>
    <xf numFmtId="1" fontId="0" fillId="0" borderId="290" xfId="0" applyNumberFormat="1" applyFill="1" applyBorder="1" applyAlignment="1">
      <alignment horizontal="center" vertical="center"/>
    </xf>
    <xf numFmtId="1" fontId="0" fillId="0" borderId="291" xfId="0" applyNumberFormat="1" applyFill="1" applyBorder="1" applyAlignment="1">
      <alignment horizontal="center" vertical="center"/>
    </xf>
    <xf numFmtId="1" fontId="0" fillId="0" borderId="292" xfId="0" applyNumberFormat="1" applyFill="1" applyBorder="1" applyAlignment="1">
      <alignment horizontal="center" vertical="center"/>
    </xf>
    <xf numFmtId="1" fontId="40" fillId="0" borderId="43" xfId="0" applyNumberFormat="1" applyFont="1" applyFill="1" applyBorder="1" applyAlignment="1">
      <alignment horizontal="center" vertical="center"/>
    </xf>
    <xf numFmtId="1" fontId="0" fillId="0" borderId="294" xfId="0" applyNumberFormat="1" applyFill="1" applyBorder="1" applyAlignment="1">
      <alignment horizontal="center" vertical="center"/>
    </xf>
    <xf numFmtId="1" fontId="0" fillId="0" borderId="295" xfId="0" applyNumberFormat="1" applyFill="1" applyBorder="1" applyAlignment="1">
      <alignment horizontal="center" vertical="center"/>
    </xf>
    <xf numFmtId="1" fontId="0" fillId="0" borderId="296" xfId="0" applyNumberFormat="1" applyFill="1" applyBorder="1" applyAlignment="1">
      <alignment horizontal="center" vertical="center"/>
    </xf>
    <xf numFmtId="0" fontId="175" fillId="68" borderId="265" xfId="0" applyFont="1" applyFill="1" applyBorder="1" applyAlignment="1" applyProtection="1">
      <alignment horizontal="center" vertical="center"/>
    </xf>
    <xf numFmtId="0" fontId="238" fillId="0" borderId="0" xfId="0" applyFont="1" applyFill="1" applyBorder="1" applyAlignment="1">
      <alignment horizontal="center" vertical="center" wrapText="1"/>
    </xf>
    <xf numFmtId="0" fontId="239" fillId="99" borderId="278" xfId="0" applyNumberFormat="1" applyFont="1" applyFill="1" applyBorder="1" applyAlignment="1">
      <alignment vertical="center"/>
    </xf>
    <xf numFmtId="0" fontId="239" fillId="99" borderId="278" xfId="0" applyNumberFormat="1" applyFont="1" applyFill="1" applyBorder="1"/>
    <xf numFmtId="0" fontId="190" fillId="0" borderId="178" xfId="0" applyFont="1" applyFill="1" applyBorder="1"/>
    <xf numFmtId="0" fontId="240" fillId="0" borderId="0" xfId="0" applyFont="1"/>
    <xf numFmtId="0" fontId="41" fillId="0" borderId="0" xfId="0" applyFont="1" applyFill="1"/>
    <xf numFmtId="0" fontId="0" fillId="0" borderId="156" xfId="0" applyBorder="1"/>
    <xf numFmtId="0" fontId="0" fillId="0" borderId="175" xfId="0" applyBorder="1"/>
    <xf numFmtId="0" fontId="0" fillId="0" borderId="297" xfId="0" applyBorder="1" applyAlignment="1">
      <alignment wrapText="1"/>
    </xf>
    <xf numFmtId="0" fontId="0" fillId="0" borderId="256" xfId="0" applyBorder="1" applyAlignment="1">
      <alignment wrapText="1"/>
    </xf>
    <xf numFmtId="0" fontId="39" fillId="0" borderId="38" xfId="0" applyFont="1" applyBorder="1" applyAlignment="1" applyProtection="1">
      <alignment vertical="center"/>
    </xf>
    <xf numFmtId="0" fontId="50" fillId="0" borderId="220" xfId="0" applyFont="1" applyBorder="1" applyAlignment="1" applyProtection="1">
      <alignment vertical="center"/>
    </xf>
    <xf numFmtId="0" fontId="0" fillId="0" borderId="220" xfId="0" applyBorder="1" applyProtection="1"/>
    <xf numFmtId="0" fontId="0" fillId="0" borderId="39" xfId="0" applyBorder="1" applyProtection="1"/>
    <xf numFmtId="0" fontId="190" fillId="96" borderId="299" xfId="0" applyFont="1" applyFill="1" applyBorder="1"/>
    <xf numFmtId="0" fontId="190" fillId="97" borderId="299" xfId="0" applyFont="1" applyFill="1" applyBorder="1"/>
    <xf numFmtId="0" fontId="190" fillId="97" borderId="300" xfId="0" applyFont="1" applyFill="1" applyBorder="1"/>
    <xf numFmtId="0" fontId="241" fillId="99" borderId="278" xfId="0" applyNumberFormat="1" applyFont="1" applyFill="1" applyBorder="1"/>
    <xf numFmtId="0" fontId="241" fillId="99" borderId="281" xfId="0" applyNumberFormat="1" applyFont="1" applyFill="1" applyBorder="1"/>
    <xf numFmtId="0" fontId="241" fillId="99" borderId="279" xfId="0" applyNumberFormat="1" applyFont="1" applyFill="1" applyBorder="1"/>
    <xf numFmtId="0" fontId="45" fillId="0" borderId="0" xfId="0" applyFont="1" applyFill="1" applyBorder="1" applyAlignment="1" applyProtection="1"/>
    <xf numFmtId="0" fontId="170" fillId="24" borderId="10" xfId="412" applyNumberFormat="1" applyFont="1" applyFill="1" applyBorder="1" applyAlignment="1" applyProtection="1">
      <alignment horizontal="center" vertical="center"/>
    </xf>
    <xf numFmtId="0" fontId="190" fillId="103" borderId="0" xfId="0" applyFont="1" applyFill="1" applyBorder="1"/>
    <xf numFmtId="0" fontId="190" fillId="104" borderId="278" xfId="0" applyNumberFormat="1" applyFont="1" applyFill="1" applyBorder="1"/>
    <xf numFmtId="0" fontId="66" fillId="0" borderId="0" xfId="0" applyNumberFormat="1" applyFont="1" applyFill="1" applyAlignment="1">
      <alignment horizontal="left" vertical="center"/>
    </xf>
    <xf numFmtId="0" fontId="42" fillId="105" borderId="0" xfId="0" applyFont="1" applyFill="1" applyBorder="1"/>
    <xf numFmtId="0" fontId="50" fillId="105" borderId="73" xfId="0" applyFont="1" applyFill="1" applyBorder="1" applyAlignment="1">
      <alignment horizontal="center" vertical="center"/>
    </xf>
    <xf numFmtId="0" fontId="0" fillId="106" borderId="73" xfId="0" applyFill="1" applyBorder="1"/>
    <xf numFmtId="0" fontId="190" fillId="104" borderId="279" xfId="0" applyNumberFormat="1" applyFont="1" applyFill="1" applyBorder="1"/>
    <xf numFmtId="0" fontId="190" fillId="104" borderId="279" xfId="0" applyFont="1" applyFill="1" applyBorder="1"/>
    <xf numFmtId="0" fontId="0" fillId="0" borderId="84" xfId="0" applyBorder="1" applyAlignment="1">
      <alignment horizontal="center" vertical="center"/>
    </xf>
    <xf numFmtId="0" fontId="0" fillId="0" borderId="170" xfId="0" applyBorder="1"/>
    <xf numFmtId="0" fontId="0" fillId="0" borderId="298" xfId="0" applyBorder="1"/>
    <xf numFmtId="0" fontId="0" fillId="0" borderId="157" xfId="0" applyBorder="1"/>
    <xf numFmtId="0" fontId="0" fillId="0" borderId="149" xfId="0" applyBorder="1"/>
    <xf numFmtId="9" fontId="50" fillId="72" borderId="301" xfId="547" applyFont="1" applyFill="1" applyBorder="1" applyAlignment="1" applyProtection="1">
      <alignment horizontal="center"/>
    </xf>
    <xf numFmtId="9" fontId="50" fillId="72" borderId="301" xfId="547" applyFont="1" applyFill="1" applyBorder="1" applyAlignment="1" applyProtection="1">
      <alignment horizontal="center"/>
      <protection locked="0"/>
    </xf>
    <xf numFmtId="0" fontId="0" fillId="0" borderId="73" xfId="0" applyBorder="1" applyAlignment="1">
      <alignment wrapText="1"/>
    </xf>
    <xf numFmtId="0" fontId="51" fillId="10" borderId="273" xfId="578" applyFont="1" applyFill="1" applyBorder="1" applyAlignment="1" applyProtection="1">
      <alignment horizontal="left" vertical="center"/>
      <protection locked="0"/>
    </xf>
    <xf numFmtId="0" fontId="51" fillId="10" borderId="273" xfId="578" applyFont="1" applyFill="1" applyBorder="1" applyAlignment="1" applyProtection="1">
      <alignment vertical="center"/>
      <protection locked="0"/>
    </xf>
    <xf numFmtId="14" fontId="45" fillId="0" borderId="271" xfId="0" applyNumberFormat="1" applyFont="1" applyBorder="1" applyAlignment="1" applyProtection="1">
      <alignment horizontal="center" vertical="center" wrapText="1"/>
      <protection locked="0"/>
    </xf>
    <xf numFmtId="0" fontId="0" fillId="0" borderId="36" xfId="0" applyFont="1" applyFill="1" applyBorder="1" applyAlignment="1" applyProtection="1">
      <alignment horizontal="left" vertical="center" wrapText="1"/>
      <protection locked="0"/>
    </xf>
    <xf numFmtId="14" fontId="51" fillId="0" borderId="35" xfId="0" applyNumberFormat="1" applyFont="1" applyBorder="1" applyAlignment="1" applyProtection="1">
      <alignment horizontal="center" vertical="center"/>
      <protection locked="0"/>
    </xf>
    <xf numFmtId="0" fontId="51" fillId="15" borderId="0" xfId="0" applyFont="1" applyFill="1" applyBorder="1" applyAlignment="1" applyProtection="1">
      <alignment horizontal="left" vertical="center" wrapText="1" indent="1"/>
    </xf>
    <xf numFmtId="0" fontId="39" fillId="15" borderId="0" xfId="578" applyFont="1" applyFill="1" applyBorder="1" applyAlignment="1" applyProtection="1">
      <alignment horizontal="left" vertical="center" wrapText="1"/>
    </xf>
    <xf numFmtId="0" fontId="0" fillId="69" borderId="10" xfId="0" applyFont="1" applyFill="1" applyBorder="1" applyAlignment="1" applyProtection="1">
      <alignment horizontal="left" vertical="center" wrapText="1"/>
    </xf>
    <xf numFmtId="0" fontId="0" fillId="69" borderId="163" xfId="0" applyFont="1" applyFill="1" applyBorder="1" applyAlignment="1" applyProtection="1">
      <alignment horizontal="left" vertical="center" wrapText="1"/>
    </xf>
    <xf numFmtId="0" fontId="0" fillId="69" borderId="120" xfId="0" applyFont="1" applyFill="1" applyBorder="1" applyAlignment="1" applyProtection="1">
      <alignment horizontal="left" vertical="center"/>
    </xf>
    <xf numFmtId="0" fontId="49" fillId="69" borderId="35" xfId="578" applyFont="1" applyFill="1" applyBorder="1" applyAlignment="1" applyProtection="1">
      <alignment horizontal="left" vertical="center" wrapText="1"/>
    </xf>
    <xf numFmtId="0" fontId="49" fillId="69" borderId="0" xfId="578" applyFont="1" applyFill="1" applyBorder="1" applyAlignment="1" applyProtection="1">
      <alignment horizontal="left" vertical="center" wrapText="1"/>
    </xf>
    <xf numFmtId="0" fontId="49" fillId="69" borderId="36" xfId="578" applyFont="1" applyFill="1" applyBorder="1" applyAlignment="1" applyProtection="1">
      <alignment horizontal="left" vertical="center" wrapText="1"/>
    </xf>
    <xf numFmtId="0" fontId="49" fillId="69" borderId="162" xfId="578" applyFont="1" applyFill="1" applyBorder="1" applyAlignment="1" applyProtection="1">
      <alignment horizontal="left" vertical="center" wrapText="1"/>
    </xf>
    <xf numFmtId="0" fontId="49" fillId="69" borderId="159" xfId="578" applyFont="1" applyFill="1" applyBorder="1" applyAlignment="1" applyProtection="1">
      <alignment horizontal="left" vertical="center" wrapText="1"/>
    </xf>
    <xf numFmtId="0" fontId="49" fillId="69" borderId="121" xfId="578" applyFont="1" applyFill="1" applyBorder="1" applyAlignment="1" applyProtection="1">
      <alignment horizontal="left" vertical="center" wrapText="1"/>
    </xf>
    <xf numFmtId="0" fontId="66" fillId="15" borderId="0" xfId="0" applyFont="1" applyFill="1" applyBorder="1" applyAlignment="1" applyProtection="1">
      <alignment horizontal="left" vertical="center" wrapText="1" indent="1"/>
    </xf>
    <xf numFmtId="0" fontId="50" fillId="67" borderId="72" xfId="578" applyFont="1" applyFill="1" applyBorder="1" applyAlignment="1" applyProtection="1">
      <alignment horizontal="left" vertical="top" wrapText="1"/>
    </xf>
    <xf numFmtId="0" fontId="50" fillId="67" borderId="147" xfId="578" applyFont="1" applyFill="1" applyBorder="1" applyAlignment="1" applyProtection="1">
      <alignment horizontal="left" vertical="top" wrapText="1"/>
    </xf>
    <xf numFmtId="0" fontId="50" fillId="67" borderId="213" xfId="578" applyFont="1" applyFill="1" applyBorder="1" applyAlignment="1" applyProtection="1">
      <alignment horizontal="left" vertical="top" wrapText="1"/>
    </xf>
    <xf numFmtId="0" fontId="110" fillId="30" borderId="72" xfId="578" applyFill="1" applyBorder="1" applyAlignment="1" applyProtection="1">
      <alignment horizontal="center"/>
    </xf>
    <xf numFmtId="0" fontId="110" fillId="30" borderId="147" xfId="578" applyFill="1" applyBorder="1" applyAlignment="1" applyProtection="1">
      <alignment horizontal="center"/>
    </xf>
    <xf numFmtId="0" fontId="110" fillId="30" borderId="213" xfId="578" applyFill="1" applyBorder="1" applyAlignment="1" applyProtection="1">
      <alignment horizontal="center"/>
    </xf>
    <xf numFmtId="0" fontId="51" fillId="69" borderId="35" xfId="578" applyFont="1" applyFill="1" applyBorder="1" applyAlignment="1" applyProtection="1">
      <alignment horizontal="left" vertical="center" wrapText="1"/>
    </xf>
    <xf numFmtId="0" fontId="51" fillId="69" borderId="0" xfId="578" applyFont="1" applyFill="1" applyBorder="1" applyAlignment="1" applyProtection="1">
      <alignment horizontal="left" vertical="center" wrapText="1"/>
    </xf>
    <xf numFmtId="0" fontId="51" fillId="69" borderId="36" xfId="578" applyFont="1" applyFill="1" applyBorder="1" applyAlignment="1" applyProtection="1">
      <alignment horizontal="left" vertical="center" wrapText="1"/>
    </xf>
    <xf numFmtId="0" fontId="51" fillId="69" borderId="47" xfId="578" applyFont="1" applyFill="1" applyBorder="1" applyAlignment="1" applyProtection="1">
      <alignment horizontal="left" vertical="center" wrapText="1"/>
    </xf>
    <xf numFmtId="0" fontId="51" fillId="69" borderId="48" xfId="578" applyFont="1" applyFill="1" applyBorder="1" applyAlignment="1" applyProtection="1">
      <alignment horizontal="left" vertical="center" wrapText="1"/>
    </xf>
    <xf numFmtId="0" fontId="51" fillId="69" borderId="49" xfId="578" applyFont="1" applyFill="1" applyBorder="1" applyAlignment="1" applyProtection="1">
      <alignment horizontal="left" vertical="center" wrapText="1"/>
    </xf>
    <xf numFmtId="0" fontId="164" fillId="51" borderId="0" xfId="578" applyFont="1" applyFill="1" applyBorder="1" applyAlignment="1">
      <alignment horizontal="center" vertical="center" wrapText="1"/>
    </xf>
    <xf numFmtId="0" fontId="150" fillId="50" borderId="0" xfId="578" applyFont="1" applyFill="1" applyBorder="1" applyAlignment="1">
      <alignment horizontal="center" vertical="center" wrapText="1"/>
    </xf>
    <xf numFmtId="0" fontId="61" fillId="15" borderId="0" xfId="412" applyNumberFormat="1" applyFont="1" applyFill="1" applyBorder="1" applyAlignment="1" applyProtection="1">
      <alignment horizontal="center" vertical="center"/>
    </xf>
    <xf numFmtId="0" fontId="64" fillId="15" borderId="0" xfId="0" applyFont="1" applyFill="1" applyBorder="1" applyAlignment="1" applyProtection="1">
      <alignment horizontal="left" vertical="center" wrapText="1" indent="1"/>
    </xf>
    <xf numFmtId="0" fontId="51" fillId="69" borderId="81" xfId="578" applyFont="1" applyFill="1" applyBorder="1" applyAlignment="1" applyProtection="1">
      <alignment horizontal="left" vertical="center" wrapText="1"/>
    </xf>
    <xf numFmtId="0" fontId="51" fillId="15" borderId="0" xfId="578" applyFont="1" applyFill="1" applyBorder="1" applyAlignment="1" applyProtection="1">
      <alignment horizontal="left" vertical="center" wrapText="1" indent="1"/>
    </xf>
    <xf numFmtId="0" fontId="67" fillId="30" borderId="47" xfId="412" applyNumberFormat="1" applyFont="1" applyFill="1" applyBorder="1" applyAlignment="1" applyProtection="1">
      <alignment horizontal="left" vertical="center"/>
    </xf>
    <xf numFmtId="0" fontId="49" fillId="68" borderId="64" xfId="0" applyFont="1" applyFill="1" applyBorder="1" applyAlignment="1">
      <alignment horizontal="left" vertical="center" indent="1"/>
    </xf>
    <xf numFmtId="0" fontId="9" fillId="0" borderId="64" xfId="0" applyFont="1" applyBorder="1" applyAlignment="1" applyProtection="1">
      <alignment horizontal="left" vertical="center" wrapText="1" indent="1"/>
    </xf>
    <xf numFmtId="0" fontId="50" fillId="15" borderId="64" xfId="578" applyFont="1" applyFill="1" applyBorder="1" applyAlignment="1">
      <alignment horizontal="left" vertical="center" wrapText="1"/>
    </xf>
    <xf numFmtId="0" fontId="29" fillId="15" borderId="0" xfId="578" applyFont="1" applyFill="1" applyBorder="1" applyAlignment="1">
      <alignment horizontal="center" vertical="center" wrapText="1"/>
    </xf>
    <xf numFmtId="0" fontId="35" fillId="71" borderId="64" xfId="0" applyFont="1" applyFill="1" applyBorder="1" applyAlignment="1">
      <alignment horizontal="left" vertical="center" wrapText="1" indent="1"/>
    </xf>
    <xf numFmtId="0" fontId="49" fillId="15" borderId="64" xfId="0" applyFont="1" applyFill="1" applyBorder="1" applyAlignment="1">
      <alignment horizontal="left" vertical="center" wrapText="1" indent="1"/>
    </xf>
    <xf numFmtId="0" fontId="0" fillId="15" borderId="64" xfId="0" applyFont="1" applyFill="1" applyBorder="1" applyAlignment="1">
      <alignment horizontal="left" vertical="center" wrapText="1" indent="1"/>
    </xf>
    <xf numFmtId="0" fontId="58" fillId="70" borderId="69" xfId="578" applyFont="1" applyFill="1" applyBorder="1" applyAlignment="1">
      <alignment horizontal="left" vertical="center" wrapText="1" indent="1"/>
    </xf>
    <xf numFmtId="0" fontId="58" fillId="70" borderId="83" xfId="578" applyFont="1" applyFill="1" applyBorder="1" applyAlignment="1">
      <alignment horizontal="left" vertical="center" wrapText="1" indent="1"/>
    </xf>
    <xf numFmtId="0" fontId="143" fillId="51" borderId="0" xfId="578" applyFont="1" applyFill="1" applyBorder="1" applyAlignment="1">
      <alignment horizontal="center" vertical="center" wrapText="1"/>
    </xf>
    <xf numFmtId="0" fontId="163" fillId="51" borderId="0" xfId="578" applyFont="1" applyFill="1" applyBorder="1" applyAlignment="1">
      <alignment horizontal="center" vertical="center" wrapText="1"/>
    </xf>
    <xf numFmtId="0" fontId="110" fillId="15" borderId="72" xfId="578" applyFont="1" applyFill="1" applyBorder="1" applyAlignment="1">
      <alignment horizontal="left" vertical="center" wrapText="1" indent="1"/>
    </xf>
    <xf numFmtId="0" fontId="49" fillId="68" borderId="64" xfId="0" applyFont="1" applyFill="1" applyBorder="1" applyAlignment="1">
      <alignment horizontal="left" vertical="center" wrapText="1" indent="1"/>
    </xf>
    <xf numFmtId="0" fontId="51" fillId="68" borderId="64" xfId="0" applyFont="1" applyFill="1" applyBorder="1" applyAlignment="1">
      <alignment horizontal="center" vertical="center"/>
    </xf>
    <xf numFmtId="0" fontId="51" fillId="68" borderId="70" xfId="0" applyFont="1" applyFill="1" applyBorder="1" applyAlignment="1">
      <alignment horizontal="center" vertical="center" wrapText="1"/>
    </xf>
    <xf numFmtId="0" fontId="51" fillId="68" borderId="64" xfId="0" applyFont="1" applyFill="1" applyBorder="1" applyAlignment="1">
      <alignment horizontal="center" vertical="center" wrapText="1"/>
    </xf>
    <xf numFmtId="0" fontId="49" fillId="68" borderId="70" xfId="0" applyFont="1" applyFill="1" applyBorder="1" applyAlignment="1">
      <alignment horizontal="center" vertical="center"/>
    </xf>
    <xf numFmtId="0" fontId="49" fillId="68" borderId="64" xfId="0" applyFont="1" applyFill="1" applyBorder="1" applyAlignment="1">
      <alignment horizontal="center" vertical="center"/>
    </xf>
    <xf numFmtId="0" fontId="49" fillId="68" borderId="78" xfId="0" applyFont="1" applyFill="1" applyBorder="1" applyAlignment="1">
      <alignment horizontal="center" vertical="center" wrapText="1"/>
    </xf>
    <xf numFmtId="0" fontId="49" fillId="68" borderId="64" xfId="0" applyFont="1" applyFill="1" applyBorder="1" applyAlignment="1">
      <alignment horizontal="center" vertical="center" wrapText="1"/>
    </xf>
    <xf numFmtId="0" fontId="51" fillId="68" borderId="64" xfId="0" applyFont="1" applyFill="1" applyBorder="1" applyAlignment="1">
      <alignment horizontal="center" vertical="center" wrapText="1" shrinkToFit="1"/>
    </xf>
    <xf numFmtId="0" fontId="51" fillId="68" borderId="69" xfId="0" applyFont="1" applyFill="1" applyBorder="1" applyAlignment="1">
      <alignment horizontal="center" vertical="center" wrapText="1" shrinkToFit="1"/>
    </xf>
    <xf numFmtId="0" fontId="58" fillId="68" borderId="128" xfId="0" applyFont="1" applyFill="1" applyBorder="1" applyAlignment="1">
      <alignment horizontal="center" vertical="center" wrapText="1"/>
    </xf>
    <xf numFmtId="0" fontId="58" fillId="68" borderId="129" xfId="0" applyFont="1" applyFill="1" applyBorder="1" applyAlignment="1">
      <alignment horizontal="center" vertical="center" wrapText="1"/>
    </xf>
    <xf numFmtId="0" fontId="58" fillId="68" borderId="194" xfId="0" applyFont="1" applyFill="1" applyBorder="1" applyAlignment="1">
      <alignment horizontal="center" vertical="center" wrapText="1"/>
    </xf>
    <xf numFmtId="0" fontId="58" fillId="68" borderId="195" xfId="0" applyFont="1" applyFill="1" applyBorder="1" applyAlignment="1">
      <alignment horizontal="center" vertical="center" wrapText="1"/>
    </xf>
    <xf numFmtId="0" fontId="49" fillId="68" borderId="128" xfId="0" applyFont="1" applyFill="1" applyBorder="1" applyAlignment="1">
      <alignment horizontal="center" vertical="center"/>
    </xf>
    <xf numFmtId="0" fontId="49" fillId="68" borderId="161" xfId="0" applyFont="1" applyFill="1" applyBorder="1" applyAlignment="1">
      <alignment horizontal="center" vertical="center"/>
    </xf>
    <xf numFmtId="0" fontId="49" fillId="68" borderId="211" xfId="0" applyFont="1" applyFill="1" applyBorder="1" applyAlignment="1">
      <alignment horizontal="center" vertical="center"/>
    </xf>
    <xf numFmtId="0" fontId="49" fillId="68" borderId="161" xfId="0" applyFont="1" applyFill="1" applyBorder="1" applyAlignment="1">
      <alignment horizontal="center" vertical="center" wrapText="1"/>
    </xf>
    <xf numFmtId="0" fontId="49" fillId="68" borderId="129" xfId="0" applyFont="1" applyFill="1" applyBorder="1" applyAlignment="1">
      <alignment horizontal="center" vertical="center" wrapText="1"/>
    </xf>
    <xf numFmtId="0" fontId="49" fillId="68" borderId="71" xfId="0" applyFont="1" applyFill="1" applyBorder="1" applyAlignment="1">
      <alignment horizontal="center" vertical="center" wrapText="1"/>
    </xf>
    <xf numFmtId="0" fontId="49" fillId="68" borderId="129" xfId="0" applyFont="1" applyFill="1" applyBorder="1" applyAlignment="1">
      <alignment horizontal="center" vertical="center"/>
    </xf>
    <xf numFmtId="0" fontId="51" fillId="0" borderId="70" xfId="0" applyFont="1" applyFill="1" applyBorder="1" applyAlignment="1">
      <alignment horizontal="left" vertical="center" wrapText="1" indent="1"/>
    </xf>
    <xf numFmtId="0" fontId="49" fillId="68" borderId="161" xfId="0" applyFont="1" applyFill="1" applyBorder="1" applyAlignment="1">
      <alignment horizontal="center" vertical="center" shrinkToFit="1"/>
    </xf>
    <xf numFmtId="0" fontId="49" fillId="68" borderId="192" xfId="0" applyFont="1" applyFill="1" applyBorder="1" applyAlignment="1">
      <alignment horizontal="center" vertical="center" wrapText="1"/>
    </xf>
    <xf numFmtId="0" fontId="49" fillId="68" borderId="211" xfId="0" applyFont="1" applyFill="1" applyBorder="1" applyAlignment="1">
      <alignment horizontal="center" vertical="center" wrapText="1"/>
    </xf>
    <xf numFmtId="0" fontId="49" fillId="68" borderId="193" xfId="0" applyFont="1" applyFill="1" applyBorder="1" applyAlignment="1">
      <alignment horizontal="center" vertical="center" wrapText="1"/>
    </xf>
    <xf numFmtId="0" fontId="49" fillId="68" borderId="69" xfId="0" applyFont="1" applyFill="1" applyBorder="1" applyAlignment="1">
      <alignment horizontal="center" vertical="center" wrapText="1"/>
    </xf>
    <xf numFmtId="0" fontId="51" fillId="68" borderId="78" xfId="0" applyFont="1" applyFill="1" applyBorder="1" applyAlignment="1">
      <alignment horizontal="center" vertical="center" wrapText="1"/>
    </xf>
    <xf numFmtId="0" fontId="51" fillId="0" borderId="70" xfId="555" applyFont="1" applyFill="1" applyBorder="1" applyAlignment="1">
      <alignment horizontal="left" vertical="center" wrapText="1" indent="1"/>
    </xf>
    <xf numFmtId="0" fontId="49" fillId="68" borderId="189" xfId="0" applyFont="1" applyFill="1" applyBorder="1" applyAlignment="1">
      <alignment horizontal="center" vertical="center"/>
    </xf>
    <xf numFmtId="0" fontId="49" fillId="68" borderId="78" xfId="0" applyFont="1" applyFill="1" applyBorder="1" applyAlignment="1">
      <alignment horizontal="center" vertical="center"/>
    </xf>
    <xf numFmtId="0" fontId="51" fillId="68" borderId="128" xfId="0" applyFont="1" applyFill="1" applyBorder="1" applyAlignment="1">
      <alignment horizontal="center" vertical="center"/>
    </xf>
    <xf numFmtId="0" fontId="51" fillId="68" borderId="161" xfId="0" applyFont="1" applyFill="1" applyBorder="1" applyAlignment="1">
      <alignment horizontal="center" vertical="center"/>
    </xf>
    <xf numFmtId="0" fontId="51" fillId="68" borderId="211" xfId="0" applyFont="1" applyFill="1" applyBorder="1" applyAlignment="1">
      <alignment horizontal="center" vertical="center"/>
    </xf>
    <xf numFmtId="0" fontId="51" fillId="68" borderId="189" xfId="0" applyFont="1" applyFill="1" applyBorder="1" applyAlignment="1">
      <alignment horizontal="center" vertical="center"/>
    </xf>
    <xf numFmtId="0" fontId="51" fillId="68" borderId="83" xfId="0" applyFont="1" applyFill="1" applyBorder="1" applyAlignment="1">
      <alignment horizontal="center" vertical="center"/>
    </xf>
    <xf numFmtId="0" fontId="51" fillId="68" borderId="168" xfId="0" applyFont="1" applyFill="1" applyBorder="1" applyAlignment="1">
      <alignment horizontal="center" vertical="center"/>
    </xf>
    <xf numFmtId="0" fontId="0" fillId="0" borderId="0" xfId="0" applyFont="1" applyFill="1" applyBorder="1" applyAlignment="1">
      <alignment horizontal="center"/>
    </xf>
    <xf numFmtId="168" fontId="49" fillId="0" borderId="64" xfId="0" applyNumberFormat="1" applyFont="1" applyFill="1" applyBorder="1" applyAlignment="1" applyProtection="1">
      <alignment horizontal="center" vertical="center" shrinkToFit="1"/>
    </xf>
    <xf numFmtId="168" fontId="49" fillId="0" borderId="64" xfId="0" applyNumberFormat="1" applyFont="1" applyFill="1" applyBorder="1" applyAlignment="1">
      <alignment horizontal="center" vertical="center"/>
    </xf>
    <xf numFmtId="168" fontId="49" fillId="0" borderId="64" xfId="0" applyNumberFormat="1" applyFont="1" applyFill="1" applyBorder="1" applyAlignment="1">
      <alignment horizontal="center" vertical="center" shrinkToFit="1"/>
    </xf>
    <xf numFmtId="0" fontId="58" fillId="68" borderId="63" xfId="0" applyFont="1" applyFill="1" applyBorder="1" applyAlignment="1">
      <alignment horizontal="left" vertical="center" wrapText="1" indent="1"/>
    </xf>
    <xf numFmtId="0" fontId="51" fillId="0" borderId="64" xfId="0" applyFont="1" applyFill="1" applyBorder="1" applyAlignment="1">
      <alignment horizontal="left" vertical="center" wrapText="1" indent="1"/>
    </xf>
    <xf numFmtId="0" fontId="49" fillId="68" borderId="63" xfId="0" applyFont="1" applyFill="1" applyBorder="1" applyAlignment="1">
      <alignment horizontal="center" vertical="center"/>
    </xf>
    <xf numFmtId="0" fontId="58" fillId="68" borderId="64" xfId="0" applyFont="1" applyFill="1" applyBorder="1" applyAlignment="1">
      <alignment horizontal="center" vertical="center" wrapText="1"/>
    </xf>
    <xf numFmtId="0" fontId="49" fillId="68" borderId="64" xfId="0" applyFont="1" applyFill="1" applyBorder="1" applyAlignment="1">
      <alignment horizontal="center" vertical="center" wrapText="1" shrinkToFit="1"/>
    </xf>
    <xf numFmtId="0" fontId="51" fillId="0" borderId="64" xfId="0" applyFont="1" applyFill="1" applyBorder="1" applyAlignment="1">
      <alignment horizontal="center" vertical="center" wrapText="1"/>
    </xf>
    <xf numFmtId="0" fontId="51" fillId="68" borderId="64" xfId="0" applyFont="1" applyFill="1" applyBorder="1" applyAlignment="1">
      <alignment horizontal="left" vertical="center" wrapText="1" indent="1"/>
    </xf>
    <xf numFmtId="0" fontId="51" fillId="68" borderId="64" xfId="0" applyFont="1" applyFill="1" applyBorder="1" applyAlignment="1">
      <alignment horizontal="left" vertical="center" indent="1"/>
    </xf>
    <xf numFmtId="0" fontId="48" fillId="68" borderId="64" xfId="0" applyFont="1" applyFill="1" applyBorder="1" applyAlignment="1">
      <alignment horizontal="center" vertical="center" wrapText="1"/>
    </xf>
    <xf numFmtId="0" fontId="158" fillId="68" borderId="64" xfId="0" applyFont="1" applyFill="1" applyBorder="1" applyAlignment="1">
      <alignment horizontal="center" vertical="center" wrapText="1"/>
    </xf>
    <xf numFmtId="4" fontId="51" fillId="19" borderId="64" xfId="0" applyNumberFormat="1" applyFont="1" applyFill="1" applyBorder="1" applyAlignment="1" applyProtection="1">
      <alignment horizontal="center" vertical="center" shrinkToFit="1"/>
      <protection locked="0"/>
    </xf>
    <xf numFmtId="0" fontId="50" fillId="68" borderId="64" xfId="0" applyFont="1" applyFill="1" applyBorder="1" applyAlignment="1">
      <alignment horizontal="left" vertical="center" wrapText="1" indent="1"/>
    </xf>
    <xf numFmtId="0" fontId="49" fillId="68" borderId="63" xfId="0" applyFont="1" applyFill="1" applyBorder="1" applyAlignment="1">
      <alignment horizontal="center" vertical="center" wrapText="1"/>
    </xf>
    <xf numFmtId="0" fontId="156" fillId="50" borderId="0" xfId="0" applyFont="1" applyFill="1" applyBorder="1" applyAlignment="1">
      <alignment horizontal="left" vertical="center" indent="1"/>
    </xf>
    <xf numFmtId="0" fontId="126" fillId="38" borderId="64" xfId="579" applyFont="1" applyFill="1" applyBorder="1" applyAlignment="1" applyProtection="1">
      <alignment horizontal="left" vertical="center" indent="1" shrinkToFit="1"/>
      <protection locked="0"/>
    </xf>
    <xf numFmtId="0" fontId="183" fillId="24" borderId="0" xfId="412" applyNumberFormat="1" applyFont="1" applyFill="1" applyBorder="1" applyAlignment="1" applyProtection="1">
      <alignment horizontal="center" vertical="center"/>
    </xf>
    <xf numFmtId="0" fontId="183" fillId="24" borderId="143" xfId="412" applyNumberFormat="1" applyFont="1" applyFill="1" applyBorder="1" applyAlignment="1" applyProtection="1">
      <alignment horizontal="center" vertical="center"/>
    </xf>
    <xf numFmtId="0" fontId="102" fillId="24" borderId="0" xfId="412" applyNumberFormat="1" applyFont="1" applyFill="1" applyBorder="1" applyAlignment="1" applyProtection="1">
      <alignment horizontal="center" vertical="center"/>
    </xf>
    <xf numFmtId="0" fontId="51" fillId="0" borderId="64" xfId="0" applyFont="1" applyFill="1" applyBorder="1" applyAlignment="1">
      <alignment horizontal="center" vertical="center" shrinkToFit="1"/>
    </xf>
    <xf numFmtId="0" fontId="51" fillId="68" borderId="63" xfId="0" applyFont="1" applyFill="1" applyBorder="1" applyAlignment="1">
      <alignment horizontal="center" vertical="center" wrapText="1"/>
    </xf>
    <xf numFmtId="0" fontId="49" fillId="68" borderId="240" xfId="0" applyFont="1" applyFill="1" applyBorder="1" applyAlignment="1">
      <alignment horizontal="center" vertical="center" wrapText="1"/>
    </xf>
    <xf numFmtId="0" fontId="49" fillId="68" borderId="241" xfId="0" applyFont="1" applyFill="1" applyBorder="1" applyAlignment="1">
      <alignment horizontal="center" vertical="center" wrapText="1"/>
    </xf>
    <xf numFmtId="0" fontId="51" fillId="38" borderId="261" xfId="0" applyFont="1" applyFill="1" applyBorder="1" applyAlignment="1" applyProtection="1">
      <alignment horizontal="left" vertical="center" indent="1" shrinkToFit="1"/>
      <protection locked="0"/>
    </xf>
    <xf numFmtId="0" fontId="51" fillId="38" borderId="78" xfId="0" applyFont="1" applyFill="1" applyBorder="1" applyAlignment="1" applyProtection="1">
      <alignment horizontal="left" vertical="center" indent="1" shrinkToFit="1"/>
      <protection locked="0"/>
    </xf>
    <xf numFmtId="0" fontId="51" fillId="38" borderId="64" xfId="0" applyFont="1" applyFill="1" applyBorder="1" applyAlignment="1" applyProtection="1">
      <alignment horizontal="left" vertical="center" indent="1" shrinkToFit="1"/>
      <protection locked="0"/>
    </xf>
    <xf numFmtId="0" fontId="126" fillId="38" borderId="63" xfId="579" applyFont="1" applyFill="1" applyBorder="1" applyAlignment="1" applyProtection="1">
      <alignment horizontal="left" vertical="center" indent="1" shrinkToFit="1"/>
      <protection locked="0"/>
    </xf>
    <xf numFmtId="0" fontId="174" fillId="68" borderId="64" xfId="0" applyFont="1" applyFill="1" applyBorder="1" applyAlignment="1">
      <alignment horizontal="left" vertical="center" indent="1"/>
    </xf>
    <xf numFmtId="0" fontId="58" fillId="68" borderId="64" xfId="0" applyFont="1" applyFill="1" applyBorder="1" applyAlignment="1">
      <alignment horizontal="left" vertical="center" indent="1" shrinkToFit="1"/>
    </xf>
    <xf numFmtId="1" fontId="147" fillId="68" borderId="64" xfId="0" applyNumberFormat="1" applyFont="1" applyFill="1" applyBorder="1" applyAlignment="1" applyProtection="1">
      <alignment horizontal="center" vertical="center" wrapText="1"/>
    </xf>
    <xf numFmtId="168" fontId="49" fillId="0" borderId="64" xfId="0" applyNumberFormat="1" applyFont="1" applyFill="1" applyBorder="1" applyAlignment="1" applyProtection="1">
      <alignment horizontal="center" vertical="center"/>
    </xf>
    <xf numFmtId="0" fontId="126" fillId="38" borderId="72" xfId="579" applyFont="1" applyFill="1" applyBorder="1" applyAlignment="1" applyProtection="1">
      <alignment horizontal="left" vertical="center" indent="1" shrinkToFit="1"/>
      <protection locked="0"/>
    </xf>
    <xf numFmtId="0" fontId="49" fillId="68" borderId="224" xfId="0" applyFont="1" applyFill="1" applyBorder="1" applyAlignment="1">
      <alignment horizontal="center" vertical="center"/>
    </xf>
    <xf numFmtId="0" fontId="49" fillId="68" borderId="223" xfId="0" applyFont="1" applyFill="1" applyBorder="1" applyAlignment="1">
      <alignment horizontal="center" vertical="center"/>
    </xf>
    <xf numFmtId="0" fontId="49" fillId="68" borderId="242" xfId="0" applyFont="1" applyFill="1" applyBorder="1" applyAlignment="1">
      <alignment horizontal="center" vertical="center"/>
    </xf>
    <xf numFmtId="0" fontId="49" fillId="68" borderId="158" xfId="0" applyFont="1" applyFill="1" applyBorder="1" applyAlignment="1">
      <alignment horizontal="center" vertical="center"/>
    </xf>
    <xf numFmtId="0" fontId="49" fillId="68" borderId="243" xfId="0" applyFont="1" applyFill="1" applyBorder="1" applyAlignment="1">
      <alignment horizontal="center" vertical="center"/>
    </xf>
    <xf numFmtId="0" fontId="49" fillId="68" borderId="241" xfId="0" applyFont="1" applyFill="1" applyBorder="1" applyAlignment="1">
      <alignment horizontal="center" vertical="center"/>
    </xf>
    <xf numFmtId="0" fontId="49" fillId="68" borderId="244" xfId="0" applyFont="1" applyFill="1" applyBorder="1" applyAlignment="1">
      <alignment horizontal="center" wrapText="1"/>
    </xf>
    <xf numFmtId="0" fontId="49" fillId="68" borderId="225" xfId="0" applyFont="1" applyFill="1" applyBorder="1" applyAlignment="1">
      <alignment horizontal="center" wrapText="1"/>
    </xf>
    <xf numFmtId="0" fontId="49" fillId="68" borderId="240" xfId="0" applyFont="1" applyFill="1" applyBorder="1" applyAlignment="1">
      <alignment horizontal="center" wrapText="1"/>
    </xf>
    <xf numFmtId="0" fontId="49" fillId="68" borderId="245" xfId="0" applyFont="1" applyFill="1" applyBorder="1" applyAlignment="1">
      <alignment horizontal="center" wrapText="1"/>
    </xf>
    <xf numFmtId="0" fontId="49" fillId="68" borderId="104" xfId="0" applyFont="1" applyFill="1" applyBorder="1" applyAlignment="1">
      <alignment horizontal="center" vertical="center"/>
    </xf>
    <xf numFmtId="0" fontId="49" fillId="68" borderId="227" xfId="0" applyFont="1" applyFill="1" applyBorder="1" applyAlignment="1">
      <alignment horizontal="center" vertical="center"/>
    </xf>
    <xf numFmtId="0" fontId="49" fillId="68" borderId="228" xfId="0" applyFont="1" applyFill="1" applyBorder="1" applyAlignment="1">
      <alignment horizontal="center" vertical="center"/>
    </xf>
    <xf numFmtId="0" fontId="51" fillId="0" borderId="70" xfId="564" applyFont="1" applyFill="1" applyBorder="1" applyAlignment="1">
      <alignment horizontal="left" vertical="center" indent="1"/>
    </xf>
    <xf numFmtId="0" fontId="51" fillId="0" borderId="71" xfId="564" applyFont="1" applyFill="1" applyBorder="1" applyAlignment="1">
      <alignment horizontal="left" vertical="center" indent="1"/>
    </xf>
    <xf numFmtId="0" fontId="51" fillId="0" borderId="130" xfId="564" applyFont="1" applyFill="1" applyBorder="1" applyAlignment="1">
      <alignment horizontal="left" vertical="center" indent="1"/>
    </xf>
    <xf numFmtId="0" fontId="51" fillId="0" borderId="131" xfId="564" applyFont="1" applyFill="1" applyBorder="1" applyAlignment="1">
      <alignment horizontal="left" vertical="center" indent="1"/>
    </xf>
    <xf numFmtId="0" fontId="58" fillId="68" borderId="70" xfId="0" applyFont="1" applyFill="1" applyBorder="1" applyAlignment="1">
      <alignment horizontal="center" vertical="center" wrapText="1"/>
    </xf>
    <xf numFmtId="0" fontId="58" fillId="68" borderId="71" xfId="0" applyFont="1" applyFill="1" applyBorder="1" applyAlignment="1">
      <alignment horizontal="center" vertical="center" wrapText="1"/>
    </xf>
    <xf numFmtId="0" fontId="62" fillId="68" borderId="224" xfId="0" applyFont="1" applyFill="1" applyBorder="1" applyAlignment="1">
      <alignment horizontal="center" vertical="center" wrapText="1"/>
    </xf>
    <xf numFmtId="0" fontId="62" fillId="68" borderId="223" xfId="0" applyFont="1" applyFill="1" applyBorder="1" applyAlignment="1">
      <alignment horizontal="center" vertical="center" wrapText="1"/>
    </xf>
    <xf numFmtId="0" fontId="62" fillId="68" borderId="242" xfId="0" applyFont="1" applyFill="1" applyBorder="1" applyAlignment="1">
      <alignment horizontal="center" vertical="center" wrapText="1"/>
    </xf>
    <xf numFmtId="0" fontId="62" fillId="68" borderId="158" xfId="0" applyFont="1" applyFill="1" applyBorder="1" applyAlignment="1">
      <alignment horizontal="center" vertical="center" wrapText="1"/>
    </xf>
    <xf numFmtId="0" fontId="62" fillId="68" borderId="243" xfId="0" applyFont="1" applyFill="1" applyBorder="1" applyAlignment="1">
      <alignment horizontal="center" vertical="center" wrapText="1"/>
    </xf>
    <xf numFmtId="0" fontId="62" fillId="68" borderId="241" xfId="0" applyFont="1" applyFill="1" applyBorder="1" applyAlignment="1">
      <alignment horizontal="center" vertical="center" wrapText="1"/>
    </xf>
    <xf numFmtId="0" fontId="49" fillId="68" borderId="69" xfId="0" applyFont="1" applyFill="1" applyBorder="1" applyAlignment="1">
      <alignment horizontal="center" vertical="center" shrinkToFit="1"/>
    </xf>
    <xf numFmtId="0" fontId="49" fillId="68" borderId="83" xfId="0" applyFont="1" applyFill="1" applyBorder="1" applyAlignment="1">
      <alignment horizontal="center" vertical="center" shrinkToFit="1"/>
    </xf>
    <xf numFmtId="0" fontId="49" fillId="68" borderId="78" xfId="0" applyFont="1" applyFill="1" applyBorder="1" applyAlignment="1">
      <alignment horizontal="center" vertical="center" shrinkToFit="1"/>
    </xf>
    <xf numFmtId="0" fontId="49" fillId="68" borderId="244" xfId="0" applyFont="1" applyFill="1" applyBorder="1" applyAlignment="1">
      <alignment horizontal="center" vertical="center" wrapText="1"/>
    </xf>
    <xf numFmtId="0" fontId="49" fillId="68" borderId="225" xfId="0" applyFont="1" applyFill="1" applyBorder="1" applyAlignment="1">
      <alignment horizontal="center" vertical="center" wrapText="1"/>
    </xf>
    <xf numFmtId="0" fontId="49" fillId="68" borderId="245" xfId="0" applyFont="1" applyFill="1" applyBorder="1" applyAlignment="1">
      <alignment horizontal="center" vertical="center" wrapText="1"/>
    </xf>
    <xf numFmtId="0" fontId="49" fillId="68" borderId="83" xfId="0" applyFont="1" applyFill="1" applyBorder="1" applyAlignment="1">
      <alignment horizontal="center" vertical="center" wrapText="1"/>
    </xf>
    <xf numFmtId="0" fontId="62" fillId="68" borderId="104" xfId="0" applyFont="1" applyFill="1" applyBorder="1" applyAlignment="1">
      <alignment horizontal="center" vertical="center"/>
    </xf>
    <xf numFmtId="0" fontId="62" fillId="68" borderId="227" xfId="0" applyFont="1" applyFill="1" applyBorder="1" applyAlignment="1">
      <alignment horizontal="center" vertical="center"/>
    </xf>
    <xf numFmtId="0" fontId="62" fillId="68" borderId="228" xfId="0" applyFont="1" applyFill="1" applyBorder="1" applyAlignment="1">
      <alignment horizontal="center" vertical="center"/>
    </xf>
    <xf numFmtId="0" fontId="53" fillId="68" borderId="64" xfId="0" applyFont="1" applyFill="1" applyBorder="1" applyAlignment="1" applyProtection="1">
      <alignment horizontal="center" vertical="center"/>
      <protection locked="0"/>
    </xf>
    <xf numFmtId="0" fontId="53" fillId="68" borderId="64" xfId="0" applyFont="1" applyFill="1" applyBorder="1" applyAlignment="1" applyProtection="1">
      <alignment horizontal="center" vertical="center" wrapText="1"/>
    </xf>
    <xf numFmtId="0" fontId="53" fillId="68" borderId="64" xfId="0" applyFont="1" applyFill="1" applyBorder="1" applyAlignment="1">
      <alignment horizontal="center" vertical="center"/>
    </xf>
    <xf numFmtId="0" fontId="141" fillId="50" borderId="0" xfId="0" applyFont="1" applyFill="1" applyBorder="1" applyAlignment="1">
      <alignment horizontal="center" vertical="center" wrapText="1"/>
    </xf>
    <xf numFmtId="0" fontId="141" fillId="50" borderId="143" xfId="0" applyFont="1" applyFill="1" applyBorder="1" applyAlignment="1">
      <alignment horizontal="center" vertical="center" wrapText="1"/>
    </xf>
    <xf numFmtId="0" fontId="141" fillId="50" borderId="159" xfId="0" applyFont="1" applyFill="1" applyBorder="1" applyAlignment="1">
      <alignment horizontal="center" vertical="center" wrapText="1"/>
    </xf>
    <xf numFmtId="0" fontId="141" fillId="50" borderId="77" xfId="0" applyFont="1" applyFill="1" applyBorder="1" applyAlignment="1">
      <alignment horizontal="center" vertical="center" wrapText="1"/>
    </xf>
    <xf numFmtId="0" fontId="49" fillId="0" borderId="0" xfId="0" applyFont="1" applyAlignment="1">
      <alignment horizontal="left" vertical="center" wrapText="1"/>
    </xf>
    <xf numFmtId="167" fontId="53" fillId="68" borderId="64" xfId="0" applyNumberFormat="1" applyFont="1" applyFill="1" applyBorder="1" applyAlignment="1" applyProtection="1">
      <alignment horizontal="center" vertical="center"/>
    </xf>
    <xf numFmtId="0" fontId="40" fillId="68" borderId="64" xfId="0" applyFont="1" applyFill="1" applyBorder="1" applyAlignment="1">
      <alignment horizontal="center" vertical="center" wrapText="1"/>
    </xf>
    <xf numFmtId="0" fontId="40" fillId="68" borderId="64" xfId="0" applyFont="1" applyFill="1" applyBorder="1" applyAlignment="1" applyProtection="1">
      <alignment horizontal="left" vertical="center" indent="1"/>
    </xf>
    <xf numFmtId="0" fontId="53" fillId="68" borderId="64" xfId="0" applyFont="1" applyFill="1" applyBorder="1" applyAlignment="1" applyProtection="1">
      <alignment horizontal="center" vertical="center"/>
    </xf>
    <xf numFmtId="0" fontId="45" fillId="68" borderId="64" xfId="0" applyFont="1" applyFill="1" applyBorder="1" applyAlignment="1">
      <alignment horizontal="center" vertical="center" wrapText="1"/>
    </xf>
    <xf numFmtId="167" fontId="45" fillId="68" borderId="64" xfId="0" applyNumberFormat="1" applyFont="1" applyFill="1" applyBorder="1" applyAlignment="1" applyProtection="1">
      <alignment horizontal="center" vertical="center"/>
      <protection hidden="1"/>
    </xf>
    <xf numFmtId="0" fontId="40" fillId="68" borderId="64" xfId="0" applyFont="1" applyFill="1" applyBorder="1" applyAlignment="1" applyProtection="1">
      <alignment horizontal="center" vertical="center"/>
    </xf>
    <xf numFmtId="0" fontId="45" fillId="10" borderId="64" xfId="0" applyFont="1" applyFill="1" applyBorder="1" applyAlignment="1" applyProtection="1">
      <alignment horizontal="center" vertical="center"/>
      <protection locked="0"/>
    </xf>
    <xf numFmtId="0" fontId="50" fillId="30" borderId="301" xfId="0" applyFont="1" applyFill="1" applyBorder="1" applyAlignment="1" applyProtection="1">
      <alignment horizontal="left" vertical="center" shrinkToFit="1"/>
      <protection locked="0"/>
    </xf>
    <xf numFmtId="0" fontId="50" fillId="30" borderId="215" xfId="0" applyFont="1" applyFill="1" applyBorder="1" applyAlignment="1" applyProtection="1">
      <alignment horizontal="left" vertical="center" shrinkToFit="1"/>
      <protection locked="0"/>
    </xf>
    <xf numFmtId="0" fontId="50" fillId="30" borderId="216" xfId="0" applyFont="1" applyFill="1" applyBorder="1" applyAlignment="1" applyProtection="1">
      <alignment horizontal="left" vertical="center" shrinkToFit="1"/>
      <protection locked="0"/>
    </xf>
    <xf numFmtId="0" fontId="176" fillId="68" borderId="64" xfId="0" applyFont="1" applyFill="1" applyBorder="1" applyAlignment="1">
      <alignment horizontal="center" vertical="center" wrapText="1"/>
    </xf>
    <xf numFmtId="0" fontId="45" fillId="68" borderId="64" xfId="0" applyFont="1" applyFill="1" applyBorder="1" applyAlignment="1" applyProtection="1">
      <alignment horizontal="center" vertical="center" wrapText="1"/>
      <protection hidden="1"/>
    </xf>
    <xf numFmtId="0" fontId="50" fillId="30" borderId="276" xfId="0" applyFont="1" applyFill="1" applyBorder="1" applyAlignment="1" applyProtection="1">
      <alignment horizontal="left" vertical="center" indent="1" shrinkToFit="1"/>
      <protection locked="0"/>
    </xf>
    <xf numFmtId="0" fontId="50" fillId="30" borderId="64" xfId="0" applyFont="1" applyFill="1" applyBorder="1" applyAlignment="1" applyProtection="1">
      <alignment horizontal="left" vertical="center" indent="1" shrinkToFit="1"/>
      <protection locked="0"/>
    </xf>
    <xf numFmtId="0" fontId="53" fillId="68" borderId="64" xfId="0" applyFont="1" applyFill="1" applyBorder="1" applyAlignment="1" applyProtection="1">
      <alignment horizontal="center" vertical="center"/>
      <protection hidden="1"/>
    </xf>
    <xf numFmtId="0" fontId="40" fillId="68" borderId="66" xfId="0" applyFont="1" applyFill="1" applyBorder="1" applyAlignment="1" applyProtection="1">
      <alignment horizontal="center" vertical="center"/>
    </xf>
    <xf numFmtId="0" fontId="40" fillId="68" borderId="205" xfId="0" applyFont="1" applyFill="1" applyBorder="1" applyAlignment="1" applyProtection="1">
      <alignment horizontal="center" vertical="center"/>
    </xf>
    <xf numFmtId="0" fontId="58" fillId="68" borderId="140" xfId="0" applyFont="1" applyFill="1" applyBorder="1" applyAlignment="1" applyProtection="1">
      <alignment horizontal="center" vertical="center"/>
    </xf>
    <xf numFmtId="0" fontId="58" fillId="68" borderId="85" xfId="0" applyFont="1" applyFill="1" applyBorder="1" applyAlignment="1" applyProtection="1">
      <alignment horizontal="center" vertical="center"/>
    </xf>
    <xf numFmtId="0" fontId="58" fillId="68" borderId="142" xfId="0" applyFont="1" applyFill="1" applyBorder="1" applyAlignment="1" applyProtection="1">
      <alignment horizontal="center" vertical="center"/>
    </xf>
    <xf numFmtId="0" fontId="53" fillId="68" borderId="217" xfId="0" applyFont="1" applyFill="1" applyBorder="1" applyAlignment="1" applyProtection="1">
      <alignment horizontal="center" vertical="center" wrapText="1"/>
    </xf>
    <xf numFmtId="0" fontId="53" fillId="68" borderId="287" xfId="0" applyFont="1" applyFill="1" applyBorder="1" applyAlignment="1" applyProtection="1">
      <alignment horizontal="center" vertical="center" wrapText="1"/>
    </xf>
    <xf numFmtId="0" fontId="235" fillId="50" borderId="80" xfId="412" applyFont="1" applyFill="1" applyBorder="1" applyAlignment="1" applyProtection="1">
      <alignment horizontal="center" vertical="center" wrapText="1"/>
    </xf>
    <xf numFmtId="0" fontId="235" fillId="50" borderId="0" xfId="412" applyFont="1" applyFill="1" applyBorder="1" applyAlignment="1" applyProtection="1">
      <alignment horizontal="center" vertical="center"/>
    </xf>
    <xf numFmtId="0" fontId="102" fillId="24" borderId="146" xfId="412" applyNumberFormat="1" applyFont="1" applyFill="1" applyBorder="1" applyAlignment="1" applyProtection="1">
      <alignment horizontal="center" vertical="center"/>
    </xf>
    <xf numFmtId="0" fontId="102" fillId="24" borderId="79" xfId="412" applyNumberFormat="1" applyFont="1" applyFill="1" applyBorder="1" applyAlignment="1" applyProtection="1">
      <alignment horizontal="center" vertical="center"/>
    </xf>
    <xf numFmtId="0" fontId="40" fillId="68" borderId="64" xfId="0" applyFont="1" applyFill="1" applyBorder="1" applyAlignment="1" applyProtection="1">
      <alignment horizontal="center" vertical="center" wrapText="1"/>
      <protection hidden="1"/>
    </xf>
    <xf numFmtId="0" fontId="73" fillId="68" borderId="64" xfId="0" applyFont="1" applyFill="1" applyBorder="1" applyAlignment="1" applyProtection="1">
      <alignment horizontal="center" vertical="center" wrapText="1"/>
      <protection hidden="1"/>
    </xf>
    <xf numFmtId="0" fontId="53" fillId="68" borderId="64" xfId="0" applyFont="1" applyFill="1" applyBorder="1" applyAlignment="1" applyProtection="1">
      <alignment horizontal="center" vertical="center" wrapText="1"/>
      <protection hidden="1"/>
    </xf>
    <xf numFmtId="0" fontId="0" fillId="0" borderId="10" xfId="0" applyFont="1" applyFill="1" applyBorder="1" applyAlignment="1" applyProtection="1">
      <alignment horizontal="left" vertical="top"/>
    </xf>
    <xf numFmtId="0" fontId="40" fillId="0" borderId="10" xfId="0" applyFont="1" applyFill="1" applyBorder="1" applyAlignment="1" applyProtection="1">
      <alignment horizontal="left" vertical="center" wrapText="1"/>
    </xf>
    <xf numFmtId="0" fontId="40" fillId="40" borderId="10" xfId="0" applyFont="1" applyFill="1" applyBorder="1" applyAlignment="1" applyProtection="1">
      <alignment horizontal="left" vertical="center" wrapText="1"/>
    </xf>
    <xf numFmtId="0" fontId="40" fillId="40" borderId="10" xfId="0" applyFont="1" applyFill="1" applyBorder="1" applyAlignment="1" applyProtection="1">
      <alignment horizontal="left" vertical="top" wrapText="1"/>
    </xf>
    <xf numFmtId="0" fontId="40" fillId="0" borderId="10" xfId="0" applyFont="1" applyFill="1" applyBorder="1" applyAlignment="1" applyProtection="1">
      <alignment horizontal="left" vertical="top" wrapText="1"/>
    </xf>
    <xf numFmtId="0" fontId="58" fillId="68" borderId="213" xfId="0" applyFont="1" applyFill="1" applyBorder="1" applyAlignment="1">
      <alignment horizontal="left" vertical="center" wrapText="1"/>
    </xf>
    <xf numFmtId="0" fontId="49" fillId="68" borderId="64" xfId="0" applyFont="1" applyFill="1" applyBorder="1" applyAlignment="1">
      <alignment horizontal="left" vertical="center" wrapText="1"/>
    </xf>
    <xf numFmtId="0" fontId="42" fillId="0" borderId="64" xfId="0" applyFont="1" applyFill="1" applyBorder="1" applyAlignment="1">
      <alignment horizontal="left" vertical="center"/>
    </xf>
    <xf numFmtId="0" fontId="40" fillId="40" borderId="10" xfId="0" applyFont="1" applyFill="1" applyBorder="1" applyAlignment="1" applyProtection="1">
      <alignment horizontal="center" vertical="center" wrapText="1"/>
    </xf>
    <xf numFmtId="0" fontId="96" fillId="0" borderId="11" xfId="0" applyFont="1" applyFill="1" applyBorder="1" applyAlignment="1" applyProtection="1">
      <alignment horizontal="center" vertical="top" wrapText="1"/>
    </xf>
    <xf numFmtId="0" fontId="42" fillId="40" borderId="36" xfId="0" applyFont="1" applyFill="1" applyBorder="1" applyAlignment="1" applyProtection="1">
      <alignment horizontal="center" vertical="center" wrapText="1"/>
    </xf>
    <xf numFmtId="0" fontId="39" fillId="0" borderId="64" xfId="0" applyFont="1" applyFill="1" applyBorder="1" applyAlignment="1">
      <alignment horizontal="center" vertical="center" wrapText="1"/>
    </xf>
    <xf numFmtId="0" fontId="153" fillId="50" borderId="10" xfId="0" applyFont="1" applyFill="1" applyBorder="1" applyAlignment="1" applyProtection="1">
      <alignment horizontal="center" vertical="center" wrapText="1"/>
    </xf>
    <xf numFmtId="0" fontId="58" fillId="40" borderId="64" xfId="0" applyFont="1" applyFill="1" applyBorder="1" applyAlignment="1">
      <alignment horizontal="left" vertical="center" wrapText="1"/>
    </xf>
    <xf numFmtId="0" fontId="0" fillId="40" borderId="64" xfId="0" applyFont="1" applyFill="1" applyBorder="1" applyAlignment="1" applyProtection="1">
      <alignment horizontal="center" vertical="center" wrapText="1"/>
      <protection hidden="1"/>
    </xf>
    <xf numFmtId="0" fontId="41" fillId="40" borderId="64" xfId="0" applyFont="1" applyFill="1" applyBorder="1" applyAlignment="1">
      <alignment horizontal="center" vertical="center" wrapText="1"/>
    </xf>
    <xf numFmtId="0" fontId="69" fillId="40" borderId="64" xfId="0" applyFont="1" applyFill="1" applyBorder="1" applyAlignment="1">
      <alignment horizontal="center" vertical="center"/>
    </xf>
    <xf numFmtId="168" fontId="21" fillId="0" borderId="64" xfId="0" applyNumberFormat="1" applyFont="1" applyFill="1" applyBorder="1" applyAlignment="1">
      <alignment horizontal="center"/>
    </xf>
    <xf numFmtId="0" fontId="35" fillId="68" borderId="64" xfId="0" applyFont="1" applyFill="1" applyBorder="1" applyAlignment="1">
      <alignment horizontal="left" vertical="center" indent="1"/>
    </xf>
    <xf numFmtId="0" fontId="21" fillId="68" borderId="64" xfId="0" applyFont="1" applyFill="1" applyBorder="1" applyAlignment="1">
      <alignment horizontal="left" vertical="center"/>
    </xf>
    <xf numFmtId="0" fontId="57" fillId="68" borderId="64" xfId="0" applyFont="1" applyFill="1" applyBorder="1" applyAlignment="1">
      <alignment horizontal="left" vertical="center" wrapText="1"/>
    </xf>
    <xf numFmtId="0" fontId="21" fillId="0" borderId="64" xfId="0" applyFont="1" applyFill="1" applyBorder="1" applyAlignment="1">
      <alignment horizontal="center"/>
    </xf>
    <xf numFmtId="2" fontId="21" fillId="0" borderId="64" xfId="0" applyNumberFormat="1" applyFont="1" applyFill="1" applyBorder="1" applyAlignment="1">
      <alignment horizontal="center"/>
    </xf>
    <xf numFmtId="0" fontId="79" fillId="0" borderId="66" xfId="0" applyFont="1" applyFill="1" applyBorder="1" applyAlignment="1">
      <alignment horizontal="center" vertical="center" wrapText="1"/>
    </xf>
    <xf numFmtId="0" fontId="79" fillId="0" borderId="205" xfId="0" applyFont="1" applyFill="1" applyBorder="1" applyAlignment="1">
      <alignment horizontal="center" vertical="center" wrapText="1"/>
    </xf>
    <xf numFmtId="0" fontId="79" fillId="0" borderId="167" xfId="0" applyFont="1" applyFill="1" applyBorder="1" applyAlignment="1">
      <alignment horizontal="center" vertical="center" wrapText="1"/>
    </xf>
    <xf numFmtId="0" fontId="233" fillId="0" borderId="158" xfId="412" applyFont="1" applyFill="1" applyBorder="1" applyAlignment="1">
      <alignment horizontal="center" vertical="center" wrapText="1"/>
    </xf>
    <xf numFmtId="0" fontId="233" fillId="0" borderId="243" xfId="412" applyFont="1" applyFill="1" applyBorder="1" applyAlignment="1">
      <alignment horizontal="center" vertical="center" wrapText="1"/>
    </xf>
    <xf numFmtId="0" fontId="0" fillId="0" borderId="0" xfId="0" applyFill="1" applyAlignment="1">
      <alignment horizontal="center"/>
    </xf>
    <xf numFmtId="0" fontId="234" fillId="0" borderId="0" xfId="412" applyFont="1" applyAlignment="1">
      <alignment horizontal="center" vertical="center" wrapText="1"/>
    </xf>
    <xf numFmtId="0" fontId="99" fillId="24" borderId="2" xfId="412" applyNumberFormat="1" applyFont="1" applyFill="1" applyBorder="1" applyAlignment="1" applyProtection="1">
      <alignment horizontal="center" vertical="center"/>
    </xf>
    <xf numFmtId="0" fontId="21" fillId="68" borderId="64" xfId="0" applyFont="1" applyFill="1" applyBorder="1" applyAlignment="1">
      <alignment horizontal="center" vertical="center" wrapText="1"/>
    </xf>
    <xf numFmtId="0" fontId="49" fillId="68" borderId="64" xfId="0" applyFont="1" applyFill="1" applyBorder="1" applyAlignment="1" applyProtection="1">
      <alignment horizontal="center" vertical="center" wrapText="1"/>
    </xf>
    <xf numFmtId="0" fontId="41" fillId="17" borderId="165" xfId="0" applyFont="1" applyFill="1" applyBorder="1" applyAlignment="1">
      <alignment horizontal="center" vertical="center" wrapText="1"/>
    </xf>
    <xf numFmtId="0" fontId="41" fillId="17" borderId="166" xfId="0" applyFont="1" applyFill="1" applyBorder="1" applyAlignment="1">
      <alignment horizontal="center" vertical="center" wrapText="1"/>
    </xf>
    <xf numFmtId="0" fontId="41" fillId="17" borderId="156" xfId="0" applyFont="1" applyFill="1" applyBorder="1" applyAlignment="1">
      <alignment horizontal="center" vertical="center" wrapText="1"/>
    </xf>
    <xf numFmtId="0" fontId="41" fillId="17" borderId="117" xfId="0" applyFont="1" applyFill="1" applyBorder="1" applyAlignment="1">
      <alignment horizontal="center" vertical="center" wrapText="1"/>
    </xf>
    <xf numFmtId="0" fontId="42" fillId="25" borderId="93" xfId="0" applyFont="1" applyFill="1" applyBorder="1" applyAlignment="1">
      <alignment horizontal="center" vertical="center"/>
    </xf>
    <xf numFmtId="0" fontId="41" fillId="25" borderId="40" xfId="0" applyFont="1" applyFill="1" applyBorder="1" applyAlignment="1">
      <alignment horizontal="center" vertical="center" wrapText="1"/>
    </xf>
    <xf numFmtId="0" fontId="21" fillId="25" borderId="93" xfId="0" applyFont="1" applyFill="1" applyBorder="1" applyAlignment="1">
      <alignment horizontal="center" vertical="center"/>
    </xf>
    <xf numFmtId="0" fontId="0" fillId="0" borderId="35" xfId="0" applyFont="1" applyBorder="1" applyAlignment="1">
      <alignment horizontal="center" vertical="center" wrapText="1"/>
    </xf>
    <xf numFmtId="0" fontId="41" fillId="25" borderId="87" xfId="0" applyFont="1" applyFill="1" applyBorder="1" applyAlignment="1">
      <alignment horizontal="center" vertical="center" wrapText="1"/>
    </xf>
    <xf numFmtId="0" fontId="0" fillId="62" borderId="164" xfId="0" applyFill="1" applyBorder="1" applyAlignment="1">
      <alignment horizontal="center" vertical="center" wrapText="1"/>
    </xf>
    <xf numFmtId="0" fontId="0" fillId="25" borderId="52" xfId="0" applyFont="1" applyFill="1" applyBorder="1" applyAlignment="1">
      <alignment horizontal="center" vertical="center"/>
    </xf>
    <xf numFmtId="0" fontId="38" fillId="59" borderId="97" xfId="0" applyFont="1" applyFill="1" applyBorder="1" applyAlignment="1" applyProtection="1">
      <alignment horizontal="center" vertical="center" wrapText="1"/>
      <protection hidden="1"/>
    </xf>
    <xf numFmtId="0" fontId="38" fillId="59" borderId="98" xfId="0" applyFont="1" applyFill="1" applyBorder="1" applyAlignment="1" applyProtection="1">
      <alignment horizontal="center" vertical="center" wrapText="1"/>
      <protection hidden="1"/>
    </xf>
    <xf numFmtId="0" fontId="40" fillId="25" borderId="45" xfId="0" applyFont="1" applyFill="1" applyBorder="1" applyAlignment="1">
      <alignment horizontal="center"/>
    </xf>
    <xf numFmtId="0" fontId="21" fillId="25" borderId="92" xfId="0" applyFont="1" applyFill="1" applyBorder="1" applyAlignment="1">
      <alignment horizontal="center" vertical="center"/>
    </xf>
    <xf numFmtId="0" fontId="38" fillId="59" borderId="51" xfId="0" applyFont="1" applyFill="1" applyBorder="1" applyAlignment="1" applyProtection="1">
      <alignment horizontal="center" vertical="center" wrapText="1"/>
      <protection hidden="1"/>
    </xf>
    <xf numFmtId="0" fontId="0" fillId="63" borderId="92" xfId="0" applyFont="1" applyFill="1" applyBorder="1" applyAlignment="1">
      <alignment horizontal="center"/>
    </xf>
    <xf numFmtId="0" fontId="0" fillId="63" borderId="52" xfId="0" applyFont="1" applyFill="1" applyBorder="1" applyAlignment="1">
      <alignment horizontal="center" vertical="center"/>
    </xf>
    <xf numFmtId="0" fontId="37" fillId="63" borderId="86" xfId="0" applyFont="1" applyFill="1" applyBorder="1" applyAlignment="1">
      <alignment horizontal="center" vertical="center" wrapText="1"/>
    </xf>
    <xf numFmtId="0" fontId="0" fillId="63" borderId="10" xfId="0" applyFont="1" applyFill="1" applyBorder="1" applyAlignment="1">
      <alignment horizontal="center" vertical="center" wrapText="1"/>
    </xf>
    <xf numFmtId="0" fontId="41" fillId="25" borderId="86" xfId="0" applyFont="1" applyFill="1" applyBorder="1" applyAlignment="1">
      <alignment horizontal="center" vertical="center" wrapText="1"/>
    </xf>
    <xf numFmtId="0" fontId="42" fillId="0" borderId="10" xfId="0" applyFont="1" applyFill="1" applyBorder="1" applyAlignment="1" applyProtection="1">
      <alignment horizontal="center" vertical="center" wrapText="1"/>
    </xf>
    <xf numFmtId="0" fontId="42" fillId="0" borderId="20" xfId="0" applyFont="1" applyFill="1" applyBorder="1" applyAlignment="1" applyProtection="1">
      <alignment horizontal="center" vertical="center" wrapText="1"/>
    </xf>
    <xf numFmtId="0" fontId="39" fillId="68" borderId="64" xfId="0" applyFont="1" applyFill="1" applyBorder="1" applyAlignment="1" applyProtection="1">
      <alignment horizontal="center" vertical="center" wrapText="1"/>
    </xf>
    <xf numFmtId="0" fontId="110" fillId="68" borderId="64" xfId="0" applyFont="1" applyFill="1" applyBorder="1" applyAlignment="1">
      <alignment horizontal="center" vertical="center" wrapText="1"/>
    </xf>
    <xf numFmtId="0" fontId="27" fillId="15" borderId="64" xfId="0" applyFont="1" applyFill="1" applyBorder="1" applyAlignment="1" applyProtection="1">
      <alignment horizontal="center" vertical="center"/>
    </xf>
    <xf numFmtId="10" fontId="110" fillId="10" borderId="64" xfId="547" applyNumberFormat="1" applyFill="1" applyBorder="1" applyAlignment="1" applyProtection="1">
      <alignment horizontal="center" vertical="center"/>
      <protection locked="0"/>
    </xf>
    <xf numFmtId="2" fontId="110" fillId="10" borderId="64" xfId="547" applyNumberFormat="1" applyFill="1" applyBorder="1" applyAlignment="1" applyProtection="1">
      <alignment horizontal="center" vertical="center"/>
      <protection locked="0"/>
    </xf>
    <xf numFmtId="0" fontId="27" fillId="0" borderId="64" xfId="0" applyFont="1" applyFill="1" applyBorder="1" applyAlignment="1">
      <alignment horizontal="center"/>
    </xf>
    <xf numFmtId="0" fontId="50" fillId="68" borderId="64" xfId="0" applyFont="1" applyFill="1" applyBorder="1" applyAlignment="1" applyProtection="1">
      <alignment horizontal="center" vertical="center" wrapText="1"/>
    </xf>
    <xf numFmtId="0" fontId="50" fillId="68" borderId="64" xfId="0" applyFont="1" applyFill="1" applyBorder="1" applyAlignment="1" applyProtection="1">
      <alignment horizontal="center" vertical="center"/>
    </xf>
    <xf numFmtId="0" fontId="99" fillId="24" borderId="132" xfId="412" applyNumberFormat="1" applyFont="1" applyFill="1" applyBorder="1" applyAlignment="1" applyProtection="1">
      <alignment horizontal="center" vertical="center"/>
    </xf>
    <xf numFmtId="0" fontId="69" fillId="0" borderId="10" xfId="0" applyFont="1" applyFill="1" applyBorder="1" applyAlignment="1" applyProtection="1">
      <alignment horizontal="center" vertical="center" wrapText="1"/>
    </xf>
    <xf numFmtId="0" fontId="69" fillId="0" borderId="20" xfId="0" applyFont="1" applyFill="1" applyBorder="1" applyAlignment="1" applyProtection="1">
      <alignment horizontal="center" vertical="center" wrapText="1"/>
    </xf>
    <xf numFmtId="0" fontId="0" fillId="68" borderId="64" xfId="0" applyFont="1" applyFill="1" applyBorder="1" applyAlignment="1" applyProtection="1">
      <alignment horizontal="center" vertical="center" wrapText="1"/>
    </xf>
    <xf numFmtId="0" fontId="50" fillId="0" borderId="10" xfId="578" applyFont="1" applyBorder="1" applyAlignment="1">
      <alignment horizontal="left" vertical="center" indent="1"/>
    </xf>
    <xf numFmtId="0" fontId="51" fillId="0" borderId="10" xfId="0" applyFont="1" applyFill="1" applyBorder="1" applyAlignment="1" applyProtection="1">
      <alignment horizontal="left" vertical="center" shrinkToFit="1"/>
    </xf>
    <xf numFmtId="0" fontId="51" fillId="0" borderId="10" xfId="0" applyFont="1" applyFill="1" applyBorder="1" applyAlignment="1" applyProtection="1">
      <alignment horizontal="left" vertical="center" wrapText="1"/>
    </xf>
    <xf numFmtId="0" fontId="51" fillId="0" borderId="20" xfId="0" applyFont="1" applyFill="1" applyBorder="1" applyAlignment="1" applyProtection="1">
      <alignment horizontal="center" vertical="center" wrapText="1" shrinkToFit="1"/>
    </xf>
    <xf numFmtId="0" fontId="51" fillId="0" borderId="11" xfId="0" applyFont="1" applyFill="1" applyBorder="1" applyAlignment="1" applyProtection="1">
      <alignment horizontal="center" vertical="center" wrapText="1" shrinkToFit="1"/>
    </xf>
    <xf numFmtId="0" fontId="51" fillId="0" borderId="21" xfId="0" applyFont="1" applyFill="1" applyBorder="1" applyAlignment="1" applyProtection="1">
      <alignment horizontal="center" vertical="center" wrapText="1" shrinkToFit="1"/>
    </xf>
    <xf numFmtId="0" fontId="62" fillId="0" borderId="48" xfId="0" applyFont="1" applyFill="1" applyBorder="1" applyAlignment="1" applyProtection="1">
      <alignment horizontal="center" vertical="center" wrapText="1"/>
    </xf>
    <xf numFmtId="0" fontId="50" fillId="0" borderId="20" xfId="0" applyFont="1" applyFill="1" applyBorder="1" applyAlignment="1" applyProtection="1">
      <alignment horizontal="left" vertical="center" wrapText="1"/>
    </xf>
    <xf numFmtId="0" fontId="50" fillId="0" borderId="10" xfId="0" applyFont="1" applyFill="1" applyBorder="1" applyAlignment="1" applyProtection="1">
      <alignment horizontal="left" vertical="center" wrapText="1"/>
    </xf>
    <xf numFmtId="0" fontId="90" fillId="24" borderId="64" xfId="412" applyNumberFormat="1" applyFont="1" applyFill="1" applyBorder="1" applyAlignment="1" applyProtection="1">
      <alignment horizontal="center" vertical="center"/>
    </xf>
    <xf numFmtId="0" fontId="62" fillId="68" borderId="0" xfId="0" applyFont="1" applyFill="1" applyBorder="1" applyAlignment="1" applyProtection="1">
      <alignment horizontal="left" vertical="center" wrapText="1" indent="1"/>
    </xf>
    <xf numFmtId="0" fontId="50" fillId="0" borderId="47" xfId="0" applyFont="1" applyFill="1" applyBorder="1" applyAlignment="1" applyProtection="1">
      <alignment horizontal="left" vertical="center" wrapText="1"/>
    </xf>
    <xf numFmtId="0" fontId="49" fillId="68" borderId="177" xfId="0" applyFont="1" applyFill="1" applyBorder="1" applyAlignment="1" applyProtection="1">
      <alignment horizontal="left" vertical="center"/>
    </xf>
    <xf numFmtId="0" fontId="49" fillId="68" borderId="138" xfId="0" applyFont="1" applyFill="1" applyBorder="1" applyAlignment="1" applyProtection="1">
      <alignment horizontal="left" vertical="center"/>
    </xf>
    <xf numFmtId="0" fontId="198" fillId="66" borderId="0" xfId="0" applyFont="1" applyFill="1" applyBorder="1" applyAlignment="1" applyProtection="1">
      <alignment horizontal="center" vertical="center" textRotation="90"/>
      <protection hidden="1"/>
    </xf>
    <xf numFmtId="0" fontId="0" fillId="81" borderId="140" xfId="0" applyFont="1" applyFill="1" applyBorder="1" applyAlignment="1" applyProtection="1">
      <alignment horizontal="left" vertical="center" wrapText="1" indent="1"/>
      <protection hidden="1"/>
    </xf>
    <xf numFmtId="0" fontId="0" fillId="81" borderId="85" xfId="0" applyFont="1" applyFill="1" applyBorder="1" applyAlignment="1" applyProtection="1">
      <alignment horizontal="left" vertical="center" wrapText="1" indent="1"/>
      <protection hidden="1"/>
    </xf>
    <xf numFmtId="0" fontId="0" fillId="81" borderId="142" xfId="0" applyFont="1" applyFill="1" applyBorder="1" applyAlignment="1" applyProtection="1">
      <alignment horizontal="left" vertical="center" wrapText="1" indent="1"/>
      <protection hidden="1"/>
    </xf>
    <xf numFmtId="0" fontId="0" fillId="81" borderId="74" xfId="0" applyFont="1" applyFill="1" applyBorder="1" applyAlignment="1" applyProtection="1">
      <alignment horizontal="left" vertical="center" wrapText="1" indent="1"/>
      <protection hidden="1"/>
    </xf>
    <xf numFmtId="0" fontId="0" fillId="81" borderId="159" xfId="0" applyFont="1" applyFill="1" applyBorder="1" applyAlignment="1" applyProtection="1">
      <alignment horizontal="left" vertical="center" wrapText="1" indent="1"/>
      <protection hidden="1"/>
    </xf>
    <xf numFmtId="0" fontId="0" fillId="81" borderId="77" xfId="0" applyFont="1" applyFill="1" applyBorder="1" applyAlignment="1" applyProtection="1">
      <alignment horizontal="left" vertical="center" wrapText="1" indent="1"/>
      <protection hidden="1"/>
    </xf>
    <xf numFmtId="0" fontId="39" fillId="66" borderId="0" xfId="0" applyFont="1" applyFill="1" applyAlignment="1" applyProtection="1">
      <alignment horizontal="left" vertical="center"/>
      <protection hidden="1"/>
    </xf>
    <xf numFmtId="0" fontId="0" fillId="85" borderId="140" xfId="0" applyFont="1" applyFill="1" applyBorder="1" applyAlignment="1" applyProtection="1">
      <alignment horizontal="left" vertical="center" wrapText="1" indent="1"/>
      <protection hidden="1"/>
    </xf>
    <xf numFmtId="0" fontId="0" fillId="85" borderId="85" xfId="0" applyFont="1" applyFill="1" applyBorder="1" applyAlignment="1" applyProtection="1">
      <alignment horizontal="left" vertical="center" wrapText="1" indent="1"/>
      <protection hidden="1"/>
    </xf>
    <xf numFmtId="0" fontId="0" fillId="85" borderId="142" xfId="0" applyFont="1" applyFill="1" applyBorder="1" applyAlignment="1" applyProtection="1">
      <alignment horizontal="left" vertical="center" wrapText="1" indent="1"/>
      <protection hidden="1"/>
    </xf>
    <xf numFmtId="0" fontId="0" fillId="85" borderId="141" xfId="0" applyFont="1" applyFill="1" applyBorder="1" applyAlignment="1" applyProtection="1">
      <alignment horizontal="left" vertical="center" wrapText="1" indent="1"/>
      <protection hidden="1"/>
    </xf>
    <xf numFmtId="0" fontId="0" fillId="85" borderId="0" xfId="0" applyFont="1" applyFill="1" applyBorder="1" applyAlignment="1" applyProtection="1">
      <alignment horizontal="left" vertical="center" wrapText="1" indent="1"/>
      <protection hidden="1"/>
    </xf>
    <xf numFmtId="0" fontId="0" fillId="85" borderId="143" xfId="0" applyFont="1" applyFill="1" applyBorder="1" applyAlignment="1" applyProtection="1">
      <alignment horizontal="left" vertical="center" wrapText="1" indent="1"/>
      <protection hidden="1"/>
    </xf>
    <xf numFmtId="0" fontId="40" fillId="85" borderId="147" xfId="0" quotePrefix="1" applyFont="1" applyFill="1" applyBorder="1" applyAlignment="1" applyProtection="1">
      <alignment horizontal="center" vertical="center" wrapText="1"/>
      <protection hidden="1"/>
    </xf>
    <xf numFmtId="0" fontId="40" fillId="85" borderId="147" xfId="0" applyFont="1" applyFill="1" applyBorder="1" applyAlignment="1" applyProtection="1">
      <alignment horizontal="center" vertical="center" wrapText="1"/>
      <protection hidden="1"/>
    </xf>
    <xf numFmtId="0" fontId="40" fillId="85" borderId="63" xfId="0" applyFont="1" applyFill="1" applyBorder="1" applyAlignment="1" applyProtection="1">
      <alignment horizontal="center" vertical="center" wrapText="1"/>
      <protection hidden="1"/>
    </xf>
    <xf numFmtId="0" fontId="58" fillId="87" borderId="69" xfId="0" applyFont="1" applyFill="1" applyBorder="1" applyAlignment="1" applyProtection="1">
      <alignment horizontal="center" vertical="center"/>
    </xf>
    <xf numFmtId="0" fontId="58" fillId="87" borderId="83" xfId="0" applyFont="1" applyFill="1" applyBorder="1" applyAlignment="1" applyProtection="1">
      <alignment horizontal="center" vertical="center"/>
    </xf>
    <xf numFmtId="0" fontId="58" fillId="87" borderId="78" xfId="0" applyFont="1" applyFill="1" applyBorder="1" applyAlignment="1" applyProtection="1">
      <alignment horizontal="center" vertical="center"/>
    </xf>
    <xf numFmtId="0" fontId="0" fillId="88" borderId="64" xfId="0" applyFont="1" applyFill="1" applyBorder="1" applyAlignment="1" applyProtection="1">
      <alignment horizontal="left" vertical="center" wrapText="1" indent="1"/>
      <protection hidden="1"/>
    </xf>
    <xf numFmtId="0" fontId="0" fillId="88" borderId="64" xfId="0" applyFont="1" applyFill="1" applyBorder="1" applyAlignment="1" applyProtection="1">
      <alignment horizontal="center" vertical="center"/>
      <protection hidden="1"/>
    </xf>
    <xf numFmtId="0" fontId="0" fillId="88" borderId="64" xfId="0" applyFont="1" applyFill="1" applyBorder="1" applyAlignment="1" applyProtection="1">
      <alignment horizontal="center" vertical="center" wrapText="1"/>
      <protection hidden="1"/>
    </xf>
    <xf numFmtId="0" fontId="0" fillId="88" borderId="140" xfId="0" applyFont="1" applyFill="1" applyBorder="1" applyAlignment="1" applyProtection="1">
      <alignment horizontal="left" vertical="center" wrapText="1" indent="1"/>
      <protection hidden="1"/>
    </xf>
    <xf numFmtId="0" fontId="0" fillId="88" borderId="85" xfId="0" applyFont="1" applyFill="1" applyBorder="1" applyAlignment="1" applyProtection="1">
      <alignment horizontal="left" vertical="center" wrapText="1" indent="1"/>
      <protection hidden="1"/>
    </xf>
    <xf numFmtId="0" fontId="0" fillId="88" borderId="142" xfId="0" applyFont="1" applyFill="1" applyBorder="1" applyAlignment="1" applyProtection="1">
      <alignment horizontal="left" vertical="center" wrapText="1" indent="1"/>
      <protection hidden="1"/>
    </xf>
    <xf numFmtId="0" fontId="0" fillId="88" borderId="74" xfId="0" applyFont="1" applyFill="1" applyBorder="1" applyAlignment="1" applyProtection="1">
      <alignment horizontal="left" vertical="center" wrapText="1" indent="1"/>
      <protection hidden="1"/>
    </xf>
    <xf numFmtId="0" fontId="0" fillId="88" borderId="159" xfId="0" applyFont="1" applyFill="1" applyBorder="1" applyAlignment="1" applyProtection="1">
      <alignment horizontal="left" vertical="center" wrapText="1" indent="1"/>
      <protection hidden="1"/>
    </xf>
    <xf numFmtId="0" fontId="0" fillId="88" borderId="77" xfId="0" applyFont="1" applyFill="1" applyBorder="1" applyAlignment="1" applyProtection="1">
      <alignment horizontal="left" vertical="center" wrapText="1" indent="1"/>
      <protection hidden="1"/>
    </xf>
    <xf numFmtId="0" fontId="0" fillId="88" borderId="72" xfId="0" applyFont="1" applyFill="1" applyBorder="1" applyAlignment="1" applyProtection="1">
      <alignment horizontal="center" vertical="center"/>
      <protection hidden="1"/>
    </xf>
    <xf numFmtId="0" fontId="0" fillId="88" borderId="63" xfId="0" applyFont="1" applyFill="1" applyBorder="1" applyAlignment="1" applyProtection="1">
      <alignment horizontal="center" vertical="center"/>
      <protection hidden="1"/>
    </xf>
    <xf numFmtId="0" fontId="0" fillId="88" borderId="72" xfId="0" applyFont="1" applyFill="1" applyBorder="1" applyAlignment="1" applyProtection="1">
      <alignment horizontal="center" vertical="center" wrapText="1"/>
      <protection hidden="1"/>
    </xf>
    <xf numFmtId="0" fontId="0" fillId="88" borderId="63" xfId="0" applyFont="1" applyFill="1" applyBorder="1" applyAlignment="1" applyProtection="1">
      <alignment horizontal="center" vertical="center" wrapText="1"/>
      <protection hidden="1"/>
    </xf>
    <xf numFmtId="0" fontId="0" fillId="88" borderId="140" xfId="0" applyFont="1" applyFill="1" applyBorder="1" applyAlignment="1" applyProtection="1">
      <alignment horizontal="center" vertical="center" wrapText="1"/>
      <protection hidden="1"/>
    </xf>
    <xf numFmtId="0" fontId="0" fillId="88" borderId="142" xfId="0" applyFont="1" applyFill="1" applyBorder="1" applyAlignment="1" applyProtection="1">
      <alignment horizontal="center" vertical="center" wrapText="1"/>
      <protection hidden="1"/>
    </xf>
    <xf numFmtId="0" fontId="0" fillId="88" borderId="74" xfId="0" applyFont="1" applyFill="1" applyBorder="1" applyAlignment="1" applyProtection="1">
      <alignment horizontal="center" vertical="center" wrapText="1"/>
      <protection hidden="1"/>
    </xf>
    <xf numFmtId="0" fontId="0" fillId="88" borderId="77" xfId="0" applyFont="1" applyFill="1" applyBorder="1" applyAlignment="1" applyProtection="1">
      <alignment horizontal="center" vertical="center" wrapText="1"/>
      <protection hidden="1"/>
    </xf>
    <xf numFmtId="0" fontId="150" fillId="50" borderId="0" xfId="0" applyFont="1" applyFill="1" applyBorder="1" applyAlignment="1" applyProtection="1">
      <alignment horizontal="center" vertical="center"/>
      <protection hidden="1"/>
    </xf>
    <xf numFmtId="0" fontId="39" fillId="66" borderId="0" xfId="0" applyFont="1" applyFill="1" applyAlignment="1" applyProtection="1">
      <alignment horizontal="left"/>
      <protection hidden="1"/>
    </xf>
    <xf numFmtId="0" fontId="49" fillId="88" borderId="140" xfId="0" applyFont="1" applyFill="1" applyBorder="1" applyAlignment="1" applyProtection="1">
      <alignment horizontal="left" vertical="center" indent="1"/>
      <protection hidden="1"/>
    </xf>
    <xf numFmtId="0" fontId="49" fillId="88" borderId="85" xfId="0" applyFont="1" applyFill="1" applyBorder="1" applyAlignment="1" applyProtection="1">
      <alignment horizontal="left" vertical="center" indent="1"/>
      <protection hidden="1"/>
    </xf>
    <xf numFmtId="0" fontId="49" fillId="88" borderId="142" xfId="0" applyFont="1" applyFill="1" applyBorder="1" applyAlignment="1" applyProtection="1">
      <alignment horizontal="left" vertical="center" indent="1"/>
      <protection hidden="1"/>
    </xf>
    <xf numFmtId="0" fontId="49" fillId="88" borderId="74" xfId="0" applyFont="1" applyFill="1" applyBorder="1" applyAlignment="1" applyProtection="1">
      <alignment horizontal="left" vertical="center" indent="1"/>
      <protection hidden="1"/>
    </xf>
    <xf numFmtId="0" fontId="49" fillId="88" borderId="159" xfId="0" applyFont="1" applyFill="1" applyBorder="1" applyAlignment="1" applyProtection="1">
      <alignment horizontal="left" vertical="center" indent="1"/>
      <protection hidden="1"/>
    </xf>
    <xf numFmtId="0" fontId="49" fillId="88" borderId="77" xfId="0" applyFont="1" applyFill="1" applyBorder="1" applyAlignment="1" applyProtection="1">
      <alignment horizontal="left" vertical="center" indent="1"/>
      <protection hidden="1"/>
    </xf>
    <xf numFmtId="0" fontId="53" fillId="88" borderId="72" xfId="0" applyFont="1" applyFill="1" applyBorder="1" applyAlignment="1" applyProtection="1">
      <alignment horizontal="center" vertical="center" wrapText="1"/>
      <protection hidden="1"/>
    </xf>
    <xf numFmtId="0" fontId="53" fillId="88" borderId="63" xfId="0" applyFont="1" applyFill="1" applyBorder="1" applyAlignment="1" applyProtection="1">
      <alignment horizontal="center" vertical="center" wrapText="1"/>
      <protection hidden="1"/>
    </xf>
    <xf numFmtId="0" fontId="50" fillId="85" borderId="140" xfId="0" applyFont="1" applyFill="1" applyBorder="1" applyAlignment="1" applyProtection="1">
      <alignment horizontal="center" vertical="center" wrapText="1"/>
    </xf>
    <xf numFmtId="0" fontId="50" fillId="85" borderId="142" xfId="0" applyFont="1" applyFill="1" applyBorder="1" applyAlignment="1" applyProtection="1">
      <alignment horizontal="center" vertical="center" wrapText="1"/>
    </xf>
    <xf numFmtId="0" fontId="50" fillId="85" borderId="141" xfId="0" applyFont="1" applyFill="1" applyBorder="1" applyAlignment="1" applyProtection="1">
      <alignment horizontal="center" vertical="center" wrapText="1"/>
    </xf>
    <xf numFmtId="0" fontId="50" fillId="85" borderId="143" xfId="0" applyFont="1" applyFill="1" applyBorder="1" applyAlignment="1" applyProtection="1">
      <alignment horizontal="center" vertical="center" wrapText="1"/>
    </xf>
    <xf numFmtId="0" fontId="50" fillId="85" borderId="74" xfId="0" applyFont="1" applyFill="1" applyBorder="1" applyAlignment="1" applyProtection="1">
      <alignment horizontal="center" vertical="center" wrapText="1"/>
    </xf>
    <xf numFmtId="0" fontId="50" fillId="85" borderId="77" xfId="0" applyFont="1" applyFill="1" applyBorder="1" applyAlignment="1" applyProtection="1">
      <alignment horizontal="center" vertical="center" wrapText="1"/>
    </xf>
    <xf numFmtId="0" fontId="73" fillId="85" borderId="0" xfId="0" applyFont="1" applyFill="1" applyBorder="1" applyAlignment="1" applyProtection="1">
      <alignment horizontal="center" vertical="center" wrapText="1"/>
      <protection hidden="1"/>
    </xf>
    <xf numFmtId="0" fontId="40" fillId="88" borderId="140" xfId="0" applyFont="1" applyFill="1" applyBorder="1" applyAlignment="1" applyProtection="1">
      <alignment horizontal="center" vertical="center"/>
      <protection hidden="1"/>
    </xf>
    <xf numFmtId="0" fontId="40" fillId="88" borderId="142" xfId="0" applyFont="1" applyFill="1" applyBorder="1" applyAlignment="1" applyProtection="1">
      <alignment horizontal="center" vertical="center"/>
      <protection hidden="1"/>
    </xf>
    <xf numFmtId="0" fontId="40" fillId="88" borderId="74" xfId="0" applyFont="1" applyFill="1" applyBorder="1" applyAlignment="1" applyProtection="1">
      <alignment horizontal="center" vertical="center"/>
      <protection hidden="1"/>
    </xf>
    <xf numFmtId="0" fontId="40" fillId="88" borderId="77" xfId="0" applyFont="1" applyFill="1" applyBorder="1" applyAlignment="1" applyProtection="1">
      <alignment horizontal="center" vertical="center"/>
      <protection hidden="1"/>
    </xf>
    <xf numFmtId="0" fontId="51" fillId="88" borderId="69" xfId="624" applyFont="1" applyFill="1" applyBorder="1" applyAlignment="1">
      <alignment horizontal="left" vertical="center" indent="1"/>
    </xf>
    <xf numFmtId="0" fontId="51" fillId="88" borderId="78" xfId="624" applyFont="1" applyFill="1" applyBorder="1" applyAlignment="1">
      <alignment horizontal="left" vertical="center" indent="1"/>
    </xf>
    <xf numFmtId="0" fontId="203" fillId="50" borderId="0" xfId="0" applyFont="1" applyFill="1" applyBorder="1" applyAlignment="1" applyProtection="1">
      <alignment horizontal="center" vertical="center"/>
      <protection hidden="1"/>
    </xf>
    <xf numFmtId="0" fontId="58" fillId="87" borderId="69" xfId="624" applyFont="1" applyFill="1" applyBorder="1" applyAlignment="1">
      <alignment horizontal="left" vertical="center" indent="1"/>
    </xf>
    <xf numFmtId="0" fontId="58" fillId="87" borderId="78" xfId="624" applyFont="1" applyFill="1" applyBorder="1" applyAlignment="1">
      <alignment horizontal="left" vertical="center" indent="1"/>
    </xf>
    <xf numFmtId="0" fontId="100" fillId="24" borderId="84" xfId="412" applyNumberFormat="1" applyFont="1" applyFill="1" applyBorder="1" applyAlignment="1" applyProtection="1">
      <alignment horizontal="center" vertical="center" wrapText="1"/>
    </xf>
    <xf numFmtId="0" fontId="100" fillId="24" borderId="169" xfId="412" applyNumberFormat="1" applyFont="1" applyFill="1" applyBorder="1" applyAlignment="1" applyProtection="1">
      <alignment horizontal="center" vertical="center" wrapText="1"/>
    </xf>
    <xf numFmtId="0" fontId="100" fillId="24" borderId="170" xfId="412" applyNumberFormat="1" applyFont="1" applyFill="1" applyBorder="1" applyAlignment="1" applyProtection="1">
      <alignment horizontal="center" vertical="center" wrapText="1"/>
    </xf>
    <xf numFmtId="0" fontId="100" fillId="24" borderId="175" xfId="412" applyNumberFormat="1" applyFont="1" applyFill="1" applyBorder="1" applyAlignment="1" applyProtection="1">
      <alignment horizontal="center" vertical="center" wrapText="1"/>
    </xf>
    <xf numFmtId="0" fontId="100" fillId="24" borderId="176" xfId="412" applyNumberFormat="1" applyFont="1" applyFill="1" applyBorder="1" applyAlignment="1" applyProtection="1">
      <alignment horizontal="center" vertical="center" wrapText="1"/>
    </xf>
    <xf numFmtId="0" fontId="100" fillId="24" borderId="149" xfId="412" applyNumberFormat="1" applyFont="1" applyFill="1" applyBorder="1" applyAlignment="1" applyProtection="1">
      <alignment horizontal="center" vertical="center" wrapText="1"/>
    </xf>
    <xf numFmtId="0" fontId="190" fillId="68" borderId="69" xfId="0" applyFont="1" applyFill="1" applyBorder="1" applyAlignment="1">
      <alignment horizontal="center" wrapText="1"/>
    </xf>
    <xf numFmtId="0" fontId="190" fillId="68" borderId="78" xfId="0" applyFont="1" applyFill="1" applyBorder="1" applyAlignment="1">
      <alignment horizontal="center" wrapText="1"/>
    </xf>
    <xf numFmtId="0" fontId="2" fillId="68" borderId="69" xfId="0" applyFont="1" applyFill="1" applyBorder="1" applyAlignment="1">
      <alignment horizontal="center" wrapText="1"/>
    </xf>
    <xf numFmtId="0" fontId="7" fillId="68" borderId="83" xfId="0" applyFont="1" applyFill="1" applyBorder="1" applyAlignment="1">
      <alignment horizontal="center" wrapText="1"/>
    </xf>
    <xf numFmtId="0" fontId="7" fillId="68" borderId="78" xfId="0" applyFont="1" applyFill="1" applyBorder="1" applyAlignment="1">
      <alignment horizontal="center" wrapText="1"/>
    </xf>
    <xf numFmtId="178" fontId="39" fillId="78" borderId="0" xfId="0" applyNumberFormat="1" applyFont="1" applyFill="1" applyBorder="1" applyAlignment="1" applyProtection="1">
      <alignment horizontal="center" vertical="center"/>
      <protection locked="0"/>
    </xf>
    <xf numFmtId="14" fontId="50" fillId="78" borderId="0" xfId="0" applyNumberFormat="1" applyFont="1" applyFill="1" applyBorder="1" applyAlignment="1" applyProtection="1">
      <alignment horizontal="center" vertical="center"/>
      <protection locked="0"/>
    </xf>
    <xf numFmtId="0" fontId="197" fillId="78" borderId="69" xfId="0" applyFont="1" applyFill="1" applyBorder="1" applyAlignment="1" applyProtection="1">
      <alignment horizontal="left" vertical="center" indent="1"/>
      <protection locked="0"/>
    </xf>
    <xf numFmtId="0" fontId="197" fillId="78" borderId="83" xfId="0" applyFont="1" applyFill="1" applyBorder="1" applyAlignment="1" applyProtection="1">
      <alignment horizontal="left" vertical="center" indent="1"/>
      <protection locked="0"/>
    </xf>
    <xf numFmtId="0" fontId="197" fillId="78" borderId="78" xfId="0" applyFont="1" applyFill="1" applyBorder="1" applyAlignment="1" applyProtection="1">
      <alignment horizontal="left" vertical="center" indent="1"/>
      <protection locked="0"/>
    </xf>
    <xf numFmtId="0" fontId="193" fillId="79" borderId="0" xfId="0" applyFont="1" applyFill="1" applyAlignment="1" applyProtection="1">
      <alignment horizontal="left" vertical="center"/>
    </xf>
    <xf numFmtId="0" fontId="50" fillId="79" borderId="0" xfId="0" applyFont="1" applyFill="1" applyAlignment="1" applyProtection="1">
      <alignment horizontal="left" vertical="center" wrapText="1" indent="1"/>
    </xf>
    <xf numFmtId="0" fontId="0" fillId="79" borderId="0" xfId="0" applyFont="1" applyFill="1" applyBorder="1" applyAlignment="1" applyProtection="1">
      <alignment horizontal="center"/>
    </xf>
    <xf numFmtId="0" fontId="7" fillId="79" borderId="0" xfId="0" applyFont="1" applyFill="1" applyAlignment="1" applyProtection="1">
      <alignment horizontal="left" wrapText="1" indent="1"/>
    </xf>
    <xf numFmtId="0" fontId="7" fillId="68" borderId="69" xfId="0" applyFont="1" applyFill="1" applyBorder="1" applyAlignment="1">
      <alignment horizontal="center" wrapText="1"/>
    </xf>
    <xf numFmtId="0" fontId="142" fillId="50" borderId="0" xfId="0" applyFont="1" applyFill="1" applyBorder="1" applyAlignment="1">
      <alignment horizontal="center" vertical="center"/>
    </xf>
    <xf numFmtId="0" fontId="7" fillId="79" borderId="69" xfId="0" applyFont="1" applyFill="1" applyBorder="1" applyAlignment="1" applyProtection="1">
      <alignment horizontal="left" indent="1"/>
    </xf>
    <xf numFmtId="0" fontId="7" fillId="79" borderId="78" xfId="0" applyFont="1" applyFill="1" applyBorder="1" applyAlignment="1" applyProtection="1">
      <alignment horizontal="left" indent="1"/>
    </xf>
    <xf numFmtId="0" fontId="193" fillId="79" borderId="69" xfId="0" applyFont="1" applyFill="1" applyBorder="1" applyAlignment="1" applyProtection="1">
      <alignment horizontal="left" vertical="center" indent="1"/>
    </xf>
    <xf numFmtId="0" fontId="193" fillId="79" borderId="83" xfId="0" applyFont="1" applyFill="1" applyBorder="1" applyAlignment="1" applyProtection="1">
      <alignment horizontal="left" vertical="center" indent="1"/>
    </xf>
    <xf numFmtId="0" fontId="193" fillId="79" borderId="78" xfId="0" applyFont="1" applyFill="1" applyBorder="1" applyAlignment="1" applyProtection="1">
      <alignment horizontal="left" vertical="center" indent="1"/>
    </xf>
    <xf numFmtId="0" fontId="7" fillId="79" borderId="69" xfId="0" applyFont="1" applyFill="1" applyBorder="1" applyAlignment="1" applyProtection="1">
      <alignment horizontal="left" vertical="center" indent="1"/>
    </xf>
    <xf numFmtId="0" fontId="7" fillId="79" borderId="78" xfId="0" applyFont="1" applyFill="1" applyBorder="1" applyAlignment="1" applyProtection="1">
      <alignment horizontal="left" vertical="center" indent="1"/>
    </xf>
    <xf numFmtId="0" fontId="51" fillId="78" borderId="69" xfId="0" applyFont="1" applyFill="1" applyBorder="1" applyAlignment="1" applyProtection="1">
      <alignment horizontal="left" vertical="center" indent="1"/>
      <protection locked="0"/>
    </xf>
    <xf numFmtId="0" fontId="51" fillId="78" borderId="83" xfId="0" applyFont="1" applyFill="1" applyBorder="1" applyAlignment="1" applyProtection="1">
      <alignment horizontal="left" vertical="center" indent="1"/>
      <protection locked="0"/>
    </xf>
    <xf numFmtId="0" fontId="51" fillId="78" borderId="78" xfId="0" applyFont="1" applyFill="1" applyBorder="1" applyAlignment="1" applyProtection="1">
      <alignment horizontal="left" vertical="center" indent="1"/>
      <protection locked="0"/>
    </xf>
    <xf numFmtId="0" fontId="45" fillId="40" borderId="169" xfId="0" applyFont="1" applyFill="1" applyBorder="1" applyAlignment="1">
      <alignment horizontal="center" vertical="center" wrapText="1"/>
    </xf>
    <xf numFmtId="0" fontId="45" fillId="40" borderId="0" xfId="0" applyFont="1" applyFill="1" applyBorder="1" applyAlignment="1">
      <alignment horizontal="center" vertical="center" wrapText="1"/>
    </xf>
    <xf numFmtId="0" fontId="45" fillId="40" borderId="176" xfId="0" applyFont="1" applyFill="1" applyBorder="1" applyAlignment="1">
      <alignment horizontal="center" vertical="center" wrapText="1"/>
    </xf>
    <xf numFmtId="0" fontId="45" fillId="40" borderId="177" xfId="0" applyFont="1" applyFill="1" applyBorder="1" applyAlignment="1">
      <alignment horizontal="center" textRotation="90"/>
    </xf>
    <xf numFmtId="0" fontId="45" fillId="40" borderId="178" xfId="0" applyFont="1" applyFill="1" applyBorder="1" applyAlignment="1">
      <alignment horizontal="center" textRotation="90"/>
    </xf>
    <xf numFmtId="0" fontId="51" fillId="40" borderId="156" xfId="0" applyFont="1" applyFill="1" applyBorder="1" applyAlignment="1">
      <alignment horizontal="center"/>
    </xf>
    <xf numFmtId="0" fontId="51" fillId="40" borderId="0" xfId="0" applyFont="1" applyFill="1" applyBorder="1" applyAlignment="1">
      <alignment horizontal="center"/>
    </xf>
    <xf numFmtId="0" fontId="51" fillId="40" borderId="170" xfId="0" applyFont="1" applyFill="1" applyBorder="1" applyAlignment="1">
      <alignment horizontal="center"/>
    </xf>
    <xf numFmtId="2" fontId="58" fillId="18" borderId="69" xfId="0" applyNumberFormat="1" applyFont="1" applyFill="1" applyBorder="1" applyAlignment="1" applyProtection="1">
      <alignment horizontal="left" vertical="center" indent="1"/>
    </xf>
    <xf numFmtId="2" fontId="58" fillId="18" borderId="78" xfId="0" applyNumberFormat="1" applyFont="1" applyFill="1" applyBorder="1" applyAlignment="1" applyProtection="1">
      <alignment horizontal="left" vertical="center" indent="1"/>
    </xf>
    <xf numFmtId="4" fontId="51" fillId="18" borderId="69" xfId="0" applyNumberFormat="1" applyFont="1" applyFill="1" applyBorder="1" applyAlignment="1" applyProtection="1">
      <alignment horizontal="left" vertical="center" indent="1"/>
    </xf>
    <xf numFmtId="4" fontId="51" fillId="18" borderId="78" xfId="0" applyNumberFormat="1" applyFont="1" applyFill="1" applyBorder="1" applyAlignment="1" applyProtection="1">
      <alignment horizontal="left" vertical="center" indent="1"/>
    </xf>
    <xf numFmtId="0" fontId="39" fillId="40" borderId="179" xfId="0" applyFont="1" applyFill="1" applyBorder="1" applyAlignment="1">
      <alignment horizontal="center" vertical="center" textRotation="90" wrapText="1"/>
    </xf>
    <xf numFmtId="0" fontId="39" fillId="40" borderId="180" xfId="0" applyFont="1" applyFill="1" applyBorder="1" applyAlignment="1">
      <alignment horizontal="center" vertical="center" textRotation="90" wrapText="1"/>
    </xf>
    <xf numFmtId="0" fontId="39" fillId="40" borderId="181" xfId="0" applyFont="1" applyFill="1" applyBorder="1" applyAlignment="1">
      <alignment horizontal="center" vertical="center" textRotation="90" wrapText="1"/>
    </xf>
    <xf numFmtId="0" fontId="40" fillId="40" borderId="182" xfId="0" applyFont="1" applyFill="1" applyBorder="1" applyAlignment="1">
      <alignment horizontal="center" vertical="center" textRotation="90" wrapText="1"/>
    </xf>
    <xf numFmtId="0" fontId="40" fillId="40" borderId="147" xfId="0" applyFont="1" applyFill="1" applyBorder="1" applyAlignment="1">
      <alignment horizontal="center" vertical="center" textRotation="90" wrapText="1"/>
    </xf>
    <xf numFmtId="0" fontId="40" fillId="40" borderId="154" xfId="0" applyFont="1" applyFill="1" applyBorder="1" applyAlignment="1">
      <alignment horizontal="center" vertical="center" textRotation="90" wrapText="1"/>
    </xf>
    <xf numFmtId="0" fontId="39" fillId="40" borderId="182" xfId="0" applyFont="1" applyFill="1" applyBorder="1" applyAlignment="1">
      <alignment horizontal="center" vertical="center" textRotation="90" wrapText="1"/>
    </xf>
    <xf numFmtId="0" fontId="39" fillId="40" borderId="147" xfId="0" applyFont="1" applyFill="1" applyBorder="1" applyAlignment="1">
      <alignment horizontal="center" vertical="center" textRotation="90" wrapText="1"/>
    </xf>
    <xf numFmtId="0" fontId="39" fillId="40" borderId="63" xfId="0" applyFont="1" applyFill="1" applyBorder="1" applyAlignment="1">
      <alignment horizontal="center" vertical="center" textRotation="90" wrapText="1"/>
    </xf>
    <xf numFmtId="0" fontId="50" fillId="40" borderId="183" xfId="0" applyFont="1" applyFill="1" applyBorder="1" applyAlignment="1">
      <alignment horizontal="center" vertical="center" wrapText="1"/>
    </xf>
    <xf numFmtId="0" fontId="50" fillId="40" borderId="141" xfId="0" applyFont="1" applyFill="1" applyBorder="1" applyAlignment="1">
      <alignment horizontal="center" vertical="center" wrapText="1"/>
    </xf>
    <xf numFmtId="0" fontId="50" fillId="40" borderId="184" xfId="0" applyFont="1" applyFill="1" applyBorder="1" applyAlignment="1">
      <alignment horizontal="center" vertical="center" wrapText="1"/>
    </xf>
    <xf numFmtId="0" fontId="40" fillId="40" borderId="65" xfId="0" applyFont="1" applyFill="1" applyBorder="1" applyAlignment="1">
      <alignment horizontal="center" vertical="center" textRotation="90" wrapText="1"/>
    </xf>
    <xf numFmtId="0" fontId="40" fillId="40" borderId="68" xfId="0" applyFont="1" applyFill="1" applyBorder="1" applyAlignment="1">
      <alignment horizontal="center" vertical="center" textRotation="90" wrapText="1"/>
    </xf>
    <xf numFmtId="0" fontId="40" fillId="40" borderId="185" xfId="0" applyFont="1" applyFill="1" applyBorder="1" applyAlignment="1">
      <alignment horizontal="center" vertical="center" textRotation="90" wrapText="1"/>
    </xf>
    <xf numFmtId="0" fontId="0" fillId="34" borderId="141" xfId="0" applyFill="1" applyBorder="1" applyAlignment="1">
      <alignment horizontal="center" vertical="center"/>
    </xf>
    <xf numFmtId="0" fontId="0" fillId="34" borderId="0" xfId="0" applyFill="1" applyBorder="1" applyAlignment="1">
      <alignment horizontal="center" vertical="center"/>
    </xf>
    <xf numFmtId="0" fontId="58" fillId="18" borderId="69" xfId="0" applyFont="1" applyFill="1" applyBorder="1" applyAlignment="1" applyProtection="1">
      <alignment horizontal="left" vertical="center" indent="1"/>
    </xf>
    <xf numFmtId="0" fontId="58" fillId="18" borderId="78" xfId="0" applyFont="1" applyFill="1" applyBorder="1" applyAlignment="1" applyProtection="1">
      <alignment horizontal="left" vertical="center" indent="1"/>
    </xf>
    <xf numFmtId="0" fontId="51" fillId="40" borderId="84" xfId="0" applyFont="1" applyFill="1" applyBorder="1" applyAlignment="1">
      <alignment horizontal="center"/>
    </xf>
    <xf numFmtId="0" fontId="51" fillId="40" borderId="169" xfId="0" applyFont="1" applyFill="1" applyBorder="1" applyAlignment="1">
      <alignment horizontal="center"/>
    </xf>
    <xf numFmtId="0" fontId="58" fillId="18" borderId="83" xfId="0" applyFont="1" applyFill="1" applyBorder="1" applyAlignment="1" applyProtection="1">
      <alignment horizontal="left" vertical="center" indent="1"/>
    </xf>
    <xf numFmtId="0" fontId="40" fillId="34" borderId="170" xfId="0" applyFont="1" applyFill="1" applyBorder="1" applyAlignment="1">
      <alignment horizontal="center" vertical="center"/>
    </xf>
    <xf numFmtId="0" fontId="40" fillId="34" borderId="157" xfId="0" applyFont="1" applyFill="1" applyBorder="1" applyAlignment="1">
      <alignment horizontal="center" vertical="center"/>
    </xf>
    <xf numFmtId="0" fontId="40" fillId="34" borderId="160" xfId="0" applyFont="1" applyFill="1" applyBorder="1" applyAlignment="1">
      <alignment horizontal="center" vertical="center"/>
    </xf>
    <xf numFmtId="0" fontId="0" fillId="34" borderId="69" xfId="0" applyFill="1" applyBorder="1" applyAlignment="1">
      <alignment horizontal="center" vertical="center" wrapText="1"/>
    </xf>
    <xf numFmtId="0" fontId="0" fillId="34" borderId="168" xfId="0" applyFill="1" applyBorder="1" applyAlignment="1">
      <alignment horizontal="center" vertical="center" wrapText="1"/>
    </xf>
    <xf numFmtId="0" fontId="39" fillId="34" borderId="84" xfId="0" applyFont="1" applyFill="1" applyBorder="1" applyAlignment="1">
      <alignment horizontal="center" vertical="center" wrapText="1"/>
    </xf>
    <xf numFmtId="0" fontId="39" fillId="34" borderId="169" xfId="0" applyFont="1" applyFill="1" applyBorder="1" applyAlignment="1">
      <alignment horizontal="center" vertical="center" wrapText="1"/>
    </xf>
    <xf numFmtId="0" fontId="39" fillId="34" borderId="156" xfId="0" applyFont="1" applyFill="1" applyBorder="1" applyAlignment="1">
      <alignment horizontal="center" vertical="center" wrapText="1"/>
    </xf>
    <xf numFmtId="0" fontId="39" fillId="34" borderId="0" xfId="0" applyFont="1" applyFill="1" applyBorder="1" applyAlignment="1">
      <alignment horizontal="center" vertical="center" wrapText="1"/>
    </xf>
    <xf numFmtId="0" fontId="39" fillId="34" borderId="158" xfId="0" applyFont="1" applyFill="1" applyBorder="1" applyAlignment="1">
      <alignment horizontal="center" vertical="center" wrapText="1"/>
    </xf>
    <xf numFmtId="0" fontId="39" fillId="34" borderId="159" xfId="0" applyFont="1" applyFill="1" applyBorder="1" applyAlignment="1">
      <alignment horizontal="center" vertical="center" wrapText="1"/>
    </xf>
    <xf numFmtId="0" fontId="0" fillId="34" borderId="171" xfId="0" applyFill="1" applyBorder="1" applyAlignment="1">
      <alignment horizontal="center" vertical="center" wrapText="1"/>
    </xf>
    <xf numFmtId="0" fontId="0" fillId="34" borderId="172" xfId="0" applyFill="1" applyBorder="1" applyAlignment="1">
      <alignment horizontal="center" vertical="center" wrapText="1"/>
    </xf>
    <xf numFmtId="0" fontId="0" fillId="34" borderId="173" xfId="0" applyFill="1" applyBorder="1" applyAlignment="1">
      <alignment horizontal="center" vertical="center" wrapText="1"/>
    </xf>
    <xf numFmtId="0" fontId="49" fillId="34" borderId="84" xfId="0" applyFont="1" applyFill="1" applyBorder="1" applyAlignment="1">
      <alignment horizontal="center" vertical="center"/>
    </xf>
    <xf numFmtId="0" fontId="49" fillId="34" borderId="169" xfId="0" applyFont="1" applyFill="1" applyBorder="1" applyAlignment="1">
      <alignment horizontal="center" vertical="center"/>
    </xf>
    <xf numFmtId="0" fontId="49" fillId="34" borderId="174" xfId="0" applyFont="1" applyFill="1" applyBorder="1" applyAlignment="1">
      <alignment horizontal="center" vertical="center"/>
    </xf>
    <xf numFmtId="0" fontId="49" fillId="34" borderId="156" xfId="0" applyFont="1" applyFill="1" applyBorder="1" applyAlignment="1">
      <alignment horizontal="center" vertical="center"/>
    </xf>
    <xf numFmtId="0" fontId="49" fillId="34" borderId="0" xfId="0" applyFont="1" applyFill="1" applyBorder="1" applyAlignment="1">
      <alignment horizontal="center" vertical="center"/>
    </xf>
    <xf numFmtId="0" fontId="49" fillId="34" borderId="143" xfId="0" applyFont="1" applyFill="1" applyBorder="1" applyAlignment="1">
      <alignment horizontal="center" vertical="center"/>
    </xf>
    <xf numFmtId="0" fontId="49" fillId="34" borderId="175" xfId="0" applyFont="1" applyFill="1" applyBorder="1" applyAlignment="1">
      <alignment horizontal="center" vertical="center"/>
    </xf>
    <xf numFmtId="0" fontId="49" fillId="34" borderId="176" xfId="0" applyFont="1" applyFill="1" applyBorder="1" applyAlignment="1">
      <alignment horizontal="center" vertical="center"/>
    </xf>
    <xf numFmtId="0" fontId="49" fillId="34" borderId="153" xfId="0" applyFont="1" applyFill="1" applyBorder="1" applyAlignment="1">
      <alignment horizontal="center" vertical="center"/>
    </xf>
    <xf numFmtId="0" fontId="62" fillId="34" borderId="84" xfId="0" applyFont="1" applyFill="1" applyBorder="1" applyAlignment="1">
      <alignment horizontal="center" vertical="center"/>
    </xf>
    <xf numFmtId="0" fontId="62" fillId="34" borderId="170" xfId="0" applyFont="1" applyFill="1" applyBorder="1" applyAlignment="1">
      <alignment horizontal="center" vertical="center"/>
    </xf>
    <xf numFmtId="0" fontId="62" fillId="34" borderId="156" xfId="0" applyFont="1" applyFill="1" applyBorder="1" applyAlignment="1">
      <alignment horizontal="center" vertical="center"/>
    </xf>
    <xf numFmtId="0" fontId="62" fillId="34" borderId="157" xfId="0" applyFont="1" applyFill="1" applyBorder="1" applyAlignment="1">
      <alignment horizontal="center" vertical="center"/>
    </xf>
    <xf numFmtId="0" fontId="62" fillId="34" borderId="158" xfId="0" applyFont="1" applyFill="1" applyBorder="1" applyAlignment="1">
      <alignment horizontal="center" vertical="center"/>
    </xf>
    <xf numFmtId="0" fontId="62" fillId="34" borderId="160" xfId="0" applyFont="1" applyFill="1" applyBorder="1" applyAlignment="1">
      <alignment horizontal="center" vertical="center"/>
    </xf>
    <xf numFmtId="0" fontId="0" fillId="0" borderId="84" xfId="0" applyBorder="1" applyAlignment="1">
      <alignment horizontal="center" vertical="center" wrapText="1"/>
    </xf>
    <xf numFmtId="0" fontId="0" fillId="0" borderId="156" xfId="0" applyBorder="1" applyAlignment="1">
      <alignment horizontal="center" vertical="center" wrapText="1"/>
    </xf>
    <xf numFmtId="0" fontId="0" fillId="0" borderId="158" xfId="0" applyBorder="1" applyAlignment="1">
      <alignment horizontal="center" vertical="center" wrapText="1"/>
    </xf>
    <xf numFmtId="0" fontId="49" fillId="34" borderId="170" xfId="0" applyFont="1" applyFill="1" applyBorder="1" applyAlignment="1">
      <alignment horizontal="center" vertical="center"/>
    </xf>
    <xf numFmtId="0" fontId="49" fillId="34" borderId="157" xfId="0" applyFont="1" applyFill="1" applyBorder="1" applyAlignment="1">
      <alignment horizontal="center" vertical="center"/>
    </xf>
    <xf numFmtId="0" fontId="49" fillId="34" borderId="149" xfId="0" applyFont="1" applyFill="1" applyBorder="1" applyAlignment="1">
      <alignment horizontal="center" vertical="center"/>
    </xf>
    <xf numFmtId="0" fontId="0" fillId="0" borderId="189" xfId="0" applyFont="1" applyBorder="1" applyAlignment="1">
      <alignment horizontal="left" vertical="center" wrapText="1"/>
    </xf>
    <xf numFmtId="0" fontId="0" fillId="0" borderId="168" xfId="0" applyFont="1" applyBorder="1" applyAlignment="1">
      <alignment horizontal="left" vertical="center" wrapText="1"/>
    </xf>
    <xf numFmtId="0" fontId="0" fillId="0" borderId="189" xfId="0" applyBorder="1" applyAlignment="1">
      <alignment horizontal="left" vertical="center" wrapText="1"/>
    </xf>
    <xf numFmtId="0" fontId="0" fillId="0" borderId="168" xfId="0" applyBorder="1" applyAlignment="1">
      <alignment horizontal="left" vertical="center" wrapText="1"/>
    </xf>
    <xf numFmtId="0" fontId="62" fillId="0" borderId="259" xfId="0" applyFont="1" applyBorder="1" applyAlignment="1">
      <alignment horizontal="center" vertical="center"/>
    </xf>
    <xf numFmtId="0" fontId="62" fillId="0" borderId="228" xfId="0" applyFont="1" applyBorder="1" applyAlignment="1">
      <alignment horizontal="center" vertical="center"/>
    </xf>
    <xf numFmtId="0" fontId="0" fillId="0" borderId="257" xfId="0" applyFont="1" applyBorder="1" applyAlignment="1">
      <alignment horizontal="left" vertical="center" wrapText="1"/>
    </xf>
    <xf numFmtId="0" fontId="0" fillId="0" borderId="258" xfId="0" applyFont="1" applyBorder="1" applyAlignment="1">
      <alignment horizontal="left" vertical="center" wrapText="1"/>
    </xf>
    <xf numFmtId="0" fontId="0" fillId="0" borderId="158" xfId="0" applyFont="1" applyBorder="1" applyAlignment="1">
      <alignment horizontal="left" vertical="center" wrapText="1"/>
    </xf>
    <xf numFmtId="0" fontId="0" fillId="0" borderId="245" xfId="0" applyFont="1" applyBorder="1" applyAlignment="1">
      <alignment horizontal="left" vertical="center" wrapText="1"/>
    </xf>
    <xf numFmtId="0" fontId="229" fillId="0" borderId="189" xfId="0" applyFont="1" applyBorder="1" applyAlignment="1">
      <alignment horizontal="center" vertical="center" wrapText="1"/>
    </xf>
    <xf numFmtId="0" fontId="229" fillId="0" borderId="168" xfId="0" applyFont="1" applyBorder="1" applyAlignment="1">
      <alignment horizontal="center" vertical="center" wrapText="1"/>
    </xf>
    <xf numFmtId="0" fontId="231" fillId="0" borderId="257" xfId="0" applyFont="1" applyBorder="1" applyAlignment="1">
      <alignment horizontal="center" vertical="center" wrapText="1"/>
    </xf>
    <xf numFmtId="0" fontId="231" fillId="0" borderId="258" xfId="0" applyFont="1" applyBorder="1" applyAlignment="1">
      <alignment horizontal="center" vertical="center"/>
    </xf>
    <xf numFmtId="0" fontId="231" fillId="0" borderId="223" xfId="0" applyFont="1" applyBorder="1" applyAlignment="1">
      <alignment horizontal="center" vertical="center"/>
    </xf>
    <xf numFmtId="0" fontId="0" fillId="0" borderId="156" xfId="0" applyFont="1" applyBorder="1" applyAlignment="1">
      <alignment horizontal="left" vertical="center" wrapText="1"/>
    </xf>
    <xf numFmtId="0" fontId="0" fillId="0" borderId="157" xfId="0" applyFont="1" applyBorder="1" applyAlignment="1">
      <alignment horizontal="left" vertical="center" wrapText="1"/>
    </xf>
    <xf numFmtId="0" fontId="50" fillId="0" borderId="10" xfId="0" applyFont="1" applyBorder="1" applyAlignment="1" applyProtection="1">
      <alignment horizontal="center" vertical="center"/>
      <protection locked="0"/>
    </xf>
    <xf numFmtId="0" fontId="21" fillId="0" borderId="214" xfId="578" applyFont="1" applyFill="1" applyBorder="1" applyAlignment="1" applyProtection="1">
      <alignment horizontal="left" vertical="center" indent="1"/>
    </xf>
    <xf numFmtId="0" fontId="21" fillId="0" borderId="215" xfId="578" applyFont="1" applyFill="1" applyBorder="1" applyAlignment="1" applyProtection="1">
      <alignment horizontal="left" vertical="center" indent="1"/>
    </xf>
    <xf numFmtId="0" fontId="21" fillId="0" borderId="216" xfId="578" applyFont="1" applyFill="1" applyBorder="1" applyAlignment="1" applyProtection="1">
      <alignment horizontal="left" vertical="center" indent="1"/>
    </xf>
    <xf numFmtId="0" fontId="91" fillId="55" borderId="47" xfId="586" applyFont="1" applyFill="1" applyBorder="1" applyAlignment="1" applyProtection="1">
      <alignment horizontal="left" vertical="center" wrapText="1"/>
    </xf>
    <xf numFmtId="0" fontId="40" fillId="15" borderId="0" xfId="0" applyFont="1" applyFill="1" applyBorder="1" applyAlignment="1" applyProtection="1">
      <alignment horizontal="left" vertical="center"/>
    </xf>
    <xf numFmtId="0" fontId="40" fillId="49" borderId="10" xfId="0" applyFont="1" applyFill="1" applyBorder="1" applyAlignment="1" applyProtection="1">
      <alignment horizontal="right" vertical="center"/>
    </xf>
    <xf numFmtId="0" fontId="50" fillId="10" borderId="10" xfId="578" applyFont="1" applyFill="1" applyBorder="1" applyAlignment="1" applyProtection="1">
      <alignment horizontal="center" vertical="center"/>
      <protection locked="0"/>
    </xf>
    <xf numFmtId="0" fontId="39" fillId="55" borderId="10" xfId="578" applyFont="1" applyFill="1" applyBorder="1" applyAlignment="1" applyProtection="1">
      <alignment horizontal="center" vertical="center" wrapText="1"/>
    </xf>
    <xf numFmtId="0" fontId="49" fillId="55" borderId="20" xfId="578" applyFont="1" applyFill="1" applyBorder="1" applyAlignment="1" applyProtection="1">
      <alignment horizontal="center" vertical="center" wrapText="1"/>
    </xf>
    <xf numFmtId="0" fontId="39" fillId="55" borderId="28" xfId="578" applyFont="1" applyFill="1" applyBorder="1" applyAlignment="1" applyProtection="1">
      <alignment horizontal="center" wrapText="1"/>
    </xf>
    <xf numFmtId="0" fontId="39" fillId="55" borderId="10" xfId="578" applyFont="1" applyFill="1" applyBorder="1" applyAlignment="1" applyProtection="1">
      <alignment horizontal="center" wrapText="1"/>
    </xf>
    <xf numFmtId="0" fontId="39" fillId="55" borderId="21" xfId="578" applyFont="1" applyFill="1" applyBorder="1" applyAlignment="1" applyProtection="1">
      <alignment horizontal="center" vertical="center" wrapText="1"/>
    </xf>
    <xf numFmtId="0" fontId="39" fillId="0" borderId="140" xfId="578" applyFont="1" applyBorder="1" applyAlignment="1" applyProtection="1">
      <alignment horizontal="left" vertical="center" wrapText="1"/>
    </xf>
    <xf numFmtId="0" fontId="39" fillId="0" borderId="85" xfId="578" applyFont="1" applyBorder="1" applyAlignment="1" applyProtection="1">
      <alignment horizontal="left" vertical="center" wrapText="1"/>
    </xf>
    <xf numFmtId="0" fontId="39" fillId="0" borderId="287" xfId="578" applyFont="1" applyBorder="1" applyAlignment="1" applyProtection="1">
      <alignment horizontal="left" vertical="center" wrapText="1"/>
    </xf>
    <xf numFmtId="0" fontId="39" fillId="0" borderId="141" xfId="578" applyFont="1" applyBorder="1" applyAlignment="1" applyProtection="1">
      <alignment horizontal="left" vertical="center" wrapText="1"/>
    </xf>
    <xf numFmtId="0" fontId="39" fillId="0" borderId="0" xfId="578" applyFont="1" applyBorder="1" applyAlignment="1" applyProtection="1">
      <alignment horizontal="left" vertical="center" wrapText="1"/>
    </xf>
    <xf numFmtId="0" fontId="39" fillId="0" borderId="143" xfId="578" applyFont="1" applyBorder="1" applyAlignment="1" applyProtection="1">
      <alignment horizontal="left" vertical="center" wrapText="1"/>
    </xf>
    <xf numFmtId="0" fontId="39" fillId="0" borderId="240" xfId="578" applyFont="1" applyBorder="1" applyAlignment="1" applyProtection="1">
      <alignment horizontal="left" vertical="center" wrapText="1"/>
    </xf>
    <xf numFmtId="0" fontId="39" fillId="0" borderId="243" xfId="578" applyFont="1" applyBorder="1" applyAlignment="1" applyProtection="1">
      <alignment horizontal="left" vertical="center" wrapText="1"/>
    </xf>
    <xf numFmtId="0" fontId="39" fillId="0" borderId="265" xfId="578" applyFont="1" applyBorder="1" applyAlignment="1" applyProtection="1">
      <alignment horizontal="left" vertical="center" wrapText="1"/>
    </xf>
    <xf numFmtId="0" fontId="49" fillId="15" borderId="0" xfId="0" applyFont="1" applyFill="1" applyBorder="1" applyAlignment="1" applyProtection="1">
      <alignment horizontal="center" vertical="center"/>
    </xf>
    <xf numFmtId="0" fontId="49" fillId="0" borderId="0" xfId="578" applyFont="1" applyFill="1" applyBorder="1" applyAlignment="1" applyProtection="1">
      <alignment horizontal="left" vertical="center" indent="1"/>
    </xf>
    <xf numFmtId="0" fontId="49" fillId="0" borderId="74" xfId="0" applyFont="1" applyFill="1" applyBorder="1" applyAlignment="1" applyProtection="1">
      <alignment horizontal="center" vertical="top"/>
    </xf>
    <xf numFmtId="0" fontId="49" fillId="0" borderId="77" xfId="0" applyFont="1" applyFill="1" applyBorder="1" applyAlignment="1" applyProtection="1">
      <alignment horizontal="center" vertical="top"/>
    </xf>
    <xf numFmtId="49" fontId="120" fillId="40" borderId="64" xfId="0" applyNumberFormat="1" applyFont="1" applyFill="1" applyBorder="1" applyAlignment="1" applyProtection="1">
      <alignment horizontal="center" textRotation="90" wrapText="1"/>
    </xf>
    <xf numFmtId="49" fontId="119" fillId="40" borderId="64" xfId="0" applyNumberFormat="1" applyFont="1" applyFill="1" applyBorder="1" applyAlignment="1" applyProtection="1">
      <alignment horizontal="center" textRotation="90" wrapText="1" shrinkToFit="1"/>
    </xf>
    <xf numFmtId="0" fontId="49" fillId="0" borderId="0" xfId="0" applyFont="1" applyFill="1" applyBorder="1" applyAlignment="1" applyProtection="1">
      <alignment horizontal="center" vertical="center" wrapText="1"/>
    </xf>
    <xf numFmtId="0" fontId="40" fillId="0" borderId="140" xfId="0" applyFont="1" applyFill="1" applyBorder="1" applyAlignment="1" applyProtection="1">
      <alignment horizontal="center" vertical="center"/>
    </xf>
    <xf numFmtId="0" fontId="40" fillId="0" borderId="142" xfId="0" applyFont="1" applyFill="1" applyBorder="1" applyAlignment="1" applyProtection="1">
      <alignment horizontal="center" vertical="center"/>
    </xf>
    <xf numFmtId="0" fontId="49" fillId="0" borderId="0" xfId="0" applyFont="1" applyFill="1" applyBorder="1" applyAlignment="1" applyProtection="1">
      <alignment horizontal="left" vertical="center" indent="1" shrinkToFit="1"/>
    </xf>
    <xf numFmtId="49" fontId="49" fillId="40" borderId="64" xfId="0" applyNumberFormat="1" applyFont="1" applyFill="1" applyBorder="1" applyAlignment="1" applyProtection="1">
      <alignment horizontal="center" textRotation="90" wrapText="1"/>
    </xf>
    <xf numFmtId="168" fontId="40" fillId="0" borderId="66" xfId="0" applyNumberFormat="1" applyFont="1" applyFill="1" applyBorder="1" applyAlignment="1" applyProtection="1">
      <alignment horizontal="center" vertical="center" shrinkToFit="1"/>
    </xf>
    <xf numFmtId="168" fontId="40" fillId="0" borderId="167" xfId="0" applyNumberFormat="1" applyFont="1" applyFill="1" applyBorder="1" applyAlignment="1" applyProtection="1">
      <alignment horizontal="center" vertical="center" shrinkToFit="1"/>
    </xf>
    <xf numFmtId="3" fontId="58" fillId="0" borderId="0" xfId="0" applyNumberFormat="1" applyFont="1" applyFill="1" applyBorder="1" applyAlignment="1" applyProtection="1">
      <alignment horizontal="right" vertical="center" indent="1" shrinkToFit="1"/>
    </xf>
    <xf numFmtId="0" fontId="57" fillId="40" borderId="64" xfId="0" applyFont="1" applyFill="1" applyBorder="1" applyAlignment="1" applyProtection="1">
      <alignment horizontal="center" vertical="center" wrapText="1"/>
    </xf>
    <xf numFmtId="167" fontId="49" fillId="18" borderId="69" xfId="0" applyNumberFormat="1" applyFont="1" applyFill="1" applyBorder="1" applyAlignment="1" applyProtection="1">
      <alignment horizontal="center" vertical="center" shrinkToFit="1"/>
    </xf>
    <xf numFmtId="167" fontId="49" fillId="18" borderId="78" xfId="0" applyNumberFormat="1" applyFont="1" applyFill="1" applyBorder="1" applyAlignment="1" applyProtection="1">
      <alignment horizontal="center" vertical="center" shrinkToFit="1"/>
    </xf>
    <xf numFmtId="0" fontId="49" fillId="40" borderId="64" xfId="0" applyFont="1" applyFill="1" applyBorder="1" applyAlignment="1">
      <alignment horizontal="left" vertical="center" wrapText="1" indent="1"/>
    </xf>
    <xf numFmtId="0" fontId="89" fillId="24" borderId="64" xfId="412" applyNumberFormat="1" applyFont="1" applyFill="1" applyBorder="1" applyAlignment="1" applyProtection="1">
      <alignment horizontal="center" vertical="center"/>
    </xf>
    <xf numFmtId="0" fontId="121" fillId="0" borderId="0" xfId="0" applyFont="1" applyAlignment="1">
      <alignment horizontal="left" vertical="center" wrapText="1"/>
    </xf>
    <xf numFmtId="0" fontId="110" fillId="9" borderId="64" xfId="578" applyFont="1" applyFill="1" applyBorder="1" applyAlignment="1" applyProtection="1">
      <alignment horizontal="center" vertical="center"/>
      <protection hidden="1"/>
    </xf>
    <xf numFmtId="0" fontId="80" fillId="24" borderId="10" xfId="412" applyNumberFormat="1" applyFont="1" applyFill="1" applyBorder="1" applyAlignment="1" applyProtection="1">
      <alignment horizontal="center" vertical="center"/>
    </xf>
    <xf numFmtId="0" fontId="49" fillId="14" borderId="64" xfId="578" applyFont="1" applyFill="1" applyBorder="1" applyAlignment="1" applyProtection="1">
      <alignment horizontal="left" vertical="center" indent="1"/>
      <protection hidden="1"/>
    </xf>
    <xf numFmtId="14" fontId="49" fillId="30" borderId="64" xfId="578" applyNumberFormat="1" applyFont="1" applyFill="1" applyBorder="1" applyAlignment="1" applyProtection="1">
      <alignment horizontal="center" vertical="center"/>
      <protection locked="0" hidden="1"/>
    </xf>
    <xf numFmtId="0" fontId="110" fillId="0" borderId="214" xfId="578" applyBorder="1" applyAlignment="1" applyProtection="1">
      <alignment horizontal="center"/>
      <protection locked="0"/>
    </xf>
    <xf numFmtId="0" fontId="110" fillId="0" borderId="215" xfId="578" applyBorder="1" applyAlignment="1" applyProtection="1">
      <alignment horizontal="center"/>
      <protection locked="0"/>
    </xf>
    <xf numFmtId="0" fontId="110" fillId="0" borderId="216" xfId="578" applyBorder="1" applyAlignment="1" applyProtection="1">
      <alignment horizontal="center"/>
      <protection locked="0"/>
    </xf>
    <xf numFmtId="0" fontId="134" fillId="51" borderId="0" xfId="578" applyFont="1" applyFill="1" applyBorder="1" applyAlignment="1" applyProtection="1">
      <alignment horizontal="center" vertical="center" wrapText="1"/>
    </xf>
    <xf numFmtId="0" fontId="110" fillId="0" borderId="214" xfId="578" applyBorder="1" applyAlignment="1">
      <alignment horizontal="left" vertical="top" wrapText="1"/>
    </xf>
    <xf numFmtId="0" fontId="110" fillId="0" borderId="215" xfId="578" applyBorder="1" applyAlignment="1">
      <alignment horizontal="left" vertical="top" wrapText="1"/>
    </xf>
    <xf numFmtId="0" fontId="213" fillId="0" borderId="215" xfId="412" applyFont="1" applyBorder="1" applyAlignment="1">
      <alignment horizontal="center" vertical="center"/>
    </xf>
    <xf numFmtId="0" fontId="213" fillId="0" borderId="216" xfId="412" applyFont="1" applyBorder="1" applyAlignment="1">
      <alignment horizontal="center" vertical="center"/>
    </xf>
    <xf numFmtId="0" fontId="221" fillId="0" borderId="214" xfId="578" applyFont="1" applyBorder="1" applyAlignment="1">
      <alignment horizontal="center" vertical="center"/>
    </xf>
    <xf numFmtId="0" fontId="221" fillId="0" borderId="215" xfId="578" applyFont="1" applyBorder="1" applyAlignment="1">
      <alignment horizontal="center" vertical="center"/>
    </xf>
    <xf numFmtId="0" fontId="221" fillId="0" borderId="216" xfId="578" applyFont="1" applyBorder="1" applyAlignment="1">
      <alignment horizontal="center" vertical="center"/>
    </xf>
    <xf numFmtId="0" fontId="110" fillId="0" borderId="214" xfId="578" applyBorder="1" applyAlignment="1" applyProtection="1">
      <alignment horizontal="left" vertical="top"/>
      <protection locked="0"/>
    </xf>
    <xf numFmtId="0" fontId="110" fillId="0" borderId="215" xfId="578" applyBorder="1" applyAlignment="1" applyProtection="1">
      <alignment horizontal="left" vertical="top"/>
      <protection locked="0"/>
    </xf>
    <xf numFmtId="0" fontId="110" fillId="0" borderId="216" xfId="578" applyBorder="1" applyAlignment="1" applyProtection="1">
      <alignment horizontal="left" vertical="top"/>
      <protection locked="0"/>
    </xf>
    <xf numFmtId="0" fontId="66" fillId="0" borderId="220" xfId="578" applyFont="1" applyBorder="1" applyAlignment="1">
      <alignment horizontal="center" vertical="center" wrapText="1"/>
    </xf>
    <xf numFmtId="0" fontId="66" fillId="0" borderId="0" xfId="578" applyFont="1" applyBorder="1" applyAlignment="1">
      <alignment horizontal="center" vertical="center" wrapText="1"/>
    </xf>
    <xf numFmtId="0" fontId="134" fillId="51" borderId="66" xfId="578" applyFont="1" applyFill="1" applyBorder="1" applyAlignment="1" applyProtection="1">
      <alignment horizontal="center" vertical="center" wrapText="1"/>
    </xf>
    <xf numFmtId="0" fontId="134" fillId="51" borderId="205" xfId="578" applyFont="1" applyFill="1" applyBorder="1" applyAlignment="1" applyProtection="1">
      <alignment horizontal="center" vertical="center" wrapText="1"/>
    </xf>
    <xf numFmtId="0" fontId="134" fillId="51" borderId="167" xfId="578" applyFont="1" applyFill="1" applyBorder="1" applyAlignment="1" applyProtection="1">
      <alignment horizontal="center" vertical="center" wrapText="1"/>
    </xf>
    <xf numFmtId="0" fontId="51" fillId="0" borderId="66" xfId="578" applyFont="1" applyBorder="1" applyAlignment="1">
      <alignment horizontal="center" vertical="center" wrapText="1"/>
    </xf>
    <xf numFmtId="0" fontId="51" fillId="0" borderId="205" xfId="578" applyFont="1" applyBorder="1" applyAlignment="1">
      <alignment horizontal="center" vertical="center" wrapText="1"/>
    </xf>
    <xf numFmtId="0" fontId="223" fillId="0" borderId="66" xfId="578" applyFont="1" applyBorder="1" applyAlignment="1">
      <alignment horizontal="left" vertical="center"/>
    </xf>
    <xf numFmtId="0" fontId="223" fillId="0" borderId="205" xfId="578" applyFont="1" applyBorder="1" applyAlignment="1">
      <alignment horizontal="left" vertical="center"/>
    </xf>
    <xf numFmtId="0" fontId="223" fillId="0" borderId="167" xfId="578" applyFont="1" applyBorder="1" applyAlignment="1">
      <alignment horizontal="left" vertical="center"/>
    </xf>
    <xf numFmtId="0" fontId="225" fillId="0" borderId="66" xfId="412" applyFont="1" applyBorder="1" applyAlignment="1">
      <alignment horizontal="center" vertical="center" wrapText="1"/>
    </xf>
    <xf numFmtId="0" fontId="225" fillId="0" borderId="205" xfId="412" applyFont="1" applyBorder="1" applyAlignment="1">
      <alignment horizontal="center" vertical="center" wrapText="1"/>
    </xf>
    <xf numFmtId="0" fontId="51" fillId="0" borderId="223" xfId="578" applyFont="1" applyBorder="1" applyAlignment="1">
      <alignment horizontal="left" vertical="center" wrapText="1"/>
    </xf>
    <xf numFmtId="0" fontId="51" fillId="0" borderId="0" xfId="578" applyFont="1" applyBorder="1" applyAlignment="1">
      <alignment horizontal="left" vertical="center" wrapText="1"/>
    </xf>
    <xf numFmtId="0" fontId="51" fillId="0" borderId="0" xfId="578" applyFont="1" applyAlignment="1">
      <alignment horizontal="left" vertical="center" wrapText="1"/>
    </xf>
    <xf numFmtId="0" fontId="51" fillId="0" borderId="0" xfId="578" applyFont="1" applyAlignment="1">
      <alignment horizontal="left" vertical="center"/>
    </xf>
    <xf numFmtId="0" fontId="216" fillId="0" borderId="176" xfId="578" applyFont="1" applyBorder="1" applyAlignment="1">
      <alignment horizontal="center" vertical="center"/>
    </xf>
    <xf numFmtId="0" fontId="49" fillId="0" borderId="209" xfId="578" applyFont="1" applyBorder="1" applyAlignment="1">
      <alignment horizontal="center" vertical="center"/>
    </xf>
    <xf numFmtId="0" fontId="49" fillId="0" borderId="138" xfId="578" applyFont="1" applyBorder="1" applyAlignment="1">
      <alignment horizontal="center" vertical="center"/>
    </xf>
    <xf numFmtId="0" fontId="49" fillId="0" borderId="209" xfId="578" applyFont="1" applyBorder="1" applyAlignment="1">
      <alignment horizontal="center" vertical="center" wrapText="1"/>
    </xf>
    <xf numFmtId="0" fontId="49" fillId="0" borderId="138" xfId="578" applyFont="1" applyBorder="1" applyAlignment="1">
      <alignment horizontal="center" vertical="center" wrapText="1"/>
    </xf>
    <xf numFmtId="0" fontId="49" fillId="0" borderId="224" xfId="578" applyFont="1" applyBorder="1" applyAlignment="1">
      <alignment horizontal="center" vertical="center" wrapText="1"/>
    </xf>
    <xf numFmtId="0" fontId="49" fillId="0" borderId="223" xfId="578" applyFont="1" applyBorder="1" applyAlignment="1">
      <alignment horizontal="center" vertical="center" wrapText="1"/>
    </xf>
    <xf numFmtId="0" fontId="49" fillId="0" borderId="225" xfId="578" applyFont="1" applyBorder="1" applyAlignment="1">
      <alignment horizontal="center" vertical="center" wrapText="1"/>
    </xf>
    <xf numFmtId="0" fontId="49" fillId="0" borderId="175" xfId="578" applyFont="1" applyBorder="1" applyAlignment="1">
      <alignment horizontal="center" vertical="center" wrapText="1"/>
    </xf>
    <xf numFmtId="0" fontId="49" fillId="0" borderId="176" xfId="578" applyFont="1" applyBorder="1" applyAlignment="1">
      <alignment horizontal="center" vertical="center" wrapText="1"/>
    </xf>
    <xf numFmtId="0" fontId="49" fillId="0" borderId="149" xfId="578" applyFont="1" applyBorder="1" applyAlignment="1">
      <alignment horizontal="center" vertical="center" wrapText="1"/>
    </xf>
    <xf numFmtId="0" fontId="39" fillId="78" borderId="128" xfId="578" applyFont="1" applyFill="1" applyBorder="1" applyAlignment="1" applyProtection="1">
      <alignment horizontal="center" vertical="center"/>
      <protection locked="0"/>
    </xf>
    <xf numFmtId="0" fontId="39" fillId="78" borderId="221" xfId="578" applyFont="1" applyFill="1" applyBorder="1" applyAlignment="1" applyProtection="1">
      <alignment horizontal="center" vertical="center"/>
      <protection locked="0"/>
    </xf>
    <xf numFmtId="0" fontId="39" fillId="78" borderId="210" xfId="578" applyFont="1" applyFill="1" applyBorder="1" applyAlignment="1" applyProtection="1">
      <alignment horizontal="center" vertical="center"/>
      <protection locked="0"/>
    </xf>
    <xf numFmtId="0" fontId="39" fillId="78" borderId="147" xfId="578" applyFont="1" applyFill="1" applyBorder="1" applyAlignment="1" applyProtection="1">
      <alignment horizontal="center" vertical="center"/>
      <protection locked="0"/>
    </xf>
    <xf numFmtId="167" fontId="39" fillId="0" borderId="211" xfId="578" applyNumberFormat="1" applyFont="1" applyBorder="1" applyAlignment="1">
      <alignment horizontal="center" vertical="center"/>
    </xf>
    <xf numFmtId="167" fontId="39" fillId="0" borderId="222" xfId="578" applyNumberFormat="1" applyFont="1" applyBorder="1" applyAlignment="1">
      <alignment horizontal="center" vertical="center"/>
    </xf>
    <xf numFmtId="167" fontId="39" fillId="0" borderId="212" xfId="578" applyNumberFormat="1" applyFont="1" applyFill="1" applyBorder="1" applyAlignment="1" applyProtection="1">
      <alignment horizontal="center" vertical="center" wrapText="1"/>
    </xf>
    <xf numFmtId="167" fontId="39" fillId="0" borderId="229" xfId="578" applyNumberFormat="1" applyFont="1" applyFill="1" applyBorder="1" applyAlignment="1" applyProtection="1">
      <alignment horizontal="center" vertical="center" wrapText="1"/>
    </xf>
    <xf numFmtId="2" fontId="110" fillId="0" borderId="233" xfId="578" applyNumberFormat="1" applyBorder="1" applyAlignment="1">
      <alignment horizontal="center" vertical="center"/>
    </xf>
    <xf numFmtId="2" fontId="110" fillId="0" borderId="221" xfId="578" applyNumberFormat="1" applyBorder="1" applyAlignment="1">
      <alignment horizontal="center" vertical="center"/>
    </xf>
    <xf numFmtId="0" fontId="110" fillId="0" borderId="226" xfId="578" applyBorder="1" applyAlignment="1">
      <alignment horizontal="left" vertical="center" wrapText="1"/>
    </xf>
    <xf numFmtId="0" fontId="110" fillId="0" borderId="227" xfId="578" applyBorder="1" applyAlignment="1">
      <alignment horizontal="left" vertical="center" wrapText="1"/>
    </xf>
    <xf numFmtId="0" fontId="110" fillId="0" borderId="228" xfId="578" applyBorder="1" applyAlignment="1">
      <alignment horizontal="left" vertical="center" wrapText="1"/>
    </xf>
    <xf numFmtId="0" fontId="110" fillId="0" borderId="214" xfId="578" applyBorder="1" applyAlignment="1">
      <alignment horizontal="left" vertical="center" wrapText="1"/>
    </xf>
    <xf numFmtId="0" fontId="110" fillId="0" borderId="215" xfId="578" applyBorder="1" applyAlignment="1">
      <alignment horizontal="left" vertical="center" wrapText="1"/>
    </xf>
    <xf numFmtId="0" fontId="110" fillId="0" borderId="230" xfId="578" applyBorder="1" applyAlignment="1">
      <alignment horizontal="left" vertical="center" wrapText="1"/>
    </xf>
    <xf numFmtId="0" fontId="39" fillId="78" borderId="231" xfId="578" applyFont="1" applyFill="1" applyBorder="1" applyAlignment="1" applyProtection="1">
      <alignment horizontal="center" vertical="center"/>
      <protection locked="0"/>
    </xf>
    <xf numFmtId="0" fontId="39" fillId="78" borderId="203" xfId="578" applyFont="1" applyFill="1" applyBorder="1" applyAlignment="1" applyProtection="1">
      <alignment horizontal="center" vertical="center"/>
      <protection locked="0"/>
    </xf>
    <xf numFmtId="0" fontId="39" fillId="78" borderId="208" xfId="578" applyFont="1" applyFill="1" applyBorder="1" applyAlignment="1" applyProtection="1">
      <alignment horizontal="center" vertical="center"/>
      <protection locked="0"/>
    </xf>
    <xf numFmtId="0" fontId="39" fillId="78" borderId="213" xfId="578" applyFont="1" applyFill="1" applyBorder="1" applyAlignment="1" applyProtection="1">
      <alignment horizontal="center" vertical="center"/>
      <protection locked="0"/>
    </xf>
    <xf numFmtId="0" fontId="40" fillId="78" borderId="208" xfId="578" applyFont="1" applyFill="1" applyBorder="1" applyAlignment="1" applyProtection="1">
      <alignment horizontal="center" vertical="center"/>
      <protection locked="0"/>
    </xf>
    <xf numFmtId="0" fontId="40" fillId="78" borderId="213" xfId="578" applyFont="1" applyFill="1" applyBorder="1" applyAlignment="1" applyProtection="1">
      <alignment horizontal="center" vertical="center"/>
      <protection locked="0"/>
    </xf>
    <xf numFmtId="0" fontId="39" fillId="78" borderId="233" xfId="578" applyFont="1" applyFill="1" applyBorder="1" applyAlignment="1" applyProtection="1">
      <alignment horizontal="center" vertical="center"/>
      <protection locked="0"/>
    </xf>
    <xf numFmtId="0" fontId="40" fillId="78" borderId="147" xfId="578" applyFont="1" applyFill="1" applyBorder="1" applyAlignment="1" applyProtection="1">
      <alignment horizontal="center" vertical="center"/>
      <protection locked="0"/>
    </xf>
    <xf numFmtId="167" fontId="39" fillId="0" borderId="232" xfId="578" applyNumberFormat="1" applyFont="1" applyFill="1" applyBorder="1" applyAlignment="1" applyProtection="1">
      <alignment horizontal="center" vertical="center" wrapText="1"/>
    </xf>
    <xf numFmtId="0" fontId="110" fillId="0" borderId="237" xfId="578" applyBorder="1" applyAlignment="1">
      <alignment horizontal="left" vertical="center" wrapText="1"/>
    </xf>
    <xf numFmtId="0" fontId="110" fillId="0" borderId="238" xfId="578" applyBorder="1" applyAlignment="1">
      <alignment horizontal="left" vertical="center" wrapText="1"/>
    </xf>
    <xf numFmtId="0" fontId="110" fillId="0" borderId="239" xfId="578" applyBorder="1" applyAlignment="1">
      <alignment horizontal="left" vertical="center" wrapText="1"/>
    </xf>
    <xf numFmtId="0" fontId="39" fillId="78" borderId="181" xfId="578" applyFont="1" applyFill="1" applyBorder="1" applyAlignment="1" applyProtection="1">
      <alignment horizontal="center" vertical="center"/>
      <protection locked="0"/>
    </xf>
    <xf numFmtId="0" fontId="40" fillId="78" borderId="154" xfId="578" applyFont="1" applyFill="1" applyBorder="1" applyAlignment="1" applyProtection="1">
      <alignment horizontal="center" vertical="center"/>
      <protection locked="0"/>
    </xf>
    <xf numFmtId="167" fontId="39" fillId="0" borderId="234" xfId="578" applyNumberFormat="1" applyFont="1" applyBorder="1" applyAlignment="1">
      <alignment horizontal="center" vertical="center"/>
    </xf>
    <xf numFmtId="167" fontId="39" fillId="0" borderId="235" xfId="578" applyNumberFormat="1" applyFont="1" applyFill="1" applyBorder="1" applyAlignment="1" applyProtection="1">
      <alignment horizontal="center" vertical="center" wrapText="1"/>
    </xf>
    <xf numFmtId="2" fontId="110" fillId="0" borderId="236" xfId="578" applyNumberFormat="1" applyBorder="1" applyAlignment="1">
      <alignment horizontal="center" vertical="center"/>
    </xf>
    <xf numFmtId="0" fontId="58" fillId="70" borderId="78" xfId="0" applyFont="1" applyFill="1" applyBorder="1" applyAlignment="1">
      <alignment horizontal="center" vertical="center" wrapText="1"/>
    </xf>
    <xf numFmtId="0" fontId="58" fillId="70" borderId="64" xfId="0" applyFont="1" applyFill="1" applyBorder="1" applyAlignment="1">
      <alignment horizontal="center" vertical="center" wrapText="1"/>
    </xf>
    <xf numFmtId="0" fontId="110" fillId="70" borderId="78" xfId="0" applyFont="1" applyFill="1" applyBorder="1" applyAlignment="1">
      <alignment horizontal="center" vertical="center"/>
    </xf>
    <xf numFmtId="0" fontId="110" fillId="70" borderId="64" xfId="0" applyFont="1" applyFill="1" applyBorder="1" applyAlignment="1">
      <alignment horizontal="center" vertical="center"/>
    </xf>
    <xf numFmtId="0" fontId="47" fillId="60" borderId="2" xfId="0" applyFont="1" applyFill="1" applyBorder="1" applyAlignment="1" applyProtection="1">
      <alignment horizontal="center" vertical="center" wrapText="1"/>
    </xf>
    <xf numFmtId="0" fontId="162" fillId="61" borderId="2" xfId="0" applyFont="1" applyFill="1" applyBorder="1" applyAlignment="1" applyProtection="1">
      <alignment horizontal="left" vertical="center" wrapText="1"/>
    </xf>
    <xf numFmtId="0" fontId="40" fillId="16" borderId="146" xfId="0" applyFont="1" applyFill="1" applyBorder="1" applyAlignment="1">
      <alignment horizontal="center" vertical="center"/>
    </xf>
    <xf numFmtId="0" fontId="40" fillId="16" borderId="188" xfId="0" applyFont="1" applyFill="1" applyBorder="1" applyAlignment="1">
      <alignment horizontal="center" vertical="center"/>
    </xf>
    <xf numFmtId="0" fontId="40" fillId="16" borderId="79" xfId="0" applyFont="1" applyFill="1" applyBorder="1" applyAlignment="1">
      <alignment horizontal="center" vertical="center"/>
    </xf>
    <xf numFmtId="0" fontId="150" fillId="53" borderId="35" xfId="0" applyFont="1" applyFill="1" applyBorder="1" applyAlignment="1" applyProtection="1">
      <alignment horizontal="center" vertical="center" wrapText="1"/>
    </xf>
    <xf numFmtId="0" fontId="150" fillId="53" borderId="0" xfId="0" applyFont="1" applyFill="1" applyBorder="1" applyAlignment="1" applyProtection="1">
      <alignment horizontal="center" vertical="center" wrapText="1"/>
    </xf>
    <xf numFmtId="0" fontId="40" fillId="74" borderId="64" xfId="0" applyFont="1" applyFill="1" applyBorder="1" applyAlignment="1">
      <alignment horizontal="center" vertical="center" wrapText="1"/>
    </xf>
    <xf numFmtId="0" fontId="49" fillId="66" borderId="64" xfId="0" applyFont="1" applyFill="1" applyBorder="1" applyAlignment="1">
      <alignment horizontal="center" vertical="center" wrapText="1"/>
    </xf>
    <xf numFmtId="0" fontId="0" fillId="68" borderId="64" xfId="0" applyFont="1" applyFill="1" applyBorder="1" applyAlignment="1">
      <alignment horizontal="left" vertical="center" wrapText="1"/>
    </xf>
    <xf numFmtId="0" fontId="45" fillId="70" borderId="78" xfId="0" applyFont="1" applyFill="1" applyBorder="1" applyAlignment="1">
      <alignment horizontal="center" vertical="center"/>
    </xf>
    <xf numFmtId="0" fontId="45" fillId="70" borderId="64" xfId="0" applyFont="1" applyFill="1" applyBorder="1" applyAlignment="1">
      <alignment horizontal="center" vertical="center"/>
    </xf>
    <xf numFmtId="0" fontId="39" fillId="66" borderId="64" xfId="0" applyFont="1" applyFill="1" applyBorder="1" applyAlignment="1">
      <alignment horizontal="center" vertical="center" wrapText="1"/>
    </xf>
    <xf numFmtId="0" fontId="162" fillId="53" borderId="186" xfId="0" applyFont="1" applyFill="1" applyBorder="1" applyAlignment="1" applyProtection="1">
      <alignment horizontal="center" vertical="center" wrapText="1"/>
    </xf>
    <xf numFmtId="0" fontId="162" fillId="53" borderId="187" xfId="0" applyFont="1" applyFill="1" applyBorder="1" applyAlignment="1" applyProtection="1">
      <alignment horizontal="center" vertical="center" wrapText="1"/>
    </xf>
    <xf numFmtId="0" fontId="49" fillId="68" borderId="64" xfId="0" applyFont="1" applyFill="1" applyBorder="1" applyAlignment="1">
      <alignment horizontal="right" vertical="center" wrapText="1" indent="1"/>
    </xf>
    <xf numFmtId="0" fontId="0" fillId="68" borderId="64" xfId="0" applyFill="1" applyBorder="1" applyAlignment="1">
      <alignment horizontal="center" vertical="top" wrapText="1"/>
    </xf>
    <xf numFmtId="3" fontId="49" fillId="0" borderId="64" xfId="0" applyNumberFormat="1" applyFont="1" applyFill="1" applyBorder="1" applyAlignment="1">
      <alignment horizontal="center" vertical="center" shrinkToFit="1"/>
    </xf>
    <xf numFmtId="0" fontId="58" fillId="68" borderId="64" xfId="0" applyFont="1" applyFill="1" applyBorder="1" applyAlignment="1">
      <alignment horizontal="right" vertical="center" indent="1"/>
    </xf>
    <xf numFmtId="0" fontId="49" fillId="68" borderId="64" xfId="0" applyFont="1" applyFill="1" applyBorder="1" applyAlignment="1">
      <alignment horizontal="right" vertical="center" indent="1"/>
    </xf>
    <xf numFmtId="0" fontId="58" fillId="66" borderId="69" xfId="0" applyFont="1" applyFill="1" applyBorder="1" applyAlignment="1">
      <alignment horizontal="left" vertical="center" indent="1"/>
    </xf>
    <xf numFmtId="1" fontId="135" fillId="70" borderId="78" xfId="0" applyNumberFormat="1" applyFont="1" applyFill="1" applyBorder="1" applyAlignment="1">
      <alignment horizontal="center" vertical="center" wrapText="1"/>
    </xf>
    <xf numFmtId="1" fontId="135" fillId="70" borderId="64" xfId="0" applyNumberFormat="1" applyFont="1" applyFill="1" applyBorder="1" applyAlignment="1">
      <alignment horizontal="center" vertical="center" wrapText="1"/>
    </xf>
    <xf numFmtId="0" fontId="110" fillId="68" borderId="78" xfId="0" applyFont="1" applyFill="1" applyBorder="1" applyAlignment="1">
      <alignment horizontal="center" vertical="center" wrapText="1"/>
    </xf>
    <xf numFmtId="0" fontId="0" fillId="0" borderId="0" xfId="0" applyFont="1" applyBorder="1" applyAlignment="1">
      <alignment wrapText="1"/>
    </xf>
    <xf numFmtId="0" fontId="0" fillId="0" borderId="0" xfId="0" applyFont="1" applyBorder="1" applyAlignment="1">
      <alignment vertical="center" wrapText="1"/>
    </xf>
    <xf numFmtId="0" fontId="0" fillId="0" borderId="0" xfId="0" applyFont="1" applyBorder="1" applyAlignment="1">
      <alignment horizontal="left" wrapText="1"/>
    </xf>
    <xf numFmtId="0" fontId="139" fillId="35" borderId="11" xfId="0" applyFont="1" applyFill="1" applyBorder="1" applyAlignment="1">
      <alignment horizontal="center" wrapText="1"/>
    </xf>
    <xf numFmtId="0" fontId="139" fillId="35" borderId="21" xfId="0" applyFont="1" applyFill="1" applyBorder="1" applyAlignment="1">
      <alignment horizontal="center" wrapText="1"/>
    </xf>
    <xf numFmtId="0" fontId="0" fillId="0" borderId="0" xfId="0" applyFont="1" applyBorder="1" applyAlignment="1">
      <alignment horizontal="left" vertical="center" wrapText="1"/>
    </xf>
    <xf numFmtId="0" fontId="169" fillId="50" borderId="48" xfId="0" applyFont="1" applyFill="1" applyBorder="1" applyAlignment="1">
      <alignment horizontal="center" vertical="center" wrapText="1"/>
    </xf>
    <xf numFmtId="0" fontId="45" fillId="0" borderId="0" xfId="0" applyFont="1" applyBorder="1" applyAlignment="1">
      <alignment vertical="top" wrapText="1"/>
    </xf>
    <xf numFmtId="0" fontId="150" fillId="52" borderId="141" xfId="0" applyFont="1" applyFill="1" applyBorder="1" applyAlignment="1" applyProtection="1">
      <alignment horizontal="center" vertical="center" wrapText="1"/>
    </xf>
    <xf numFmtId="0" fontId="150" fillId="52" borderId="0" xfId="0" applyFont="1" applyFill="1" applyBorder="1" applyAlignment="1" applyProtection="1">
      <alignment horizontal="center" vertical="center" wrapText="1"/>
    </xf>
    <xf numFmtId="0" fontId="40" fillId="0" borderId="95" xfId="0" applyFont="1" applyBorder="1" applyAlignment="1">
      <alignment horizontal="center" vertical="top" wrapText="1"/>
    </xf>
    <xf numFmtId="0" fontId="38" fillId="0" borderId="0" xfId="0" applyFont="1" applyBorder="1" applyAlignment="1">
      <alignment wrapText="1"/>
    </xf>
    <xf numFmtId="0" fontId="38" fillId="0" borderId="164" xfId="0" applyFont="1" applyBorder="1" applyAlignment="1">
      <alignment horizontal="left" wrapText="1"/>
    </xf>
    <xf numFmtId="0" fontId="38" fillId="0" borderId="116" xfId="0" applyFont="1" applyBorder="1" applyAlignment="1">
      <alignment horizontal="left" wrapText="1"/>
    </xf>
    <xf numFmtId="0" fontId="38" fillId="0" borderId="36" xfId="0" applyFont="1" applyBorder="1" applyAlignment="1">
      <alignment horizontal="left" wrapText="1"/>
    </xf>
    <xf numFmtId="0" fontId="0" fillId="0" borderId="46" xfId="0" applyFont="1" applyBorder="1" applyAlignment="1">
      <alignment horizontal="left" wrapText="1"/>
    </xf>
  </cellXfs>
  <cellStyles count="627">
    <cellStyle name="Akzent1 2" xfId="1"/>
    <cellStyle name="Akzent2 2" xfId="2"/>
    <cellStyle name="Akzent3 2" xfId="3"/>
    <cellStyle name="Akzent4 2" xfId="4"/>
    <cellStyle name="Akzent5 2" xfId="5"/>
    <cellStyle name="Akzent6 2" xfId="6"/>
    <cellStyle name="Ausgabe 2" xfId="7"/>
    <cellStyle name="Ausgabe 2 2" xfId="8"/>
    <cellStyle name="Ausgabe 2 2 2" xfId="9"/>
    <cellStyle name="Ausgabe 2 2 2 2" xfId="10"/>
    <cellStyle name="Ausgabe 2 2 2 2 2" xfId="11"/>
    <cellStyle name="Ausgabe 2 2 2 2 2 2" xfId="12"/>
    <cellStyle name="Ausgabe 2 2 2 2 2 3" xfId="13"/>
    <cellStyle name="Ausgabe 2 2 2 2 3" xfId="14"/>
    <cellStyle name="Ausgabe 2 2 2 2 4" xfId="15"/>
    <cellStyle name="Ausgabe 2 2 2 2 5" xfId="16"/>
    <cellStyle name="Ausgabe 2 2 2 3" xfId="17"/>
    <cellStyle name="Ausgabe 2 2 2 3 2" xfId="18"/>
    <cellStyle name="Ausgabe 2 2 2 3 2 2" xfId="19"/>
    <cellStyle name="Ausgabe 2 2 2 3 2 3" xfId="20"/>
    <cellStyle name="Ausgabe 2 2 2 3 3" xfId="21"/>
    <cellStyle name="Ausgabe 2 2 2 3 4" xfId="22"/>
    <cellStyle name="Ausgabe 2 2 2 3 5" xfId="23"/>
    <cellStyle name="Ausgabe 2 2 2 4" xfId="24"/>
    <cellStyle name="Ausgabe 2 2 2 4 2" xfId="25"/>
    <cellStyle name="Ausgabe 2 2 2 4 3" xfId="26"/>
    <cellStyle name="Ausgabe 2 2 2 5" xfId="27"/>
    <cellStyle name="Ausgabe 2 2 2 6" xfId="28"/>
    <cellStyle name="Ausgabe 2 2 3" xfId="29"/>
    <cellStyle name="Ausgabe 2 2 3 2" xfId="30"/>
    <cellStyle name="Ausgabe 2 2 3 2 2" xfId="31"/>
    <cellStyle name="Ausgabe 2 2 3 2 3" xfId="32"/>
    <cellStyle name="Ausgabe 2 2 3 3" xfId="33"/>
    <cellStyle name="Ausgabe 2 2 3 4" xfId="34"/>
    <cellStyle name="Ausgabe 2 2 3 5" xfId="35"/>
    <cellStyle name="Ausgabe 2 2 4" xfId="36"/>
    <cellStyle name="Ausgabe 2 2 4 2" xfId="37"/>
    <cellStyle name="Ausgabe 2 2 4 2 2" xfId="38"/>
    <cellStyle name="Ausgabe 2 2 4 2 3" xfId="39"/>
    <cellStyle name="Ausgabe 2 2 4 3" xfId="40"/>
    <cellStyle name="Ausgabe 2 2 4 4" xfId="41"/>
    <cellStyle name="Ausgabe 2 2 4 5" xfId="42"/>
    <cellStyle name="Ausgabe 2 2 5" xfId="43"/>
    <cellStyle name="Ausgabe 2 2 5 2" xfId="44"/>
    <cellStyle name="Ausgabe 2 2 5 3" xfId="45"/>
    <cellStyle name="Ausgabe 2 2 6" xfId="46"/>
    <cellStyle name="Ausgabe 2 2 7" xfId="47"/>
    <cellStyle name="Ausgabe 2 3" xfId="48"/>
    <cellStyle name="Ausgabe 2 3 2" xfId="49"/>
    <cellStyle name="Ausgabe 2 3 2 2" xfId="50"/>
    <cellStyle name="Ausgabe 2 3 2 2 2" xfId="51"/>
    <cellStyle name="Ausgabe 2 3 2 2 3" xfId="52"/>
    <cellStyle name="Ausgabe 2 3 2 3" xfId="53"/>
    <cellStyle name="Ausgabe 2 3 2 4" xfId="54"/>
    <cellStyle name="Ausgabe 2 3 2 5" xfId="55"/>
    <cellStyle name="Ausgabe 2 3 3" xfId="56"/>
    <cellStyle name="Ausgabe 2 3 3 2" xfId="57"/>
    <cellStyle name="Ausgabe 2 3 3 2 2" xfId="58"/>
    <cellStyle name="Ausgabe 2 3 3 2 3" xfId="59"/>
    <cellStyle name="Ausgabe 2 3 3 3" xfId="60"/>
    <cellStyle name="Ausgabe 2 3 3 4" xfId="61"/>
    <cellStyle name="Ausgabe 2 3 3 5" xfId="62"/>
    <cellStyle name="Ausgabe 2 3 4" xfId="63"/>
    <cellStyle name="Ausgabe 2 3 4 2" xfId="64"/>
    <cellStyle name="Ausgabe 2 3 4 3" xfId="65"/>
    <cellStyle name="Ausgabe 2 3 5" xfId="66"/>
    <cellStyle name="Ausgabe 2 3 6" xfId="67"/>
    <cellStyle name="Ausgabe 2 4" xfId="68"/>
    <cellStyle name="Ausgabe 2 4 2" xfId="69"/>
    <cellStyle name="Ausgabe 2 4 2 2" xfId="70"/>
    <cellStyle name="Ausgabe 2 4 2 3" xfId="71"/>
    <cellStyle name="Ausgabe 2 4 3" xfId="72"/>
    <cellStyle name="Ausgabe 2 4 4" xfId="73"/>
    <cellStyle name="Ausgabe 2 4 5" xfId="74"/>
    <cellStyle name="Ausgabe 2 5" xfId="75"/>
    <cellStyle name="Ausgabe 2 5 2" xfId="76"/>
    <cellStyle name="Ausgabe 2 5 2 2" xfId="77"/>
    <cellStyle name="Ausgabe 2 5 2 3" xfId="78"/>
    <cellStyle name="Ausgabe 2 5 3" xfId="79"/>
    <cellStyle name="Ausgabe 2 5 4" xfId="80"/>
    <cellStyle name="Ausgabe 2 5 5" xfId="81"/>
    <cellStyle name="Ausgabe 2 6" xfId="82"/>
    <cellStyle name="Ausgabe 2 6 2" xfId="83"/>
    <cellStyle name="Ausgabe 2 6 3" xfId="84"/>
    <cellStyle name="Ausgabe 2 7" xfId="85"/>
    <cellStyle name="Ausgabe 2 8" xfId="86"/>
    <cellStyle name="Berechnung 2" xfId="87"/>
    <cellStyle name="Berechnung 2 2" xfId="88"/>
    <cellStyle name="Berechnung 2 2 2" xfId="89"/>
    <cellStyle name="Berechnung 2 2 2 2" xfId="90"/>
    <cellStyle name="Berechnung 2 2 2 2 2" xfId="91"/>
    <cellStyle name="Berechnung 2 2 2 2 2 2" xfId="92"/>
    <cellStyle name="Berechnung 2 2 2 2 2 3" xfId="93"/>
    <cellStyle name="Berechnung 2 2 2 2 3" xfId="94"/>
    <cellStyle name="Berechnung 2 2 2 2 4" xfId="95"/>
    <cellStyle name="Berechnung 2 2 2 2 5" xfId="96"/>
    <cellStyle name="Berechnung 2 2 2 3" xfId="97"/>
    <cellStyle name="Berechnung 2 2 2 3 2" xfId="98"/>
    <cellStyle name="Berechnung 2 2 2 3 2 2" xfId="99"/>
    <cellStyle name="Berechnung 2 2 2 3 2 3" xfId="100"/>
    <cellStyle name="Berechnung 2 2 2 3 3" xfId="101"/>
    <cellStyle name="Berechnung 2 2 2 3 4" xfId="102"/>
    <cellStyle name="Berechnung 2 2 2 3 5" xfId="103"/>
    <cellStyle name="Berechnung 2 2 2 4" xfId="104"/>
    <cellStyle name="Berechnung 2 2 2 4 2" xfId="105"/>
    <cellStyle name="Berechnung 2 2 2 4 3" xfId="106"/>
    <cellStyle name="Berechnung 2 2 2 5" xfId="107"/>
    <cellStyle name="Berechnung 2 2 2 6" xfId="108"/>
    <cellStyle name="Berechnung 2 2 3" xfId="109"/>
    <cellStyle name="Berechnung 2 2 3 2" xfId="110"/>
    <cellStyle name="Berechnung 2 2 3 2 2" xfId="111"/>
    <cellStyle name="Berechnung 2 2 3 2 3" xfId="112"/>
    <cellStyle name="Berechnung 2 2 3 3" xfId="113"/>
    <cellStyle name="Berechnung 2 2 3 4" xfId="114"/>
    <cellStyle name="Berechnung 2 2 3 5" xfId="115"/>
    <cellStyle name="Berechnung 2 2 4" xfId="116"/>
    <cellStyle name="Berechnung 2 2 4 2" xfId="117"/>
    <cellStyle name="Berechnung 2 2 4 2 2" xfId="118"/>
    <cellStyle name="Berechnung 2 2 4 2 3" xfId="119"/>
    <cellStyle name="Berechnung 2 2 4 3" xfId="120"/>
    <cellStyle name="Berechnung 2 2 4 4" xfId="121"/>
    <cellStyle name="Berechnung 2 2 4 5" xfId="122"/>
    <cellStyle name="Berechnung 2 2 5" xfId="123"/>
    <cellStyle name="Berechnung 2 2 5 2" xfId="124"/>
    <cellStyle name="Berechnung 2 2 5 3" xfId="125"/>
    <cellStyle name="Berechnung 2 2 6" xfId="126"/>
    <cellStyle name="Berechnung 2 2 7" xfId="127"/>
    <cellStyle name="Berechnung 2 3" xfId="128"/>
    <cellStyle name="Berechnung 2 3 2" xfId="129"/>
    <cellStyle name="Berechnung 2 3 2 2" xfId="130"/>
    <cellStyle name="Berechnung 2 3 2 2 2" xfId="131"/>
    <cellStyle name="Berechnung 2 3 2 2 3" xfId="132"/>
    <cellStyle name="Berechnung 2 3 2 3" xfId="133"/>
    <cellStyle name="Berechnung 2 3 2 4" xfId="134"/>
    <cellStyle name="Berechnung 2 3 2 5" xfId="135"/>
    <cellStyle name="Berechnung 2 3 3" xfId="136"/>
    <cellStyle name="Berechnung 2 3 3 2" xfId="137"/>
    <cellStyle name="Berechnung 2 3 3 2 2" xfId="138"/>
    <cellStyle name="Berechnung 2 3 3 2 3" xfId="139"/>
    <cellStyle name="Berechnung 2 3 3 3" xfId="140"/>
    <cellStyle name="Berechnung 2 3 3 4" xfId="141"/>
    <cellStyle name="Berechnung 2 3 3 5" xfId="142"/>
    <cellStyle name="Berechnung 2 3 4" xfId="143"/>
    <cellStyle name="Berechnung 2 3 4 2" xfId="144"/>
    <cellStyle name="Berechnung 2 3 4 3" xfId="145"/>
    <cellStyle name="Berechnung 2 3 5" xfId="146"/>
    <cellStyle name="Berechnung 2 3 6" xfId="147"/>
    <cellStyle name="Berechnung 2 4" xfId="148"/>
    <cellStyle name="Berechnung 2 4 2" xfId="149"/>
    <cellStyle name="Berechnung 2 4 2 2" xfId="150"/>
    <cellStyle name="Berechnung 2 4 2 3" xfId="151"/>
    <cellStyle name="Berechnung 2 4 3" xfId="152"/>
    <cellStyle name="Berechnung 2 4 4" xfId="153"/>
    <cellStyle name="Berechnung 2 4 5" xfId="154"/>
    <cellStyle name="Berechnung 2 5" xfId="155"/>
    <cellStyle name="Berechnung 2 5 2" xfId="156"/>
    <cellStyle name="Berechnung 2 5 2 2" xfId="157"/>
    <cellStyle name="Berechnung 2 5 2 3" xfId="158"/>
    <cellStyle name="Berechnung 2 5 3" xfId="159"/>
    <cellStyle name="Berechnung 2 5 4" xfId="160"/>
    <cellStyle name="Berechnung 2 5 5" xfId="161"/>
    <cellStyle name="Berechnung 2 6" xfId="162"/>
    <cellStyle name="Berechnung 2 6 2" xfId="163"/>
    <cellStyle name="Berechnung 2 6 3" xfId="164"/>
    <cellStyle name="Berechnung 2 7" xfId="165"/>
    <cellStyle name="Berechnung 2 8" xfId="166"/>
    <cellStyle name="Eingabe 2" xfId="168"/>
    <cellStyle name="Eingabe 2 2" xfId="169"/>
    <cellStyle name="Eingabe 2 2 2" xfId="170"/>
    <cellStyle name="Eingabe 2 2 2 2" xfId="171"/>
    <cellStyle name="Eingabe 2 2 2 2 2" xfId="172"/>
    <cellStyle name="Eingabe 2 2 2 2 2 2" xfId="173"/>
    <cellStyle name="Eingabe 2 2 2 2 2 3" xfId="174"/>
    <cellStyle name="Eingabe 2 2 2 2 3" xfId="175"/>
    <cellStyle name="Eingabe 2 2 2 2 4" xfId="176"/>
    <cellStyle name="Eingabe 2 2 2 2 5" xfId="177"/>
    <cellStyle name="Eingabe 2 2 2 3" xfId="178"/>
    <cellStyle name="Eingabe 2 2 2 3 2" xfId="179"/>
    <cellStyle name="Eingabe 2 2 2 3 2 2" xfId="180"/>
    <cellStyle name="Eingabe 2 2 2 3 2 3" xfId="181"/>
    <cellStyle name="Eingabe 2 2 2 3 3" xfId="182"/>
    <cellStyle name="Eingabe 2 2 2 3 4" xfId="183"/>
    <cellStyle name="Eingabe 2 2 2 3 5" xfId="184"/>
    <cellStyle name="Eingabe 2 2 2 4" xfId="185"/>
    <cellStyle name="Eingabe 2 2 2 4 2" xfId="186"/>
    <cellStyle name="Eingabe 2 2 2 4 3" xfId="187"/>
    <cellStyle name="Eingabe 2 2 2 5" xfId="188"/>
    <cellStyle name="Eingabe 2 2 2 6" xfId="189"/>
    <cellStyle name="Eingabe 2 2 3" xfId="190"/>
    <cellStyle name="Eingabe 2 2 3 2" xfId="191"/>
    <cellStyle name="Eingabe 2 2 3 2 2" xfId="192"/>
    <cellStyle name="Eingabe 2 2 3 2 3" xfId="193"/>
    <cellStyle name="Eingabe 2 2 3 3" xfId="194"/>
    <cellStyle name="Eingabe 2 2 3 4" xfId="195"/>
    <cellStyle name="Eingabe 2 2 3 5" xfId="196"/>
    <cellStyle name="Eingabe 2 2 4" xfId="197"/>
    <cellStyle name="Eingabe 2 2 4 2" xfId="198"/>
    <cellStyle name="Eingabe 2 2 4 2 2" xfId="199"/>
    <cellStyle name="Eingabe 2 2 4 2 3" xfId="200"/>
    <cellStyle name="Eingabe 2 2 4 3" xfId="201"/>
    <cellStyle name="Eingabe 2 2 4 4" xfId="202"/>
    <cellStyle name="Eingabe 2 2 4 5" xfId="203"/>
    <cellStyle name="Eingabe 2 2 5" xfId="204"/>
    <cellStyle name="Eingabe 2 2 5 2" xfId="205"/>
    <cellStyle name="Eingabe 2 2 5 3" xfId="206"/>
    <cellStyle name="Eingabe 2 2 6" xfId="207"/>
    <cellStyle name="Eingabe 2 2 7" xfId="208"/>
    <cellStyle name="Eingabe 2 3" xfId="209"/>
    <cellStyle name="Eingabe 2 3 2" xfId="210"/>
    <cellStyle name="Eingabe 2 3 2 2" xfId="211"/>
    <cellStyle name="Eingabe 2 3 2 2 2" xfId="212"/>
    <cellStyle name="Eingabe 2 3 2 2 3" xfId="213"/>
    <cellStyle name="Eingabe 2 3 2 3" xfId="214"/>
    <cellStyle name="Eingabe 2 3 2 4" xfId="215"/>
    <cellStyle name="Eingabe 2 3 2 5" xfId="216"/>
    <cellStyle name="Eingabe 2 3 3" xfId="217"/>
    <cellStyle name="Eingabe 2 3 3 2" xfId="218"/>
    <cellStyle name="Eingabe 2 3 3 2 2" xfId="219"/>
    <cellStyle name="Eingabe 2 3 3 2 3" xfId="220"/>
    <cellStyle name="Eingabe 2 3 3 3" xfId="221"/>
    <cellStyle name="Eingabe 2 3 3 4" xfId="222"/>
    <cellStyle name="Eingabe 2 3 3 5" xfId="223"/>
    <cellStyle name="Eingabe 2 3 4" xfId="224"/>
    <cellStyle name="Eingabe 2 3 4 2" xfId="225"/>
    <cellStyle name="Eingabe 2 3 4 3" xfId="226"/>
    <cellStyle name="Eingabe 2 3 5" xfId="227"/>
    <cellStyle name="Eingabe 2 3 6" xfId="228"/>
    <cellStyle name="Eingabe 2 4" xfId="229"/>
    <cellStyle name="Eingabe 2 4 2" xfId="230"/>
    <cellStyle name="Eingabe 2 4 2 2" xfId="231"/>
    <cellStyle name="Eingabe 2 4 2 3" xfId="232"/>
    <cellStyle name="Eingabe 2 4 3" xfId="233"/>
    <cellStyle name="Eingabe 2 4 4" xfId="234"/>
    <cellStyle name="Eingabe 2 4 5" xfId="235"/>
    <cellStyle name="Eingabe 2 5" xfId="236"/>
    <cellStyle name="Eingabe 2 5 2" xfId="237"/>
    <cellStyle name="Eingabe 2 5 2 2" xfId="238"/>
    <cellStyle name="Eingabe 2 5 2 3" xfId="239"/>
    <cellStyle name="Eingabe 2 5 3" xfId="240"/>
    <cellStyle name="Eingabe 2 5 4" xfId="241"/>
    <cellStyle name="Eingabe 2 5 5" xfId="242"/>
    <cellStyle name="Eingabe 2 6" xfId="243"/>
    <cellStyle name="Eingabe 2 6 2" xfId="244"/>
    <cellStyle name="Eingabe 2 6 3" xfId="245"/>
    <cellStyle name="Eingabe 2 7" xfId="246"/>
    <cellStyle name="Eingabe 2 8" xfId="247"/>
    <cellStyle name="Ergebnis 1" xfId="248"/>
    <cellStyle name="Ergebnis 1 1" xfId="249"/>
    <cellStyle name="Ergebnis 1 1 2" xfId="250"/>
    <cellStyle name="Ergebnis 1 1 2 2" xfId="251"/>
    <cellStyle name="Ergebnis 1 1 2 2 2" xfId="252"/>
    <cellStyle name="Ergebnis 1 1 2 2 2 2" xfId="253"/>
    <cellStyle name="Ergebnis 1 1 2 2 2 2 2" xfId="254"/>
    <cellStyle name="Ergebnis 1 1 2 2 2 2 3" xfId="255"/>
    <cellStyle name="Ergebnis 1 1 2 2 2 3" xfId="256"/>
    <cellStyle name="Ergebnis 1 1 2 2 2 4" xfId="257"/>
    <cellStyle name="Ergebnis 1 1 2 2 2 5" xfId="258"/>
    <cellStyle name="Ergebnis 1 1 2 2 3" xfId="259"/>
    <cellStyle name="Ergebnis 1 1 2 2 3 2" xfId="260"/>
    <cellStyle name="Ergebnis 1 1 2 2 3 2 2" xfId="261"/>
    <cellStyle name="Ergebnis 1 1 2 2 3 2 3" xfId="262"/>
    <cellStyle name="Ergebnis 1 1 2 2 3 3" xfId="263"/>
    <cellStyle name="Ergebnis 1 1 2 2 3 4" xfId="264"/>
    <cellStyle name="Ergebnis 1 1 2 2 3 5" xfId="265"/>
    <cellStyle name="Ergebnis 1 1 2 2 4" xfId="266"/>
    <cellStyle name="Ergebnis 1 1 2 2 4 2" xfId="267"/>
    <cellStyle name="Ergebnis 1 1 2 2 4 3" xfId="268"/>
    <cellStyle name="Ergebnis 1 1 2 2 5" xfId="269"/>
    <cellStyle name="Ergebnis 1 1 2 2 6" xfId="270"/>
    <cellStyle name="Ergebnis 1 1 2 3" xfId="271"/>
    <cellStyle name="Ergebnis 1 1 2 3 2" xfId="272"/>
    <cellStyle name="Ergebnis 1 1 2 3 2 2" xfId="273"/>
    <cellStyle name="Ergebnis 1 1 2 3 2 3" xfId="274"/>
    <cellStyle name="Ergebnis 1 1 2 3 3" xfId="275"/>
    <cellStyle name="Ergebnis 1 1 2 3 4" xfId="276"/>
    <cellStyle name="Ergebnis 1 1 2 3 5" xfId="277"/>
    <cellStyle name="Ergebnis 1 1 2 4" xfId="278"/>
    <cellStyle name="Ergebnis 1 1 2 4 2" xfId="279"/>
    <cellStyle name="Ergebnis 1 1 2 4 2 2" xfId="280"/>
    <cellStyle name="Ergebnis 1 1 2 4 2 3" xfId="281"/>
    <cellStyle name="Ergebnis 1 1 2 4 3" xfId="282"/>
    <cellStyle name="Ergebnis 1 1 2 4 4" xfId="283"/>
    <cellStyle name="Ergebnis 1 1 2 4 5" xfId="284"/>
    <cellStyle name="Ergebnis 1 1 2 5" xfId="285"/>
    <cellStyle name="Ergebnis 1 1 2 5 2" xfId="286"/>
    <cellStyle name="Ergebnis 1 1 2 5 3" xfId="287"/>
    <cellStyle name="Ergebnis 1 1 2 6" xfId="288"/>
    <cellStyle name="Ergebnis 1 1 2 7" xfId="289"/>
    <cellStyle name="Ergebnis 1 1 3" xfId="290"/>
    <cellStyle name="Ergebnis 1 1 3 2" xfId="291"/>
    <cellStyle name="Ergebnis 1 1 3 2 2" xfId="292"/>
    <cellStyle name="Ergebnis 1 1 3 2 2 2" xfId="293"/>
    <cellStyle name="Ergebnis 1 1 3 2 2 3" xfId="294"/>
    <cellStyle name="Ergebnis 1 1 3 2 3" xfId="295"/>
    <cellStyle name="Ergebnis 1 1 3 2 4" xfId="296"/>
    <cellStyle name="Ergebnis 1 1 3 2 5" xfId="297"/>
    <cellStyle name="Ergebnis 1 1 3 3" xfId="298"/>
    <cellStyle name="Ergebnis 1 1 3 3 2" xfId="299"/>
    <cellStyle name="Ergebnis 1 1 3 3 2 2" xfId="300"/>
    <cellStyle name="Ergebnis 1 1 3 3 2 3" xfId="301"/>
    <cellStyle name="Ergebnis 1 1 3 3 3" xfId="302"/>
    <cellStyle name="Ergebnis 1 1 3 3 4" xfId="303"/>
    <cellStyle name="Ergebnis 1 1 3 3 5" xfId="304"/>
    <cellStyle name="Ergebnis 1 1 3 4" xfId="305"/>
    <cellStyle name="Ergebnis 1 1 3 4 2" xfId="306"/>
    <cellStyle name="Ergebnis 1 1 3 4 3" xfId="307"/>
    <cellStyle name="Ergebnis 1 1 3 5" xfId="308"/>
    <cellStyle name="Ergebnis 1 1 3 6" xfId="309"/>
    <cellStyle name="Ergebnis 1 1 4" xfId="310"/>
    <cellStyle name="Ergebnis 1 1 4 2" xfId="311"/>
    <cellStyle name="Ergebnis 1 1 4 2 2" xfId="312"/>
    <cellStyle name="Ergebnis 1 1 4 2 3" xfId="313"/>
    <cellStyle name="Ergebnis 1 1 4 3" xfId="314"/>
    <cellStyle name="Ergebnis 1 1 4 4" xfId="315"/>
    <cellStyle name="Ergebnis 1 1 4 5" xfId="316"/>
    <cellStyle name="Ergebnis 1 1 5" xfId="317"/>
    <cellStyle name="Ergebnis 1 1 5 2" xfId="318"/>
    <cellStyle name="Ergebnis 1 1 5 2 2" xfId="319"/>
    <cellStyle name="Ergebnis 1 1 5 2 3" xfId="320"/>
    <cellStyle name="Ergebnis 1 1 5 3" xfId="321"/>
    <cellStyle name="Ergebnis 1 1 5 4" xfId="322"/>
    <cellStyle name="Ergebnis 1 1 5 5" xfId="323"/>
    <cellStyle name="Ergebnis 1 1 6" xfId="324"/>
    <cellStyle name="Ergebnis 1 1 6 2" xfId="325"/>
    <cellStyle name="Ergebnis 1 1 6 3" xfId="326"/>
    <cellStyle name="Ergebnis 1 1 7" xfId="327"/>
    <cellStyle name="Ergebnis 1 1 8" xfId="328"/>
    <cellStyle name="Ergebnis 1 2" xfId="329"/>
    <cellStyle name="Ergebnis 1 2 2" xfId="330"/>
    <cellStyle name="Ergebnis 1 2 2 2" xfId="331"/>
    <cellStyle name="Ergebnis 1 2 2 2 2" xfId="332"/>
    <cellStyle name="Ergebnis 1 2 2 2 2 2" xfId="333"/>
    <cellStyle name="Ergebnis 1 2 2 2 2 3" xfId="334"/>
    <cellStyle name="Ergebnis 1 2 2 2 3" xfId="335"/>
    <cellStyle name="Ergebnis 1 2 2 2 4" xfId="336"/>
    <cellStyle name="Ergebnis 1 2 2 2 5" xfId="337"/>
    <cellStyle name="Ergebnis 1 2 2 3" xfId="338"/>
    <cellStyle name="Ergebnis 1 2 2 3 2" xfId="339"/>
    <cellStyle name="Ergebnis 1 2 2 3 2 2" xfId="340"/>
    <cellStyle name="Ergebnis 1 2 2 3 2 3" xfId="341"/>
    <cellStyle name="Ergebnis 1 2 2 3 3" xfId="342"/>
    <cellStyle name="Ergebnis 1 2 2 3 4" xfId="343"/>
    <cellStyle name="Ergebnis 1 2 2 3 5" xfId="344"/>
    <cellStyle name="Ergebnis 1 2 2 4" xfId="345"/>
    <cellStyle name="Ergebnis 1 2 2 4 2" xfId="346"/>
    <cellStyle name="Ergebnis 1 2 2 4 3" xfId="347"/>
    <cellStyle name="Ergebnis 1 2 2 5" xfId="348"/>
    <cellStyle name="Ergebnis 1 2 2 6" xfId="349"/>
    <cellStyle name="Ergebnis 1 2 3" xfId="350"/>
    <cellStyle name="Ergebnis 1 2 3 2" xfId="351"/>
    <cellStyle name="Ergebnis 1 2 3 2 2" xfId="352"/>
    <cellStyle name="Ergebnis 1 2 3 2 3" xfId="353"/>
    <cellStyle name="Ergebnis 1 2 3 3" xfId="354"/>
    <cellStyle name="Ergebnis 1 2 3 4" xfId="355"/>
    <cellStyle name="Ergebnis 1 2 3 5" xfId="356"/>
    <cellStyle name="Ergebnis 1 2 4" xfId="357"/>
    <cellStyle name="Ergebnis 1 2 4 2" xfId="358"/>
    <cellStyle name="Ergebnis 1 2 4 2 2" xfId="359"/>
    <cellStyle name="Ergebnis 1 2 4 2 3" xfId="360"/>
    <cellStyle name="Ergebnis 1 2 4 3" xfId="361"/>
    <cellStyle name="Ergebnis 1 2 4 4" xfId="362"/>
    <cellStyle name="Ergebnis 1 2 4 5" xfId="363"/>
    <cellStyle name="Ergebnis 1 2 5" xfId="364"/>
    <cellStyle name="Ergebnis 1 2 5 2" xfId="365"/>
    <cellStyle name="Ergebnis 1 2 5 3" xfId="366"/>
    <cellStyle name="Ergebnis 1 2 6" xfId="367"/>
    <cellStyle name="Ergebnis 1 2 7" xfId="368"/>
    <cellStyle name="Ergebnis 1 3" xfId="369"/>
    <cellStyle name="Ergebnis 1 3 2" xfId="370"/>
    <cellStyle name="Ergebnis 1 3 2 2" xfId="371"/>
    <cellStyle name="Ergebnis 1 3 2 2 2" xfId="372"/>
    <cellStyle name="Ergebnis 1 3 2 2 3" xfId="373"/>
    <cellStyle name="Ergebnis 1 3 2 3" xfId="374"/>
    <cellStyle name="Ergebnis 1 3 2 4" xfId="375"/>
    <cellStyle name="Ergebnis 1 3 2 5" xfId="376"/>
    <cellStyle name="Ergebnis 1 3 3" xfId="377"/>
    <cellStyle name="Ergebnis 1 3 3 2" xfId="378"/>
    <cellStyle name="Ergebnis 1 3 3 2 2" xfId="379"/>
    <cellStyle name="Ergebnis 1 3 3 2 3" xfId="380"/>
    <cellStyle name="Ergebnis 1 3 3 3" xfId="381"/>
    <cellStyle name="Ergebnis 1 3 3 4" xfId="382"/>
    <cellStyle name="Ergebnis 1 3 3 5" xfId="383"/>
    <cellStyle name="Ergebnis 1 3 4" xfId="384"/>
    <cellStyle name="Ergebnis 1 3 4 2" xfId="385"/>
    <cellStyle name="Ergebnis 1 3 4 3" xfId="386"/>
    <cellStyle name="Ergebnis 1 3 5" xfId="387"/>
    <cellStyle name="Ergebnis 1 3 6" xfId="388"/>
    <cellStyle name="Ergebnis 1 4" xfId="389"/>
    <cellStyle name="Ergebnis 1 4 2" xfId="390"/>
    <cellStyle name="Ergebnis 1 4 2 2" xfId="391"/>
    <cellStyle name="Ergebnis 1 4 2 3" xfId="392"/>
    <cellStyle name="Ergebnis 1 4 3" xfId="393"/>
    <cellStyle name="Ergebnis 1 4 4" xfId="394"/>
    <cellStyle name="Ergebnis 1 4 5" xfId="395"/>
    <cellStyle name="Ergebnis 1 5" xfId="396"/>
    <cellStyle name="Ergebnis 1 5 2" xfId="397"/>
    <cellStyle name="Ergebnis 1 5 2 2" xfId="398"/>
    <cellStyle name="Ergebnis 1 5 2 3" xfId="399"/>
    <cellStyle name="Ergebnis 1 5 3" xfId="400"/>
    <cellStyle name="Ergebnis 1 5 4" xfId="401"/>
    <cellStyle name="Ergebnis 1 5 5" xfId="402"/>
    <cellStyle name="Ergebnis 1 6" xfId="403"/>
    <cellStyle name="Ergebnis 1 6 2" xfId="404"/>
    <cellStyle name="Ergebnis 1 6 3" xfId="405"/>
    <cellStyle name="Ergebnis 1 7" xfId="406"/>
    <cellStyle name="Ergebnis 1 8" xfId="407"/>
    <cellStyle name="Erklärender Text 2" xfId="408"/>
    <cellStyle name="Erklärender Text 3" xfId="409"/>
    <cellStyle name="Excel Built-in Input" xfId="410"/>
    <cellStyle name="Gut 2" xfId="411"/>
    <cellStyle name="Hyperlink 2" xfId="413"/>
    <cellStyle name="Hyperlink 3" xfId="414"/>
    <cellStyle name="Komma" xfId="167" builtinId="3"/>
    <cellStyle name="Komma 10" xfId="415"/>
    <cellStyle name="Komma 11" xfId="416"/>
    <cellStyle name="Komma 2" xfId="417"/>
    <cellStyle name="Komma 2 2" xfId="418"/>
    <cellStyle name="Komma 2 3" xfId="419"/>
    <cellStyle name="Komma 3" xfId="420"/>
    <cellStyle name="Komma 4" xfId="421"/>
    <cellStyle name="Komma 5" xfId="422"/>
    <cellStyle name="Komma 5 2" xfId="423"/>
    <cellStyle name="Komma 5 2 2" xfId="424"/>
    <cellStyle name="Komma 5 2 2 2" xfId="425"/>
    <cellStyle name="Komma 5 2 2 2 2" xfId="426"/>
    <cellStyle name="Komma 5 2 2 3" xfId="427"/>
    <cellStyle name="Komma 5 2 3" xfId="428"/>
    <cellStyle name="Komma 5 2 3 2" xfId="429"/>
    <cellStyle name="Komma 5 2 4" xfId="430"/>
    <cellStyle name="Komma 5 2 5" xfId="431"/>
    <cellStyle name="Komma 5 3" xfId="432"/>
    <cellStyle name="Komma 5 3 2" xfId="433"/>
    <cellStyle name="Komma 5 3 2 2" xfId="434"/>
    <cellStyle name="Komma 5 3 3" xfId="435"/>
    <cellStyle name="Komma 5 3 4" xfId="436"/>
    <cellStyle name="Komma 5 4" xfId="437"/>
    <cellStyle name="Komma 5 4 2" xfId="438"/>
    <cellStyle name="Komma 5 5" xfId="439"/>
    <cellStyle name="Komma 5 6" xfId="440"/>
    <cellStyle name="Komma 6" xfId="441"/>
    <cellStyle name="Komma 7" xfId="442"/>
    <cellStyle name="Komma 7 2" xfId="443"/>
    <cellStyle name="Komma 7 2 2" xfId="444"/>
    <cellStyle name="Komma 7 2 2 2" xfId="445"/>
    <cellStyle name="Komma 7 2 3" xfId="446"/>
    <cellStyle name="Komma 7 3" xfId="447"/>
    <cellStyle name="Komma 7 3 2" xfId="448"/>
    <cellStyle name="Komma 7 4" xfId="449"/>
    <cellStyle name="Komma 7 5" xfId="450"/>
    <cellStyle name="Komma 8" xfId="451"/>
    <cellStyle name="Komma 8 2" xfId="452"/>
    <cellStyle name="Komma 8 2 2" xfId="453"/>
    <cellStyle name="Komma 8 3" xfId="454"/>
    <cellStyle name="Komma 8 4" xfId="455"/>
    <cellStyle name="Komma 9" xfId="456"/>
    <cellStyle name="Link" xfId="412" builtinId="8"/>
    <cellStyle name="Neutral 2" xfId="457"/>
    <cellStyle name="Notiz 2" xfId="458"/>
    <cellStyle name="Notiz 2 10" xfId="459"/>
    <cellStyle name="Notiz 2 2" xfId="460"/>
    <cellStyle name="Notiz 2 2 2" xfId="461"/>
    <cellStyle name="Notiz 2 2 2 2" xfId="462"/>
    <cellStyle name="Notiz 2 2 2 2 2" xfId="463"/>
    <cellStyle name="Notiz 2 2 2 2 2 2" xfId="464"/>
    <cellStyle name="Notiz 2 2 2 2 2 3" xfId="465"/>
    <cellStyle name="Notiz 2 2 2 2 3" xfId="466"/>
    <cellStyle name="Notiz 2 2 2 2 4" xfId="467"/>
    <cellStyle name="Notiz 2 2 2 2 5" xfId="468"/>
    <cellStyle name="Notiz 2 2 2 3" xfId="469"/>
    <cellStyle name="Notiz 2 2 2 3 2" xfId="470"/>
    <cellStyle name="Notiz 2 2 2 3 2 2" xfId="471"/>
    <cellStyle name="Notiz 2 2 2 3 2 3" xfId="472"/>
    <cellStyle name="Notiz 2 2 2 3 3" xfId="473"/>
    <cellStyle name="Notiz 2 2 2 3 4" xfId="474"/>
    <cellStyle name="Notiz 2 2 2 3 5" xfId="475"/>
    <cellStyle name="Notiz 2 2 2 4" xfId="476"/>
    <cellStyle name="Notiz 2 2 2 4 2" xfId="477"/>
    <cellStyle name="Notiz 2 2 2 4 3" xfId="478"/>
    <cellStyle name="Notiz 2 2 2 5" xfId="479"/>
    <cellStyle name="Notiz 2 2 2 6" xfId="480"/>
    <cellStyle name="Notiz 2 2 3" xfId="481"/>
    <cellStyle name="Notiz 2 2 3 2" xfId="482"/>
    <cellStyle name="Notiz 2 2 3 2 2" xfId="483"/>
    <cellStyle name="Notiz 2 2 3 2 3" xfId="484"/>
    <cellStyle name="Notiz 2 2 3 3" xfId="485"/>
    <cellStyle name="Notiz 2 2 3 4" xfId="486"/>
    <cellStyle name="Notiz 2 2 3 5" xfId="487"/>
    <cellStyle name="Notiz 2 2 4" xfId="488"/>
    <cellStyle name="Notiz 2 2 4 2" xfId="489"/>
    <cellStyle name="Notiz 2 2 4 2 2" xfId="490"/>
    <cellStyle name="Notiz 2 2 4 2 3" xfId="491"/>
    <cellStyle name="Notiz 2 2 4 3" xfId="492"/>
    <cellStyle name="Notiz 2 2 4 4" xfId="493"/>
    <cellStyle name="Notiz 2 2 4 5" xfId="494"/>
    <cellStyle name="Notiz 2 2 5" xfId="495"/>
    <cellStyle name="Notiz 2 2 5 2" xfId="496"/>
    <cellStyle name="Notiz 2 2 5 3" xfId="497"/>
    <cellStyle name="Notiz 2 2 6" xfId="498"/>
    <cellStyle name="Notiz 2 2 6 2" xfId="499"/>
    <cellStyle name="Notiz 2 2 6 3" xfId="500"/>
    <cellStyle name="Notiz 2 2 7" xfId="501"/>
    <cellStyle name="Notiz 2 2 8" xfId="502"/>
    <cellStyle name="Notiz 2 2 9" xfId="503"/>
    <cellStyle name="Notiz 2 3" xfId="504"/>
    <cellStyle name="Notiz 2 3 2" xfId="505"/>
    <cellStyle name="Notiz 2 3 2 2" xfId="506"/>
    <cellStyle name="Notiz 2 3 2 2 2" xfId="507"/>
    <cellStyle name="Notiz 2 3 2 2 3" xfId="508"/>
    <cellStyle name="Notiz 2 3 2 3" xfId="509"/>
    <cellStyle name="Notiz 2 3 2 4" xfId="510"/>
    <cellStyle name="Notiz 2 3 2 5" xfId="511"/>
    <cellStyle name="Notiz 2 3 3" xfId="512"/>
    <cellStyle name="Notiz 2 3 3 2" xfId="513"/>
    <cellStyle name="Notiz 2 3 3 2 2" xfId="514"/>
    <cellStyle name="Notiz 2 3 3 2 3" xfId="515"/>
    <cellStyle name="Notiz 2 3 3 3" xfId="516"/>
    <cellStyle name="Notiz 2 3 3 4" xfId="517"/>
    <cellStyle name="Notiz 2 3 3 5" xfId="518"/>
    <cellStyle name="Notiz 2 3 4" xfId="519"/>
    <cellStyle name="Notiz 2 3 4 2" xfId="520"/>
    <cellStyle name="Notiz 2 3 4 3" xfId="521"/>
    <cellStyle name="Notiz 2 3 5" xfId="522"/>
    <cellStyle name="Notiz 2 3 6" xfId="523"/>
    <cellStyle name="Notiz 2 4" xfId="524"/>
    <cellStyle name="Notiz 2 4 2" xfId="525"/>
    <cellStyle name="Notiz 2 4 2 2" xfId="526"/>
    <cellStyle name="Notiz 2 4 2 3" xfId="527"/>
    <cellStyle name="Notiz 2 4 3" xfId="528"/>
    <cellStyle name="Notiz 2 4 4" xfId="529"/>
    <cellStyle name="Notiz 2 4 5" xfId="530"/>
    <cellStyle name="Notiz 2 5" xfId="531"/>
    <cellStyle name="Notiz 2 5 2" xfId="532"/>
    <cellStyle name="Notiz 2 5 2 2" xfId="533"/>
    <cellStyle name="Notiz 2 5 2 3" xfId="534"/>
    <cellStyle name="Notiz 2 5 3" xfId="535"/>
    <cellStyle name="Notiz 2 5 4" xfId="536"/>
    <cellStyle name="Notiz 2 5 5" xfId="537"/>
    <cellStyle name="Notiz 2 6" xfId="538"/>
    <cellStyle name="Notiz 2 6 2" xfId="539"/>
    <cellStyle name="Notiz 2 6 3" xfId="540"/>
    <cellStyle name="Notiz 2 7" xfId="541"/>
    <cellStyle name="Notiz 2 7 2" xfId="542"/>
    <cellStyle name="Notiz 2 7 3" xfId="543"/>
    <cellStyle name="Notiz 2 8" xfId="544"/>
    <cellStyle name="Notiz 2 9" xfId="545"/>
    <cellStyle name="Prozent" xfId="546" builtinId="5"/>
    <cellStyle name="Prozent 2" xfId="547"/>
    <cellStyle name="Prozent 3" xfId="548"/>
    <cellStyle name="Prozent 4" xfId="549"/>
    <cellStyle name="Prozent 5" xfId="550"/>
    <cellStyle name="Prozent 6" xfId="551"/>
    <cellStyle name="Prozent 7" xfId="552"/>
    <cellStyle name="Schlecht 2" xfId="553"/>
    <cellStyle name="Standard" xfId="0" builtinId="0"/>
    <cellStyle name="Standard 10" xfId="554"/>
    <cellStyle name="Standard 10 2" xfId="555"/>
    <cellStyle name="Standard 10 2 2" xfId="556"/>
    <cellStyle name="Standard 10 2 2 2" xfId="557"/>
    <cellStyle name="Standard 10 2 3" xfId="558"/>
    <cellStyle name="Standard 10 2 4" xfId="559"/>
    <cellStyle name="Standard 10 3" xfId="560"/>
    <cellStyle name="Standard 10 3 2" xfId="561"/>
    <cellStyle name="Standard 10 4" xfId="562"/>
    <cellStyle name="Standard 10 5" xfId="563"/>
    <cellStyle name="Standard 11" xfId="564"/>
    <cellStyle name="Standard 11 2" xfId="565"/>
    <cellStyle name="Standard 11 2 2" xfId="566"/>
    <cellStyle name="Standard 11 3" xfId="567"/>
    <cellStyle name="Standard 11 4" xfId="568"/>
    <cellStyle name="Standard 11 5" xfId="569"/>
    <cellStyle name="Standard 11 6" xfId="624"/>
    <cellStyle name="Standard 12" xfId="570"/>
    <cellStyle name="Standard 12 2" xfId="571"/>
    <cellStyle name="Standard 12 3" xfId="572"/>
    <cellStyle name="Standard 13" xfId="573"/>
    <cellStyle name="Standard 14" xfId="574"/>
    <cellStyle name="Standard 14 2" xfId="575"/>
    <cellStyle name="Standard 15" xfId="576"/>
    <cellStyle name="Standard 16" xfId="577"/>
    <cellStyle name="Standard 17" xfId="625"/>
    <cellStyle name="Standard 18" xfId="626"/>
    <cellStyle name="Standard 2" xfId="578"/>
    <cellStyle name="Standard 2 2" xfId="579"/>
    <cellStyle name="Standard 2 3" xfId="580"/>
    <cellStyle name="Standard 3" xfId="581"/>
    <cellStyle name="Standard 4" xfId="582"/>
    <cellStyle name="Standard 4 2" xfId="583"/>
    <cellStyle name="Standard 4 2 2" xfId="584"/>
    <cellStyle name="Standard 4 3" xfId="585"/>
    <cellStyle name="Standard 5" xfId="586"/>
    <cellStyle name="Standard 6" xfId="587"/>
    <cellStyle name="Standard 7" xfId="588"/>
    <cellStyle name="Standard 8" xfId="589"/>
    <cellStyle name="Standard 8 2" xfId="590"/>
    <cellStyle name="Standard 8 2 2" xfId="591"/>
    <cellStyle name="Standard 8 2 2 2" xfId="592"/>
    <cellStyle name="Standard 8 2 2 2 2" xfId="593"/>
    <cellStyle name="Standard 8 2 2 3" xfId="594"/>
    <cellStyle name="Standard 8 2 3" xfId="595"/>
    <cellStyle name="Standard 8 2 3 2" xfId="596"/>
    <cellStyle name="Standard 8 2 4" xfId="597"/>
    <cellStyle name="Standard 8 2 5" xfId="598"/>
    <cellStyle name="Standard 8 3" xfId="599"/>
    <cellStyle name="Standard 8 3 2" xfId="600"/>
    <cellStyle name="Standard 8 3 2 2" xfId="601"/>
    <cellStyle name="Standard 8 3 3" xfId="602"/>
    <cellStyle name="Standard 8 3 4" xfId="603"/>
    <cellStyle name="Standard 8 4" xfId="604"/>
    <cellStyle name="Standard 8 4 2" xfId="605"/>
    <cellStyle name="Standard 8 5" xfId="606"/>
    <cellStyle name="Standard 8 6" xfId="607"/>
    <cellStyle name="Standard 8 7" xfId="608"/>
    <cellStyle name="Standard 9" xfId="609"/>
    <cellStyle name="Überschrift 1 1" xfId="610"/>
    <cellStyle name="Überschrift 1 1 1" xfId="611"/>
    <cellStyle name="Überschrift 1 2" xfId="612"/>
    <cellStyle name="Überschrift 2 2" xfId="613"/>
    <cellStyle name="Überschrift 3 2" xfId="614"/>
    <cellStyle name="Überschrift 3 2 2" xfId="615"/>
    <cellStyle name="Überschrift 4 2" xfId="616"/>
    <cellStyle name="Verknüpfte Zelle 2" xfId="617"/>
    <cellStyle name="Währung" xfId="618" builtinId="4"/>
    <cellStyle name="Währung 2" xfId="619"/>
    <cellStyle name="Währung 3" xfId="620"/>
    <cellStyle name="Währung 4" xfId="621"/>
    <cellStyle name="Warnender Text 2" xfId="622"/>
    <cellStyle name="Zelle überprüfen 2" xfId="623"/>
  </cellStyles>
  <dxfs count="330">
    <dxf>
      <fill>
        <patternFill patternType="solid">
          <fgColor indexed="34"/>
          <bgColor indexed="51"/>
        </patternFill>
      </fill>
    </dxf>
    <dxf>
      <font>
        <b/>
        <i val="0"/>
        <condense val="0"/>
        <extend val="0"/>
        <color indexed="0"/>
      </font>
      <fill>
        <patternFill patternType="solid">
          <fgColor indexed="33"/>
          <bgColor indexed="29"/>
        </patternFill>
      </fill>
    </dxf>
    <dxf>
      <fill>
        <patternFill patternType="solid">
          <fgColor indexed="15"/>
          <bgColor indexed="42"/>
        </patternFill>
      </fill>
    </dxf>
    <dxf>
      <fill>
        <patternFill patternType="solid">
          <fgColor indexed="41"/>
          <bgColor indexed="27"/>
        </patternFill>
      </fill>
    </dxf>
    <dxf>
      <numFmt numFmtId="0" formatCode="General"/>
      <border diagonalUp="0" diagonalDown="0">
        <left/>
        <right style="medium">
          <color indexed="64"/>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style="medium">
          <color indexed="64"/>
        </left>
        <right/>
        <top style="medium">
          <color auto="1"/>
        </top>
        <bottom style="medium">
          <color auto="1"/>
        </bottom>
        <vertical/>
        <horizontal style="medium">
          <color auto="1"/>
        </horizontal>
      </border>
    </dxf>
    <dxf>
      <numFmt numFmtId="0" formatCode="General"/>
      <fill>
        <patternFill patternType="none">
          <fgColor indexed="64"/>
          <bgColor indexed="65"/>
        </patternFill>
      </fill>
      <alignment horizontal="center" vertical="bottom" textRotation="0" wrapText="0" indent="0" justifyLastLine="0" shrinkToFit="0" readingOrder="0"/>
    </dxf>
    <dxf>
      <numFmt numFmtId="0" formatCode="General"/>
      <fill>
        <patternFill patternType="none">
          <fgColor indexed="64"/>
          <bgColor indexed="65"/>
        </patternFill>
      </fill>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border diagonalUp="0" diagonalDown="0" outline="0">
        <left style="thin">
          <color auto="1"/>
        </left>
        <right style="thin">
          <color indexed="64"/>
        </right>
        <top style="thin">
          <color indexed="64"/>
        </top>
        <bottom style="thin">
          <color indexed="64"/>
        </bottom>
      </border>
    </dxf>
    <dxf>
      <border diagonalUp="0" diagonalDown="0">
        <left style="thin">
          <color auto="1"/>
        </left>
        <right style="thin">
          <color indexed="64"/>
        </right>
        <top style="thin">
          <color indexed="64"/>
        </top>
        <bottom style="thin">
          <color indexed="64"/>
        </bottom>
        <vertical/>
        <horizontal/>
      </border>
    </dxf>
    <dxf>
      <border diagonalUp="0" diagonalDown="0">
        <left style="thin">
          <color auto="1"/>
        </left>
        <right style="thin">
          <color indexed="64"/>
        </right>
        <top style="thin">
          <color indexed="64"/>
        </top>
        <bottom style="thin">
          <color indexed="64"/>
        </bottom>
        <vertical/>
        <horizontal/>
      </border>
    </dxf>
    <dxf>
      <border outline="0">
        <bottom style="thin">
          <color rgb="FF000000"/>
        </bottom>
      </border>
    </dxf>
    <dxf>
      <font>
        <color rgb="FF006100"/>
      </font>
      <fill>
        <patternFill>
          <bgColor rgb="FFC6EFCE"/>
        </patternFill>
      </fill>
    </dxf>
    <dxf>
      <font>
        <color rgb="FF9C0006"/>
      </font>
      <fill>
        <patternFill>
          <bgColor rgb="FFFFC7CE"/>
        </patternFill>
      </fill>
    </dxf>
    <dxf>
      <fill>
        <patternFill patternType="none">
          <bgColor auto="1"/>
        </patternFill>
      </fill>
    </dxf>
    <dxf>
      <font>
        <color rgb="FF9C0006"/>
      </font>
      <fill>
        <patternFill>
          <bgColor rgb="FFFFC7CE"/>
        </patternFill>
      </fill>
    </dxf>
    <dxf>
      <font>
        <strike val="0"/>
        <color auto="1"/>
      </font>
      <fill>
        <patternFill>
          <bgColor theme="7" tint="0.79998168889431442"/>
        </patternFill>
      </fill>
    </dxf>
    <dxf>
      <fill>
        <patternFill>
          <bgColor rgb="FFCCFFCC"/>
        </patternFill>
      </fill>
    </dxf>
    <dxf>
      <font>
        <color rgb="FF006100"/>
      </font>
      <fill>
        <patternFill>
          <bgColor rgb="FFC6EFCE"/>
        </patternFill>
      </fill>
    </dxf>
    <dxf>
      <font>
        <color rgb="FF9C0006"/>
      </font>
      <fill>
        <patternFill>
          <bgColor rgb="FFFFC7CE"/>
        </patternFill>
      </fill>
    </dxf>
    <dxf>
      <fill>
        <patternFill patternType="none">
          <bgColor auto="1"/>
        </patternFill>
      </fill>
    </dxf>
    <dxf>
      <font>
        <color rgb="FF9C0006"/>
      </font>
      <fill>
        <patternFill>
          <bgColor rgb="FFFFC7CE"/>
        </patternFill>
      </fill>
    </dxf>
    <dxf>
      <font>
        <strike val="0"/>
        <color auto="1"/>
      </font>
      <fill>
        <patternFill>
          <bgColor theme="7" tint="0.79998168889431442"/>
        </patternFill>
      </fill>
    </dxf>
    <dxf>
      <fill>
        <patternFill>
          <bgColor rgb="FFCCFFCC"/>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66FF33"/>
        </patternFill>
      </fill>
    </dxf>
    <dxf>
      <font>
        <b/>
        <i val="0"/>
        <color rgb="FFFF0000"/>
      </font>
    </dxf>
    <dxf>
      <font>
        <b/>
        <i val="0"/>
        <color rgb="FFFF0000"/>
      </font>
      <fill>
        <patternFill>
          <bgColor rgb="FFCCECFF"/>
        </patternFill>
      </fill>
    </dxf>
    <dxf>
      <font>
        <b/>
        <i val="0"/>
        <color rgb="FFFF0000"/>
      </font>
    </dxf>
    <dxf>
      <font>
        <b/>
        <i val="0"/>
        <color rgb="FFFF0000"/>
      </font>
    </dxf>
    <dxf>
      <font>
        <b/>
        <i val="0"/>
        <color rgb="FFFF0000"/>
      </font>
    </dxf>
    <dxf>
      <font>
        <color theme="0"/>
      </font>
      <fill>
        <patternFill>
          <bgColor rgb="FFFF0000"/>
        </patternFill>
      </fill>
    </dxf>
    <dxf>
      <font>
        <color theme="0"/>
      </font>
      <fill>
        <patternFill>
          <bgColor rgb="FFFF0000"/>
        </patternFill>
      </fill>
    </dxf>
    <dxf>
      <fill>
        <patternFill>
          <bgColor rgb="FFFFC000"/>
        </patternFill>
      </fill>
    </dxf>
    <dxf>
      <font>
        <strike val="0"/>
      </font>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ont>
        <b/>
        <i val="0"/>
        <strike val="0"/>
        <color rgb="FFFF0000"/>
      </font>
    </dxf>
    <dxf>
      <font>
        <b/>
        <i val="0"/>
        <strike val="0"/>
        <color rgb="FFFF0000"/>
      </font>
    </dxf>
    <dxf>
      <font>
        <b/>
        <i val="0"/>
        <strike val="0"/>
        <color rgb="FFFF0000"/>
      </font>
    </dxf>
    <dxf>
      <fill>
        <patternFill>
          <bgColor rgb="FFFFC000"/>
        </patternFill>
      </fill>
    </dxf>
    <dxf>
      <fill>
        <patternFill>
          <bgColor rgb="FF92D050"/>
        </patternFill>
      </fill>
    </dxf>
    <dxf>
      <fill>
        <patternFill>
          <bgColor rgb="FFFFC000"/>
        </patternFill>
      </fill>
    </dxf>
    <dxf>
      <fill>
        <patternFill>
          <bgColor rgb="FFFFC000"/>
        </patternFill>
      </fill>
    </dxf>
    <dxf>
      <font>
        <b/>
        <i val="0"/>
        <color rgb="FF008000"/>
      </font>
    </dxf>
    <dxf>
      <font>
        <b/>
        <i val="0"/>
        <color rgb="FFFF0000"/>
      </font>
      <fill>
        <patternFill>
          <bgColor rgb="FFCCFFFF"/>
        </patternFill>
      </fill>
    </dxf>
    <dxf>
      <font>
        <b/>
        <i val="0"/>
        <strike val="0"/>
        <color rgb="FFFF0000"/>
      </font>
    </dxf>
    <dxf>
      <fill>
        <patternFill>
          <bgColor rgb="FFFFC000"/>
        </patternFill>
      </fill>
    </dxf>
    <dxf>
      <font>
        <strike val="0"/>
        <color rgb="FFFF0000"/>
      </font>
      <fill>
        <patternFill>
          <bgColor rgb="FFFFFFCC"/>
        </patternFill>
      </fill>
    </dxf>
    <dxf>
      <fill>
        <patternFill>
          <bgColor rgb="FF92D050"/>
        </patternFill>
      </fill>
    </dxf>
    <dxf>
      <font>
        <strike val="0"/>
        <color rgb="FFFF0000"/>
      </font>
      <fill>
        <patternFill>
          <bgColor rgb="FFCCFF99"/>
        </patternFill>
      </fill>
    </dxf>
    <dxf>
      <fill>
        <patternFill>
          <bgColor rgb="FF92D050"/>
        </patternFill>
      </fill>
    </dxf>
    <dxf>
      <font>
        <strike val="0"/>
        <color rgb="FFFF0000"/>
      </font>
      <fill>
        <patternFill>
          <bgColor rgb="FFFFFFCC"/>
        </patternFill>
      </fill>
    </dxf>
    <dxf>
      <fill>
        <patternFill>
          <bgColor rgb="FFFFC000"/>
        </patternFill>
      </fill>
      <border>
        <left style="thin">
          <color auto="1"/>
        </left>
        <right style="thin">
          <color auto="1"/>
        </right>
        <top style="thin">
          <color auto="1"/>
        </top>
        <bottom style="thin">
          <color auto="1"/>
        </bottom>
      </border>
    </dxf>
    <dxf>
      <font>
        <b val="0"/>
        <i val="0"/>
        <strike val="0"/>
      </font>
      <fill>
        <patternFill>
          <bgColor rgb="FFFFC000"/>
        </patternFill>
      </fill>
      <border>
        <left style="thin">
          <color auto="1"/>
        </left>
        <right style="thin">
          <color auto="1"/>
        </right>
        <top style="thin">
          <color auto="1"/>
        </top>
        <bottom style="thin">
          <color auto="1"/>
        </bottom>
      </border>
    </dxf>
    <dxf>
      <font>
        <strike val="0"/>
        <color rgb="FFFF0000"/>
      </font>
      <fill>
        <patternFill>
          <bgColor rgb="FFFFFFCC"/>
        </patternFill>
      </fill>
    </dxf>
    <dxf>
      <font>
        <strike val="0"/>
        <color rgb="FFFF0000"/>
      </font>
      <fill>
        <patternFill>
          <bgColor rgb="FFFFFFCC"/>
        </patternFill>
      </fill>
    </dxf>
    <dxf>
      <font>
        <strike val="0"/>
        <color rgb="FFFF0000"/>
      </font>
      <fill>
        <patternFill>
          <bgColor rgb="FFFFFFCC"/>
        </patternFill>
      </fill>
    </dxf>
    <dxf>
      <font>
        <b/>
        <i val="0"/>
        <strike val="0"/>
        <color rgb="FFFF0000"/>
      </font>
    </dxf>
    <dxf>
      <font>
        <b/>
        <i val="0"/>
        <strike val="0"/>
        <color rgb="FFFF0000"/>
      </font>
    </dxf>
    <dxf>
      <font>
        <b/>
        <i val="0"/>
        <strike val="0"/>
        <color rgb="FFFF0000"/>
      </font>
    </dxf>
    <dxf>
      <font>
        <b/>
        <i val="0"/>
        <strike val="0"/>
        <color rgb="FFFF0000"/>
      </font>
    </dxf>
    <dxf>
      <fill>
        <patternFill>
          <bgColor rgb="FFFFC000"/>
        </patternFill>
      </fill>
    </dxf>
    <dxf>
      <font>
        <strike val="0"/>
        <color rgb="FFFF0000"/>
      </font>
      <fill>
        <patternFill>
          <bgColor rgb="FFFFFFCC"/>
        </patternFill>
      </fill>
    </dxf>
    <dxf>
      <font>
        <strike val="0"/>
        <color rgb="FFFF0000"/>
      </font>
      <fill>
        <patternFill>
          <bgColor rgb="FFCCFF99"/>
        </patternFill>
      </fill>
    </dxf>
    <dxf>
      <font>
        <strike val="0"/>
      </font>
      <fill>
        <patternFill>
          <bgColor rgb="FF92D050"/>
        </patternFill>
      </fill>
    </dxf>
    <dxf>
      <fill>
        <patternFill>
          <bgColor rgb="FF92D050"/>
        </patternFill>
      </fill>
    </dxf>
    <dxf>
      <fill>
        <patternFill>
          <bgColor rgb="FF92D050"/>
        </patternFill>
      </fill>
    </dxf>
    <dxf>
      <font>
        <strike val="0"/>
        <color rgb="FFFF0000"/>
      </font>
      <fill>
        <patternFill>
          <bgColor rgb="FFFFFFCC"/>
        </patternFill>
      </fill>
    </dxf>
    <dxf>
      <font>
        <strike val="0"/>
      </font>
      <fill>
        <patternFill>
          <bgColor rgb="FFFFC000"/>
        </patternFill>
      </fill>
    </dxf>
    <dxf>
      <fill>
        <patternFill>
          <bgColor rgb="FFFFC000"/>
        </patternFill>
      </fill>
    </dxf>
    <dxf>
      <font>
        <strike val="0"/>
        <color rgb="FFFF0000"/>
      </font>
      <fill>
        <patternFill>
          <bgColor rgb="FFFFFFCC"/>
        </patternFill>
      </fill>
    </dxf>
    <dxf>
      <font>
        <strike val="0"/>
        <color rgb="FFFF0000"/>
      </font>
      <fill>
        <patternFill>
          <bgColor rgb="FFFFFFCC"/>
        </patternFill>
      </fill>
    </dxf>
    <dxf>
      <font>
        <b val="0"/>
        <i val="0"/>
        <strike val="0"/>
        <color rgb="FFFF0000"/>
      </font>
      <fill>
        <patternFill>
          <bgColor rgb="FFFFFFCC"/>
        </patternFill>
      </fill>
    </dxf>
    <dxf>
      <font>
        <b val="0"/>
        <i val="0"/>
        <strike val="0"/>
        <color rgb="FFFF0000"/>
      </font>
      <fill>
        <patternFill>
          <bgColor rgb="FFFFFFCC"/>
        </patternFill>
      </fill>
    </dxf>
    <dxf>
      <font>
        <b/>
        <i val="0"/>
        <strike val="0"/>
        <color rgb="FFFF0000"/>
      </font>
    </dxf>
    <dxf>
      <font>
        <b/>
        <i val="0"/>
        <strike val="0"/>
        <color rgb="FFFF0000"/>
      </font>
    </dxf>
    <dxf>
      <font>
        <b/>
        <i val="0"/>
        <strike val="0"/>
        <color rgb="FFFF0000"/>
      </font>
    </dxf>
    <dxf>
      <font>
        <b/>
        <i val="0"/>
        <strike val="0"/>
        <color rgb="FFFF0000"/>
      </font>
    </dxf>
    <dxf>
      <fill>
        <patternFill>
          <bgColor rgb="FFFFC000"/>
        </patternFill>
      </fill>
    </dxf>
    <dxf>
      <font>
        <strike val="0"/>
        <color rgb="FFFF0000"/>
      </font>
      <fill>
        <patternFill>
          <bgColor rgb="FFFFFFCC"/>
        </patternFill>
      </fill>
    </dxf>
    <dxf>
      <fill>
        <patternFill>
          <bgColor rgb="FF92D050"/>
        </patternFill>
      </fill>
    </dxf>
    <dxf>
      <fill>
        <patternFill>
          <bgColor rgb="FF92D050"/>
        </patternFill>
      </fill>
    </dxf>
    <dxf>
      <font>
        <strike val="0"/>
        <color rgb="FFFF0000"/>
      </font>
      <fill>
        <patternFill>
          <bgColor rgb="FFCCFF99"/>
        </patternFill>
      </fill>
    </dxf>
    <dxf>
      <fill>
        <patternFill>
          <bgColor rgb="FF92D050"/>
        </patternFill>
      </fill>
      <border>
        <left style="thin">
          <color auto="1"/>
        </left>
        <right style="thin">
          <color auto="1"/>
        </right>
        <top style="thin">
          <color auto="1"/>
        </top>
        <bottom style="thin">
          <color auto="1"/>
        </bottom>
      </border>
    </dxf>
    <dxf>
      <fill>
        <patternFill>
          <bgColor rgb="FF92D050"/>
        </patternFill>
      </fill>
    </dxf>
    <dxf>
      <font>
        <strike val="0"/>
      </font>
      <fill>
        <patternFill>
          <bgColor rgb="FFFFC000"/>
        </patternFill>
      </fill>
      <border>
        <left style="thin">
          <color auto="1"/>
        </left>
        <right style="thin">
          <color auto="1"/>
        </right>
        <top style="thin">
          <color auto="1"/>
        </top>
        <bottom style="thin">
          <color auto="1"/>
        </bottom>
      </border>
    </dxf>
    <dxf>
      <font>
        <strike val="0"/>
      </font>
      <fill>
        <patternFill>
          <bgColor rgb="FFFFC000"/>
        </patternFill>
      </fill>
      <border>
        <left style="thin">
          <color auto="1"/>
        </left>
        <right style="thin">
          <color auto="1"/>
        </right>
        <top style="thin">
          <color auto="1"/>
        </top>
        <bottom style="thin">
          <color auto="1"/>
        </bottom>
      </border>
    </dxf>
    <dxf>
      <font>
        <strike val="0"/>
        <color rgb="FFFF0000"/>
      </font>
      <fill>
        <patternFill>
          <bgColor rgb="FFFFFFCC"/>
        </patternFill>
      </fill>
      <border>
        <left style="thin">
          <color auto="1"/>
        </left>
        <right style="thin">
          <color auto="1"/>
        </right>
        <top style="thin">
          <color auto="1"/>
        </top>
        <bottom style="thin">
          <color auto="1"/>
        </bottom>
      </border>
    </dxf>
    <dxf>
      <font>
        <b val="0"/>
        <i val="0"/>
        <strike val="0"/>
        <color rgb="FFFF0000"/>
      </font>
      <fill>
        <patternFill patternType="solid">
          <bgColor rgb="FFFFFFCC"/>
        </patternFill>
      </fill>
    </dxf>
    <dxf>
      <font>
        <strike val="0"/>
        <color rgb="FFFF0000"/>
      </font>
      <fill>
        <patternFill>
          <bgColor rgb="FFFFFFCC"/>
        </patternFill>
      </fill>
    </dxf>
    <dxf>
      <font>
        <strike val="0"/>
        <color rgb="FFFF0000"/>
      </font>
      <fill>
        <patternFill>
          <bgColor rgb="FFFFFFCC"/>
        </patternFill>
      </fill>
    </dxf>
    <dxf>
      <font>
        <strike val="0"/>
        <color rgb="FFFF0000"/>
      </font>
      <fill>
        <patternFill>
          <bgColor rgb="FFFFFFCC"/>
        </patternFill>
      </fill>
    </dxf>
    <dxf>
      <font>
        <strike val="0"/>
        <color rgb="FFFF0000"/>
      </font>
      <fill>
        <patternFill>
          <bgColor rgb="FFFFFFCC"/>
        </patternFill>
      </fill>
    </dxf>
    <dxf>
      <font>
        <b/>
        <i val="0"/>
        <strike val="0"/>
        <color rgb="FFFF0000"/>
      </font>
    </dxf>
    <dxf>
      <font>
        <b/>
        <i val="0"/>
        <strike val="0"/>
        <color rgb="FFFF0000"/>
      </font>
    </dxf>
    <dxf>
      <font>
        <b/>
        <i val="0"/>
        <strike val="0"/>
        <color rgb="FFFF0000"/>
      </font>
    </dxf>
    <dxf>
      <font>
        <b/>
        <i val="0"/>
        <strike val="0"/>
        <color rgb="FFFF0000"/>
      </font>
    </dxf>
    <dxf>
      <font>
        <b/>
        <i val="0"/>
        <strike val="0"/>
        <color rgb="FFFF0000"/>
      </font>
    </dxf>
    <dxf>
      <fill>
        <patternFill>
          <bgColor rgb="FFFFC000"/>
        </patternFill>
      </fill>
    </dxf>
    <dxf>
      <fill>
        <patternFill>
          <bgColor rgb="FFFFC000"/>
        </patternFill>
      </fill>
    </dxf>
    <dxf>
      <fill>
        <patternFill>
          <bgColor rgb="FFFFC000"/>
        </patternFill>
      </fill>
    </dxf>
    <dxf>
      <fill>
        <patternFill patternType="solid">
          <fgColor indexed="51"/>
          <bgColor indexed="34"/>
        </patternFill>
      </fill>
    </dxf>
    <dxf>
      <font>
        <b val="0"/>
        <i val="0"/>
        <condense val="0"/>
        <extend val="0"/>
        <color indexed="9"/>
      </font>
      <fill>
        <patternFill patternType="solid">
          <fgColor indexed="60"/>
          <bgColor indexed="10"/>
        </patternFill>
      </fill>
    </dxf>
    <dxf>
      <font>
        <b val="0"/>
        <i val="0"/>
        <condense val="0"/>
        <extend val="0"/>
        <color indexed="9"/>
      </font>
      <fill>
        <patternFill patternType="solid">
          <fgColor indexed="60"/>
          <bgColor indexed="10"/>
        </patternFill>
      </fill>
    </dxf>
    <dxf>
      <font>
        <b/>
        <i val="0"/>
        <condense val="0"/>
        <extend val="0"/>
      </font>
      <fill>
        <patternFill patternType="solid">
          <fgColor indexed="34"/>
          <bgColor indexed="52"/>
        </patternFill>
      </fill>
    </dxf>
    <dxf>
      <font>
        <b val="0"/>
        <i val="0"/>
        <condense val="0"/>
        <extend val="0"/>
        <color indexed="9"/>
      </font>
      <fill>
        <patternFill patternType="solid">
          <fgColor indexed="60"/>
          <bgColor indexed="10"/>
        </patternFill>
      </fill>
    </dxf>
    <dxf>
      <font>
        <b val="0"/>
        <i val="0"/>
        <condense val="0"/>
        <extend val="0"/>
        <color indexed="9"/>
      </font>
      <fill>
        <patternFill patternType="solid">
          <fgColor indexed="60"/>
          <bgColor indexed="10"/>
        </patternFill>
      </fil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ont>
        <b val="0"/>
        <i val="0"/>
        <strike val="0"/>
        <condense val="0"/>
        <extend val="0"/>
        <outline val="0"/>
        <shadow val="0"/>
        <u val="none"/>
        <vertAlign val="baseline"/>
        <sz val="10"/>
        <color theme="1"/>
        <name val="Arial"/>
        <scheme val="none"/>
      </font>
      <numFmt numFmtId="0" formatCode="General"/>
      <fill>
        <patternFill patternType="solid">
          <fgColor theme="4" tint="0.79998168889431442"/>
          <bgColor theme="4" tint="0.79998168889431442"/>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4" tint="0.79998168889431442"/>
          <bgColor theme="4" tint="0.79998168889431442"/>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4" tint="0.79998168889431442"/>
          <bgColor theme="4" tint="0.79998168889431442"/>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4" tint="0.59999389629810485"/>
          <bgColor theme="4" tint="0.59999389629810485"/>
        </patternFill>
      </fill>
      <border diagonalUp="0" diagonalDown="0">
        <left/>
        <right/>
        <top style="thin">
          <color theme="0"/>
        </top>
        <bottom/>
        <vertical/>
        <horizontal/>
      </border>
    </dxf>
    <dxf>
      <font>
        <b/>
        <i val="0"/>
        <strike val="0"/>
        <condense val="0"/>
        <extend val="0"/>
        <outline val="0"/>
        <shadow val="0"/>
        <u val="none"/>
        <vertAlign val="baseline"/>
        <sz val="10"/>
        <color theme="0"/>
        <name val="Arial"/>
        <scheme val="none"/>
      </font>
      <fill>
        <patternFill patternType="solid">
          <fgColor theme="4"/>
          <bgColor theme="4"/>
        </patternFill>
      </fill>
      <border diagonalUp="0" diagonalDown="0" outline="0">
        <left style="thin">
          <color theme="0"/>
        </left>
        <right style="thin">
          <color theme="0"/>
        </right>
        <top/>
        <bottom/>
      </border>
    </dxf>
    <dxf>
      <fill>
        <patternFill>
          <bgColor rgb="FFFFC000"/>
        </patternFill>
      </fill>
    </dxf>
    <dxf>
      <fill>
        <patternFill>
          <bgColor rgb="FF00FF00"/>
        </patternFill>
      </fill>
    </dxf>
    <dxf>
      <fill>
        <patternFill>
          <bgColor rgb="FFFFC000"/>
        </patternFill>
      </fill>
    </dxf>
    <dxf>
      <fill>
        <patternFill>
          <bgColor rgb="FF00FF00"/>
        </patternFill>
      </fill>
    </dxf>
    <dxf>
      <fill>
        <patternFill patternType="solid">
          <fgColor indexed="41"/>
          <bgColor indexed="27"/>
        </patternFill>
      </fill>
    </dxf>
    <dxf>
      <fill>
        <patternFill patternType="solid">
          <fgColor indexed="41"/>
          <bgColor indexed="27"/>
        </patternFill>
      </fill>
    </dxf>
    <dxf>
      <fill>
        <patternFill>
          <bgColor rgb="FFFFC000"/>
        </patternFill>
      </fill>
    </dxf>
    <dxf>
      <font>
        <color theme="0"/>
      </font>
      <fill>
        <patternFill>
          <bgColor rgb="FF0070C0"/>
        </patternFill>
      </fill>
    </dxf>
    <dxf>
      <font>
        <color theme="0"/>
      </font>
      <fill>
        <patternFill>
          <bgColor rgb="FF0070C0"/>
        </patternFill>
      </fill>
    </dxf>
    <dxf>
      <font>
        <b/>
        <i val="0"/>
        <color rgb="FFFF0000"/>
      </font>
      <fill>
        <patternFill>
          <bgColor rgb="FFFFC000"/>
        </patternFill>
      </fill>
    </dxf>
    <dxf>
      <font>
        <b/>
        <i val="0"/>
        <color rgb="FFFF0000"/>
      </font>
      <fill>
        <patternFill>
          <bgColor rgb="FFFFFFCC"/>
        </patternFill>
      </fill>
    </dxf>
    <dxf>
      <fill>
        <patternFill>
          <bgColor rgb="FFFF0000"/>
        </patternFill>
      </fill>
    </dxf>
    <dxf>
      <fill>
        <patternFill>
          <bgColor rgb="FFFFC000"/>
        </patternFill>
      </fill>
    </dxf>
    <dxf>
      <fill>
        <patternFill>
          <bgColor theme="9" tint="-0.24994659260841701"/>
        </patternFill>
      </fill>
    </dxf>
    <dxf>
      <font>
        <b/>
        <i val="0"/>
        <color theme="0"/>
      </font>
      <fill>
        <patternFill>
          <bgColor rgb="FF0066FF"/>
        </patternFill>
      </fill>
      <border>
        <left style="thin">
          <color auto="1"/>
        </left>
        <right style="thin">
          <color auto="1"/>
        </right>
        <top style="thin">
          <color auto="1"/>
        </top>
        <bottom style="thin">
          <color auto="1"/>
        </bottom>
      </border>
    </dxf>
    <dxf>
      <font>
        <b/>
        <i val="0"/>
        <color auto="1"/>
      </font>
      <fill>
        <patternFill>
          <bgColor rgb="FFFF6600"/>
        </patternFill>
      </fill>
      <border>
        <left style="thin">
          <color auto="1"/>
        </left>
        <right style="thin">
          <color auto="1"/>
        </right>
        <top style="thin">
          <color auto="1"/>
        </top>
        <bottom style="thin">
          <color auto="1"/>
        </bottom>
      </border>
    </dxf>
    <dxf>
      <font>
        <b/>
        <i val="0"/>
      </font>
      <fill>
        <patternFill>
          <bgColor rgb="FFFFC000"/>
        </patternFill>
      </fill>
    </dxf>
    <dxf>
      <font>
        <b/>
        <i val="0"/>
        <color theme="0"/>
      </font>
      <fill>
        <patternFill>
          <bgColor rgb="FF0066FF"/>
        </patternFill>
      </fill>
      <border>
        <left style="thin">
          <color auto="1"/>
        </left>
        <right/>
        <top style="thin">
          <color auto="1"/>
        </top>
        <bottom style="thin">
          <color auto="1"/>
        </bottom>
      </border>
    </dxf>
    <dxf>
      <font>
        <b/>
        <i val="0"/>
        <color auto="1"/>
      </font>
      <fill>
        <patternFill>
          <bgColor rgb="FFFFC000"/>
        </patternFill>
      </fill>
    </dxf>
    <dxf>
      <fill>
        <patternFill>
          <bgColor rgb="FFFFC000"/>
        </patternFill>
      </fill>
    </dxf>
    <dxf>
      <fill>
        <patternFill>
          <bgColor rgb="FFFFC000"/>
        </patternFill>
      </fill>
    </dxf>
    <dxf>
      <fill>
        <patternFill>
          <bgColor rgb="FFFF3300"/>
        </patternFill>
      </fill>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dxf>
    <dxf>
      <font>
        <b/>
        <i val="0"/>
        <strike val="0"/>
        <condense val="0"/>
        <extend val="0"/>
        <outline val="0"/>
        <shadow val="0"/>
        <u val="none"/>
        <vertAlign val="baseline"/>
        <sz val="10"/>
        <color theme="0"/>
        <name val="Arial"/>
        <scheme val="none"/>
      </font>
      <fill>
        <patternFill patternType="solid">
          <fgColor theme="5"/>
          <bgColor theme="5"/>
        </patternFill>
      </fill>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border outline="0">
        <right style="thin">
          <color theme="0"/>
        </right>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dxf>
    <dxf>
      <font>
        <b/>
        <i val="0"/>
        <strike val="0"/>
        <condense val="0"/>
        <extend val="0"/>
        <outline val="0"/>
        <shadow val="0"/>
        <u val="none"/>
        <vertAlign val="baseline"/>
        <sz val="10"/>
        <color theme="0"/>
        <name val="Arial"/>
        <scheme val="none"/>
      </font>
      <fill>
        <patternFill patternType="solid">
          <fgColor theme="5"/>
          <bgColor theme="5"/>
        </patternFill>
      </fill>
    </dxf>
    <dxf>
      <font>
        <b/>
        <i val="0"/>
      </font>
      <fill>
        <patternFill>
          <bgColor rgb="FFFFC000"/>
        </patternFill>
      </fill>
      <border>
        <left style="thin">
          <color auto="1"/>
        </left>
        <right style="thin">
          <color auto="1"/>
        </right>
        <top style="thin">
          <color auto="1"/>
        </top>
        <bottom style="thin">
          <color auto="1"/>
        </bottom>
        <vertical/>
        <horizontal/>
      </border>
    </dxf>
    <dxf>
      <fill>
        <patternFill>
          <bgColor rgb="FF66FF33"/>
        </patternFill>
      </fill>
    </dxf>
    <dxf>
      <font>
        <b/>
        <i val="0"/>
      </font>
      <fill>
        <patternFill patternType="solid">
          <bgColor rgb="FF66FF33"/>
        </patternFill>
      </fill>
    </dxf>
    <dxf>
      <font>
        <b/>
        <i val="0"/>
      </font>
      <fill>
        <patternFill>
          <fgColor rgb="FF66FF33"/>
          <bgColor rgb="FF66FF33"/>
        </patternFill>
      </fill>
    </dxf>
    <dxf>
      <fill>
        <patternFill>
          <bgColor rgb="FFFFC000"/>
        </patternFill>
      </fill>
    </dxf>
    <dxf>
      <fill>
        <patternFill>
          <bgColor rgb="FF66FF33"/>
        </patternFill>
      </fill>
    </dxf>
    <dxf>
      <fill>
        <patternFill>
          <fgColor rgb="FF66FF33"/>
          <bgColor rgb="FF66FF33"/>
        </patternFill>
      </fill>
    </dxf>
    <dxf>
      <fill>
        <patternFill>
          <bgColor rgb="FF66FF33"/>
        </patternFill>
      </fill>
    </dxf>
    <dxf>
      <fill>
        <patternFill>
          <bgColor rgb="FF66FF33"/>
        </patternFill>
      </fill>
    </dxf>
    <dxf>
      <fill>
        <patternFill patternType="solid">
          <fgColor indexed="41"/>
          <bgColor indexed="27"/>
        </patternFill>
      </fill>
    </dxf>
    <dxf>
      <font>
        <color theme="0"/>
      </font>
      <fill>
        <patternFill>
          <bgColor rgb="FFFF0000"/>
        </patternFill>
      </fill>
    </dxf>
    <dxf>
      <font>
        <b/>
        <i val="0"/>
        <condense val="0"/>
        <extend val="0"/>
        <color indexed="9"/>
      </font>
      <fill>
        <patternFill patternType="solid">
          <fgColor indexed="60"/>
          <bgColor indexed="10"/>
        </patternFill>
      </fill>
    </dxf>
    <dxf>
      <font>
        <b/>
        <i val="0"/>
        <condense val="0"/>
        <extend val="0"/>
        <color indexed="10"/>
      </font>
      <fill>
        <patternFill patternType="solid">
          <fgColor indexed="26"/>
          <bgColor indexed="16"/>
        </patternFill>
      </fill>
    </dxf>
    <dxf>
      <font>
        <b/>
        <i val="0"/>
        <condense val="0"/>
        <extend val="0"/>
        <color indexed="8"/>
      </font>
      <fill>
        <patternFill patternType="solid">
          <fgColor indexed="41"/>
          <bgColor indexed="27"/>
        </patternFill>
      </fill>
    </dxf>
    <dxf>
      <font>
        <b/>
        <i val="0"/>
        <condense val="0"/>
        <extend val="0"/>
        <color indexed="10"/>
      </font>
      <fill>
        <patternFill patternType="solid">
          <fgColor indexed="26"/>
          <bgColor indexed="16"/>
        </patternFill>
      </fill>
    </dxf>
    <dxf>
      <font>
        <b/>
        <i val="0"/>
        <condense val="0"/>
        <extend val="0"/>
        <color indexed="8"/>
      </font>
      <fill>
        <patternFill patternType="solid">
          <fgColor indexed="41"/>
          <bgColor indexed="27"/>
        </patternFill>
      </fill>
    </dxf>
    <dxf>
      <font>
        <b/>
        <i val="0"/>
        <condense val="0"/>
        <extend val="0"/>
        <color indexed="9"/>
      </font>
      <fill>
        <patternFill patternType="solid">
          <fgColor indexed="60"/>
          <bgColor indexed="10"/>
        </patternFill>
      </fill>
    </dxf>
    <dxf>
      <fill>
        <patternFill patternType="solid">
          <fgColor indexed="41"/>
          <bgColor indexed="27"/>
        </patternFill>
      </fill>
    </dxf>
    <dxf>
      <fill>
        <patternFill patternType="solid">
          <fgColor indexed="41"/>
          <bgColor indexed="27"/>
        </patternFill>
      </fill>
    </dxf>
    <dxf>
      <fill>
        <patternFill patternType="solid">
          <fgColor indexed="41"/>
          <bgColor indexed="27"/>
        </patternFill>
      </fill>
    </dxf>
    <dxf>
      <fill>
        <patternFill patternType="solid">
          <fgColor indexed="41"/>
          <bgColor indexed="27"/>
        </patternFill>
      </fill>
    </dxf>
    <dxf>
      <fill>
        <patternFill patternType="solid">
          <fgColor indexed="41"/>
          <bgColor indexed="27"/>
        </patternFill>
      </fill>
    </dxf>
    <dxf>
      <fill>
        <patternFill patternType="solid">
          <fgColor indexed="41"/>
          <bgColor indexed="27"/>
        </patternFill>
      </fil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ont>
        <b val="0"/>
        <i val="0"/>
        <strike val="0"/>
        <condense val="0"/>
        <extend val="0"/>
        <outline val="0"/>
        <shadow val="0"/>
        <u val="none"/>
        <vertAlign val="baseline"/>
        <sz val="12"/>
        <color indexed="8"/>
        <name val="Arial"/>
        <scheme val="none"/>
      </font>
      <numFmt numFmtId="0" formatCode="General"/>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2"/>
        <color indexed="8"/>
        <name val="Arial"/>
        <scheme val="none"/>
      </font>
      <numFmt numFmtId="0" formatCode="General"/>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2"/>
        <color indexed="8"/>
        <name val="Arial"/>
        <scheme val="none"/>
      </font>
      <numFmt numFmtId="0" formatCode="General"/>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2"/>
        <color indexed="8"/>
        <name val="Arial"/>
        <scheme val="none"/>
      </font>
      <numFmt numFmtId="0" formatCode="General"/>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2"/>
        <color indexed="8"/>
        <name val="Arial"/>
        <scheme val="none"/>
      </font>
      <numFmt numFmtId="0" formatCode="General"/>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2"/>
        <color indexed="8"/>
        <name val="Arial"/>
        <scheme val="none"/>
      </font>
      <numFmt numFmtId="0" formatCode="General"/>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2"/>
        <color indexed="8"/>
        <name val="Arial"/>
        <scheme val="none"/>
      </font>
      <numFmt numFmtId="0" formatCode="General"/>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2"/>
        <color indexed="8"/>
        <name val="Arial"/>
        <scheme val="none"/>
      </font>
      <numFmt numFmtId="0" formatCode="General"/>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2"/>
        <color indexed="8"/>
        <name val="Arial"/>
        <scheme val="none"/>
      </font>
      <numFmt numFmtId="0" formatCode="General"/>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2"/>
        <color indexed="8"/>
        <name val="Arial"/>
        <scheme val="none"/>
      </font>
      <numFmt numFmtId="0" formatCode="General"/>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2"/>
        <color indexed="8"/>
        <name val="Arial"/>
        <scheme val="none"/>
      </font>
      <numFmt numFmtId="0" formatCode="General"/>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2"/>
        <color indexed="8"/>
        <name val="Arial"/>
        <scheme val="none"/>
      </font>
      <numFmt numFmtId="0" formatCode="General"/>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2"/>
        <color indexed="8"/>
        <name val="Arial"/>
        <scheme val="none"/>
      </font>
      <numFmt numFmtId="0" formatCode="General"/>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2"/>
        <color indexed="8"/>
        <name val="Arial"/>
        <scheme val="none"/>
      </font>
      <numFmt numFmtId="0" formatCode="General"/>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2"/>
        <color indexed="8"/>
        <name val="Arial"/>
        <scheme val="none"/>
      </font>
      <numFmt numFmtId="0" formatCode="General"/>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2"/>
        <color indexed="8"/>
        <name val="Arial"/>
        <scheme val="none"/>
      </font>
      <numFmt numFmtId="0" formatCode="General"/>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2"/>
        <color indexed="8"/>
        <name val="Arial"/>
        <scheme val="none"/>
      </font>
      <numFmt numFmtId="0" formatCode="General"/>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2"/>
        <color indexed="8"/>
        <name val="Arial"/>
        <scheme val="none"/>
      </font>
      <numFmt numFmtId="0" formatCode="General"/>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2"/>
        <color indexed="8"/>
        <name val="Arial"/>
        <scheme val="none"/>
      </font>
      <numFmt numFmtId="0" formatCode="General"/>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2"/>
        <color indexed="8"/>
        <name val="Arial"/>
        <scheme val="none"/>
      </font>
      <numFmt numFmtId="0" formatCode="General"/>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2"/>
        <color indexed="8"/>
        <name val="Arial"/>
        <scheme val="none"/>
      </font>
      <numFmt numFmtId="0" formatCode="General"/>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2"/>
        <color indexed="8"/>
        <name val="Arial"/>
        <scheme val="none"/>
      </font>
      <numFmt numFmtId="0" formatCode="General"/>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2"/>
        <color indexed="8"/>
        <name val="Arial"/>
        <scheme val="none"/>
      </font>
      <numFmt numFmtId="0" formatCode="General"/>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2"/>
        <color indexed="8"/>
        <name val="Arial"/>
        <scheme val="none"/>
      </font>
      <numFmt numFmtId="0" formatCode="General"/>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2"/>
        <color indexed="8"/>
        <name val="Arial"/>
        <scheme val="none"/>
      </font>
      <numFmt numFmtId="0" formatCode="General"/>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2"/>
        <color indexed="8"/>
        <name val="Arial"/>
        <scheme val="none"/>
      </font>
      <numFmt numFmtId="0" formatCode="General"/>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1"/>
        <color indexed="8"/>
        <name val="Arial"/>
        <scheme val="none"/>
      </font>
      <fill>
        <patternFill patternType="none">
          <fgColor indexed="64"/>
          <bgColor indexed="65"/>
        </patternFill>
      </fill>
      <alignment horizontal="left" vertical="bottom" textRotation="0" wrapText="0" indent="0" justifyLastLine="0" shrinkToFit="0" readingOrder="0"/>
    </dxf>
    <dxf>
      <font>
        <b val="0"/>
        <i val="0"/>
        <strike val="0"/>
        <condense val="0"/>
        <extend val="0"/>
        <outline val="0"/>
        <shadow val="0"/>
        <u val="none"/>
        <vertAlign val="baseline"/>
        <sz val="12"/>
        <color indexed="8"/>
        <name val="Arial"/>
        <scheme val="none"/>
      </font>
      <fill>
        <patternFill patternType="none">
          <fgColor indexed="64"/>
          <bgColor indexed="65"/>
        </patternFill>
      </fill>
      <alignment horizontal="left" vertical="center" textRotation="0" wrapText="0" indent="0" justifyLastLine="0" shrinkToFit="0" readingOrder="0"/>
    </dxf>
    <dxf>
      <font>
        <b val="0"/>
      </font>
      <fill>
        <patternFill patternType="none">
          <fgColor indexed="64"/>
          <bgColor indexed="65"/>
        </patternFill>
      </fill>
      <alignment horizontal="left" textRotation="0" wrapText="0" indent="0" justifyLastLine="0" shrinkToFit="0" readingOrder="0"/>
    </dxf>
    <dxf>
      <fill>
        <patternFill>
          <bgColor rgb="FF66FF33"/>
        </patternFill>
      </fill>
    </dxf>
    <dxf>
      <fill>
        <patternFill>
          <bgColor rgb="FF66FF33"/>
        </patternFill>
      </fill>
    </dxf>
    <dxf>
      <fill>
        <patternFill>
          <bgColor rgb="FF66FF33"/>
        </patternFill>
      </fill>
    </dxf>
    <dxf>
      <fill>
        <patternFill>
          <bgColor rgb="FF66FF33"/>
        </patternFill>
      </fill>
    </dxf>
    <dxf>
      <font>
        <color rgb="FFFF0000"/>
      </font>
    </dxf>
    <dxf>
      <fill>
        <patternFill>
          <bgColor rgb="FF66FF33"/>
        </patternFill>
      </fill>
    </dxf>
    <dxf>
      <fill>
        <patternFill>
          <bgColor rgb="FFFFC000"/>
        </patternFill>
      </fill>
    </dxf>
    <dxf>
      <fill>
        <patternFill>
          <bgColor rgb="FF66FF33"/>
        </patternFill>
      </fill>
    </dxf>
    <dxf>
      <fill>
        <patternFill>
          <bgColor rgb="FFFFC000"/>
        </patternFill>
      </fill>
    </dxf>
    <dxf>
      <font>
        <b val="0"/>
        <i val="0"/>
        <color theme="0"/>
      </font>
      <fill>
        <patternFill>
          <bgColor rgb="FFFF0000"/>
        </patternFill>
      </fill>
    </dxf>
    <dxf>
      <fill>
        <patternFill patternType="solid">
          <fgColor indexed="41"/>
          <bgColor indexed="27"/>
        </patternFill>
      </fill>
    </dxf>
    <dxf>
      <font>
        <b/>
        <i val="0"/>
        <condense val="0"/>
        <extend val="0"/>
        <color indexed="9"/>
      </font>
      <fill>
        <patternFill patternType="solid">
          <fgColor indexed="60"/>
          <bgColor indexed="10"/>
        </patternFill>
      </fill>
    </dxf>
    <dxf>
      <fill>
        <patternFill patternType="solid">
          <fgColor indexed="15"/>
          <bgColor indexed="42"/>
        </patternFill>
      </fill>
    </dxf>
    <dxf>
      <fill>
        <patternFill patternType="solid">
          <fgColor indexed="41"/>
          <bgColor indexed="27"/>
        </patternFill>
      </fill>
    </dxf>
    <dxf>
      <fill>
        <patternFill patternType="solid">
          <fgColor indexed="41"/>
          <bgColor indexed="27"/>
        </patternFill>
      </fill>
    </dxf>
    <dxf>
      <font>
        <b/>
        <i val="0"/>
        <condense val="0"/>
        <extend val="0"/>
        <color indexed="9"/>
      </font>
      <fill>
        <patternFill patternType="solid">
          <fgColor indexed="60"/>
          <bgColor indexed="10"/>
        </patternFill>
      </fill>
    </dxf>
    <dxf>
      <font>
        <b/>
        <i val="0"/>
      </font>
      <fill>
        <patternFill>
          <bgColor rgb="FFCCFFCC"/>
        </patternFill>
      </fill>
    </dxf>
    <dxf>
      <font>
        <b/>
        <i val="0"/>
      </font>
      <fill>
        <patternFill>
          <bgColor rgb="FFCCFFCC"/>
        </patternFill>
      </fill>
    </dxf>
    <dxf>
      <fill>
        <patternFill patternType="solid">
          <fgColor indexed="41"/>
          <bgColor indexed="27"/>
        </patternFill>
      </fill>
    </dxf>
    <dxf>
      <fill>
        <patternFill patternType="solid">
          <fgColor indexed="41"/>
          <bgColor indexed="27"/>
        </patternFill>
      </fill>
    </dxf>
    <dxf>
      <fill>
        <patternFill patternType="solid">
          <fgColor indexed="41"/>
          <bgColor indexed="27"/>
        </patternFill>
      </fill>
    </dxf>
    <dxf>
      <fill>
        <patternFill patternType="solid">
          <fgColor indexed="41"/>
          <bgColor indexed="27"/>
        </patternFill>
      </fill>
    </dxf>
    <dxf>
      <fill>
        <patternFill patternType="solid">
          <fgColor indexed="41"/>
          <bgColor indexed="27"/>
        </patternFill>
      </fill>
    </dxf>
    <dxf>
      <fill>
        <patternFill patternType="solid">
          <fgColor indexed="41"/>
          <bgColor indexed="27"/>
        </patternFill>
      </fill>
    </dxf>
    <dxf>
      <font>
        <b/>
        <i val="0"/>
        <condense val="0"/>
        <extend val="0"/>
        <color indexed="9"/>
      </font>
      <fill>
        <patternFill patternType="solid">
          <fgColor indexed="60"/>
          <bgColor indexed="10"/>
        </patternFill>
      </fill>
    </dxf>
    <dxf>
      <fill>
        <patternFill patternType="solid">
          <fgColor indexed="15"/>
          <bgColor indexed="42"/>
        </patternFill>
      </fill>
    </dxf>
    <dxf>
      <fill>
        <patternFill patternType="solid">
          <fgColor indexed="34"/>
          <bgColor indexed="51"/>
        </patternFill>
      </fill>
    </dxf>
    <dxf>
      <fill>
        <patternFill patternType="solid">
          <fgColor indexed="34"/>
          <bgColor indexed="51"/>
        </patternFill>
      </fill>
    </dxf>
    <dxf>
      <font>
        <b/>
        <i val="0"/>
        <condense val="0"/>
        <extend val="0"/>
        <color indexed="9"/>
      </font>
      <fill>
        <patternFill patternType="solid">
          <fgColor indexed="60"/>
          <bgColor indexed="10"/>
        </patternFill>
      </fill>
    </dxf>
    <dxf>
      <fill>
        <patternFill patternType="solid">
          <fgColor indexed="41"/>
          <bgColor indexed="27"/>
        </patternFill>
      </fill>
    </dxf>
    <dxf>
      <font>
        <b/>
        <i val="0"/>
        <condense val="0"/>
        <extend val="0"/>
        <color indexed="9"/>
      </font>
      <fill>
        <patternFill patternType="solid">
          <fgColor indexed="60"/>
          <bgColor indexed="1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s>
  <tableStyles count="0" defaultTableStyle="TableStyleMedium9" defaultPivotStyle="PivotStyleMedium4"/>
  <colors>
    <mruColors>
      <color rgb="FF3366FF"/>
      <color rgb="FF0066FF"/>
      <color rgb="FFFF6600"/>
      <color rgb="FFFF3300"/>
      <color rgb="FF66FF33"/>
      <color rgb="FF66FF66"/>
      <color rgb="FF00FF00"/>
      <color rgb="FFCCFFFF"/>
      <color rgb="FFFFFFFF"/>
      <color rgb="FFFFCC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5.jpeg"/></Relationships>
</file>

<file path=xl/drawings/_rels/drawing4.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png"/><Relationship Id="rId4" Type="http://schemas.openxmlformats.org/officeDocument/2006/relationships/image" Target="../media/image9.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8.vml.rels><?xml version="1.0" encoding="UTF-8" standalone="yes"?>
<Relationships xmlns="http://schemas.openxmlformats.org/package/2006/relationships"><Relationship Id="rId1"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xdr:from>
      <xdr:col>2</xdr:col>
      <xdr:colOff>142313</xdr:colOff>
      <xdr:row>0</xdr:row>
      <xdr:rowOff>142876</xdr:rowOff>
    </xdr:from>
    <xdr:to>
      <xdr:col>2</xdr:col>
      <xdr:colOff>3022627</xdr:colOff>
      <xdr:row>0</xdr:row>
      <xdr:rowOff>761316</xdr:rowOff>
    </xdr:to>
    <xdr:pic>
      <xdr:nvPicPr>
        <xdr:cNvPr id="2049" name="Grafik 1">
          <a:extLst>
            <a:ext uri="{FF2B5EF4-FFF2-40B4-BE49-F238E27FC236}">
              <a16:creationId xmlns:a16="http://schemas.microsoft.com/office/drawing/2014/main" id="{00000000-0008-0000-0000-00000108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3654657" y="142876"/>
          <a:ext cx="2880314" cy="618440"/>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cap="flat">
              <a:solidFill>
                <a:srgbClr val="3465A4"/>
              </a:solidFill>
              <a:round/>
              <a:headEnd/>
              <a:tailEnd/>
            </a14:hiddenLine>
          </a:ext>
          <a:ext uri="{AF507438-7753-43E0-B8FC-AC1667EBCBE1}">
            <a14:hiddenEffects xmlns:a14="http://schemas.microsoft.com/office/drawing/2010/main">
              <a:effectLst>
                <a:outerShdw blurRad="63500" dist="38099" dir="2700000" algn="ctr" rotWithShape="0">
                  <a:srgbClr val="000000">
                    <a:alpha val="74998"/>
                  </a:srgbClr>
                </a:outerShdw>
              </a:effectLst>
            </a14:hiddenEffects>
          </a:ext>
        </a:extLst>
      </xdr:spPr>
    </xdr:pic>
    <xdr:clientData/>
  </xdr:twoCellAnchor>
  <xdr:twoCellAnchor>
    <xdr:from>
      <xdr:col>5</xdr:col>
      <xdr:colOff>0</xdr:colOff>
      <xdr:row>24</xdr:row>
      <xdr:rowOff>6350</xdr:rowOff>
    </xdr:from>
    <xdr:to>
      <xdr:col>5</xdr:col>
      <xdr:colOff>203200</xdr:colOff>
      <xdr:row>24</xdr:row>
      <xdr:rowOff>177800</xdr:rowOff>
    </xdr:to>
    <xdr:sp macro="" textlink="">
      <xdr:nvSpPr>
        <xdr:cNvPr id="1053" name="Rechteck 2">
          <a:extLst>
            <a:ext uri="{FF2B5EF4-FFF2-40B4-BE49-F238E27FC236}">
              <a16:creationId xmlns:a16="http://schemas.microsoft.com/office/drawing/2014/main" id="{00000000-0008-0000-0000-00001D040000}"/>
            </a:ext>
          </a:extLst>
        </xdr:cNvPr>
        <xdr:cNvSpPr>
          <a:spLocks noChangeArrowheads="1"/>
        </xdr:cNvSpPr>
      </xdr:nvSpPr>
      <xdr:spPr bwMode="auto">
        <a:xfrm>
          <a:off x="7708900" y="6178550"/>
          <a:ext cx="203200" cy="171450"/>
        </a:xfrm>
        <a:prstGeom prst="rect">
          <a:avLst/>
        </a:prstGeom>
        <a:solidFill>
          <a:srgbClr val="FFFFFF"/>
        </a:solidFill>
        <a:ln w="9525" algn="ctr">
          <a:solidFill>
            <a:srgbClr xmlns:mc="http://schemas.openxmlformats.org/markup-compatibility/2006" xmlns:a14="http://schemas.microsoft.com/office/drawing/2010/main" val="000000" mc:Ignorable="a14" a14:legacySpreadsheetColorIndex="64"/>
          </a:solidFill>
          <a:round/>
          <a:headEnd/>
          <a:tailEnd/>
        </a:ln>
      </xdr:spPr>
    </xdr:sp>
    <xdr:clientData/>
  </xdr:twoCellAnchor>
  <xdr:twoCellAnchor>
    <xdr:from>
      <xdr:col>5</xdr:col>
      <xdr:colOff>12700</xdr:colOff>
      <xdr:row>24</xdr:row>
      <xdr:rowOff>22225</xdr:rowOff>
    </xdr:from>
    <xdr:to>
      <xdr:col>5</xdr:col>
      <xdr:colOff>190500</xdr:colOff>
      <xdr:row>24</xdr:row>
      <xdr:rowOff>177800</xdr:rowOff>
    </xdr:to>
    <xdr:sp macro="" textlink="">
      <xdr:nvSpPr>
        <xdr:cNvPr id="1054" name="Flussdiagramm: Zusammenführen 4">
          <a:extLst>
            <a:ext uri="{FF2B5EF4-FFF2-40B4-BE49-F238E27FC236}">
              <a16:creationId xmlns:a16="http://schemas.microsoft.com/office/drawing/2014/main" id="{00000000-0008-0000-0000-00001E040000}"/>
            </a:ext>
          </a:extLst>
        </xdr:cNvPr>
        <xdr:cNvSpPr>
          <a:spLocks noChangeArrowheads="1"/>
        </xdr:cNvSpPr>
      </xdr:nvSpPr>
      <xdr:spPr bwMode="auto">
        <a:xfrm>
          <a:off x="7721600" y="6194425"/>
          <a:ext cx="177800" cy="155575"/>
        </a:xfrm>
        <a:prstGeom prst="flowChartMerge">
          <a:avLst/>
        </a:prstGeom>
        <a:solidFill>
          <a:srgbClr val="BFBFBF"/>
        </a:solidFill>
        <a:ln w="9525" algn="ctr">
          <a:solidFill>
            <a:srgbClr xmlns:mc="http://schemas.openxmlformats.org/markup-compatibility/2006" xmlns:a14="http://schemas.microsoft.com/office/drawing/2010/main" val="000000" mc:Ignorable="a14" a14:legacySpreadsheetColorIndex="64"/>
          </a:solidFill>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xdr:from>
      <xdr:col>5</xdr:col>
      <xdr:colOff>10584</xdr:colOff>
      <xdr:row>0</xdr:row>
      <xdr:rowOff>127000</xdr:rowOff>
    </xdr:from>
    <xdr:to>
      <xdr:col>5</xdr:col>
      <xdr:colOff>2930260</xdr:colOff>
      <xdr:row>0</xdr:row>
      <xdr:rowOff>740834</xdr:rowOff>
    </xdr:to>
    <xdr:pic>
      <xdr:nvPicPr>
        <xdr:cNvPr id="3073" name="Grafik 1">
          <a:extLst>
            <a:ext uri="{FF2B5EF4-FFF2-40B4-BE49-F238E27FC236}">
              <a16:creationId xmlns:a16="http://schemas.microsoft.com/office/drawing/2014/main" id="{00000000-0008-0000-0100-000001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5736167" y="127000"/>
          <a:ext cx="2919676" cy="613834"/>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cap="flat">
              <a:solidFill>
                <a:srgbClr val="3465A4"/>
              </a:solidFill>
              <a:round/>
              <a:headEnd/>
              <a:tailEnd/>
            </a14:hiddenLine>
          </a:ext>
          <a:ext uri="{AF507438-7753-43E0-B8FC-AC1667EBCBE1}">
            <a14:hiddenEffects xmlns:a14="http://schemas.microsoft.com/office/drawing/2010/main">
              <a:effectLst>
                <a:outerShdw blurRad="63500" dist="38099" dir="2700000" algn="ctr" rotWithShape="0">
                  <a:srgbClr val="000000">
                    <a:alpha val="74998"/>
                  </a:srgbClr>
                </a:outerShdw>
              </a:effectLst>
            </a14:hiddenEffects>
          </a:ext>
        </a:extLst>
      </xdr:spPr>
    </xdr:pic>
    <xdr:clientData/>
  </xdr:twoCellAnchor>
  <xdr:twoCellAnchor>
    <xdr:from>
      <xdr:col>5</xdr:col>
      <xdr:colOff>42334</xdr:colOff>
      <xdr:row>2</xdr:row>
      <xdr:rowOff>169332</xdr:rowOff>
    </xdr:from>
    <xdr:to>
      <xdr:col>6</xdr:col>
      <xdr:colOff>1</xdr:colOff>
      <xdr:row>4</xdr:row>
      <xdr:rowOff>14552</xdr:rowOff>
    </xdr:to>
    <xdr:pic>
      <xdr:nvPicPr>
        <xdr:cNvPr id="3074" name="Grafik 2">
          <a:extLst>
            <a:ext uri="{FF2B5EF4-FFF2-40B4-BE49-F238E27FC236}">
              <a16:creationId xmlns:a16="http://schemas.microsoft.com/office/drawing/2014/main" id="{00000000-0008-0000-0100-0000020C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5767917" y="1142999"/>
          <a:ext cx="2995084" cy="586053"/>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cap="flat">
              <a:solidFill>
                <a:srgbClr val="3465A4"/>
              </a:solidFill>
              <a:round/>
              <a:headEnd/>
              <a:tailEnd/>
            </a14:hiddenLine>
          </a:ext>
          <a:ext uri="{AF507438-7753-43E0-B8FC-AC1667EBCBE1}">
            <a14:hiddenEffects xmlns:a14="http://schemas.microsoft.com/office/drawing/2010/main">
              <a:effectLst>
                <a:outerShdw blurRad="63500" dist="38099" dir="2700000" algn="ctr" rotWithShape="0">
                  <a:srgbClr val="000000">
                    <a:alpha val="74998"/>
                  </a:srgbClr>
                </a:outerShdw>
              </a:effectLst>
            </a14:hiddenEffects>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285750</xdr:colOff>
      <xdr:row>0</xdr:row>
      <xdr:rowOff>95250</xdr:rowOff>
    </xdr:from>
    <xdr:to>
      <xdr:col>5</xdr:col>
      <xdr:colOff>746125</xdr:colOff>
      <xdr:row>0</xdr:row>
      <xdr:rowOff>695325</xdr:rowOff>
    </xdr:to>
    <xdr:pic>
      <xdr:nvPicPr>
        <xdr:cNvPr id="11274" name="Grafik 1">
          <a:extLst>
            <a:ext uri="{FF2B5EF4-FFF2-40B4-BE49-F238E27FC236}">
              <a16:creationId xmlns:a16="http://schemas.microsoft.com/office/drawing/2014/main" id="{00000000-0008-0000-0800-00000A2C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90925" y="95250"/>
          <a:ext cx="2962275"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11906</xdr:colOff>
      <xdr:row>55</xdr:row>
      <xdr:rowOff>0</xdr:rowOff>
    </xdr:from>
    <xdr:to>
      <xdr:col>8</xdr:col>
      <xdr:colOff>617823</xdr:colOff>
      <xdr:row>62</xdr:row>
      <xdr:rowOff>559</xdr:rowOff>
    </xdr:to>
    <xdr:pic>
      <xdr:nvPicPr>
        <xdr:cNvPr id="2" name="Grafik 1">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a:stretch>
          <a:fillRect/>
        </a:stretch>
      </xdr:blipFill>
      <xdr:spPr>
        <a:xfrm>
          <a:off x="5667375" y="12334875"/>
          <a:ext cx="1463167" cy="2048434"/>
        </a:xfrm>
        <a:prstGeom prst="rect">
          <a:avLst/>
        </a:prstGeom>
      </xdr:spPr>
    </xdr:pic>
    <xdr:clientData/>
  </xdr:twoCellAnchor>
  <xdr:twoCellAnchor editAs="oneCell">
    <xdr:from>
      <xdr:col>7</xdr:col>
      <xdr:colOff>23813</xdr:colOff>
      <xdr:row>62</xdr:row>
      <xdr:rowOff>166687</xdr:rowOff>
    </xdr:from>
    <xdr:to>
      <xdr:col>8</xdr:col>
      <xdr:colOff>660212</xdr:colOff>
      <xdr:row>69</xdr:row>
      <xdr:rowOff>76184</xdr:rowOff>
    </xdr:to>
    <xdr:pic>
      <xdr:nvPicPr>
        <xdr:cNvPr id="3" name="Grafik 2">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2"/>
        <a:stretch>
          <a:fillRect/>
        </a:stretch>
      </xdr:blipFill>
      <xdr:spPr>
        <a:xfrm>
          <a:off x="5679282" y="14549437"/>
          <a:ext cx="1493649" cy="2024047"/>
        </a:xfrm>
        <a:prstGeom prst="rect">
          <a:avLst/>
        </a:prstGeom>
      </xdr:spPr>
    </xdr:pic>
    <xdr:clientData/>
  </xdr:twoCellAnchor>
  <xdr:twoCellAnchor editAs="oneCell">
    <xdr:from>
      <xdr:col>8</xdr:col>
      <xdr:colOff>35718</xdr:colOff>
      <xdr:row>77</xdr:row>
      <xdr:rowOff>11907</xdr:rowOff>
    </xdr:from>
    <xdr:to>
      <xdr:col>9</xdr:col>
      <xdr:colOff>333080</xdr:colOff>
      <xdr:row>83</xdr:row>
      <xdr:rowOff>31690</xdr:rowOff>
    </xdr:to>
    <xdr:pic>
      <xdr:nvPicPr>
        <xdr:cNvPr id="4" name="Grafik 3">
          <a:extLst>
            <a:ext uri="{FF2B5EF4-FFF2-40B4-BE49-F238E27FC236}">
              <a16:creationId xmlns:a16="http://schemas.microsoft.com/office/drawing/2014/main" id="{00000000-0008-0000-0900-000004000000}"/>
            </a:ext>
          </a:extLst>
        </xdr:cNvPr>
        <xdr:cNvPicPr>
          <a:picLocks noChangeAspect="1"/>
        </xdr:cNvPicPr>
      </xdr:nvPicPr>
      <xdr:blipFill>
        <a:blip xmlns:r="http://schemas.openxmlformats.org/officeDocument/2006/relationships" r:embed="rId3"/>
        <a:stretch>
          <a:fillRect/>
        </a:stretch>
      </xdr:blipFill>
      <xdr:spPr>
        <a:xfrm>
          <a:off x="6548437" y="18573751"/>
          <a:ext cx="999831" cy="1853345"/>
        </a:xfrm>
        <a:prstGeom prst="rect">
          <a:avLst/>
        </a:prstGeom>
      </xdr:spPr>
    </xdr:pic>
    <xdr:clientData/>
  </xdr:twoCellAnchor>
  <xdr:twoCellAnchor editAs="oneCell">
    <xdr:from>
      <xdr:col>8</xdr:col>
      <xdr:colOff>35719</xdr:colOff>
      <xdr:row>84</xdr:row>
      <xdr:rowOff>11907</xdr:rowOff>
    </xdr:from>
    <xdr:to>
      <xdr:col>9</xdr:col>
      <xdr:colOff>662293</xdr:colOff>
      <xdr:row>90</xdr:row>
      <xdr:rowOff>6804</xdr:rowOff>
    </xdr:to>
    <xdr:pic>
      <xdr:nvPicPr>
        <xdr:cNvPr id="5" name="Grafik 4">
          <a:extLst>
            <a:ext uri="{FF2B5EF4-FFF2-40B4-BE49-F238E27FC236}">
              <a16:creationId xmlns:a16="http://schemas.microsoft.com/office/drawing/2014/main" id="{00000000-0008-0000-0900-000005000000}"/>
            </a:ext>
          </a:extLst>
        </xdr:cNvPr>
        <xdr:cNvPicPr>
          <a:picLocks noChangeAspect="1"/>
        </xdr:cNvPicPr>
      </xdr:nvPicPr>
      <xdr:blipFill>
        <a:blip xmlns:r="http://schemas.openxmlformats.org/officeDocument/2006/relationships" r:embed="rId4"/>
        <a:stretch>
          <a:fillRect/>
        </a:stretch>
      </xdr:blipFill>
      <xdr:spPr>
        <a:xfrm>
          <a:off x="6548438" y="20526376"/>
          <a:ext cx="1329043" cy="1554615"/>
        </a:xfrm>
        <a:prstGeom prst="rect">
          <a:avLst/>
        </a:prstGeom>
      </xdr:spPr>
    </xdr:pic>
    <xdr:clientData/>
  </xdr:twoCellAnchor>
  <xdr:twoCellAnchor>
    <xdr:from>
      <xdr:col>7</xdr:col>
      <xdr:colOff>452437</xdr:colOff>
      <xdr:row>38</xdr:row>
      <xdr:rowOff>83344</xdr:rowOff>
    </xdr:from>
    <xdr:to>
      <xdr:col>7</xdr:col>
      <xdr:colOff>452437</xdr:colOff>
      <xdr:row>52</xdr:row>
      <xdr:rowOff>35455</xdr:rowOff>
    </xdr:to>
    <xdr:cxnSp macro="">
      <xdr:nvCxnSpPr>
        <xdr:cNvPr id="7" name="Gerade Verbindung mit Pfeil 6">
          <a:extLst>
            <a:ext uri="{FF2B5EF4-FFF2-40B4-BE49-F238E27FC236}">
              <a16:creationId xmlns:a16="http://schemas.microsoft.com/office/drawing/2014/main" id="{00000000-0008-0000-0900-000007000000}"/>
            </a:ext>
          </a:extLst>
        </xdr:cNvPr>
        <xdr:cNvCxnSpPr/>
      </xdr:nvCxnSpPr>
      <xdr:spPr bwMode="auto">
        <a:xfrm>
          <a:off x="6107906" y="9251157"/>
          <a:ext cx="0" cy="2845329"/>
        </a:xfrm>
        <a:prstGeom prst="straightConnector1">
          <a:avLst/>
        </a:prstGeom>
        <a:ln>
          <a:solidFill>
            <a:srgbClr val="FF0000"/>
          </a:solidFill>
          <a:headEnd type="none" w="med" len="med"/>
          <a:tailEnd type="triangle"/>
        </a:ln>
        <a:extLst/>
      </xdr:spPr>
      <xdr:style>
        <a:lnRef idx="3">
          <a:schemeClr val="accent2"/>
        </a:lnRef>
        <a:fillRef idx="0">
          <a:schemeClr val="accent2"/>
        </a:fillRef>
        <a:effectRef idx="2">
          <a:schemeClr val="accent2"/>
        </a:effectRef>
        <a:fontRef idx="minor">
          <a:schemeClr val="tx1"/>
        </a:fontRef>
      </xdr:style>
    </xdr:cxnSp>
    <xdr:clientData/>
  </xdr:twoCellAnchor>
  <xdr:twoCellAnchor>
    <xdr:from>
      <xdr:col>7</xdr:col>
      <xdr:colOff>452437</xdr:colOff>
      <xdr:row>24</xdr:row>
      <xdr:rowOff>83345</xdr:rowOff>
    </xdr:from>
    <xdr:to>
      <xdr:col>7</xdr:col>
      <xdr:colOff>452437</xdr:colOff>
      <xdr:row>37</xdr:row>
      <xdr:rowOff>11642</xdr:rowOff>
    </xdr:to>
    <xdr:cxnSp macro="">
      <xdr:nvCxnSpPr>
        <xdr:cNvPr id="8" name="Gerade Verbindung mit Pfeil 7">
          <a:extLst>
            <a:ext uri="{FF2B5EF4-FFF2-40B4-BE49-F238E27FC236}">
              <a16:creationId xmlns:a16="http://schemas.microsoft.com/office/drawing/2014/main" id="{00000000-0008-0000-0900-000008000000}"/>
            </a:ext>
          </a:extLst>
        </xdr:cNvPr>
        <xdr:cNvCxnSpPr/>
      </xdr:nvCxnSpPr>
      <xdr:spPr bwMode="auto">
        <a:xfrm>
          <a:off x="6107906" y="6096001"/>
          <a:ext cx="0" cy="2845329"/>
        </a:xfrm>
        <a:prstGeom prst="straightConnector1">
          <a:avLst/>
        </a:prstGeom>
        <a:ln>
          <a:solidFill>
            <a:srgbClr val="FF0000"/>
          </a:solidFill>
          <a:headEnd type="none" w="med" len="med"/>
          <a:tailEnd type="triangle"/>
        </a:ln>
        <a:extLst/>
      </xdr:spPr>
      <xdr:style>
        <a:lnRef idx="3">
          <a:schemeClr val="accent2"/>
        </a:lnRef>
        <a:fillRef idx="0">
          <a:schemeClr val="accent2"/>
        </a:fillRef>
        <a:effectRef idx="2">
          <a:schemeClr val="accent2"/>
        </a:effectRef>
        <a:fontRef idx="minor">
          <a:schemeClr val="tx1"/>
        </a:fontRef>
      </xdr:style>
    </xdr:cxnSp>
    <xdr:clientData/>
  </xdr:twoCellAnchor>
  <xdr:twoCellAnchor>
    <xdr:from>
      <xdr:col>7</xdr:col>
      <xdr:colOff>404811</xdr:colOff>
      <xdr:row>4</xdr:row>
      <xdr:rowOff>47625</xdr:rowOff>
    </xdr:from>
    <xdr:to>
      <xdr:col>7</xdr:col>
      <xdr:colOff>404811</xdr:colOff>
      <xdr:row>8</xdr:row>
      <xdr:rowOff>0</xdr:rowOff>
    </xdr:to>
    <xdr:cxnSp macro="">
      <xdr:nvCxnSpPr>
        <xdr:cNvPr id="9" name="Gerade Verbindung mit Pfeil 8">
          <a:extLst>
            <a:ext uri="{FF2B5EF4-FFF2-40B4-BE49-F238E27FC236}">
              <a16:creationId xmlns:a16="http://schemas.microsoft.com/office/drawing/2014/main" id="{00000000-0008-0000-0900-000009000000}"/>
            </a:ext>
          </a:extLst>
        </xdr:cNvPr>
        <xdr:cNvCxnSpPr/>
      </xdr:nvCxnSpPr>
      <xdr:spPr bwMode="auto">
        <a:xfrm>
          <a:off x="6060280" y="1273969"/>
          <a:ext cx="0" cy="892969"/>
        </a:xfrm>
        <a:prstGeom prst="straightConnector1">
          <a:avLst/>
        </a:prstGeom>
        <a:ln>
          <a:solidFill>
            <a:srgbClr val="FF0000"/>
          </a:solidFill>
          <a:headEnd type="none" w="med" len="med"/>
          <a:tailEnd type="triangle"/>
        </a:ln>
        <a:extLst/>
      </xdr:spPr>
      <xdr:style>
        <a:lnRef idx="3">
          <a:schemeClr val="accent2"/>
        </a:lnRef>
        <a:fillRef idx="0">
          <a:schemeClr val="accent2"/>
        </a:fillRef>
        <a:effectRef idx="2">
          <a:schemeClr val="accent2"/>
        </a:effectRef>
        <a:fontRef idx="minor">
          <a:schemeClr val="tx1"/>
        </a:fontRef>
      </xdr:style>
    </xdr:cxnSp>
    <xdr:clientData/>
  </xdr:twoCellAnchor>
</xdr:wsDr>
</file>

<file path=xl/tables/table1.xml><?xml version="1.0" encoding="utf-8"?>
<table xmlns="http://schemas.openxmlformats.org/spreadsheetml/2006/main" id="11" name="Liste_Ackerkulturen_Gemüse_DropDown" displayName="Liste_Ackerkulturen_Gemüse_DropDown" ref="BS1:CS262" totalsRowShown="0" headerRowDxfId="293" dataDxfId="292">
  <autoFilter ref="BS1:CS262"/>
  <tableColumns count="27">
    <tableColumn id="1" name="Ackerkulturen" dataDxfId="291"/>
    <tableColumn id="2" name="C5" dataDxfId="290">
      <calculatedColumnFormula>IFERROR(INDEX(Liste_Ackerkulturen_Gemüse_DropDown[Ackerkulturen],_xlfn.AGGREGATE(15,6,(ROW(Liste_Ackerkulturen_Gemüse_DropDown[Ackerkulturen])-1)/(--(SEARCH(BU$2,Liste_Ackerkulturen_Gemüse_DropDown[Ackerkulturen])&gt;0)),ROW()-2),1),"")</calculatedColumnFormula>
    </tableColumn>
    <tableColumn id="3" name="Suchformel" dataDxfId="289">
      <calculatedColumnFormula>IF(N_Bedarf!$C5="","",IF(COUNTIF(Liste_Ackerkulturen_Gemüse_DropDown[Ackerkulturen],N_Bedarf!$C5),"",N_Bedarf!$C5))</calculatedColumnFormula>
    </tableColumn>
    <tableColumn id="4" name="C6" dataDxfId="288">
      <calculatedColumnFormula>IFERROR(INDEX(Liste_Ackerkulturen_Gemüse_DropDown[Ackerkulturen],_xlfn.AGGREGATE(15,6,(ROW(Liste_Ackerkulturen_Gemüse_DropDown[Ackerkulturen])-1)/(--(SEARCH(BW$2,Liste_Ackerkulturen_Gemüse_DropDown[Ackerkulturen])&gt;0)),ROW()-2),1),"")</calculatedColumnFormula>
    </tableColumn>
    <tableColumn id="5" name="Suchformel2" dataDxfId="287">
      <calculatedColumnFormula>IF(N_Bedarf!$C6="","",IF(COUNTIF(Liste_Ackerkulturen_Gemüse_DropDown[Ackerkulturen],N_Bedarf!$C6),"",N_Bedarf!$C6))</calculatedColumnFormula>
    </tableColumn>
    <tableColumn id="6" name="C7" dataDxfId="286">
      <calculatedColumnFormula>IFERROR(INDEX(Liste_Ackerkulturen_Gemüse_DropDown[Ackerkulturen],_xlfn.AGGREGATE(15,6,(ROW(Liste_Ackerkulturen_Gemüse_DropDown[Ackerkulturen])-1)/(--(SEARCH(BY$2,Liste_Ackerkulturen_Gemüse_DropDown[Ackerkulturen])&gt;0)),ROW()-2),1),"")</calculatedColumnFormula>
    </tableColumn>
    <tableColumn id="7" name="Suchformel3" dataDxfId="285">
      <calculatedColumnFormula>IF(N_Bedarf!$C7="","",IF(COUNTIF(Liste_Ackerkulturen_Gemüse_DropDown[Ackerkulturen],N_Bedarf!$C7),"",N_Bedarf!$C7))</calculatedColumnFormula>
    </tableColumn>
    <tableColumn id="8" name="C8" dataDxfId="284">
      <calculatedColumnFormula>IFERROR(INDEX(Liste_Ackerkulturen_Gemüse_DropDown[Ackerkulturen],_xlfn.AGGREGATE(15,6,(ROW(Liste_Ackerkulturen_Gemüse_DropDown[Ackerkulturen])-1)/(--(SEARCH(CA$2,Liste_Ackerkulturen_Gemüse_DropDown[Ackerkulturen])&gt;0)),ROW()-2),1),"")</calculatedColumnFormula>
    </tableColumn>
    <tableColumn id="9" name="Suchformel4" dataDxfId="283">
      <calculatedColumnFormula>IF(N_Bedarf!$C8="","",IF(COUNTIF(Liste_Ackerkulturen_Gemüse_DropDown[Ackerkulturen],N_Bedarf!$C8),"",N_Bedarf!$C8))</calculatedColumnFormula>
    </tableColumn>
    <tableColumn id="10" name="C9" dataDxfId="282">
      <calculatedColumnFormula>IFERROR(INDEX(Liste_Ackerkulturen_Gemüse_DropDown[Ackerkulturen],_xlfn.AGGREGATE(15,6,(ROW(Liste_Ackerkulturen_Gemüse_DropDown[Ackerkulturen])-1)/(--(SEARCH(CC$2,Liste_Ackerkulturen_Gemüse_DropDown[Ackerkulturen])&gt;0)),ROW()-2),1),"")</calculatedColumnFormula>
    </tableColumn>
    <tableColumn id="11" name="Suchformel5" dataDxfId="281">
      <calculatedColumnFormula>IF(N_Bedarf!$C9="","",IF(COUNTIF(Liste_Ackerkulturen_Gemüse_DropDown[Ackerkulturen],N_Bedarf!$C9),"",N_Bedarf!$C9))</calculatedColumnFormula>
    </tableColumn>
    <tableColumn id="12" name="C10" dataDxfId="280">
      <calculatedColumnFormula>IFERROR(INDEX(Liste_Ackerkulturen_Gemüse_DropDown[Ackerkulturen],_xlfn.AGGREGATE(15,6,(ROW(Liste_Ackerkulturen_Gemüse_DropDown[Ackerkulturen])-1)/(--(SEARCH(CE$2,Liste_Ackerkulturen_Gemüse_DropDown[Ackerkulturen])&gt;0)),ROW()-2),1),"")</calculatedColumnFormula>
    </tableColumn>
    <tableColumn id="13" name="Suchformel6" dataDxfId="279">
      <calculatedColumnFormula>IF(N_Bedarf!$C10="","",IF(COUNTIF(Liste_Ackerkulturen_Gemüse_DropDown[Ackerkulturen],N_Bedarf!$C10),"",N_Bedarf!$C10))</calculatedColumnFormula>
    </tableColumn>
    <tableColumn id="14" name="C11" dataDxfId="278">
      <calculatedColumnFormula>IFERROR(INDEX(Liste_Ackerkulturen_Gemüse_DropDown[Ackerkulturen],_xlfn.AGGREGATE(15,6,(ROW(Liste_Ackerkulturen_Gemüse_DropDown[Ackerkulturen])-1)/(--(SEARCH(CG$2,Liste_Ackerkulturen_Gemüse_DropDown[Ackerkulturen])&gt;0)),ROW()-2),1),"")</calculatedColumnFormula>
    </tableColumn>
    <tableColumn id="15" name="Suchformel7" dataDxfId="277">
      <calculatedColumnFormula>IF(N_Bedarf!$C11="","",IF(COUNTIF(Liste_Ackerkulturen_Gemüse_DropDown[Ackerkulturen],N_Bedarf!$C11),"",N_Bedarf!$C11))</calculatedColumnFormula>
    </tableColumn>
    <tableColumn id="16" name="C12" dataDxfId="276">
      <calculatedColumnFormula>IFERROR(INDEX(Liste_Ackerkulturen_Gemüse_DropDown[Ackerkulturen],_xlfn.AGGREGATE(15,6,(ROW(Liste_Ackerkulturen_Gemüse_DropDown[Ackerkulturen])-1)/(--(SEARCH(CI$2,Liste_Ackerkulturen_Gemüse_DropDown[Ackerkulturen])&gt;0)),ROW()-2),1),"")</calculatedColumnFormula>
    </tableColumn>
    <tableColumn id="17" name="Suchformel8" dataDxfId="275">
      <calculatedColumnFormula>IF(N_Bedarf!$C12="","",IF(COUNTIF(Liste_Ackerkulturen_Gemüse_DropDown[Ackerkulturen],N_Bedarf!$C12),"",N_Bedarf!$C12))</calculatedColumnFormula>
    </tableColumn>
    <tableColumn id="18" name="C13" dataDxfId="274">
      <calculatedColumnFormula>IFERROR(INDEX(Liste_Ackerkulturen_Gemüse_DropDown[Ackerkulturen],_xlfn.AGGREGATE(15,6,(ROW(Liste_Ackerkulturen_Gemüse_DropDown[Ackerkulturen])-1)/(--(SEARCH(CK$2,Liste_Ackerkulturen_Gemüse_DropDown[Ackerkulturen])&gt;0)),ROW()-2),1),"")</calculatedColumnFormula>
    </tableColumn>
    <tableColumn id="19" name="Suchformel9" dataDxfId="273">
      <calculatedColumnFormula>IF(N_Bedarf!$C13="","",IF(COUNTIF(Liste_Ackerkulturen_Gemüse_DropDown[Ackerkulturen],N_Bedarf!$C13),"",N_Bedarf!$C13))</calculatedColumnFormula>
    </tableColumn>
    <tableColumn id="20" name="C14" dataDxfId="272">
      <calculatedColumnFormula>IFERROR(INDEX(Liste_Ackerkulturen_Gemüse_DropDown[Ackerkulturen],_xlfn.AGGREGATE(15,6,(ROW(Liste_Ackerkulturen_Gemüse_DropDown[Ackerkulturen])-1)/(--(SEARCH(CM$2,Liste_Ackerkulturen_Gemüse_DropDown[Ackerkulturen])&gt;0)),ROW()-2),1),"")</calculatedColumnFormula>
    </tableColumn>
    <tableColumn id="21" name="Suchformel10" dataDxfId="271">
      <calculatedColumnFormula>IF(N_Bedarf!$C14="","",IF(COUNTIF(Liste_Ackerkulturen_Gemüse_DropDown[Ackerkulturen],N_Bedarf!$C14),"",N_Bedarf!$C14))</calculatedColumnFormula>
    </tableColumn>
    <tableColumn id="22" name="C15" dataDxfId="270">
      <calculatedColumnFormula>IFERROR(INDEX(Liste_Ackerkulturen_Gemüse_DropDown[Ackerkulturen],_xlfn.AGGREGATE(15,6,(ROW(Liste_Ackerkulturen_Gemüse_DropDown[Ackerkulturen])-1)/(--(SEARCH(CO$2,Liste_Ackerkulturen_Gemüse_DropDown[Ackerkulturen])&gt;0)),ROW()-2),1),"")</calculatedColumnFormula>
    </tableColumn>
    <tableColumn id="23" name="Suchformel11" dataDxfId="269">
      <calculatedColumnFormula>IF(N_Bedarf!$C15="","",IF(COUNTIF(Liste_Ackerkulturen_Gemüse_DropDown[Ackerkulturen],N_Bedarf!$C15),"",N_Bedarf!$C15))</calculatedColumnFormula>
    </tableColumn>
    <tableColumn id="24" name="C16" dataDxfId="268">
      <calculatedColumnFormula>IFERROR(INDEX(Liste_Ackerkulturen_Gemüse_DropDown[Ackerkulturen],_xlfn.AGGREGATE(15,6,(ROW(Liste_Ackerkulturen_Gemüse_DropDown[Ackerkulturen])-1)/(--(SEARCH(CQ$2,Liste_Ackerkulturen_Gemüse_DropDown[Ackerkulturen])&gt;0)),ROW()-2),1),"")</calculatedColumnFormula>
    </tableColumn>
    <tableColumn id="25" name="Suchformel12" dataDxfId="267">
      <calculatedColumnFormula>IF(N_Bedarf!$C16="","",IF(COUNTIF(Liste_Ackerkulturen_Gemüse_DropDown[Ackerkulturen],N_Bedarf!$C16),"",N_Bedarf!$C16))</calculatedColumnFormula>
    </tableColumn>
    <tableColumn id="26" name="C17" dataDxfId="266">
      <calculatedColumnFormula>IFERROR(INDEX(Liste_Ackerkulturen_Gemüse_DropDown[Ackerkulturen],_xlfn.AGGREGATE(15,6,(ROW(Liste_Ackerkulturen_Gemüse_DropDown[Ackerkulturen])-1)/(--(SEARCH(CS$2,Liste_Ackerkulturen_Gemüse_DropDown[Ackerkulturen])&gt;0)),ROW()-2),1),"")</calculatedColumnFormula>
    </tableColumn>
    <tableColumn id="27" name="Suchformel13" dataDxfId="265">
      <calculatedColumnFormula>IF(N_Bedarf!$C17="","",IF(COUNTIF(Liste_Ackerkulturen_Gemüse_DropDown[Ackerkulturen],N_Bedarf!$C17),"",N_Bedarf!$C17))</calculatedColumnFormula>
    </tableColumn>
  </tableColumns>
  <tableStyleInfo name="TableStyleMedium11" showFirstColumn="0" showLastColumn="0" showRowStripes="1" showColumnStripes="0"/>
</table>
</file>

<file path=xl/tables/table2.xml><?xml version="1.0" encoding="utf-8"?>
<table xmlns="http://schemas.openxmlformats.org/spreadsheetml/2006/main" id="12" name="Liste_Grünland_DropDown" displayName="Liste_Grünland_DropDown" ref="CV1:DH22" totalsRowShown="0">
  <autoFilter ref="CV1:DH22"/>
  <tableColumns count="13">
    <tableColumn id="1" name="Grünland"/>
    <tableColumn id="2" name="C20" dataDxfId="264">
      <calculatedColumnFormula>IFERROR(INDEX(Liste_Grünland_DropDown[Grünland],_xlfn.AGGREGATE(15,6,(ROW(Liste_Grünland_DropDown[Grünland])-1)/(--(SEARCH(CX$2,Liste_Grünland_DropDown[Grünland])&gt;0)),ROW()-2),1),"")</calculatedColumnFormula>
    </tableColumn>
    <tableColumn id="3" name="Suchformel" dataDxfId="263">
      <calculatedColumnFormula>IF(N_Bedarf!$C20="","",IF(COUNTIF(Liste_Grünland_DropDown[Grünland],N_Bedarf!$C20),"",N_Bedarf!$C20))</calculatedColumnFormula>
    </tableColumn>
    <tableColumn id="4" name="C21" dataDxfId="262">
      <calculatedColumnFormula>IFERROR(INDEX(Liste_Grünland_DropDown[Grünland],_xlfn.AGGREGATE(15,6,(ROW(Liste_Grünland_DropDown[Grünland])-1)/(--(SEARCH(CZ$2,Liste_Grünland_DropDown[Grünland])&gt;0)),ROW()-2),1),"")</calculatedColumnFormula>
    </tableColumn>
    <tableColumn id="5" name="Suchformel2" dataDxfId="261"/>
    <tableColumn id="6" name="C22" dataDxfId="260">
      <calculatedColumnFormula>IFERROR(INDEX(Liste_Grünland_DropDown[Grünland],_xlfn.AGGREGATE(15,6,(ROW(Liste_Grünland_DropDown[Grünland])-1)/(--(SEARCH(DB$2,Liste_Grünland_DropDown[Grünland])&gt;0)),ROW()-2),1),"")</calculatedColumnFormula>
    </tableColumn>
    <tableColumn id="7" name="Suchformel3" dataDxfId="259"/>
    <tableColumn id="8" name="C23" dataDxfId="258">
      <calculatedColumnFormula>IFERROR(INDEX(Liste_Grünland_DropDown[Grünland],_xlfn.AGGREGATE(15,6,(ROW(Liste_Grünland_DropDown[Grünland])-1)/(--(SEARCH(DD$2,Liste_Grünland_DropDown[Grünland])&gt;0)),ROW()-2),1),"")</calculatedColumnFormula>
    </tableColumn>
    <tableColumn id="9" name="Suchformel4" dataDxfId="257"/>
    <tableColumn id="10" name="C24" dataDxfId="256">
      <calculatedColumnFormula>IFERROR(INDEX(Liste_Grünland_DropDown[Grünland],_xlfn.AGGREGATE(15,6,(ROW(Liste_Grünland_DropDown[Grünland])-1)/(--(SEARCH(DF$2,Liste_Grünland_DropDown[Grünland])&gt;0)),ROW()-2),1),"")</calculatedColumnFormula>
    </tableColumn>
    <tableColumn id="11" name="Suchformel5" dataDxfId="255"/>
    <tableColumn id="12" name="C25" dataDxfId="254">
      <calculatedColumnFormula>IFERROR(INDEX(Liste_Grünland_DropDown[Grünland],_xlfn.AGGREGATE(15,6,(ROW(Liste_Grünland_DropDown[Grünland])-1)/(--(SEARCH(DH$2,Liste_Grünland_DropDown[Grünland])&gt;0)),ROW()-2),1),"")</calculatedColumnFormula>
    </tableColumn>
    <tableColumn id="13" name="Suchformel6" dataDxfId="253"/>
  </tableColumns>
  <tableStyleInfo name="TableStyleMedium11" showFirstColumn="0" showLastColumn="0" showRowStripes="1" showColumnStripes="0"/>
</table>
</file>

<file path=xl/tables/table3.xml><?xml version="1.0" encoding="utf-8"?>
<table xmlns="http://schemas.openxmlformats.org/spreadsheetml/2006/main" id="2" name="TiereDropDown" displayName="TiereDropDown" ref="AJ1:BM144" totalsRowShown="0" headerRowDxfId="229" dataDxfId="228" tableBorderDxfId="227">
  <autoFilter ref="AJ1:BM144"/>
  <tableColumns count="30">
    <tableColumn id="1" name="B5" dataDxfId="226"/>
    <tableColumn id="2" name="Suchformel" dataDxfId="225">
      <calculatedColumnFormula>IF(AND($B5&lt;&gt;"",$B5&lt;&gt;"ZURÜCK ZUR AUSWAHL",COUNTIF(Liste_Tiere[Rinder],$B5)),$BO$1,IF(AND($B5&lt;&gt;"",COUNTIF(Liste_Tiere[Schweine],$B5)),$BP$1,IF(AND($B5&lt;&gt;"",COUNTIF(Liste_Tiere[Geflügel],$B5)),$BQ$1,IF(AND($B5&lt;&gt;"",COUNTIF(Liste_Tiere[Schafe, Ziegen],$B5)),$BR$1,IF(AND($B5&lt;&gt;"",COUNTIF(Liste_Tiere[Pferde],$B5)),$BS$1,IF(AND($B5&lt;&gt;"",COUNTIF(Liste_Tiere[Weitere Tierarten],$B5)),$BT$1,IF(AND($B5&lt;&gt;"",COUNTIF(Liste_Tiere[Zwergrinder],$B5)),$BU$1,IF(OR($B5="",$B5=0),"",$B5))))))))</calculatedColumnFormula>
    </tableColumn>
    <tableColumn id="3" name="B6" dataDxfId="224"/>
    <tableColumn id="4" name="Suchformel2" dataDxfId="223">
      <calculatedColumnFormula>IF(AND($B6&lt;&gt;"",COUNTIF(Liste_Tiere[Rinder],$B6)),$BO$1,IF(AND($B6&lt;&gt;"",COUNTIF(Liste_Tiere[Schweine],$B6)),$BP$1,IF(AND($B6&lt;&gt;"",COUNTIF(Liste_Tiere[Geflügel],$B6)),$BQ$1,IF(AND($B6&lt;&gt;"",COUNTIF(Liste_Tiere[Schafe, Ziegen],$B6)),$BR$1,IF(AND($B6&lt;&gt;"",COUNTIF(Liste_Tiere[Pferde],$B6)),$BS$1,IF(AND($B6&lt;&gt;"",COUNTIF(Liste_Tiere[Weitere Tierarten],$B6)),$BT$1,IF(AND($B6&lt;&gt;"",COUNTIF(Liste_Tiere[Zwergrinder],$B6)),$BU$1,IF(OR($B6="",$B6=0),"",$B6))))))))</calculatedColumnFormula>
    </tableColumn>
    <tableColumn id="5" name="B7" dataDxfId="222"/>
    <tableColumn id="6" name="Suchformel3" dataDxfId="221">
      <calculatedColumnFormula>IF(AND($B7&lt;&gt;"",COUNTIF(Liste_Tiere[Rinder],$B7)),$BO$1,IF(AND($B7&lt;&gt;"",COUNTIF(Liste_Tiere[Schweine],$B7)),$BP$1,IF(AND($B7&lt;&gt;"",COUNTIF(Liste_Tiere[Geflügel],$B7)),$BQ$1,IF(AND($B7&lt;&gt;"",COUNTIF(Liste_Tiere[Schafe, Ziegen],$B7)),$BR$1,IF(AND($B7&lt;&gt;"",COUNTIF(Liste_Tiere[Pferde],$B7)),$BS$1,IF(AND($B7&lt;&gt;"",COUNTIF(Liste_Tiere[Weitere Tierarten],$B7)),$BT$1,IF(AND($B7&lt;&gt;"",COUNTIF(Liste_Tiere[Zwergrinder],$B7)),$BU$1,IF(OR($B7="",$B7=0),"",$B7))))))))</calculatedColumnFormula>
    </tableColumn>
    <tableColumn id="7" name="B8" dataDxfId="220"/>
    <tableColumn id="8" name="Suchformel4" dataDxfId="219">
      <calculatedColumnFormula>IF(AND($B8&lt;&gt;"",COUNTIF(Liste_Tiere[Rinder],$B8)),$BO$1,IF(AND($B8&lt;&gt;"",COUNTIF(Liste_Tiere[Schweine],$B8)),$BP$1,IF(AND($B8&lt;&gt;"",COUNTIF(Liste_Tiere[Geflügel],$B8)),$BQ$1,IF(AND($B8&lt;&gt;"",COUNTIF(Liste_Tiere[Schafe, Ziegen],$B8)),$BR$1,IF(AND($B8&lt;&gt;"",COUNTIF(Liste_Tiere[Pferde],$B8)),$BS$1,IF(AND($B8&lt;&gt;"",COUNTIF(Liste_Tiere[Weitere Tierarten],$B8)),$BT$1,IF(AND($B8&lt;&gt;"",COUNTIF(Liste_Tiere[Zwergrinder],$B8)),$BU$1,IF(OR($B8="",$B8=0),"",$B8))))))))</calculatedColumnFormula>
    </tableColumn>
    <tableColumn id="9" name="B9" dataDxfId="218"/>
    <tableColumn id="10" name="Suchformel5" dataDxfId="217">
      <calculatedColumnFormula>IF(AND($B9&lt;&gt;"",COUNTIF(Liste_Tiere[Rinder],$B9)),$BO$1,IF(AND($B9&lt;&gt;"",COUNTIF(Liste_Tiere[Schweine],$B9)),$BP$1,IF(AND($B9&lt;&gt;"",COUNTIF(Liste_Tiere[Geflügel],$B9)),$BQ$1,IF(AND($B9&lt;&gt;"",COUNTIF(Liste_Tiere[Schafe, Ziegen],$B9)),$BR$1,IF(AND($B9&lt;&gt;"",COUNTIF(Liste_Tiere[Pferde],$B9)),$BS$1,IF(AND($B9&lt;&gt;"",COUNTIF(Liste_Tiere[Weitere Tierarten],$B9)),$BT$1,IF(AND($B9&lt;&gt;"",COUNTIF(Liste_Tiere[Zwergrinder],$B9)),$BU$1,IF(OR($B9="",$B9=0),"",$B9))))))))</calculatedColumnFormula>
    </tableColumn>
    <tableColumn id="11" name="B10" dataDxfId="216"/>
    <tableColumn id="12" name="Suchformel6" dataDxfId="215">
      <calculatedColumnFormula>IF(AND($B10&lt;&gt;"",COUNTIF(Liste_Tiere[Rinder],$B10)),$BO$1,IF(AND($B10&lt;&gt;"",COUNTIF(Liste_Tiere[Schweine],$B10)),$BP$1,IF(AND($B10&lt;&gt;"",COUNTIF(Liste_Tiere[Geflügel],$B10)),$BQ$1,IF(AND($B10&lt;&gt;"",COUNTIF(Liste_Tiere[Schafe, Ziegen],$B10)),$BR$1,IF(AND($B10&lt;&gt;"",COUNTIF(Liste_Tiere[Pferde],$B10)),$BS$1,IF(AND($B10&lt;&gt;"",COUNTIF(Liste_Tiere[Weitere Tierarten],$B10)),$BT$1,IF(AND($B10&lt;&gt;"",COUNTIF(Liste_Tiere[Zwergrinder],$B10)),$BU$1,IF(OR($B10="",$B10=0),"",$B10))))))))</calculatedColumnFormula>
    </tableColumn>
    <tableColumn id="13" name="B11" dataDxfId="214"/>
    <tableColumn id="14" name="Suchformel7" dataDxfId="213">
      <calculatedColumnFormula>IF(AND($B11&lt;&gt;"",COUNTIF(Liste_Tiere[Rinder],$B11)),$BO$1,IF(AND($B11&lt;&gt;"",COUNTIF(Liste_Tiere[Schweine],$B11)),$BP$1,IF(AND($B11&lt;&gt;"",COUNTIF(Liste_Tiere[Geflügel],$B11)),$BQ$1,IF(AND($B11&lt;&gt;"",COUNTIF(Liste_Tiere[Schafe, Ziegen],$B11)),$BR$1,IF(AND($B11&lt;&gt;"",COUNTIF(Liste_Tiere[Pferde],$B11)),$BS$1,IF(AND($B11&lt;&gt;"",COUNTIF(Liste_Tiere[Weitere Tierarten],$B11)),$BT$1,IF(AND($B11&lt;&gt;"",COUNTIF(Liste_Tiere[Zwergrinder],$B11)),$BU$1,IF(OR($B11="",$B11=0),"",$B11))))))))</calculatedColumnFormula>
    </tableColumn>
    <tableColumn id="15" name="B12" dataDxfId="212"/>
    <tableColumn id="16" name="Suchformel8" dataDxfId="211">
      <calculatedColumnFormula>IF(AND($B12&lt;&gt;"",COUNTIF(Liste_Tiere[Rinder],$B12)),$BO$1,IF(AND($B12&lt;&gt;"",COUNTIF(Liste_Tiere[Schweine],$B12)),$BP$1,IF(AND($B12&lt;&gt;"",COUNTIF(Liste_Tiere[Geflügel],$B12)),$BQ$1,IF(AND($B12&lt;&gt;"",COUNTIF(Liste_Tiere[Schafe, Ziegen],$B12)),$BR$1,IF(AND($B12&lt;&gt;"",COUNTIF(Liste_Tiere[Pferde],$B12)),$BS$1,IF(AND($B12&lt;&gt;"",COUNTIF(Liste_Tiere[Weitere Tierarten],$B12)),$BT$1,IF(AND($B12&lt;&gt;"",COUNTIF(Liste_Tiere[Zwergrinder],$B12)),$BU$1,IF(OR($B12="",$B12=0),"",$B12))))))))</calculatedColumnFormula>
    </tableColumn>
    <tableColumn id="17" name="B13" dataDxfId="210"/>
    <tableColumn id="18" name="Suchformel9" dataDxfId="209">
      <calculatedColumnFormula>IF(AND($B13&lt;&gt;"",COUNTIF(Liste_Tiere[Rinder],$B13)),$BO$1,IF(AND($B13&lt;&gt;"",COUNTIF(Liste_Tiere[Schweine],$B13)),$BP$1,IF(AND($B13&lt;&gt;"",COUNTIF(Liste_Tiere[Geflügel],$B13)),$BQ$1,IF(AND($B13&lt;&gt;"",COUNTIF(Liste_Tiere[Schafe, Ziegen],$B13)),$BR$1,IF(AND($B13&lt;&gt;"",COUNTIF(Liste_Tiere[Pferde],$B13)),$BS$1,IF(AND($B13&lt;&gt;"",COUNTIF(Liste_Tiere[Weitere Tierarten],$B13)),$BT$1,IF(AND($B13&lt;&gt;"",COUNTIF(Liste_Tiere[Zwergrinder],$B13)),$BU$1,IF(OR($B13="",$B13=0),"",$B13))))))))</calculatedColumnFormula>
    </tableColumn>
    <tableColumn id="19" name="B14" dataDxfId="208"/>
    <tableColumn id="20" name="Suchformel10" dataDxfId="207">
      <calculatedColumnFormula>IF(AND($B14&lt;&gt;"",COUNTIF(Liste_Tiere[Rinder],$B14)),$BO$1,IF(AND($B14&lt;&gt;"",COUNTIF(Liste_Tiere[Schweine],$B14)),$BP$1,IF(AND($B14&lt;&gt;"",COUNTIF(Liste_Tiere[Geflügel],$B14)),$BQ$1,IF(AND($B14&lt;&gt;"",COUNTIF(Liste_Tiere[Schafe, Ziegen],$B14)),$BR$1,IF(AND($B14&lt;&gt;"",COUNTIF(Liste_Tiere[Pferde],$B14)),$BS$1,IF(AND($B14&lt;&gt;"",COUNTIF(Liste_Tiere[Weitere Tierarten],$B14)),$BT$1,IF(AND($B14&lt;&gt;"",COUNTIF(Liste_Tiere[Zwergrinder],$B14)),$BU$1,IF(OR($B14="",$B14=0),"",$B14))))))))</calculatedColumnFormula>
    </tableColumn>
    <tableColumn id="21" name="B15" dataDxfId="206"/>
    <tableColumn id="22" name="Suchformel11" dataDxfId="205">
      <calculatedColumnFormula>IF(AND($B15&lt;&gt;"",COUNTIF(Liste_Tiere[Rinder],$B15)),$BO$1,IF(AND($B15&lt;&gt;"",COUNTIF(Liste_Tiere[Schweine],$B15)),$BP$1,IF(AND($B15&lt;&gt;"",COUNTIF(Liste_Tiere[Geflügel],$B15)),$BQ$1,IF(AND($B15&lt;&gt;"",COUNTIF(Liste_Tiere[Schafe, Ziegen],$B15)),$BR$1,IF(AND($B15&lt;&gt;"",COUNTIF(Liste_Tiere[Pferde],$B15)),$BS$1,IF(AND($B15&lt;&gt;"",COUNTIF(Liste_Tiere[Weitere Tierarten],$B15)),$BT$1,IF(AND($B15&lt;&gt;"",COUNTIF(Liste_Tiere[Zwergrinder],$B15)),$BU$1,IF(OR($B15="",$B15=0),"",$B15))))))))</calculatedColumnFormula>
    </tableColumn>
    <tableColumn id="23" name="B16" dataDxfId="204"/>
    <tableColumn id="24" name="Suchformel12" dataDxfId="203">
      <calculatedColumnFormula>IF(AND($B16&lt;&gt;"",COUNTIF(Liste_Tiere[Rinder],$B16)),$BO$1,IF(AND($B16&lt;&gt;"",COUNTIF(Liste_Tiere[Schweine],$B16)),$BP$1,IF(AND($B16&lt;&gt;"",COUNTIF(Liste_Tiere[Geflügel],$B16)),$BQ$1,IF(AND($B16&lt;&gt;"",COUNTIF(Liste_Tiere[Schafe, Ziegen],$B16)),$BR$1,IF(AND($B16&lt;&gt;"",COUNTIF(Liste_Tiere[Pferde],$B16)),$BS$1,IF(AND($B16&lt;&gt;"",COUNTIF(Liste_Tiere[Weitere Tierarten],$B16)),$BT$1,IF(AND($B16&lt;&gt;"",COUNTIF(Liste_Tiere[Zwergrinder],$B16)),$BU$1,IF(OR($B16="",$B16=0),"",$B16))))))))</calculatedColumnFormula>
    </tableColumn>
    <tableColumn id="25" name="B17" dataDxfId="202"/>
    <tableColumn id="26" name="Suchformel13" dataDxfId="201">
      <calculatedColumnFormula>IF(AND($B17&lt;&gt;"",COUNTIF(Liste_Tiere[Rinder],$B17)),$BO$1,IF(AND($B17&lt;&gt;"",COUNTIF(Liste_Tiere[Schweine],$B17)),$BP$1,IF(AND($B17&lt;&gt;"",COUNTIF(Liste_Tiere[Geflügel],$B17)),$BQ$1,IF(AND($B17&lt;&gt;"",COUNTIF(Liste_Tiere[Schafe, Ziegen],$B17)),$BR$1,IF(AND($B17&lt;&gt;"",COUNTIF(Liste_Tiere[Pferde],$B17)),$BS$1,IF(AND($B17&lt;&gt;"",COUNTIF(Liste_Tiere[Weitere Tierarten],$B17)),$BT$1,IF(AND($B17&lt;&gt;"",COUNTIF(Liste_Tiere[Zwergrinder],$B17)),$BU$1,IF(OR($B17="",$B17=0),"",$B17))))))))</calculatedColumnFormula>
    </tableColumn>
    <tableColumn id="27" name="B18" dataDxfId="200"/>
    <tableColumn id="28" name="Suchformel14" dataDxfId="199">
      <calculatedColumnFormula>IF(AND($B18&lt;&gt;"",COUNTIF(Liste_Tiere[Rinder],$B18)),$BO$1,IF(AND($B18&lt;&gt;"",COUNTIF(Liste_Tiere[Schweine],$B18)),$BP$1,IF(AND($B18&lt;&gt;"",COUNTIF(Liste_Tiere[Geflügel],$B18)),$BQ$1,IF(AND($B18&lt;&gt;"",COUNTIF(Liste_Tiere[Schafe, Ziegen],$B18)),$BR$1,IF(AND($B18&lt;&gt;"",COUNTIF(Liste_Tiere[Pferde],$B18)),$BS$1,IF(AND($B18&lt;&gt;"",COUNTIF(Liste_Tiere[Weitere Tierarten],$B18)),$BT$1,IF(AND($B18&lt;&gt;"",COUNTIF(Liste_Tiere[Zwergrinder],$B18)),$BU$1,IF(OR($B18="",$B18=0),"",$B18))))))))</calculatedColumnFormula>
    </tableColumn>
    <tableColumn id="29" name="B19" dataDxfId="198"/>
    <tableColumn id="30" name="Suchformel15" dataDxfId="197"/>
  </tableColumns>
  <tableStyleInfo name="TableStyleMedium9" showFirstColumn="0" showLastColumn="0" showRowStripes="1" showColumnStripes="0"/>
</table>
</file>

<file path=xl/tables/table4.xml><?xml version="1.0" encoding="utf-8"?>
<table xmlns="http://schemas.openxmlformats.org/spreadsheetml/2006/main" id="3" name="Liste_Tiere" displayName="Liste_Tiere" ref="BN1:BU145" totalsRowShown="0" headerRowDxfId="196" dataDxfId="195">
  <autoFilter ref="BN1:BU145"/>
  <tableColumns count="8">
    <tableColumn id="1" name="Tiere gesamt" dataDxfId="194"/>
    <tableColumn id="2" name="Rinder" dataDxfId="193"/>
    <tableColumn id="3" name="Schweine" dataDxfId="192"/>
    <tableColumn id="4" name="Geflügel" dataDxfId="191"/>
    <tableColumn id="5" name="Schafe, Ziegen" dataDxfId="190"/>
    <tableColumn id="6" name="Pferde" dataDxfId="189"/>
    <tableColumn id="7" name="Weitere Tierarten" dataDxfId="188"/>
    <tableColumn id="8" name="Zwergrinder" dataDxfId="187"/>
  </tableColumns>
  <tableStyleInfo name="TableStyleMedium9" showFirstColumn="0" showLastColumn="0" showRowStripes="1" showColumnStripes="0"/>
</table>
</file>

<file path=xl/tables/table5.xml><?xml version="1.0" encoding="utf-8"?>
<table xmlns="http://schemas.openxmlformats.org/spreadsheetml/2006/main" id="10" name="Liste_Handelsünger" displayName="Liste_Handelsünger" ref="AD1:BH39" totalsRowShown="0" headerRowDxfId="164">
  <autoFilter ref="AD1:BH39"/>
  <tableColumns count="31">
    <tableColumn id="1" name="Handelsdünger" dataDxfId="163"/>
    <tableColumn id="2" name="A3" dataDxfId="162">
      <calculatedColumnFormula>IFERROR(INDEX(Liste_Handelsünger[Handelsdünger],_xlfn.AGGREGATE(15,6,(ROW(Liste_Handelsünger[Handelsdünger])-1)/(--(SEARCH(AF$2,Liste_Handelsünger[Handelsdünger])&gt;0)),ROW()-2),1),"")</calculatedColumnFormula>
    </tableColumn>
    <tableColumn id="3" name="Suchformel" dataDxfId="161"/>
    <tableColumn id="4" name="A4" dataDxfId="160">
      <calculatedColumnFormula>IFERROR(INDEX(Liste_Handelsünger[Handelsdünger],_xlfn.AGGREGATE(15,6,(ROW(Liste_Handelsünger[Handelsdünger])-1)/(--(SEARCH(AH$2,Liste_Handelsünger[Handelsdünger])&gt;0)),ROW()-2),1),"")</calculatedColumnFormula>
    </tableColumn>
    <tableColumn id="5" name="Suchformel2"/>
    <tableColumn id="6" name="A5" dataDxfId="159">
      <calculatedColumnFormula>IFERROR(INDEX(Liste_Handelsünger[Handelsdünger],_xlfn.AGGREGATE(15,6,(ROW(Liste_Handelsünger[Handelsdünger])-1)/(--(SEARCH(AJ$2,Liste_Handelsünger[Handelsdünger])&gt;0)),ROW()-2),1),"")</calculatedColumnFormula>
    </tableColumn>
    <tableColumn id="7" name="Suchformel3"/>
    <tableColumn id="8" name="A6" dataDxfId="158">
      <calculatedColumnFormula>IFERROR(INDEX(Liste_Handelsünger[Handelsdünger],_xlfn.AGGREGATE(15,6,(ROW(Liste_Handelsünger[Handelsdünger])-1)/(--(SEARCH(AL$2,Liste_Handelsünger[Handelsdünger])&gt;0)),ROW()-2),1),"")</calculatedColumnFormula>
    </tableColumn>
    <tableColumn id="9" name="Suchformel4"/>
    <tableColumn id="10" name="A7" dataDxfId="157">
      <calculatedColumnFormula>IFERROR(INDEX(Liste_Handelsünger[Handelsdünger],_xlfn.AGGREGATE(15,6,(ROW(Liste_Handelsünger[Handelsdünger])-1)/(--(SEARCH(AN$2,Liste_Handelsünger[Handelsdünger])&gt;0)),ROW()-2),1),"")</calculatedColumnFormula>
    </tableColumn>
    <tableColumn id="11" name="Suchformel5"/>
    <tableColumn id="12" name="A8" dataDxfId="156">
      <calculatedColumnFormula>IFERROR(INDEX(Liste_Handelsünger[Handelsdünger],_xlfn.AGGREGATE(15,6,(ROW(Liste_Handelsünger[Handelsdünger])-1)/(--(SEARCH(AP$2,Liste_Handelsünger[Handelsdünger])&gt;0)),ROW()-2),1),"")</calculatedColumnFormula>
    </tableColumn>
    <tableColumn id="13" name="Suchformel6"/>
    <tableColumn id="14" name="A9" dataDxfId="155">
      <calculatedColumnFormula>IFERROR(INDEX(Liste_Handelsünger[Handelsdünger],_xlfn.AGGREGATE(15,6,(ROW(Liste_Handelsünger[Handelsdünger])-1)/(--(SEARCH(AR$2,Liste_Handelsünger[Handelsdünger])&gt;0)),ROW()-2),1),"")</calculatedColumnFormula>
    </tableColumn>
    <tableColumn id="15" name="Suchformel7"/>
    <tableColumn id="16" name="A10" dataDxfId="154">
      <calculatedColumnFormula>IFERROR(INDEX(Liste_Handelsünger[Handelsdünger],_xlfn.AGGREGATE(15,6,(ROW(Liste_Handelsünger[Handelsdünger])-1)/(--(SEARCH(AT$2,Liste_Handelsünger[Handelsdünger])&gt;0)),ROW()-2),1),"")</calculatedColumnFormula>
    </tableColumn>
    <tableColumn id="17" name="Suchformel8"/>
    <tableColumn id="18" name="A11" dataDxfId="153">
      <calculatedColumnFormula>IFERROR(INDEX(Liste_Handelsünger[Handelsdünger],_xlfn.AGGREGATE(15,6,(ROW(Liste_Handelsünger[Handelsdünger])-1)/(--(SEARCH(AV$2,Liste_Handelsünger[Handelsdünger])&gt;0)),ROW()-2),1),"")</calculatedColumnFormula>
    </tableColumn>
    <tableColumn id="19" name="Suchformel9"/>
    <tableColumn id="20" name="A12" dataDxfId="152">
      <calculatedColumnFormula>IFERROR(INDEX(Liste_Handelsünger[Handelsdünger],_xlfn.AGGREGATE(15,6,(ROW(Liste_Handelsünger[Handelsdünger])-1)/(--(SEARCH(AX$2,Liste_Handelsünger[Handelsdünger])&gt;0)),ROW()-2),1),"")</calculatedColumnFormula>
    </tableColumn>
    <tableColumn id="21" name="Suchformel10"/>
    <tableColumn id="22" name="A13" dataDxfId="151">
      <calculatedColumnFormula>IFERROR(INDEX(Liste_Handelsünger[Handelsdünger],_xlfn.AGGREGATE(15,6,(ROW(Liste_Handelsünger[Handelsdünger])-1)/(--(SEARCH(AZ$2,Liste_Handelsünger[Handelsdünger])&gt;0)),ROW()-2),1),"")</calculatedColumnFormula>
    </tableColumn>
    <tableColumn id="23" name="Suchformel11"/>
    <tableColumn id="24" name="A14" dataDxfId="150">
      <calculatedColumnFormula>IFERROR(INDEX(Liste_Handelsünger[Handelsdünger],_xlfn.AGGREGATE(15,6,(ROW(Liste_Handelsünger[Handelsdünger])-1)/(--(SEARCH(BB$2,Liste_Handelsünger[Handelsdünger])&gt;0)),ROW()-2),1),"")</calculatedColumnFormula>
    </tableColumn>
    <tableColumn id="25" name="Suchformel12"/>
    <tableColumn id="26" name="A15" dataDxfId="149">
      <calculatedColumnFormula>IFERROR(INDEX(Liste_Handelsünger[Handelsdünger],_xlfn.AGGREGATE(15,6,(ROW(Liste_Handelsünger[Handelsdünger])-1)/(--(SEARCH(BD$2,Liste_Handelsünger[Handelsdünger])&gt;0)),ROW()-2),1),"")</calculatedColumnFormula>
    </tableColumn>
    <tableColumn id="27" name="Suchformel13"/>
    <tableColumn id="28" name="A16" dataDxfId="148">
      <calculatedColumnFormula>IFERROR(INDEX(Liste_Handelsünger[Handelsdünger],_xlfn.AGGREGATE(15,6,(ROW(Liste_Handelsünger[Handelsdünger])-1)/(--(SEARCH(BF$2,Liste_Handelsünger[Handelsdünger])&gt;0)),ROW()-2),1),"")</calculatedColumnFormula>
    </tableColumn>
    <tableColumn id="29" name="Suchformel14"/>
    <tableColumn id="30" name="A17" dataDxfId="147">
      <calculatedColumnFormula>IFERROR(INDEX(Liste_Handelsünger[Handelsdünger],_xlfn.AGGREGATE(15,6,(ROW(Liste_Handelsünger[Handelsdünger])-1)/(--(SEARCH(BH$2,Liste_Handelsünger[Handelsdünger])&gt;0)),ROW()-2),1),"")</calculatedColumnFormula>
    </tableColumn>
    <tableColumn id="31" name="Suchformel15"/>
  </tableColumns>
  <tableStyleInfo name="TableStyleMedium9" showFirstColumn="0" showLastColumn="0" showRowStripes="1" showColumnStripes="0"/>
</table>
</file>

<file path=xl/tables/table6.xml><?xml version="1.0" encoding="utf-8"?>
<table xmlns="http://schemas.openxmlformats.org/spreadsheetml/2006/main" id="1" name="PFL_Schutz_Drop_Down56" displayName="PFL_Schutz_Drop_Down56" ref="R3:AZ77" totalsRowShown="0" tableBorderDxfId="39" headerRowCellStyle="Standard 2" dataCellStyle="Standard 2">
  <autoFilter ref="R3:AZ77"/>
  <sortState ref="R4:T77">
    <sortCondition ref="T4:T77"/>
  </sortState>
  <tableColumns count="35">
    <tableColumn id="1" name="Produktname" dataDxfId="38" dataCellStyle="Standard 2">
      <calculatedColumnFormula>Pfl_Schutz!E4</calculatedColumnFormula>
    </tableColumn>
    <tableColumn id="2" name="Auftretend" dataDxfId="37" dataCellStyle="Standard 2">
      <calculatedColumnFormula>COUNTIF($R$4:PFL_Schutz_Drop_Down56[[#This Row],[Produktname]],PFL_Schutz_Drop_Down56[[#This Row],[Produktname]])</calculatedColumnFormula>
    </tableColumn>
    <tableColumn id="3" name="Produktname eindeutig" dataDxfId="36" dataCellStyle="Standard 2">
      <calculatedColumnFormula>IFERROR(INDEX(R:R,_xlfn.AGGREGATE(15,6,ROW(PFL_Schutz_Drop_Down56[Produktname])/(PFL_Schutz_Drop_Down56[Auftretend]=1),ROW()-3)),"")</calculatedColumnFormula>
    </tableColumn>
    <tableColumn id="34" name="schon gewählt" dataDxfId="35" dataCellStyle="Standard 2">
      <calculatedColumnFormula>IF(COUNTIF($A$17:$A$76,PFL_Schutz_Drop_Down56[[#This Row],[Produktname eindeutig]])&gt;=1,"",ROW())</calculatedColumnFormula>
    </tableColumn>
    <tableColumn id="35" name="noch nicht gewählt" dataDxfId="34" dataCellStyle="Standard 2">
      <calculatedColumnFormula>IF(ROW(T4)-ROW(T$4)+1&gt;COUNT($U$4:$U$77),"",INDEX(T:T,SMALL($U$4:$U$77,1+ROW(T4)-ROW($T$4))))</calculatedColumnFormula>
    </tableColumn>
    <tableColumn id="6" name="ZEILE 17" dataDxfId="33" dataCellStyle="Standard 2">
      <calculatedColumnFormula>IFERROR(INDEX(PFL_Schutz_Drop_Down56[noch nicht gewählt],_xlfn.AGGREGATE(15,6,ROW(PFL_Schutz_Drop_Down56[noch nicht gewählt])-3/(--(SEARCH($A$17,PFL_Schutz_Drop_Down56[noch nicht gewählt])&gt;0)),ROW()-3)),"")</calculatedColumnFormula>
    </tableColumn>
    <tableColumn id="7" name="19" dataDxfId="32" dataCellStyle="Standard 2">
      <calculatedColumnFormula>IFERROR(INDEX(PFL_Schutz_Drop_Down56[noch nicht gewählt],_xlfn.AGGREGATE(15,6,ROW(PFL_Schutz_Drop_Down56[noch nicht gewählt])-3/(--(SEARCH($A$19,PFL_Schutz_Drop_Down56[noch nicht gewählt])&gt;0)),ROW()-3)),"")</calculatedColumnFormula>
    </tableColumn>
    <tableColumn id="8" name="21" dataDxfId="31" dataCellStyle="Standard 2">
      <calculatedColumnFormula>IFERROR(INDEX(PFL_Schutz_Drop_Down56[noch nicht gewählt],_xlfn.AGGREGATE(15,6,ROW(PFL_Schutz_Drop_Down56[noch nicht gewählt])-3/(--(SEARCH($A$21,PFL_Schutz_Drop_Down56[noch nicht gewählt])&gt;0)),ROW()-3)),"")</calculatedColumnFormula>
    </tableColumn>
    <tableColumn id="9" name="23" dataDxfId="30" dataCellStyle="Standard 2">
      <calculatedColumnFormula>IFERROR(INDEX(PFL_Schutz_Drop_Down56[noch nicht gewählt],_xlfn.AGGREGATE(15,6,ROW(PFL_Schutz_Drop_Down56[noch nicht gewählt])-3/(--(SEARCH($A$23,PFL_Schutz_Drop_Down56[noch nicht gewählt])&gt;0)),ROW()-3)),"")</calculatedColumnFormula>
    </tableColumn>
    <tableColumn id="10" name="25" dataDxfId="29" dataCellStyle="Standard 2">
      <calculatedColumnFormula>IFERROR(INDEX(PFL_Schutz_Drop_Down56[noch nicht gewählt],_xlfn.AGGREGATE(15,6,ROW(PFL_Schutz_Drop_Down56[noch nicht gewählt])-3/(--(SEARCH($A$25,PFL_Schutz_Drop_Down56[noch nicht gewählt])&gt;0)),ROW()-3)),"")</calculatedColumnFormula>
    </tableColumn>
    <tableColumn id="11" name="27" dataDxfId="28" dataCellStyle="Standard 2">
      <calculatedColumnFormula>IFERROR(INDEX(PFL_Schutz_Drop_Down56[noch nicht gewählt],_xlfn.AGGREGATE(15,6,ROW(PFL_Schutz_Drop_Down56[noch nicht gewählt])-3/(--(SEARCH($A$27,PFL_Schutz_Drop_Down56[noch nicht gewählt])&gt;0)),ROW()-3)),"")</calculatedColumnFormula>
    </tableColumn>
    <tableColumn id="12" name="29" dataDxfId="27" dataCellStyle="Standard 2">
      <calculatedColumnFormula>IFERROR(INDEX(PFL_Schutz_Drop_Down56[noch nicht gewählt],_xlfn.AGGREGATE(15,6,ROW(PFL_Schutz_Drop_Down56[noch nicht gewählt])-3/(--(SEARCH($A$29,PFL_Schutz_Drop_Down56[noch nicht gewählt])&gt;0)),ROW()-3)),"")</calculatedColumnFormula>
    </tableColumn>
    <tableColumn id="13" name="31" dataDxfId="26" dataCellStyle="Standard 2">
      <calculatedColumnFormula>IFERROR(INDEX(PFL_Schutz_Drop_Down56[noch nicht gewählt],_xlfn.AGGREGATE(15,6,ROW(PFL_Schutz_Drop_Down56[noch nicht gewählt])-3/(--(SEARCH($A$31,PFL_Schutz_Drop_Down56[noch nicht gewählt])&gt;0)),ROW()-3)),"")</calculatedColumnFormula>
    </tableColumn>
    <tableColumn id="4" name="33" dataDxfId="25" dataCellStyle="Standard 2">
      <calculatedColumnFormula>IFERROR(INDEX(PFL_Schutz_Drop_Down56[noch nicht gewählt],_xlfn.AGGREGATE(15,6,ROW(PFL_Schutz_Drop_Down56[noch nicht gewählt])-3/(--(SEARCH($A$33,PFL_Schutz_Drop_Down56[noch nicht gewählt])&gt;0)),ROW()-3)),"")</calculatedColumnFormula>
    </tableColumn>
    <tableColumn id="5" name="35" dataDxfId="24" dataCellStyle="Standard 2">
      <calculatedColumnFormula>IFERROR(INDEX(PFL_Schutz_Drop_Down56[noch nicht gewählt],_xlfn.AGGREGATE(15,6,ROW(PFL_Schutz_Drop_Down56[noch nicht gewählt])-3/(--(SEARCH($A$35,PFL_Schutz_Drop_Down56[noch nicht gewählt])&gt;0)),ROW()-3)),"")</calculatedColumnFormula>
    </tableColumn>
    <tableColumn id="14" name="37" dataDxfId="23" dataCellStyle="Standard 2">
      <calculatedColumnFormula>IFERROR(INDEX(PFL_Schutz_Drop_Down56[noch nicht gewählt],_xlfn.AGGREGATE(15,6,ROW(PFL_Schutz_Drop_Down56[noch nicht gewählt])-3/(--(SEARCH($A$37,PFL_Schutz_Drop_Down56[noch nicht gewählt])&gt;0)),ROW()-3)),"")</calculatedColumnFormula>
    </tableColumn>
    <tableColumn id="15" name="39" dataDxfId="22" dataCellStyle="Standard 2">
      <calculatedColumnFormula>IFERROR(INDEX(PFL_Schutz_Drop_Down56[noch nicht gewählt],_xlfn.AGGREGATE(15,6,ROW(PFL_Schutz_Drop_Down56[noch nicht gewählt])-3/(--(SEARCH($A$39,PFL_Schutz_Drop_Down56[noch nicht gewählt])&gt;0)),ROW()-3)),"")</calculatedColumnFormula>
    </tableColumn>
    <tableColumn id="16" name="41" dataDxfId="21" dataCellStyle="Standard 2">
      <calculatedColumnFormula>IFERROR(INDEX(PFL_Schutz_Drop_Down56[noch nicht gewählt],_xlfn.AGGREGATE(15,6,ROW(PFL_Schutz_Drop_Down56[noch nicht gewählt])-3/(--(SEARCH($A$41,PFL_Schutz_Drop_Down56[noch nicht gewählt])&gt;0)),ROW()-3)),"")</calculatedColumnFormula>
    </tableColumn>
    <tableColumn id="17" name="43" dataDxfId="20" dataCellStyle="Standard 2">
      <calculatedColumnFormula>IFERROR(INDEX(PFL_Schutz_Drop_Down56[noch nicht gewählt],_xlfn.AGGREGATE(15,6,ROW(PFL_Schutz_Drop_Down56[noch nicht gewählt])-3/(--(SEARCH($A$43,PFL_Schutz_Drop_Down56[noch nicht gewählt])&gt;0)),ROW()-3)),"")</calculatedColumnFormula>
    </tableColumn>
    <tableColumn id="18" name="45" dataDxfId="19" dataCellStyle="Standard 2">
      <calculatedColumnFormula>IFERROR(INDEX(PFL_Schutz_Drop_Down56[noch nicht gewählt],_xlfn.AGGREGATE(15,6,ROW(PFL_Schutz_Drop_Down56[noch nicht gewählt])-3/(--(SEARCH($A$45,PFL_Schutz_Drop_Down56[noch nicht gewählt])&gt;0)),ROW()-3)),"")</calculatedColumnFormula>
    </tableColumn>
    <tableColumn id="19" name="47" dataDxfId="18" dataCellStyle="Standard 2">
      <calculatedColumnFormula>IFERROR(INDEX(PFL_Schutz_Drop_Down56[noch nicht gewählt],_xlfn.AGGREGATE(15,6,ROW(PFL_Schutz_Drop_Down56[noch nicht gewählt])-3/(--(SEARCH($A$47,PFL_Schutz_Drop_Down56[noch nicht gewählt])&gt;0)),ROW()-3)),"")</calculatedColumnFormula>
    </tableColumn>
    <tableColumn id="20" name="49" dataDxfId="17" dataCellStyle="Standard 2">
      <calculatedColumnFormula>IFERROR(INDEX(PFL_Schutz_Drop_Down56[noch nicht gewählt],_xlfn.AGGREGATE(15,6,ROW(PFL_Schutz_Drop_Down56[noch nicht gewählt])-3/(--(SEARCH($A$49,PFL_Schutz_Drop_Down56[noch nicht gewählt])&gt;0)),ROW()-3)),"")</calculatedColumnFormula>
    </tableColumn>
    <tableColumn id="21" name="51" dataDxfId="16" dataCellStyle="Standard 2">
      <calculatedColumnFormula>IFERROR(INDEX(PFL_Schutz_Drop_Down56[noch nicht gewählt],_xlfn.AGGREGATE(15,6,ROW(PFL_Schutz_Drop_Down56[noch nicht gewählt])-3/(--(SEARCH($A$51,PFL_Schutz_Drop_Down56[noch nicht gewählt])&gt;0)),ROW()-3)),"")</calculatedColumnFormula>
    </tableColumn>
    <tableColumn id="22" name="53" dataDxfId="15" dataCellStyle="Standard 2">
      <calculatedColumnFormula>IFERROR(INDEX(PFL_Schutz_Drop_Down56[noch nicht gewählt],_xlfn.AGGREGATE(15,6,ROW(PFL_Schutz_Drop_Down56[noch nicht gewählt])-3/(--(SEARCH($A$53,PFL_Schutz_Drop_Down56[noch nicht gewählt])&gt;0)),ROW()-3)),"")</calculatedColumnFormula>
    </tableColumn>
    <tableColumn id="23" name="55" dataDxfId="14" dataCellStyle="Standard 2">
      <calculatedColumnFormula>IFERROR(INDEX(PFL_Schutz_Drop_Down56[noch nicht gewählt],_xlfn.AGGREGATE(15,6,ROW(PFL_Schutz_Drop_Down56[noch nicht gewählt])-3/(--(SEARCH($A$55,PFL_Schutz_Drop_Down56[noch nicht gewählt])&gt;0)),ROW()-3)),"")</calculatedColumnFormula>
    </tableColumn>
    <tableColumn id="24" name="57" dataDxfId="13" dataCellStyle="Standard 2">
      <calculatedColumnFormula>IFERROR(INDEX(PFL_Schutz_Drop_Down56[noch nicht gewählt],_xlfn.AGGREGATE(15,6,ROW(PFL_Schutz_Drop_Down56[noch nicht gewählt])-3/(--(SEARCH($A$57,PFL_Schutz_Drop_Down56[noch nicht gewählt])&gt;0)),ROW()-3)),"")</calculatedColumnFormula>
    </tableColumn>
    <tableColumn id="25" name="59" dataDxfId="12" dataCellStyle="Standard 2">
      <calculatedColumnFormula>IFERROR(INDEX(PFL_Schutz_Drop_Down56[noch nicht gewählt],_xlfn.AGGREGATE(15,6,ROW(PFL_Schutz_Drop_Down56[noch nicht gewählt])-3/(--(SEARCH($A$59,PFL_Schutz_Drop_Down56[noch nicht gewählt])&gt;0)),ROW()-3)),"")</calculatedColumnFormula>
    </tableColumn>
    <tableColumn id="26" name="61" dataDxfId="11" dataCellStyle="Standard 2">
      <calculatedColumnFormula>IFERROR(INDEX(PFL_Schutz_Drop_Down56[noch nicht gewählt],_xlfn.AGGREGATE(15,6,ROW(PFL_Schutz_Drop_Down56[noch nicht gewählt])-3/(--(SEARCH($A$61,PFL_Schutz_Drop_Down56[noch nicht gewählt])&gt;0)),ROW()-3)),"")</calculatedColumnFormula>
    </tableColumn>
    <tableColumn id="27" name="63" dataDxfId="10" dataCellStyle="Standard 2">
      <calculatedColumnFormula>IFERROR(INDEX(PFL_Schutz_Drop_Down56[noch nicht gewählt],_xlfn.AGGREGATE(15,6,ROW(PFL_Schutz_Drop_Down56[noch nicht gewählt])-3/(--(SEARCH($A$63,PFL_Schutz_Drop_Down56[noch nicht gewählt])&gt;0)),ROW()-3)),"")</calculatedColumnFormula>
    </tableColumn>
    <tableColumn id="28" name="65" dataDxfId="9" dataCellStyle="Standard 2">
      <calculatedColumnFormula>IFERROR(INDEX(PFL_Schutz_Drop_Down56[noch nicht gewählt],_xlfn.AGGREGATE(15,6,ROW(PFL_Schutz_Drop_Down56[noch nicht gewählt])-3/(--(SEARCH($A$65,PFL_Schutz_Drop_Down56[noch nicht gewählt])&gt;0)),ROW()-3)),"")</calculatedColumnFormula>
    </tableColumn>
    <tableColumn id="29" name="67" dataDxfId="8" dataCellStyle="Standard 2">
      <calculatedColumnFormula>IFERROR(INDEX(PFL_Schutz_Drop_Down56[noch nicht gewählt],_xlfn.AGGREGATE(15,6,ROW(PFL_Schutz_Drop_Down56[noch nicht gewählt])-3/(--(SEARCH($A$67,PFL_Schutz_Drop_Down56[noch nicht gewählt])&gt;0)),ROW()-3)),"")</calculatedColumnFormula>
    </tableColumn>
    <tableColumn id="30" name="69" dataDxfId="7" dataCellStyle="Standard 2">
      <calculatedColumnFormula>IFERROR(INDEX(PFL_Schutz_Drop_Down56[noch nicht gewählt],_xlfn.AGGREGATE(15,6,ROW(PFL_Schutz_Drop_Down56[noch nicht gewählt])-3/(--(SEARCH($A$69,PFL_Schutz_Drop_Down56[noch nicht gewählt])&gt;0)),ROW()-3)),"")</calculatedColumnFormula>
    </tableColumn>
    <tableColumn id="31" name="71" dataDxfId="6" dataCellStyle="Standard 2">
      <calculatedColumnFormula>IFERROR(INDEX(PFL_Schutz_Drop_Down56[noch nicht gewählt],_xlfn.AGGREGATE(15,6,ROW(PFL_Schutz_Drop_Down56[noch nicht gewählt])-3/(--(SEARCH($A$71,PFL_Schutz_Drop_Down56[noch nicht gewählt])&gt;0)),ROW()-3)),"")</calculatedColumnFormula>
    </tableColumn>
    <tableColumn id="32" name="73" dataDxfId="5" dataCellStyle="Standard 2">
      <calculatedColumnFormula>IFERROR(INDEX(PFL_Schutz_Drop_Down56[noch nicht gewählt],_xlfn.AGGREGATE(15,6,ROW(PFL_Schutz_Drop_Down56[noch nicht gewählt])-3/(--(SEARCH($A$73,PFL_Schutz_Drop_Down56[noch nicht gewählt])&gt;0)),ROW()-3)),"")</calculatedColumnFormula>
    </tableColumn>
    <tableColumn id="33" name="75" dataDxfId="4" dataCellStyle="Standard 2">
      <calculatedColumnFormula>IFERROR(INDEX(PFL_Schutz_Drop_Down56[noch nicht gewählt],_xlfn.AGGREGATE(15,6,ROW(PFL_Schutz_Drop_Down56[noch nicht gewählt])-3/(--(SEARCH($A$75,PFL_Schutz_Drop_Down56[noch nicht gewählt])&gt;0)),ROW()-3)),"")</calculatedColumnFormula>
    </tableColumn>
  </tableColumns>
  <tableStyleInfo name="TableStyleMedium2" showFirstColumn="0" showLastColumn="0" showRowStripes="1" showColumnStripes="0"/>
</table>
</file>

<file path=xl/theme/theme1.xml><?xml version="1.0" encoding="utf-8"?>
<a:theme xmlns:a="http://schemas.openxmlformats.org/drawingml/2006/main" name="Office-Design">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blurRad="63500" dist="38099" dir="2700000" algn="ctr" rotWithShape="0">
                  <a:srgbClr val="000000">
                    <a:alpha val="74998"/>
                  </a:srgbClr>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blurRad="63500" dist="38099" dir="2700000" algn="ctr" rotWithShape="0">
                  <a:srgbClr val="000000">
                    <a:alpha val="74998"/>
                  </a:srgbClr>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simon.kriegner-schramml@lk-ooe.at" TargetMode="External"/><Relationship Id="rId1" Type="http://schemas.openxmlformats.org/officeDocument/2006/relationships/hyperlink" Target="http://www.ooe.lko.at/"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www.bwsb.at/?+OEDuePLan+Update+&amp;id=2500,,1783344,5491" TargetMode="External"/><Relationship Id="rId4"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vmlDrawing" Target="../drawings/vmlDrawing2.vml"/><Relationship Id="rId1" Type="http://schemas.openxmlformats.org/officeDocument/2006/relationships/printerSettings" Target="../printerSettings/printerSettings3.bin"/><Relationship Id="rId6" Type="http://schemas.openxmlformats.org/officeDocument/2006/relationships/comments" Target="../comments1.xml"/><Relationship Id="rId5" Type="http://schemas.openxmlformats.org/officeDocument/2006/relationships/table" Target="../tables/table2.xml"/><Relationship Id="rId4" Type="http://schemas.openxmlformats.org/officeDocument/2006/relationships/table" Target="../tables/table1.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7" Type="http://schemas.openxmlformats.org/officeDocument/2006/relationships/comments" Target="../comments2.xml"/><Relationship Id="rId2" Type="http://schemas.openxmlformats.org/officeDocument/2006/relationships/printerSettings" Target="../printerSettings/printerSettings4.bin"/><Relationship Id="rId1" Type="http://schemas.openxmlformats.org/officeDocument/2006/relationships/hyperlink" Target="https://www.ama.at/Fachliche-Informationen/Oepul/Listen" TargetMode="External"/><Relationship Id="rId6" Type="http://schemas.openxmlformats.org/officeDocument/2006/relationships/table" Target="../tables/table4.xml"/><Relationship Id="rId5" Type="http://schemas.openxmlformats.org/officeDocument/2006/relationships/table" Target="../tables/table3.xml"/><Relationship Id="rId4" Type="http://schemas.openxmlformats.org/officeDocument/2006/relationships/vmlDrawing" Target="../drawings/vmlDrawing5.vml"/></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6.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vmlDrawing" Target="../drawings/vmlDrawing7.vml"/><Relationship Id="rId1" Type="http://schemas.openxmlformats.org/officeDocument/2006/relationships/printerSettings" Target="../printerSettings/printerSettings8.bin"/><Relationship Id="rId5" Type="http://schemas.openxmlformats.org/officeDocument/2006/relationships/comments" Target="../comments4.xml"/><Relationship Id="rId4" Type="http://schemas.openxmlformats.org/officeDocument/2006/relationships/table" Target="../tables/table5.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drawing" Target="../drawings/drawing4.xml"/><Relationship Id="rId1" Type="http://schemas.openxmlformats.org/officeDocument/2006/relationships/printerSettings" Target="../printerSettings/printerSettings10.bin"/><Relationship Id="rId4" Type="http://schemas.openxmlformats.org/officeDocument/2006/relationships/comments" Target="../comments5.xml"/></Relationships>
</file>

<file path=xl/worksheets/_rels/sheet11.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10.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hyperlink" Target="https://www.ama.at/Fachliche-Informationen/Oepul/Listen" TargetMode="External"/></Relationships>
</file>

<file path=xl/worksheets/_rels/sheet18.xml.rels><?xml version="1.0" encoding="UTF-8" standalone="yes"?>
<Relationships xmlns="http://schemas.openxmlformats.org/package/2006/relationships"><Relationship Id="rId2" Type="http://schemas.openxmlformats.org/officeDocument/2006/relationships/printerSettings" Target="../printerSettings/printerSettings18.bin"/><Relationship Id="rId1" Type="http://schemas.openxmlformats.org/officeDocument/2006/relationships/hyperlink" Target="https://psmregister.baes.gv.at/" TargetMode="External"/></Relationships>
</file>

<file path=xl/worksheets/_rels/sheet19.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printerSettings" Target="../printerSettings/printerSettings19.bin"/><Relationship Id="rId1" Type="http://schemas.openxmlformats.org/officeDocument/2006/relationships/hyperlink" Target="https://psmregister.baes.gv.at/" TargetMode="External"/><Relationship Id="rId5" Type="http://schemas.openxmlformats.org/officeDocument/2006/relationships/comments" Target="../comments7.xml"/><Relationship Id="rId4" Type="http://schemas.openxmlformats.org/officeDocument/2006/relationships/table" Target="../tables/table6.xml"/></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
    <tabColor theme="5" tint="0.59999389629810485"/>
    <pageSetUpPr fitToPage="1"/>
  </sheetPr>
  <dimension ref="A1:J55"/>
  <sheetViews>
    <sheetView zoomScale="75" zoomScaleNormal="75" workbookViewId="0">
      <selection activeCell="A4" sqref="A4:C7"/>
    </sheetView>
  </sheetViews>
  <sheetFormatPr baseColWidth="10" defaultColWidth="12.33203125" defaultRowHeight="13.2"/>
  <cols>
    <col min="2" max="2" width="40.33203125" customWidth="1"/>
    <col min="3" max="3" width="46.109375" customWidth="1"/>
    <col min="4" max="4" width="4.33203125" customWidth="1"/>
    <col min="6" max="6" width="34.44140625" customWidth="1"/>
    <col min="7" max="7" width="38.109375" customWidth="1"/>
    <col min="8" max="8" width="3.109375" customWidth="1"/>
    <col min="9" max="9" width="20.33203125" customWidth="1"/>
    <col min="10" max="10" width="58.88671875" customWidth="1"/>
  </cols>
  <sheetData>
    <row r="1" spans="1:10" ht="71.400000000000006" customHeight="1">
      <c r="A1" s="2568" t="s">
        <v>902</v>
      </c>
      <c r="B1" s="2568"/>
      <c r="C1" s="1313"/>
      <c r="D1" s="1314"/>
      <c r="E1" s="2569" t="s">
        <v>1354</v>
      </c>
      <c r="F1" s="2569"/>
      <c r="G1" s="530" t="s">
        <v>1355</v>
      </c>
      <c r="H1" s="159"/>
    </row>
    <row r="2" spans="1:10" ht="24" customHeight="1">
      <c r="A2" s="160"/>
      <c r="B2" s="161"/>
      <c r="C2" s="162" t="s">
        <v>2517</v>
      </c>
      <c r="D2" s="161"/>
      <c r="E2" s="2570" t="s">
        <v>1356</v>
      </c>
      <c r="F2" s="2570"/>
      <c r="G2" s="161"/>
      <c r="H2" s="159"/>
      <c r="I2" s="165" t="s">
        <v>1358</v>
      </c>
      <c r="J2" s="166" t="s">
        <v>1359</v>
      </c>
    </row>
    <row r="3" spans="1:10" ht="21">
      <c r="A3" s="925" t="s">
        <v>868</v>
      </c>
      <c r="B3" s="926"/>
      <c r="C3" s="927"/>
      <c r="D3" s="163"/>
      <c r="E3" s="164"/>
      <c r="F3" s="164"/>
      <c r="G3" s="164"/>
      <c r="H3" s="159"/>
      <c r="I3" s="2325">
        <v>42044</v>
      </c>
      <c r="J3" s="168" t="s">
        <v>1361</v>
      </c>
    </row>
    <row r="4" spans="1:10" ht="20.25" customHeight="1">
      <c r="A4" s="2571" t="s">
        <v>2005</v>
      </c>
      <c r="B4" s="2571"/>
      <c r="C4" s="2571"/>
      <c r="D4" s="161"/>
      <c r="E4" s="1702" t="s">
        <v>1357</v>
      </c>
      <c r="F4" s="1703"/>
      <c r="G4" s="1704"/>
      <c r="H4" s="159"/>
      <c r="I4" s="167">
        <v>42223</v>
      </c>
      <c r="J4" s="169" t="s">
        <v>1362</v>
      </c>
    </row>
    <row r="5" spans="1:10" ht="21" customHeight="1">
      <c r="A5" s="2571"/>
      <c r="B5" s="2571"/>
      <c r="C5" s="2571"/>
      <c r="D5" s="161"/>
      <c r="E5" s="2572" t="s">
        <v>1360</v>
      </c>
      <c r="F5" s="2572"/>
      <c r="G5" s="2572"/>
      <c r="H5" s="159"/>
      <c r="I5" s="167">
        <v>42241</v>
      </c>
      <c r="J5" s="169" t="s">
        <v>1363</v>
      </c>
    </row>
    <row r="6" spans="1:10" ht="21" customHeight="1">
      <c r="A6" s="2571"/>
      <c r="B6" s="2571"/>
      <c r="C6" s="2571"/>
      <c r="D6" s="161"/>
      <c r="E6" s="2572"/>
      <c r="F6" s="2572"/>
      <c r="G6" s="2572"/>
      <c r="H6" s="159"/>
      <c r="I6" s="167">
        <v>42377</v>
      </c>
      <c r="J6" s="169" t="s">
        <v>1366</v>
      </c>
    </row>
    <row r="7" spans="1:10" ht="21" customHeight="1">
      <c r="A7" s="2571"/>
      <c r="B7" s="2571"/>
      <c r="C7" s="2571"/>
      <c r="D7" s="161"/>
      <c r="E7" s="2572"/>
      <c r="F7" s="2572"/>
      <c r="G7" s="2572"/>
      <c r="H7" s="159"/>
      <c r="I7" s="167">
        <v>42429</v>
      </c>
      <c r="J7" s="169" t="s">
        <v>657</v>
      </c>
    </row>
    <row r="8" spans="1:10" ht="15" customHeight="1">
      <c r="A8" s="928" t="s">
        <v>1364</v>
      </c>
      <c r="B8" s="929"/>
      <c r="C8" s="929"/>
      <c r="D8" s="161"/>
      <c r="E8" s="2572" t="s">
        <v>1365</v>
      </c>
      <c r="F8" s="2572"/>
      <c r="G8" s="2572"/>
      <c r="H8" s="159"/>
      <c r="I8" s="167"/>
      <c r="J8" s="169" t="s">
        <v>698</v>
      </c>
    </row>
    <row r="9" spans="1:10" ht="15" customHeight="1">
      <c r="A9" s="930" t="s">
        <v>1367</v>
      </c>
      <c r="B9" s="929"/>
      <c r="C9" s="929"/>
      <c r="D9" s="161"/>
      <c r="E9" s="2572"/>
      <c r="F9" s="2572"/>
      <c r="G9" s="2572"/>
      <c r="H9" s="159"/>
      <c r="I9" s="167">
        <v>42432</v>
      </c>
      <c r="J9" s="170" t="s">
        <v>682</v>
      </c>
    </row>
    <row r="10" spans="1:10" ht="16.5" customHeight="1">
      <c r="A10" s="2573" t="s">
        <v>2006</v>
      </c>
      <c r="B10" s="2573"/>
      <c r="C10" s="2573"/>
      <c r="D10" s="161"/>
      <c r="E10" s="2572"/>
      <c r="F10" s="2572"/>
      <c r="G10" s="2572"/>
      <c r="H10" s="159"/>
      <c r="I10" s="167">
        <v>42436</v>
      </c>
      <c r="J10" s="169" t="s">
        <v>697</v>
      </c>
    </row>
    <row r="11" spans="1:10" ht="16.5" customHeight="1">
      <c r="A11" s="2573"/>
      <c r="B11" s="2573"/>
      <c r="C11" s="2573"/>
      <c r="D11" s="161"/>
      <c r="E11" s="2572"/>
      <c r="F11" s="2572"/>
      <c r="G11" s="2572"/>
      <c r="H11" s="159"/>
      <c r="I11" s="167">
        <v>42445</v>
      </c>
      <c r="J11" s="169" t="s">
        <v>702</v>
      </c>
    </row>
    <row r="12" spans="1:10" ht="16.5" customHeight="1">
      <c r="A12" s="2573"/>
      <c r="B12" s="2573"/>
      <c r="C12" s="2573"/>
      <c r="D12" s="161"/>
      <c r="E12" s="2562" t="s">
        <v>716</v>
      </c>
      <c r="F12" s="2563"/>
      <c r="G12" s="2564"/>
      <c r="H12" s="159"/>
      <c r="I12" s="167">
        <v>42452</v>
      </c>
      <c r="J12" s="169" t="s">
        <v>703</v>
      </c>
    </row>
    <row r="13" spans="1:10" ht="16.5" customHeight="1">
      <c r="A13" s="2573"/>
      <c r="B13" s="2573"/>
      <c r="C13" s="2573"/>
      <c r="D13" s="161"/>
      <c r="E13" s="2562"/>
      <c r="F13" s="2563"/>
      <c r="G13" s="2564"/>
      <c r="H13" s="159"/>
      <c r="I13" s="167">
        <v>42488</v>
      </c>
      <c r="J13" s="169" t="s">
        <v>709</v>
      </c>
    </row>
    <row r="14" spans="1:10" ht="15.9" customHeight="1">
      <c r="A14" s="931" t="s">
        <v>1368</v>
      </c>
      <c r="B14" s="929"/>
      <c r="C14" s="929"/>
      <c r="D14" s="161"/>
      <c r="E14" s="2562"/>
      <c r="F14" s="2563"/>
      <c r="G14" s="2564"/>
      <c r="H14" s="159"/>
      <c r="I14" s="167">
        <v>42503</v>
      </c>
      <c r="J14" s="169" t="s">
        <v>710</v>
      </c>
    </row>
    <row r="15" spans="1:10" ht="15.9" customHeight="1">
      <c r="A15" s="2544" t="s">
        <v>1369</v>
      </c>
      <c r="B15" s="2544"/>
      <c r="C15" s="2544"/>
      <c r="D15" s="161"/>
      <c r="E15" s="2562"/>
      <c r="F15" s="2563"/>
      <c r="G15" s="2564"/>
      <c r="H15" s="159"/>
      <c r="I15" s="167">
        <v>42513</v>
      </c>
      <c r="J15" s="169" t="s">
        <v>712</v>
      </c>
    </row>
    <row r="16" spans="1:10" ht="13.5" customHeight="1">
      <c r="A16" s="2544"/>
      <c r="B16" s="2544"/>
      <c r="C16" s="2544"/>
      <c r="D16" s="161"/>
      <c r="E16" s="2565"/>
      <c r="F16" s="2566"/>
      <c r="G16" s="2567"/>
      <c r="H16" s="159"/>
      <c r="I16" s="167">
        <v>42559</v>
      </c>
      <c r="J16" s="169" t="s">
        <v>715</v>
      </c>
    </row>
    <row r="17" spans="1:10" ht="16.5" customHeight="1">
      <c r="A17" s="2544"/>
      <c r="B17" s="2544"/>
      <c r="C17" s="2544"/>
      <c r="D17" s="161"/>
      <c r="E17" s="164"/>
      <c r="F17" s="164"/>
      <c r="G17" s="164"/>
      <c r="H17" s="159"/>
      <c r="I17" s="476">
        <v>42859</v>
      </c>
      <c r="J17" s="477" t="s">
        <v>733</v>
      </c>
    </row>
    <row r="18" spans="1:10" ht="21" customHeight="1">
      <c r="A18" s="2544"/>
      <c r="B18" s="2544"/>
      <c r="C18" s="2544"/>
      <c r="D18" s="171"/>
      <c r="E18" s="922" t="s">
        <v>1370</v>
      </c>
      <c r="F18" s="923"/>
      <c r="G18" s="2139" t="s">
        <v>2147</v>
      </c>
      <c r="H18" s="159"/>
      <c r="I18" s="167">
        <v>43158</v>
      </c>
      <c r="J18" s="169" t="s">
        <v>883</v>
      </c>
    </row>
    <row r="19" spans="1:10" ht="19.5" customHeight="1">
      <c r="A19" s="2544"/>
      <c r="B19" s="2544"/>
      <c r="C19" s="2544"/>
      <c r="D19" s="171"/>
      <c r="E19" s="2574" t="s">
        <v>1371</v>
      </c>
      <c r="F19" s="2574"/>
      <c r="G19" s="924" t="s">
        <v>1372</v>
      </c>
      <c r="H19" s="159"/>
      <c r="I19" s="167">
        <v>43164</v>
      </c>
      <c r="J19" s="169" t="s">
        <v>884</v>
      </c>
    </row>
    <row r="20" spans="1:10" ht="18.75" customHeight="1">
      <c r="A20" s="931" t="s">
        <v>1373</v>
      </c>
      <c r="B20" s="929"/>
      <c r="C20" s="929"/>
      <c r="D20" s="171"/>
      <c r="E20" s="172"/>
      <c r="F20" s="161"/>
      <c r="G20" s="161"/>
      <c r="H20" s="159"/>
      <c r="I20" s="2138">
        <v>43363</v>
      </c>
      <c r="J20" s="477" t="s">
        <v>2146</v>
      </c>
    </row>
    <row r="21" spans="1:10" ht="16.5" customHeight="1">
      <c r="A21" s="2544" t="s">
        <v>1374</v>
      </c>
      <c r="B21" s="2544"/>
      <c r="C21" s="2544"/>
      <c r="D21" s="171"/>
      <c r="E21" s="173" t="s">
        <v>1375</v>
      </c>
      <c r="F21" s="164"/>
      <c r="G21" s="164"/>
      <c r="H21" s="159"/>
      <c r="I21" s="167"/>
      <c r="J21" s="169" t="s">
        <v>903</v>
      </c>
    </row>
    <row r="22" spans="1:10" ht="17.399999999999999" customHeight="1">
      <c r="A22" s="2544"/>
      <c r="B22" s="2544"/>
      <c r="C22" s="2544"/>
      <c r="D22" s="171"/>
      <c r="E22" s="2545" t="s">
        <v>1376</v>
      </c>
      <c r="F22" s="2545"/>
      <c r="G22" s="2545"/>
      <c r="H22" s="159"/>
      <c r="I22" s="965">
        <v>43411</v>
      </c>
      <c r="J22" s="169" t="s">
        <v>2004</v>
      </c>
    </row>
    <row r="23" spans="1:10" ht="16.5" customHeight="1">
      <c r="A23" s="2544"/>
      <c r="B23" s="2544"/>
      <c r="C23" s="2544"/>
      <c r="D23" s="171"/>
      <c r="E23" s="2545"/>
      <c r="F23" s="2545"/>
      <c r="G23" s="2545"/>
      <c r="H23" s="159"/>
      <c r="I23" s="965">
        <v>43472</v>
      </c>
      <c r="J23" s="169" t="s">
        <v>2008</v>
      </c>
    </row>
    <row r="24" spans="1:10" ht="19.350000000000001" customHeight="1">
      <c r="A24" s="931" t="s">
        <v>1377</v>
      </c>
      <c r="B24" s="929"/>
      <c r="C24" s="929"/>
      <c r="D24" s="161"/>
      <c r="E24" s="921"/>
      <c r="F24" s="1697" t="s">
        <v>786</v>
      </c>
      <c r="G24" s="1698"/>
      <c r="H24" s="159"/>
      <c r="I24" s="965">
        <v>43803</v>
      </c>
      <c r="J24" s="169" t="s">
        <v>2009</v>
      </c>
    </row>
    <row r="25" spans="1:10" ht="19.350000000000001" customHeight="1">
      <c r="A25" s="2555" t="s">
        <v>2007</v>
      </c>
      <c r="B25" s="2555"/>
      <c r="C25" s="2555"/>
      <c r="D25" s="161"/>
      <c r="E25" s="2559"/>
      <c r="F25" s="2556" t="s">
        <v>2516</v>
      </c>
      <c r="G25" s="2556"/>
      <c r="H25" s="159"/>
      <c r="I25" s="965">
        <v>43844</v>
      </c>
      <c r="J25" s="169" t="s">
        <v>2010</v>
      </c>
    </row>
    <row r="26" spans="1:10" ht="28.5" customHeight="1">
      <c r="A26" s="2555"/>
      <c r="B26" s="2555"/>
      <c r="C26" s="2555"/>
      <c r="D26" s="161"/>
      <c r="E26" s="2560"/>
      <c r="F26" s="2557"/>
      <c r="G26" s="2557"/>
      <c r="H26" s="159"/>
      <c r="I26" s="965">
        <v>43881</v>
      </c>
      <c r="J26" s="169" t="s">
        <v>2145</v>
      </c>
    </row>
    <row r="27" spans="1:10" ht="30" customHeight="1">
      <c r="A27" s="2555"/>
      <c r="B27" s="2555"/>
      <c r="C27" s="2555"/>
      <c r="D27" s="161"/>
      <c r="E27" s="2561"/>
      <c r="F27" s="2558"/>
      <c r="G27" s="2558"/>
      <c r="H27" s="159"/>
      <c r="I27" s="167">
        <v>44032</v>
      </c>
      <c r="J27" s="169" t="s">
        <v>2263</v>
      </c>
    </row>
    <row r="28" spans="1:10" ht="29.25" customHeight="1">
      <c r="A28" s="2555"/>
      <c r="B28" s="2555"/>
      <c r="C28" s="2555"/>
      <c r="D28" s="161"/>
      <c r="E28" s="2411"/>
      <c r="F28" s="2412" t="s">
        <v>1378</v>
      </c>
      <c r="G28" s="2413"/>
      <c r="H28" s="159"/>
      <c r="I28" s="2543">
        <v>44222</v>
      </c>
      <c r="J28" s="2542" t="s">
        <v>2318</v>
      </c>
    </row>
    <row r="29" spans="1:10" ht="20.25" customHeight="1">
      <c r="A29" s="932" t="s">
        <v>1379</v>
      </c>
      <c r="B29" s="933"/>
      <c r="C29" s="933"/>
      <c r="D29" s="161"/>
      <c r="E29" s="1699" t="s">
        <v>1380</v>
      </c>
      <c r="F29" s="1700"/>
      <c r="G29" s="1701"/>
      <c r="H29" s="159"/>
      <c r="I29" s="2543"/>
      <c r="J29" s="2542"/>
    </row>
    <row r="30" spans="1:10" ht="41.25" customHeight="1">
      <c r="A30" s="454" t="e">
        <f>{#REF!}</f>
        <v>#REF!</v>
      </c>
      <c r="B30" s="2546" t="s">
        <v>1381</v>
      </c>
      <c r="C30" s="2546"/>
      <c r="D30" s="161"/>
      <c r="E30" s="2549" t="s">
        <v>714</v>
      </c>
      <c r="F30" s="2550"/>
      <c r="G30" s="2551"/>
      <c r="H30" s="159"/>
      <c r="I30" s="2541" t="s">
        <v>2518</v>
      </c>
      <c r="J30" s="2396" t="s">
        <v>2500</v>
      </c>
    </row>
    <row r="31" spans="1:10" ht="9.15" customHeight="1">
      <c r="A31" s="453"/>
      <c r="B31" s="164"/>
      <c r="C31" s="164"/>
      <c r="D31" s="161"/>
      <c r="E31" s="2549"/>
      <c r="F31" s="2550"/>
      <c r="G31" s="2551"/>
      <c r="H31" s="159"/>
    </row>
    <row r="32" spans="1:10" ht="61.65" customHeight="1">
      <c r="A32" s="454" t="e">
        <f>{#VALUE!}</f>
        <v>#VALUE!</v>
      </c>
      <c r="B32" s="2547" t="s">
        <v>713</v>
      </c>
      <c r="C32" s="2548"/>
      <c r="D32" s="161"/>
      <c r="E32" s="2549"/>
      <c r="F32" s="2550"/>
      <c r="G32" s="2551"/>
      <c r="H32" s="159"/>
    </row>
    <row r="33" spans="1:8" ht="9.15" customHeight="1">
      <c r="A33" s="453"/>
      <c r="B33" s="164"/>
      <c r="C33" s="164"/>
      <c r="D33" s="161"/>
      <c r="E33" s="2549"/>
      <c r="F33" s="2550"/>
      <c r="G33" s="2551"/>
      <c r="H33" s="159"/>
    </row>
    <row r="34" spans="1:8" ht="38.25" customHeight="1">
      <c r="A34" s="455" t="e">
        <f>{#N/A}</f>
        <v>#N/A</v>
      </c>
      <c r="B34" s="2546" t="s">
        <v>1382</v>
      </c>
      <c r="C34" s="2546"/>
      <c r="D34" s="161"/>
      <c r="E34" s="2552"/>
      <c r="F34" s="2553"/>
      <c r="G34" s="2554"/>
      <c r="H34" s="159"/>
    </row>
    <row r="35" spans="1:8">
      <c r="D35" s="161"/>
      <c r="E35" s="159"/>
      <c r="F35" s="159"/>
      <c r="G35" s="159"/>
      <c r="H35" s="159"/>
    </row>
    <row r="36" spans="1:8">
      <c r="D36" s="161"/>
      <c r="E36" s="159"/>
      <c r="F36" s="159"/>
      <c r="G36" s="159"/>
      <c r="H36" s="159"/>
    </row>
    <row r="37" spans="1:8">
      <c r="A37" s="172"/>
      <c r="B37" s="172"/>
      <c r="C37" s="172"/>
      <c r="D37" s="161"/>
      <c r="E37" s="172"/>
      <c r="F37" s="172"/>
      <c r="G37" s="172"/>
    </row>
    <row r="38" spans="1:8">
      <c r="D38" s="161"/>
    </row>
    <row r="39" spans="1:8">
      <c r="D39" s="161"/>
    </row>
    <row r="41" spans="1:8">
      <c r="D41" s="158"/>
    </row>
    <row r="42" spans="1:8">
      <c r="D42" s="158"/>
    </row>
    <row r="43" spans="1:8" ht="14.25" customHeight="1">
      <c r="D43" s="158"/>
    </row>
    <row r="44" spans="1:8">
      <c r="D44" s="158"/>
    </row>
    <row r="45" spans="1:8">
      <c r="D45" s="158"/>
    </row>
    <row r="46" spans="1:8">
      <c r="D46" s="158"/>
    </row>
    <row r="47" spans="1:8">
      <c r="D47" s="158"/>
    </row>
    <row r="49" spans="4:7" ht="15">
      <c r="D49" s="158"/>
      <c r="E49" s="175"/>
      <c r="F49" s="158"/>
      <c r="G49" s="158"/>
    </row>
    <row r="50" spans="4:7">
      <c r="D50" s="158"/>
      <c r="E50" s="158"/>
      <c r="F50" s="158"/>
      <c r="G50" s="158"/>
    </row>
    <row r="51" spans="4:7" ht="15">
      <c r="D51" s="158"/>
      <c r="E51" s="175"/>
      <c r="F51" s="158"/>
      <c r="G51" s="158"/>
    </row>
    <row r="52" spans="4:7">
      <c r="D52" s="158"/>
      <c r="E52" s="158"/>
      <c r="F52" s="158"/>
      <c r="G52" s="158"/>
    </row>
    <row r="53" spans="4:7" ht="15">
      <c r="D53" s="158"/>
      <c r="E53" s="175"/>
      <c r="F53" s="158"/>
      <c r="G53" s="158"/>
    </row>
    <row r="54" spans="4:7">
      <c r="D54" s="158"/>
      <c r="E54" s="158"/>
      <c r="F54" s="158"/>
      <c r="G54" s="158"/>
    </row>
    <row r="55" spans="4:7" ht="15">
      <c r="D55" s="158"/>
      <c r="E55" s="175"/>
      <c r="F55" s="158"/>
      <c r="G55" s="158"/>
    </row>
  </sheetData>
  <sheetProtection password="CAEF" sheet="1" formatCells="0" formatRows="0"/>
  <mergeCells count="21">
    <mergeCell ref="E12:G16"/>
    <mergeCell ref="A1:B1"/>
    <mergeCell ref="E1:F1"/>
    <mergeCell ref="E2:F2"/>
    <mergeCell ref="A4:C7"/>
    <mergeCell ref="E5:G7"/>
    <mergeCell ref="E8:G11"/>
    <mergeCell ref="A10:C13"/>
    <mergeCell ref="A15:C19"/>
    <mergeCell ref="E19:F19"/>
    <mergeCell ref="B34:C34"/>
    <mergeCell ref="B32:C32"/>
    <mergeCell ref="E30:G34"/>
    <mergeCell ref="A25:C28"/>
    <mergeCell ref="F25:G27"/>
    <mergeCell ref="E25:E27"/>
    <mergeCell ref="J28:J29"/>
    <mergeCell ref="I28:I29"/>
    <mergeCell ref="A21:C23"/>
    <mergeCell ref="E22:G23"/>
    <mergeCell ref="B30:C30"/>
  </mergeCells>
  <phoneticPr fontId="38" type="noConversion"/>
  <hyperlinks>
    <hyperlink ref="G1" location="Betrieb!B3" display="  ►"/>
    <hyperlink ref="E2" r:id="rId1"/>
    <hyperlink ref="G18" r:id="rId2"/>
  </hyperlinks>
  <printOptions horizontalCentered="1" verticalCentered="1"/>
  <pageMargins left="0.47244094488188981" right="0.55118110236220474" top="0.59055118110236227" bottom="0.59055118110236227" header="0.51181102362204722" footer="0.31496062992125984"/>
  <pageSetup paperSize="9" scale="95" firstPageNumber="0" pageOrder="overThenDown" orientation="portrait" blackAndWhite="1" horizontalDpi="300" verticalDpi="300" r:id="rId3"/>
  <headerFooter alignWithMargins="0">
    <oddHeader xml:space="preserve">&amp;R
</oddHeader>
    <oddFooter>&amp;L&amp;F&amp;C&amp;A&amp;R&amp;P von &amp;N</oddFooter>
  </headerFooter>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3">
    <tabColor rgb="FFFFFF00"/>
  </sheetPr>
  <dimension ref="A1:IP67"/>
  <sheetViews>
    <sheetView showZeros="0" zoomScale="80" zoomScaleNormal="80" workbookViewId="0">
      <selection activeCell="B3" sqref="B3"/>
    </sheetView>
  </sheetViews>
  <sheetFormatPr baseColWidth="10" defaultColWidth="12.6640625" defaultRowHeight="20.25" customHeight="1"/>
  <cols>
    <col min="1" max="1" width="17" style="176" customWidth="1"/>
    <col min="2" max="2" width="44.44140625" style="176" customWidth="1"/>
    <col min="3" max="3" width="4.44140625" style="176" customWidth="1"/>
    <col min="4" max="4" width="15.6640625" style="176" customWidth="1"/>
    <col min="5" max="5" width="3.6640625" style="176" customWidth="1"/>
    <col min="6" max="6" width="47" style="176" customWidth="1"/>
    <col min="7" max="7" width="19.88671875" style="176" customWidth="1"/>
    <col min="8" max="8" width="17.88671875" style="177" customWidth="1"/>
    <col min="9" max="9" width="4.44140625" style="177" customWidth="1"/>
    <col min="10" max="10" width="70" style="177" customWidth="1"/>
    <col min="11" max="11" width="13.109375" style="176" customWidth="1"/>
    <col min="12" max="16384" width="12.6640625" style="176"/>
  </cols>
  <sheetData>
    <row r="1" spans="1:250" ht="62.25" customHeight="1">
      <c r="A1" s="2584" t="s">
        <v>2501</v>
      </c>
      <c r="B1" s="2585"/>
      <c r="C1" s="2585"/>
      <c r="D1" s="2585"/>
      <c r="E1" s="1311"/>
      <c r="F1" s="1312"/>
      <c r="G1" s="530" t="s">
        <v>1383</v>
      </c>
      <c r="H1" s="530" t="s">
        <v>1384</v>
      </c>
      <c r="I1" s="178"/>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row>
    <row r="2" spans="1:250" ht="14.25" customHeight="1">
      <c r="A2" s="179"/>
      <c r="B2" s="179"/>
      <c r="C2" s="179"/>
      <c r="D2" s="180"/>
      <c r="E2" s="178"/>
      <c r="F2" s="178"/>
      <c r="G2" s="178"/>
      <c r="H2"/>
      <c r="I2" s="178"/>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row>
    <row r="3" spans="1:250" ht="29.25" customHeight="1">
      <c r="A3" s="1001" t="s">
        <v>870</v>
      </c>
      <c r="B3" s="2539"/>
      <c r="C3" s="181"/>
      <c r="D3" s="937" t="s">
        <v>1385</v>
      </c>
      <c r="E3" s="178"/>
      <c r="F3" s="178"/>
      <c r="G3" s="178"/>
      <c r="H3" s="178"/>
      <c r="I3" s="178"/>
      <c r="J3"/>
      <c r="K3"/>
      <c r="L3"/>
      <c r="M3"/>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c r="IL3"/>
      <c r="IM3"/>
      <c r="IN3"/>
      <c r="IO3"/>
      <c r="IP3"/>
    </row>
    <row r="4" spans="1:250" ht="29.25" customHeight="1">
      <c r="A4" s="1001" t="s">
        <v>2497</v>
      </c>
      <c r="B4" s="2540"/>
      <c r="C4" s="178"/>
      <c r="D4" s="1151">
        <v>2022</v>
      </c>
      <c r="E4" s="178"/>
      <c r="F4" s="178"/>
      <c r="G4" s="178"/>
      <c r="H4" s="178"/>
      <c r="I4" s="178"/>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c r="IN4"/>
      <c r="IO4"/>
      <c r="IP4"/>
    </row>
    <row r="5" spans="1:250" ht="29.25" customHeight="1">
      <c r="A5" s="1001" t="s">
        <v>2498</v>
      </c>
      <c r="B5" s="2540"/>
      <c r="C5" s="178"/>
      <c r="D5" s="178"/>
      <c r="E5" s="178"/>
      <c r="F5" s="178"/>
      <c r="G5" s="178"/>
      <c r="H5" s="178"/>
      <c r="I5" s="178"/>
      <c r="J5"/>
      <c r="K5"/>
      <c r="L5"/>
      <c r="M5"/>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c r="IN5"/>
      <c r="IO5"/>
      <c r="IP5"/>
    </row>
    <row r="6" spans="1:250" ht="29.25" customHeight="1">
      <c r="A6" s="1001" t="s">
        <v>2499</v>
      </c>
      <c r="B6" s="2539"/>
      <c r="C6" s="178"/>
      <c r="D6" s="178"/>
      <c r="E6" s="178"/>
      <c r="F6" s="178"/>
      <c r="G6" s="178"/>
      <c r="H6" s="178"/>
      <c r="I6" s="178"/>
      <c r="J6"/>
      <c r="K6"/>
      <c r="L6"/>
      <c r="M6"/>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row>
    <row r="7" spans="1:250" ht="15" customHeight="1">
      <c r="A7" s="178"/>
      <c r="B7" s="178"/>
      <c r="C7" s="178"/>
      <c r="D7" s="178"/>
      <c r="E7" s="178"/>
      <c r="F7" s="178"/>
      <c r="G7" s="178"/>
      <c r="H7" s="178"/>
      <c r="I7" s="178"/>
      <c r="J7"/>
      <c r="K7"/>
      <c r="L7"/>
      <c r="M7"/>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row>
    <row r="8" spans="1:250" ht="35.4" customHeight="1">
      <c r="A8" s="2575" t="s">
        <v>1386</v>
      </c>
      <c r="B8" s="2575"/>
      <c r="C8" s="2575"/>
      <c r="D8" s="1150" t="s">
        <v>964</v>
      </c>
      <c r="E8" s="178"/>
      <c r="F8" s="2575" t="s">
        <v>997</v>
      </c>
      <c r="G8" s="2575"/>
      <c r="H8" s="2575"/>
      <c r="I8" s="178"/>
      <c r="J8" s="1708" t="s">
        <v>1394</v>
      </c>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row>
    <row r="9" spans="1:250" ht="35.4" customHeight="1">
      <c r="A9" s="2575" t="s">
        <v>1389</v>
      </c>
      <c r="B9" s="2575"/>
      <c r="C9" s="2575"/>
      <c r="D9" s="1150" t="s">
        <v>966</v>
      </c>
      <c r="E9" s="178"/>
      <c r="F9" s="2576" t="s">
        <v>901</v>
      </c>
      <c r="G9" s="2576"/>
      <c r="H9" s="2576"/>
      <c r="I9" s="178"/>
      <c r="J9" s="2577" t="s">
        <v>2401</v>
      </c>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row>
    <row r="10" spans="1:250" ht="35.4" customHeight="1">
      <c r="A10" s="2587" t="s">
        <v>797</v>
      </c>
      <c r="B10" s="2587"/>
      <c r="C10" s="2587"/>
      <c r="D10" s="1150" t="s">
        <v>966</v>
      </c>
      <c r="E10" s="178"/>
      <c r="F10" s="2576"/>
      <c r="G10" s="2576"/>
      <c r="H10" s="2576"/>
      <c r="I10" s="178"/>
      <c r="J10" s="2577"/>
    </row>
    <row r="11" spans="1:250" ht="35.4" customHeight="1">
      <c r="A11" s="2575" t="s">
        <v>996</v>
      </c>
      <c r="B11" s="2575"/>
      <c r="C11" s="2575"/>
      <c r="D11" s="1150" t="s">
        <v>964</v>
      </c>
      <c r="E11" s="178"/>
      <c r="F11" s="2576"/>
      <c r="G11" s="2576"/>
      <c r="H11" s="2576"/>
      <c r="I11" s="178"/>
      <c r="J11" s="2577"/>
      <c r="K11"/>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row>
    <row r="12" spans="1:250" ht="32.25" customHeight="1">
      <c r="A12" s="935"/>
      <c r="B12" s="936"/>
      <c r="C12" s="936"/>
      <c r="D12" s="182"/>
      <c r="E12" s="178"/>
      <c r="F12" s="2576"/>
      <c r="G12" s="2576"/>
      <c r="H12" s="2576"/>
      <c r="I12" s="178"/>
      <c r="J12" s="2577"/>
    </row>
    <row r="13" spans="1:250" ht="35.4" customHeight="1">
      <c r="A13" s="2582" t="s">
        <v>1387</v>
      </c>
      <c r="B13" s="2583"/>
      <c r="C13" s="1705"/>
      <c r="D13" s="1706" t="s">
        <v>1388</v>
      </c>
      <c r="E13" s="178"/>
      <c r="F13" s="2576"/>
      <c r="G13" s="2576"/>
      <c r="H13" s="2576"/>
      <c r="I13" s="178"/>
      <c r="J13" s="2577"/>
    </row>
    <row r="14" spans="1:250" ht="35.4" customHeight="1">
      <c r="A14" s="2580" t="s">
        <v>1390</v>
      </c>
      <c r="B14" s="2580"/>
      <c r="C14" s="2580"/>
      <c r="D14" s="1152"/>
      <c r="E14" s="178"/>
      <c r="F14" s="2576"/>
      <c r="G14" s="2576"/>
      <c r="H14" s="2576"/>
      <c r="I14" s="178"/>
      <c r="J14" s="2577"/>
    </row>
    <row r="15" spans="1:250" ht="35.4" customHeight="1">
      <c r="A15" s="2580" t="s">
        <v>1391</v>
      </c>
      <c r="B15" s="2580"/>
      <c r="C15" s="2580"/>
      <c r="D15" s="1152"/>
      <c r="E15"/>
      <c r="F15" s="2576"/>
      <c r="G15" s="2576"/>
      <c r="H15" s="2576"/>
      <c r="I15" s="178"/>
      <c r="J15" s="2577"/>
    </row>
    <row r="16" spans="1:250" ht="35.4" customHeight="1">
      <c r="A16" s="2581" t="s">
        <v>1392</v>
      </c>
      <c r="B16" s="2581"/>
      <c r="C16" s="2581"/>
      <c r="D16" s="1152"/>
      <c r="E16"/>
      <c r="F16" s="2576"/>
      <c r="G16" s="2576"/>
      <c r="H16" s="2576"/>
      <c r="I16" s="178"/>
      <c r="J16" s="2577"/>
    </row>
    <row r="17" spans="1:10" ht="35.4" customHeight="1">
      <c r="A17" s="2586" t="s">
        <v>1393</v>
      </c>
      <c r="B17" s="2586"/>
      <c r="C17" s="2586"/>
      <c r="D17" s="1152"/>
      <c r="E17"/>
      <c r="F17" s="2579" t="s">
        <v>830</v>
      </c>
      <c r="G17" s="2579"/>
      <c r="H17" s="2579"/>
      <c r="I17" s="178"/>
      <c r="J17" s="2577"/>
    </row>
    <row r="18" spans="1:10" ht="35.4" customHeight="1">
      <c r="A18" s="2582" t="s">
        <v>1395</v>
      </c>
      <c r="B18" s="2583"/>
      <c r="C18" s="1986"/>
      <c r="D18" s="1153">
        <f>SUM(D14:D17)</f>
        <v>0</v>
      </c>
      <c r="E18"/>
      <c r="F18" s="2579"/>
      <c r="G18" s="2579"/>
      <c r="H18" s="2579"/>
      <c r="I18" s="178"/>
      <c r="J18" s="1707" t="s">
        <v>1396</v>
      </c>
    </row>
    <row r="19" spans="1:10" ht="27.15" customHeight="1">
      <c r="A19" s="2578" t="s">
        <v>825</v>
      </c>
      <c r="B19" s="2578"/>
      <c r="C19" s="2578"/>
      <c r="D19" s="2578"/>
      <c r="E19" s="1154"/>
      <c r="F19" s="1154"/>
      <c r="G19" s="177"/>
      <c r="I19" s="178"/>
    </row>
    <row r="20" spans="1:10" ht="18.75" customHeight="1">
      <c r="A20" s="2578"/>
      <c r="B20" s="2578"/>
      <c r="C20" s="2578"/>
      <c r="D20" s="2578"/>
      <c r="E20" s="1154"/>
      <c r="F20" s="1154"/>
      <c r="G20" s="177"/>
    </row>
    <row r="21" spans="1:10" ht="44.25" customHeight="1">
      <c r="A21" s="1154"/>
      <c r="B21" s="1154"/>
      <c r="C21" s="1154"/>
      <c r="D21" s="1154"/>
      <c r="E21" s="1154"/>
      <c r="F21" s="1154"/>
      <c r="G21" s="177"/>
      <c r="J21" s="176"/>
    </row>
    <row r="22" spans="1:10" ht="44.25" customHeight="1">
      <c r="A22" s="177"/>
      <c r="B22" s="177"/>
      <c r="C22" s="177"/>
      <c r="D22" s="177"/>
      <c r="E22" s="177"/>
      <c r="F22" s="177"/>
      <c r="G22" s="177"/>
    </row>
    <row r="23" spans="1:10" ht="44.25" customHeight="1">
      <c r="A23" s="177"/>
      <c r="B23" s="177"/>
      <c r="C23" s="177"/>
      <c r="D23" s="177"/>
      <c r="E23" s="177"/>
      <c r="F23" s="177"/>
      <c r="G23" s="177"/>
    </row>
    <row r="24" spans="1:10" ht="44.25" customHeight="1">
      <c r="A24" s="177"/>
      <c r="B24" s="177"/>
      <c r="C24" s="177"/>
      <c r="D24" s="177"/>
      <c r="E24" s="177"/>
      <c r="F24" s="177"/>
      <c r="G24" s="177"/>
    </row>
    <row r="25" spans="1:10" ht="44.25" customHeight="1">
      <c r="H25" s="176"/>
      <c r="I25" s="176"/>
      <c r="J25" s="176"/>
    </row>
    <row r="26" spans="1:10" ht="40.5" customHeight="1">
      <c r="H26" s="176"/>
      <c r="I26" s="176"/>
      <c r="J26" s="176"/>
    </row>
    <row r="27" spans="1:10" ht="28.5" customHeight="1">
      <c r="H27" s="176"/>
      <c r="I27" s="176"/>
      <c r="J27" s="176"/>
    </row>
    <row r="28" spans="1:10" ht="28.5" customHeight="1">
      <c r="H28" s="176"/>
      <c r="I28" s="176"/>
      <c r="J28" s="176"/>
    </row>
    <row r="29" spans="1:10" ht="28.5" customHeight="1">
      <c r="H29" s="176"/>
      <c r="I29" s="176"/>
      <c r="J29" s="176"/>
    </row>
    <row r="30" spans="1:10" ht="28.5" customHeight="1">
      <c r="H30" s="176"/>
      <c r="I30" s="176"/>
      <c r="J30" s="176"/>
    </row>
    <row r="31" spans="1:10" ht="20.25" customHeight="1">
      <c r="H31" s="176"/>
      <c r="I31" s="176"/>
      <c r="J31" s="176"/>
    </row>
    <row r="32" spans="1:10" ht="20.25" customHeight="1">
      <c r="H32" s="176"/>
      <c r="I32" s="176"/>
      <c r="J32" s="176"/>
    </row>
    <row r="33" spans="8:10" ht="20.25" customHeight="1">
      <c r="H33" s="176"/>
      <c r="I33" s="176"/>
      <c r="J33" s="176"/>
    </row>
    <row r="34" spans="8:10" ht="20.25" customHeight="1">
      <c r="H34" s="176"/>
      <c r="I34" s="176"/>
      <c r="J34" s="176"/>
    </row>
    <row r="35" spans="8:10" ht="20.25" customHeight="1">
      <c r="H35" s="176"/>
      <c r="I35" s="176"/>
      <c r="J35" s="176"/>
    </row>
    <row r="36" spans="8:10" ht="20.25" customHeight="1">
      <c r="H36" s="176"/>
      <c r="I36" s="176"/>
      <c r="J36" s="176"/>
    </row>
    <row r="37" spans="8:10" ht="20.25" customHeight="1">
      <c r="H37" s="176"/>
      <c r="I37" s="176"/>
      <c r="J37" s="176"/>
    </row>
    <row r="38" spans="8:10" ht="20.25" customHeight="1">
      <c r="H38" s="176"/>
      <c r="I38" s="176"/>
      <c r="J38" s="176"/>
    </row>
    <row r="39" spans="8:10" ht="20.25" customHeight="1">
      <c r="H39" s="176"/>
      <c r="I39" s="176"/>
      <c r="J39" s="176"/>
    </row>
    <row r="40" spans="8:10" ht="20.25" customHeight="1">
      <c r="H40" s="176"/>
      <c r="I40" s="176"/>
      <c r="J40" s="176"/>
    </row>
    <row r="41" spans="8:10" ht="20.25" customHeight="1">
      <c r="H41" s="176"/>
      <c r="I41" s="176"/>
      <c r="J41" s="176"/>
    </row>
    <row r="42" spans="8:10" ht="20.25" customHeight="1">
      <c r="H42" s="176"/>
      <c r="I42" s="176"/>
      <c r="J42" s="176"/>
    </row>
    <row r="43" spans="8:10" ht="20.25" customHeight="1">
      <c r="H43" s="176"/>
      <c r="I43" s="176"/>
      <c r="J43" s="176"/>
    </row>
    <row r="44" spans="8:10" ht="20.25" customHeight="1">
      <c r="H44" s="176"/>
      <c r="I44" s="176"/>
      <c r="J44" s="176"/>
    </row>
    <row r="45" spans="8:10" ht="20.25" customHeight="1">
      <c r="H45" s="176"/>
      <c r="I45" s="176"/>
      <c r="J45" s="176"/>
    </row>
    <row r="46" spans="8:10" ht="20.25" customHeight="1">
      <c r="H46" s="176"/>
      <c r="I46" s="176"/>
      <c r="J46" s="176"/>
    </row>
    <row r="47" spans="8:10" ht="20.25" customHeight="1">
      <c r="H47" s="176"/>
      <c r="I47" s="176"/>
      <c r="J47" s="176"/>
    </row>
    <row r="48" spans="8:10" ht="20.25" customHeight="1">
      <c r="H48" s="176"/>
      <c r="I48" s="176"/>
      <c r="J48" s="176"/>
    </row>
    <row r="49" spans="8:10" ht="20.25" customHeight="1">
      <c r="H49" s="176"/>
      <c r="I49" s="176"/>
      <c r="J49" s="176"/>
    </row>
    <row r="50" spans="8:10" ht="20.25" customHeight="1">
      <c r="H50" s="176"/>
      <c r="I50" s="176"/>
      <c r="J50" s="176"/>
    </row>
    <row r="51" spans="8:10" ht="20.25" customHeight="1">
      <c r="H51" s="176"/>
      <c r="I51" s="176"/>
      <c r="J51" s="176"/>
    </row>
    <row r="52" spans="8:10" ht="20.25" customHeight="1">
      <c r="H52" s="176"/>
      <c r="I52" s="176"/>
      <c r="J52" s="176"/>
    </row>
    <row r="53" spans="8:10" ht="20.25" customHeight="1">
      <c r="H53" s="176"/>
      <c r="I53" s="176"/>
      <c r="J53" s="176"/>
    </row>
    <row r="54" spans="8:10" ht="20.25" customHeight="1">
      <c r="H54" s="176"/>
      <c r="I54" s="176"/>
      <c r="J54" s="176"/>
    </row>
    <row r="55" spans="8:10" ht="20.25" customHeight="1">
      <c r="H55" s="176"/>
      <c r="I55" s="176"/>
      <c r="J55" s="176"/>
    </row>
    <row r="56" spans="8:10" ht="20.25" customHeight="1">
      <c r="H56" s="176"/>
      <c r="I56" s="176"/>
      <c r="J56" s="176"/>
    </row>
    <row r="57" spans="8:10" ht="20.25" customHeight="1">
      <c r="H57" s="176"/>
      <c r="I57" s="176"/>
      <c r="J57" s="176"/>
    </row>
    <row r="58" spans="8:10" ht="20.25" customHeight="1">
      <c r="H58" s="176"/>
      <c r="I58" s="176"/>
      <c r="J58" s="176"/>
    </row>
    <row r="59" spans="8:10" ht="20.25" customHeight="1">
      <c r="H59" s="176"/>
      <c r="I59" s="176"/>
      <c r="J59" s="176"/>
    </row>
    <row r="60" spans="8:10" ht="20.25" customHeight="1">
      <c r="H60" s="176"/>
      <c r="I60" s="176"/>
      <c r="J60" s="176"/>
    </row>
    <row r="61" spans="8:10" ht="20.25" customHeight="1">
      <c r="H61" s="176"/>
      <c r="I61" s="176"/>
      <c r="J61" s="176"/>
    </row>
    <row r="62" spans="8:10" ht="20.25" customHeight="1">
      <c r="H62" s="176"/>
      <c r="I62" s="176"/>
      <c r="J62" s="176"/>
    </row>
    <row r="63" spans="8:10" ht="20.25" customHeight="1">
      <c r="H63" s="176"/>
      <c r="I63" s="176"/>
      <c r="J63" s="176"/>
    </row>
    <row r="64" spans="8:10" ht="20.25" customHeight="1">
      <c r="H64" s="176"/>
      <c r="I64" s="176"/>
      <c r="J64" s="176"/>
    </row>
    <row r="65" spans="8:10" ht="20.25" customHeight="1">
      <c r="H65" s="176"/>
      <c r="I65" s="176"/>
      <c r="J65" s="176"/>
    </row>
    <row r="66" spans="8:10" ht="20.25" customHeight="1">
      <c r="H66" s="176"/>
      <c r="I66" s="176"/>
      <c r="J66" s="176"/>
    </row>
    <row r="67" spans="8:10" ht="20.25" customHeight="1">
      <c r="H67" s="176"/>
      <c r="I67" s="176"/>
      <c r="J67" s="176"/>
    </row>
  </sheetData>
  <sheetProtection password="CAEF" sheet="1" formatCells="0" formatRows="0"/>
  <mergeCells count="16">
    <mergeCell ref="A1:D1"/>
    <mergeCell ref="A13:B13"/>
    <mergeCell ref="A17:C17"/>
    <mergeCell ref="A8:C8"/>
    <mergeCell ref="A9:C9"/>
    <mergeCell ref="A10:C10"/>
    <mergeCell ref="A11:C11"/>
    <mergeCell ref="F8:H8"/>
    <mergeCell ref="F9:H16"/>
    <mergeCell ref="J9:J17"/>
    <mergeCell ref="A19:D20"/>
    <mergeCell ref="F17:H18"/>
    <mergeCell ref="A14:C14"/>
    <mergeCell ref="A15:C15"/>
    <mergeCell ref="A16:C16"/>
    <mergeCell ref="A18:B18"/>
  </mergeCells>
  <phoneticPr fontId="38" type="noConversion"/>
  <conditionalFormatting sqref="D4">
    <cfRule type="expression" dxfId="329" priority="9">
      <formula>$D$4=""</formula>
    </cfRule>
  </conditionalFormatting>
  <conditionalFormatting sqref="B3">
    <cfRule type="expression" dxfId="328" priority="4">
      <formula>$B$3=""</formula>
    </cfRule>
  </conditionalFormatting>
  <conditionalFormatting sqref="B4">
    <cfRule type="expression" dxfId="327" priority="3">
      <formula>AND($B$3&lt;&gt;"",$B$4="")</formula>
    </cfRule>
  </conditionalFormatting>
  <conditionalFormatting sqref="B5">
    <cfRule type="expression" dxfId="326" priority="2">
      <formula>AND($B$3&lt;&gt;"",$B$4&lt;&gt;"",$B$5="")</formula>
    </cfRule>
  </conditionalFormatting>
  <conditionalFormatting sqref="B6">
    <cfRule type="expression" dxfId="325" priority="1">
      <formula>AND($B$3&lt;&gt;"",$B$4&lt;&gt;"",$B$5&lt;&gt;"",$B$6="")</formula>
    </cfRule>
  </conditionalFormatting>
  <dataValidations count="3">
    <dataValidation type="list" operator="equal" allowBlank="1" showErrorMessage="1" sqref="D11">
      <formula1>Liste_ja</formula1>
      <formula2>0</formula2>
    </dataValidation>
    <dataValidation type="list" operator="equal" allowBlank="1" showInputMessage="1" showErrorMessage="1" sqref="D9:D10">
      <formula1>Liste_ja</formula1>
      <formula2>0</formula2>
    </dataValidation>
    <dataValidation type="list" operator="equal" allowBlank="1" showErrorMessage="1" sqref="D8">
      <formula1>Liste_ja</formula1>
    </dataValidation>
  </dataValidations>
  <hyperlinks>
    <hyperlink ref="H1" location="N_Bedarf!A1" display="►"/>
    <hyperlink ref="G1" location="Info!A3" display="◄"/>
    <hyperlink ref="J18" r:id="rId1"/>
  </hyperlinks>
  <printOptions horizontalCentered="1" verticalCentered="1"/>
  <pageMargins left="0.47244094488188981" right="0.43307086614173229" top="0.98425196850393704" bottom="0.74803149606299213" header="0.39370078740157483" footer="0.39370078740157483"/>
  <pageSetup paperSize="9" scale="110" firstPageNumber="0" orientation="portrait" blackAndWhite="1" horizontalDpi="300" verticalDpi="300" r:id="rId2"/>
  <headerFooter alignWithMargins="0">
    <oddHeader>&amp;R&amp;O</oddHeader>
    <oddFooter>&amp;L&amp;F&amp;C&amp;A&amp;R&amp;P von &amp;N</oddFooter>
  </headerFooter>
  <drawing r:id="rId3"/>
  <legacyDrawingHF r:id="rId4"/>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1">
    <tabColor rgb="FFFFFF00"/>
    <pageSetUpPr fitToPage="1"/>
  </sheetPr>
  <dimension ref="A1:IU458"/>
  <sheetViews>
    <sheetView showZeros="0" zoomScale="80" zoomScaleNormal="80" workbookViewId="0">
      <selection activeCell="C5" sqref="C5:D5"/>
    </sheetView>
  </sheetViews>
  <sheetFormatPr baseColWidth="10" defaultColWidth="12.6640625" defaultRowHeight="15"/>
  <cols>
    <col min="1" max="1" width="1.88671875" style="511" customWidth="1"/>
    <col min="2" max="2" width="12.6640625" style="511" hidden="1" customWidth="1"/>
    <col min="3" max="3" width="32" style="516" customWidth="1"/>
    <col min="4" max="4" width="14.44140625" style="511" customWidth="1"/>
    <col min="5" max="6" width="10.109375" style="511" customWidth="1"/>
    <col min="7" max="7" width="11.109375" style="511" customWidth="1"/>
    <col min="8" max="8" width="10.109375" style="511" customWidth="1"/>
    <col min="9" max="9" width="11.109375" style="511" customWidth="1"/>
    <col min="10" max="10" width="10.109375" style="511" customWidth="1"/>
    <col min="11" max="12" width="11.109375" style="511" customWidth="1"/>
    <col min="13" max="24" width="10.109375" style="511" customWidth="1"/>
    <col min="25" max="30" width="9.88671875" style="511" customWidth="1"/>
    <col min="31" max="31" width="15.88671875" style="511" hidden="1" customWidth="1"/>
    <col min="32" max="32" width="10.109375" style="176" hidden="1" customWidth="1"/>
    <col min="33" max="33" width="10.44140625" style="176" hidden="1" customWidth="1"/>
    <col min="34" max="34" width="13.33203125" style="176" hidden="1" customWidth="1"/>
    <col min="35" max="38" width="12.6640625" style="176" hidden="1" customWidth="1"/>
    <col min="39" max="39" width="45.6640625" style="176" hidden="1" customWidth="1"/>
    <col min="40" max="55" width="9.44140625" style="176" hidden="1" customWidth="1"/>
    <col min="56" max="56" width="7.44140625" style="176" hidden="1" customWidth="1"/>
    <col min="57" max="57" width="34.44140625" style="176" hidden="1" customWidth="1"/>
    <col min="58" max="60" width="9.6640625" style="176" hidden="1" customWidth="1"/>
    <col min="61" max="61" width="12.6640625" style="176" hidden="1" customWidth="1"/>
    <col min="62" max="62" width="40.88671875" style="176" hidden="1" customWidth="1"/>
    <col min="63" max="65" width="8.33203125" style="176" hidden="1" customWidth="1"/>
    <col min="66" max="66" width="9.109375" style="176" hidden="1" customWidth="1"/>
    <col min="67" max="67" width="8.88671875" style="176" hidden="1" customWidth="1"/>
    <col min="68" max="68" width="12.6640625" style="2242" hidden="1" customWidth="1"/>
    <col min="69" max="69" width="18" style="2242" hidden="1" customWidth="1"/>
    <col min="70" max="70" width="12.6640625" style="2242" hidden="1" customWidth="1"/>
    <col min="71" max="71" width="28.5546875" style="2242" hidden="1" customWidth="1"/>
    <col min="72" max="81" width="12.6640625" style="2242" hidden="1" customWidth="1"/>
    <col min="82" max="99" width="12.6640625" style="176" hidden="1" customWidth="1"/>
    <col min="100" max="100" width="37.33203125" style="176" hidden="1" customWidth="1"/>
    <col min="101" max="101" width="16.88671875" style="176" hidden="1" customWidth="1"/>
    <col min="102" max="102" width="19.88671875" style="176" hidden="1" customWidth="1"/>
    <col min="103" max="112" width="12.6640625" style="176" hidden="1" customWidth="1"/>
    <col min="113" max="113" width="12.6640625" style="1541" customWidth="1"/>
    <col min="114" max="117" width="12.6640625" style="1541"/>
    <col min="118" max="16384" width="12.6640625" style="176"/>
  </cols>
  <sheetData>
    <row r="1" spans="1:255" ht="25.65" customHeight="1">
      <c r="C1" s="2641" t="s">
        <v>1763</v>
      </c>
      <c r="D1" s="2641"/>
      <c r="E1" s="2641"/>
      <c r="F1" s="2641"/>
      <c r="G1" s="2641"/>
      <c r="H1" s="2641"/>
      <c r="I1" s="2641"/>
      <c r="J1" s="2641"/>
      <c r="K1" s="1308"/>
      <c r="L1" s="1308"/>
      <c r="M1" s="2643" t="s">
        <v>1383</v>
      </c>
      <c r="N1" s="2644"/>
      <c r="O1" s="2645" t="s">
        <v>1355</v>
      </c>
      <c r="P1" s="2645"/>
      <c r="Q1" s="1308"/>
      <c r="R1" s="1308"/>
      <c r="S1" s="1308"/>
      <c r="T1" s="951"/>
      <c r="U1" s="1308"/>
      <c r="V1" s="1308"/>
      <c r="W1" s="1308"/>
      <c r="X1" s="1308"/>
      <c r="Y1" s="949"/>
      <c r="Z1" s="949"/>
      <c r="AA1" s="949"/>
      <c r="AB1" s="949"/>
      <c r="AC1" s="949"/>
      <c r="AD1" s="949"/>
      <c r="AE1" s="949"/>
      <c r="AF1" s="1275"/>
      <c r="AG1" s="506"/>
      <c r="AH1" s="506"/>
      <c r="AI1" s="506"/>
      <c r="AJ1" s="506"/>
      <c r="AK1" s="506"/>
      <c r="AL1" s="506"/>
      <c r="AM1" s="506"/>
      <c r="AN1" s="506"/>
      <c r="AO1" s="506"/>
      <c r="AP1" s="506"/>
      <c r="AQ1" s="506"/>
      <c r="AR1" s="506"/>
      <c r="AS1" s="506"/>
      <c r="AT1" s="506"/>
      <c r="AU1" s="506"/>
      <c r="AV1" s="506"/>
      <c r="AW1" s="506"/>
      <c r="AX1" s="506"/>
      <c r="AY1" s="506"/>
      <c r="AZ1" s="506"/>
      <c r="BA1" s="506"/>
      <c r="BB1" s="506"/>
      <c r="BC1" s="506"/>
      <c r="BD1" s="573"/>
      <c r="BE1" s="574" t="s">
        <v>1764</v>
      </c>
      <c r="BF1" s="573"/>
      <c r="BG1" s="573"/>
      <c r="BH1" s="573"/>
      <c r="BI1" s="506"/>
      <c r="BJ1" s="574" t="s">
        <v>1765</v>
      </c>
      <c r="BK1" s="506"/>
      <c r="BL1" s="506"/>
      <c r="BM1" s="506"/>
      <c r="BN1" s="506"/>
      <c r="BO1" s="506"/>
      <c r="BP1" s="458"/>
      <c r="BQ1" s="458" t="s">
        <v>2494</v>
      </c>
      <c r="BR1" s="458"/>
      <c r="BS1" s="2460" t="s">
        <v>2319</v>
      </c>
      <c r="BT1" s="2460" t="s">
        <v>2402</v>
      </c>
      <c r="BU1" s="2460" t="s">
        <v>2320</v>
      </c>
      <c r="BV1" s="2460" t="s">
        <v>2403</v>
      </c>
      <c r="BW1" s="2460" t="s">
        <v>2415</v>
      </c>
      <c r="BX1" s="2460" t="s">
        <v>2404</v>
      </c>
      <c r="BY1" s="2460" t="s">
        <v>2416</v>
      </c>
      <c r="BZ1" s="2460" t="s">
        <v>2405</v>
      </c>
      <c r="CA1" s="2460" t="s">
        <v>2417</v>
      </c>
      <c r="CB1" s="2460" t="s">
        <v>2406</v>
      </c>
      <c r="CC1" s="2460" t="s">
        <v>2418</v>
      </c>
      <c r="CD1" s="2465" t="s">
        <v>2407</v>
      </c>
      <c r="CE1" s="2465" t="s">
        <v>2419</v>
      </c>
      <c r="CF1" s="2465" t="s">
        <v>2408</v>
      </c>
      <c r="CG1" s="2465" t="s">
        <v>2420</v>
      </c>
      <c r="CH1" s="2465" t="s">
        <v>2409</v>
      </c>
      <c r="CI1" s="2465" t="s">
        <v>2421</v>
      </c>
      <c r="CJ1" s="2465" t="s">
        <v>2410</v>
      </c>
      <c r="CK1" s="2465" t="s">
        <v>2422</v>
      </c>
      <c r="CL1" s="2465" t="s">
        <v>2411</v>
      </c>
      <c r="CM1" s="2465" t="s">
        <v>2423</v>
      </c>
      <c r="CN1" s="2465" t="s">
        <v>2412</v>
      </c>
      <c r="CO1" s="2465" t="s">
        <v>2424</v>
      </c>
      <c r="CP1" s="2465" t="s">
        <v>2413</v>
      </c>
      <c r="CQ1" s="2465" t="s">
        <v>2425</v>
      </c>
      <c r="CR1" s="2465" t="s">
        <v>2414</v>
      </c>
      <c r="CS1" s="2465" t="s">
        <v>2426</v>
      </c>
      <c r="CT1"/>
      <c r="CU1"/>
      <c r="CV1" t="s">
        <v>1818</v>
      </c>
      <c r="CW1" s="1542" t="s">
        <v>2427</v>
      </c>
      <c r="CX1" s="1542" t="s">
        <v>2320</v>
      </c>
      <c r="CY1" s="1542" t="s">
        <v>2428</v>
      </c>
      <c r="CZ1" s="1542" t="s">
        <v>2415</v>
      </c>
      <c r="DA1" s="1542" t="s">
        <v>2429</v>
      </c>
      <c r="DB1" s="1542" t="s">
        <v>2416</v>
      </c>
      <c r="DC1" s="1542" t="s">
        <v>2430</v>
      </c>
      <c r="DD1" s="1542" t="s">
        <v>2417</v>
      </c>
      <c r="DE1" s="1542" t="s">
        <v>2431</v>
      </c>
      <c r="DF1" s="1542" t="s">
        <v>2418</v>
      </c>
      <c r="DG1" s="1542" t="s">
        <v>2432</v>
      </c>
      <c r="DH1" s="1542" t="s">
        <v>2419</v>
      </c>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row>
    <row r="2" spans="1:255" ht="23.25" customHeight="1" thickBot="1">
      <c r="C2" s="2641"/>
      <c r="D2" s="2641"/>
      <c r="E2" s="2641"/>
      <c r="F2" s="2641"/>
      <c r="G2" s="2641"/>
      <c r="H2" s="2641"/>
      <c r="I2" s="2641"/>
      <c r="J2" s="2641"/>
      <c r="K2" s="1308"/>
      <c r="L2" s="1308"/>
      <c r="M2" s="1308"/>
      <c r="N2" s="1309" t="s">
        <v>1767</v>
      </c>
      <c r="O2" s="1310"/>
      <c r="P2" s="1310"/>
      <c r="Q2" s="1308"/>
      <c r="R2" s="1308"/>
      <c r="S2" s="1308"/>
      <c r="T2" s="951"/>
      <c r="U2" s="1308"/>
      <c r="V2" s="1308"/>
      <c r="W2" s="1308"/>
      <c r="X2" s="1308"/>
      <c r="Y2" s="949"/>
      <c r="Z2" s="949"/>
      <c r="AA2" s="949"/>
      <c r="AB2" s="949"/>
      <c r="AC2" s="949"/>
      <c r="AD2" s="949"/>
      <c r="AE2" s="949"/>
      <c r="AF2" s="1275"/>
      <c r="AG2" s="506"/>
      <c r="AH2" s="2624"/>
      <c r="AI2" s="2624"/>
      <c r="AJ2" s="2624"/>
      <c r="AK2" s="2624"/>
      <c r="AL2" s="1987"/>
      <c r="AM2" s="1301" t="s">
        <v>1768</v>
      </c>
      <c r="AN2" s="1301" t="s">
        <v>1769</v>
      </c>
      <c r="AO2" s="1301"/>
      <c r="AP2" s="1302"/>
      <c r="AQ2" s="1302"/>
      <c r="AR2" s="1302"/>
      <c r="AS2" s="1302"/>
      <c r="AT2" s="1302"/>
      <c r="AU2" s="1302"/>
      <c r="AV2" s="1302"/>
      <c r="AW2" s="1302"/>
      <c r="AX2" s="1302"/>
      <c r="AY2" s="1302"/>
      <c r="AZ2" s="1302"/>
      <c r="BA2" s="1302"/>
      <c r="BB2" s="1302"/>
      <c r="BC2" s="1302"/>
      <c r="BD2" s="1302"/>
      <c r="BE2" s="1302"/>
      <c r="BF2" s="1302" t="s">
        <v>1770</v>
      </c>
      <c r="BG2" s="1302"/>
      <c r="BH2" s="506"/>
      <c r="BI2" s="506"/>
      <c r="BJ2" s="506"/>
      <c r="BK2" s="506"/>
      <c r="BL2" s="506"/>
      <c r="BM2" s="506"/>
      <c r="BN2" s="506"/>
      <c r="BO2" s="506"/>
      <c r="BP2" s="458"/>
      <c r="BQ2" s="2526" t="s">
        <v>2495</v>
      </c>
      <c r="BR2" s="458"/>
      <c r="BS2" s="2461">
        <f>0</f>
        <v>0</v>
      </c>
      <c r="BT2" s="2463" t="str">
        <f>IFERROR(INDEX(Liste_Ackerkulturen_Gemüse_DropDown[Ackerkulturen],_xlfn.AGGREGATE(15,6,(ROW(Liste_Ackerkulturen_Gemüse_DropDown[Ackerkulturen])-1)/(--(SEARCH(BU$2,Liste_Ackerkulturen_Gemüse_DropDown[Ackerkulturen])&gt;0)),ROW()-2),1),"")</f>
        <v/>
      </c>
      <c r="BU2" s="2463" t="str">
        <f>IF(N_Bedarf!$C5="","",IF(COUNTIF(Liste_Ackerkulturen_Gemüse_DropDown[Ackerkulturen],N_Bedarf!$C5),"",N_Bedarf!$C5))</f>
        <v/>
      </c>
      <c r="BV2" s="2463" t="str">
        <f>IFERROR(INDEX(Liste_Ackerkulturen_Gemüse_DropDown[Ackerkulturen],_xlfn.AGGREGATE(15,6,(ROW(Liste_Ackerkulturen_Gemüse_DropDown[Ackerkulturen])-1)/(--(SEARCH(BW$2,Liste_Ackerkulturen_Gemüse_DropDown[Ackerkulturen])&gt;0)),ROW()-2),1),"")</f>
        <v/>
      </c>
      <c r="BW2" s="2463" t="str">
        <f>IF(N_Bedarf!$C6="","",IF(COUNTIF(Liste_Ackerkulturen_Gemüse_DropDown[Ackerkulturen],N_Bedarf!$C6),"",N_Bedarf!$C6))</f>
        <v/>
      </c>
      <c r="BX2" s="2463" t="str">
        <f>IFERROR(INDEX(Liste_Ackerkulturen_Gemüse_DropDown[Ackerkulturen],_xlfn.AGGREGATE(15,6,(ROW(Liste_Ackerkulturen_Gemüse_DropDown[Ackerkulturen])-1)/(--(SEARCH(BY$2,Liste_Ackerkulturen_Gemüse_DropDown[Ackerkulturen])&gt;0)),ROW()-2),1),"")</f>
        <v/>
      </c>
      <c r="BY2" s="2463" t="str">
        <f>IF(N_Bedarf!$C7="","",IF(COUNTIF(Liste_Ackerkulturen_Gemüse_DropDown[Ackerkulturen],N_Bedarf!$C7),"",N_Bedarf!$C7))</f>
        <v/>
      </c>
      <c r="BZ2" s="2463" t="str">
        <f>IFERROR(INDEX(Liste_Ackerkulturen_Gemüse_DropDown[Ackerkulturen],_xlfn.AGGREGATE(15,6,(ROW(Liste_Ackerkulturen_Gemüse_DropDown[Ackerkulturen])-1)/(--(SEARCH(CA$2,Liste_Ackerkulturen_Gemüse_DropDown[Ackerkulturen])&gt;0)),ROW()-2),1),"")</f>
        <v/>
      </c>
      <c r="CA2" s="2463" t="str">
        <f>IF(N_Bedarf!$C8="","",IF(COUNTIF(Liste_Ackerkulturen_Gemüse_DropDown[Ackerkulturen],N_Bedarf!$C8),"",N_Bedarf!$C8))</f>
        <v/>
      </c>
      <c r="CB2" s="2463" t="str">
        <f>IFERROR(INDEX(Liste_Ackerkulturen_Gemüse_DropDown[Ackerkulturen],_xlfn.AGGREGATE(15,6,(ROW(Liste_Ackerkulturen_Gemüse_DropDown[Ackerkulturen])-1)/(--(SEARCH(CC$2,Liste_Ackerkulturen_Gemüse_DropDown[Ackerkulturen])&gt;0)),ROW()-2),1),"")</f>
        <v/>
      </c>
      <c r="CC2" s="2463" t="str">
        <f>IF(N_Bedarf!$C9="","",IF(COUNTIF(Liste_Ackerkulturen_Gemüse_DropDown[Ackerkulturen],N_Bedarf!$C9),"",N_Bedarf!$C9))</f>
        <v/>
      </c>
      <c r="CD2" s="2463" t="str">
        <f>IFERROR(INDEX(Liste_Ackerkulturen_Gemüse_DropDown[Ackerkulturen],_xlfn.AGGREGATE(15,6,(ROW(Liste_Ackerkulturen_Gemüse_DropDown[Ackerkulturen])-1)/(--(SEARCH(CE$2,Liste_Ackerkulturen_Gemüse_DropDown[Ackerkulturen])&gt;0)),ROW()-2),1),"")</f>
        <v/>
      </c>
      <c r="CE2" s="2463" t="str">
        <f>IF(N_Bedarf!$C10="","",IF(COUNTIF(Liste_Ackerkulturen_Gemüse_DropDown[Ackerkulturen],N_Bedarf!$C10),"",N_Bedarf!$C10))</f>
        <v/>
      </c>
      <c r="CF2" s="2463" t="str">
        <f>IFERROR(INDEX(Liste_Ackerkulturen_Gemüse_DropDown[Ackerkulturen],_xlfn.AGGREGATE(15,6,(ROW(Liste_Ackerkulturen_Gemüse_DropDown[Ackerkulturen])-1)/(--(SEARCH(CG$2,Liste_Ackerkulturen_Gemüse_DropDown[Ackerkulturen])&gt;0)),ROW()-2),1),"")</f>
        <v/>
      </c>
      <c r="CG2" s="2463" t="str">
        <f>IF(N_Bedarf!$C11="","",IF(COUNTIF(Liste_Ackerkulturen_Gemüse_DropDown[Ackerkulturen],N_Bedarf!$C11),"",N_Bedarf!$C11))</f>
        <v/>
      </c>
      <c r="CH2" s="2463" t="str">
        <f>IFERROR(INDEX(Liste_Ackerkulturen_Gemüse_DropDown[Ackerkulturen],_xlfn.AGGREGATE(15,6,(ROW(Liste_Ackerkulturen_Gemüse_DropDown[Ackerkulturen])-1)/(--(SEARCH(CI$2,Liste_Ackerkulturen_Gemüse_DropDown[Ackerkulturen])&gt;0)),ROW()-2),1),"")</f>
        <v/>
      </c>
      <c r="CI2" s="2463" t="str">
        <f>IF(N_Bedarf!$C12="","",IF(COUNTIF(Liste_Ackerkulturen_Gemüse_DropDown[Ackerkulturen],N_Bedarf!$C12),"",N_Bedarf!$C12))</f>
        <v/>
      </c>
      <c r="CJ2" s="2463" t="str">
        <f>IFERROR(INDEX(Liste_Ackerkulturen_Gemüse_DropDown[Ackerkulturen],_xlfn.AGGREGATE(15,6,(ROW(Liste_Ackerkulturen_Gemüse_DropDown[Ackerkulturen])-1)/(--(SEARCH(CK$2,Liste_Ackerkulturen_Gemüse_DropDown[Ackerkulturen])&gt;0)),ROW()-2),1),"")</f>
        <v/>
      </c>
      <c r="CK2" s="2463" t="str">
        <f>IF(N_Bedarf!$C13="","",IF(COUNTIF(Liste_Ackerkulturen_Gemüse_DropDown[Ackerkulturen],N_Bedarf!$C13),"",N_Bedarf!$C13))</f>
        <v/>
      </c>
      <c r="CL2" s="2463" t="str">
        <f>IFERROR(INDEX(Liste_Ackerkulturen_Gemüse_DropDown[Ackerkulturen],_xlfn.AGGREGATE(15,6,(ROW(Liste_Ackerkulturen_Gemüse_DropDown[Ackerkulturen])-1)/(--(SEARCH(CM$2,Liste_Ackerkulturen_Gemüse_DropDown[Ackerkulturen])&gt;0)),ROW()-2),1),"")</f>
        <v/>
      </c>
      <c r="CM2" s="2463" t="str">
        <f>IF(N_Bedarf!$C14="","",IF(COUNTIF(Liste_Ackerkulturen_Gemüse_DropDown[Ackerkulturen],N_Bedarf!$C14),"",N_Bedarf!$C14))</f>
        <v/>
      </c>
      <c r="CN2" s="2463" t="str">
        <f>IFERROR(INDEX(Liste_Ackerkulturen_Gemüse_DropDown[Ackerkulturen],_xlfn.AGGREGATE(15,6,(ROW(Liste_Ackerkulturen_Gemüse_DropDown[Ackerkulturen])-1)/(--(SEARCH(CO$2,Liste_Ackerkulturen_Gemüse_DropDown[Ackerkulturen])&gt;0)),ROW()-2),1),"")</f>
        <v/>
      </c>
      <c r="CO2" s="2463" t="str">
        <f>IF(N_Bedarf!$C15="","",IF(COUNTIF(Liste_Ackerkulturen_Gemüse_DropDown[Ackerkulturen],N_Bedarf!$C15),"",N_Bedarf!$C15))</f>
        <v/>
      </c>
      <c r="CP2" s="2463" t="str">
        <f>IFERROR(INDEX(Liste_Ackerkulturen_Gemüse_DropDown[Ackerkulturen],_xlfn.AGGREGATE(15,6,(ROW(Liste_Ackerkulturen_Gemüse_DropDown[Ackerkulturen])-1)/(--(SEARCH(CQ$2,Liste_Ackerkulturen_Gemüse_DropDown[Ackerkulturen])&gt;0)),ROW()-2),1),"")</f>
        <v/>
      </c>
      <c r="CQ2" s="2463" t="str">
        <f>IF(N_Bedarf!$C16="","",IF(COUNTIF(Liste_Ackerkulturen_Gemüse_DropDown[Ackerkulturen],N_Bedarf!$C16),"",N_Bedarf!$C16))</f>
        <v/>
      </c>
      <c r="CR2" s="2463" t="str">
        <f>IFERROR(INDEX(Liste_Ackerkulturen_Gemüse_DropDown[Ackerkulturen],_xlfn.AGGREGATE(15,6,(ROW(Liste_Ackerkulturen_Gemüse_DropDown[Ackerkulturen])-1)/(--(SEARCH(CS$2,Liste_Ackerkulturen_Gemüse_DropDown[Ackerkulturen])&gt;0)),ROW()-2),1),"")</f>
        <v/>
      </c>
      <c r="CS2" s="2463" t="str">
        <f>IF(N_Bedarf!$C17="","",IF(COUNTIF(Liste_Ackerkulturen_Gemüse_DropDown[Ackerkulturen],N_Bedarf!$C17),"",N_Bedarf!$C17))</f>
        <v/>
      </c>
      <c r="CT2"/>
      <c r="CU2"/>
      <c r="CV2" s="176">
        <f>0</f>
        <v>0</v>
      </c>
      <c r="CW2" t="str">
        <f>IFERROR(INDEX(Liste_Grünland_DropDown[Grünland],_xlfn.AGGREGATE(15,6,(ROW(Liste_Grünland_DropDown[Grünland])-1)/(--(SEARCH(CX$2,Liste_Grünland_DropDown[Grünland])&gt;0)),ROW()-2),1),"")</f>
        <v/>
      </c>
      <c r="CX2" s="2449" t="str">
        <f>IF(N_Bedarf!$C20="","",IF(COUNTIF(Liste_Grünland_DropDown[Grünland],N_Bedarf!$C20),"",N_Bedarf!$C20))</f>
        <v/>
      </c>
      <c r="CY2" s="1542" t="str">
        <f>IFERROR(INDEX(Liste_Grünland_DropDown[Grünland],_xlfn.AGGREGATE(15,6,(ROW(Liste_Grünland_DropDown[Grünland])-1)/(--(SEARCH(CZ$2,Liste_Grünland_DropDown[Grünland])&gt;0)),ROW()-2),1),"")</f>
        <v/>
      </c>
      <c r="CZ2" s="2469" t="str">
        <f>IF(N_Bedarf!$C21="","",IF(COUNTIF(Liste_Grünland_DropDown[Grünland],N_Bedarf!$C21),"",N_Bedarf!$C21))</f>
        <v/>
      </c>
      <c r="DA2" s="1542" t="str">
        <f>IFERROR(INDEX(Liste_Grünland_DropDown[Grünland],_xlfn.AGGREGATE(15,6,(ROW(Liste_Grünland_DropDown[Grünland])-1)/(--(SEARCH(DB$2,Liste_Grünland_DropDown[Grünland])&gt;0)),ROW()-2),1),"")</f>
        <v/>
      </c>
      <c r="DB2" s="2467" t="str">
        <f>IF(N_Bedarf!$C22="","",IF(COUNTIF(Liste_Grünland_DropDown[Grünland],N_Bedarf!$C22),"",N_Bedarf!$C22))</f>
        <v/>
      </c>
      <c r="DC2" s="1542" t="str">
        <f>IFERROR(INDEX(Liste_Grünland_DropDown[Grünland],_xlfn.AGGREGATE(15,6,(ROW(Liste_Grünland_DropDown[Grünland])-1)/(--(SEARCH(DD$2,Liste_Grünland_DropDown[Grünland])&gt;0)),ROW()-2),1),"")</f>
        <v/>
      </c>
      <c r="DD2" s="2469" t="str">
        <f>IF(N_Bedarf!$C23="","",IF(COUNTIF(Liste_Grünland_DropDown[Grünland],N_Bedarf!$C23),"",N_Bedarf!$C23))</f>
        <v/>
      </c>
      <c r="DE2" s="1542" t="str">
        <f>IFERROR(INDEX(Liste_Grünland_DropDown[Grünland],_xlfn.AGGREGATE(15,6,(ROW(Liste_Grünland_DropDown[Grünland])-1)/(--(SEARCH(DF$2,Liste_Grünland_DropDown[Grünland])&gt;0)),ROW()-2),1),"")</f>
        <v/>
      </c>
      <c r="DF2" s="2467" t="str">
        <f>IF(N_Bedarf!$C24="","",IF(COUNTIF(Liste_Grünland_DropDown[Grünland],N_Bedarf!$C24),"",N_Bedarf!$C24))</f>
        <v/>
      </c>
      <c r="DG2" s="1542" t="str">
        <f>IFERROR(INDEX(Liste_Grünland_DropDown[Grünland],_xlfn.AGGREGATE(15,6,(ROW(Liste_Grünland_DropDown[Grünland])-1)/(--(SEARCH(DH$2,Liste_Grünland_DropDown[Grünland])&gt;0)),ROW()-2),1),"")</f>
        <v/>
      </c>
      <c r="DH2" s="2469" t="str">
        <f>IF(N_Bedarf!$C25="","",IF(COUNTIF(Liste_Grünland_DropDown[Grünland],N_Bedarf!$C25),"",N_Bedarf!$C25))</f>
        <v/>
      </c>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c r="IQ2"/>
      <c r="IR2"/>
      <c r="IS2"/>
      <c r="IT2"/>
      <c r="IU2"/>
    </row>
    <row r="3" spans="1:255" ht="39.75" customHeight="1" thickBot="1">
      <c r="B3" s="1307"/>
      <c r="C3" s="1709" t="s">
        <v>826</v>
      </c>
      <c r="D3" s="1710"/>
      <c r="E3" s="1711" t="s">
        <v>1771</v>
      </c>
      <c r="F3" s="2648" t="s">
        <v>491</v>
      </c>
      <c r="G3" s="2649"/>
      <c r="H3" s="2640" t="s">
        <v>1772</v>
      </c>
      <c r="I3" s="2640"/>
      <c r="J3" s="1788" t="s">
        <v>1773</v>
      </c>
      <c r="K3" s="2647" t="s">
        <v>994</v>
      </c>
      <c r="L3" s="2647"/>
      <c r="M3" s="1789" t="s">
        <v>1774</v>
      </c>
      <c r="N3" s="2640" t="s">
        <v>766</v>
      </c>
      <c r="O3" s="2640"/>
      <c r="P3" s="2640"/>
      <c r="Q3" s="1712" t="s">
        <v>1775</v>
      </c>
      <c r="R3" s="2630" t="s">
        <v>1713</v>
      </c>
      <c r="S3" s="2630"/>
      <c r="T3" s="951"/>
      <c r="U3" s="2628" t="s">
        <v>1778</v>
      </c>
      <c r="V3" s="2628"/>
      <c r="W3" s="2628"/>
      <c r="X3" s="2628"/>
      <c r="Y3" s="949"/>
      <c r="Z3" s="949"/>
      <c r="AA3" s="949"/>
      <c r="AB3" s="949"/>
      <c r="AC3" s="949"/>
      <c r="AD3" s="949"/>
      <c r="AE3" s="2258" t="s">
        <v>2269</v>
      </c>
      <c r="AF3" s="1276" t="s">
        <v>1779</v>
      </c>
      <c r="AG3" s="1276" t="s">
        <v>1780</v>
      </c>
      <c r="AH3" s="1285" t="s">
        <v>1781</v>
      </c>
      <c r="AI3" s="1285" t="s">
        <v>1782</v>
      </c>
      <c r="AJ3" s="1285" t="s">
        <v>1783</v>
      </c>
      <c r="AK3" s="1285" t="s">
        <v>1777</v>
      </c>
      <c r="AL3" s="1994" t="s">
        <v>2011</v>
      </c>
      <c r="AM3" s="1286"/>
      <c r="AN3" s="1287" t="s">
        <v>1784</v>
      </c>
      <c r="AO3" s="2251" t="s">
        <v>1945</v>
      </c>
      <c r="AP3" s="1287" t="s">
        <v>1095</v>
      </c>
      <c r="AQ3" s="2251" t="s">
        <v>1945</v>
      </c>
      <c r="AR3" s="1287" t="s">
        <v>1091</v>
      </c>
      <c r="AS3" s="2251" t="s">
        <v>1945</v>
      </c>
      <c r="AT3" s="1287" t="s">
        <v>1787</v>
      </c>
      <c r="AU3" s="2251" t="s">
        <v>1945</v>
      </c>
      <c r="AV3" s="1287" t="s">
        <v>1788</v>
      </c>
      <c r="AW3" s="2251" t="s">
        <v>1945</v>
      </c>
      <c r="AX3" s="1288" t="s">
        <v>1785</v>
      </c>
      <c r="AY3" s="2251" t="s">
        <v>1945</v>
      </c>
      <c r="AZ3" s="1289" t="s">
        <v>1786</v>
      </c>
      <c r="BA3" s="2251" t="s">
        <v>1945</v>
      </c>
      <c r="BB3" s="1290" t="s">
        <v>885</v>
      </c>
      <c r="BC3" s="1995" t="s">
        <v>2012</v>
      </c>
      <c r="BD3" s="1292"/>
      <c r="BE3" s="1293"/>
      <c r="BF3" s="1287" t="s">
        <v>1784</v>
      </c>
      <c r="BG3" s="1287" t="s">
        <v>1095</v>
      </c>
      <c r="BH3" s="1287" t="s">
        <v>1091</v>
      </c>
      <c r="BI3" s="1286"/>
      <c r="BJ3" s="1293"/>
      <c r="BK3" s="1287" t="s">
        <v>1784</v>
      </c>
      <c r="BL3" s="1287" t="s">
        <v>1095</v>
      </c>
      <c r="BM3" s="1287" t="s">
        <v>1091</v>
      </c>
      <c r="BN3" s="1291" t="s">
        <v>1789</v>
      </c>
      <c r="BO3" s="1291" t="s">
        <v>1790</v>
      </c>
      <c r="BP3" s="458"/>
      <c r="BQ3" s="2527">
        <f>IFERROR(COUNTIF(Liste_Ackerkulturen_Gemüse_DropDown[Ackerkulturen],N_Bedarf!$C5),0)</f>
        <v>1</v>
      </c>
      <c r="BR3" s="458"/>
      <c r="BS3" s="2461" t="s">
        <v>731</v>
      </c>
      <c r="BT3" s="2463">
        <f>IFERROR(INDEX(Liste_Ackerkulturen_Gemüse_DropDown[Ackerkulturen],_xlfn.AGGREGATE(15,6,(ROW(Liste_Ackerkulturen_Gemüse_DropDown[Ackerkulturen])-1)/(--(SEARCH(BU$2,Liste_Ackerkulturen_Gemüse_DropDown[Ackerkulturen])&gt;0)),ROW()-2),1),"")</f>
        <v>0</v>
      </c>
      <c r="BU3" s="2466"/>
      <c r="BV3" s="2463">
        <f>IFERROR(INDEX(Liste_Ackerkulturen_Gemüse_DropDown[Ackerkulturen],_xlfn.AGGREGATE(15,6,(ROW(Liste_Ackerkulturen_Gemüse_DropDown[Ackerkulturen])-1)/(--(SEARCH(BW$2,Liste_Ackerkulturen_Gemüse_DropDown[Ackerkulturen])&gt;0)),ROW()-2),1),"")</f>
        <v>0</v>
      </c>
      <c r="BW3" s="2463"/>
      <c r="BX3" s="2463">
        <f>IFERROR(INDEX(Liste_Ackerkulturen_Gemüse_DropDown[Ackerkulturen],_xlfn.AGGREGATE(15,6,(ROW(Liste_Ackerkulturen_Gemüse_DropDown[Ackerkulturen])-1)/(--(SEARCH(BY$2,Liste_Ackerkulturen_Gemüse_DropDown[Ackerkulturen])&gt;0)),ROW()-2),1),"")</f>
        <v>0</v>
      </c>
      <c r="BY3" s="2463"/>
      <c r="BZ3" s="2463">
        <f>IFERROR(INDEX(Liste_Ackerkulturen_Gemüse_DropDown[Ackerkulturen],_xlfn.AGGREGATE(15,6,(ROW(Liste_Ackerkulturen_Gemüse_DropDown[Ackerkulturen])-1)/(--(SEARCH(CA$2,Liste_Ackerkulturen_Gemüse_DropDown[Ackerkulturen])&gt;0)),ROW()-2),1),"")</f>
        <v>0</v>
      </c>
      <c r="CA3" s="2463"/>
      <c r="CB3" s="2463">
        <f>IFERROR(INDEX(Liste_Ackerkulturen_Gemüse_DropDown[Ackerkulturen],_xlfn.AGGREGATE(15,6,(ROW(Liste_Ackerkulturen_Gemüse_DropDown[Ackerkulturen])-1)/(--(SEARCH(CC$2,Liste_Ackerkulturen_Gemüse_DropDown[Ackerkulturen])&gt;0)),ROW()-2),1),"")</f>
        <v>0</v>
      </c>
      <c r="CC3" s="2463"/>
      <c r="CD3" s="2464">
        <f>IFERROR(INDEX(Liste_Ackerkulturen_Gemüse_DropDown[Ackerkulturen],_xlfn.AGGREGATE(15,6,(ROW(Liste_Ackerkulturen_Gemüse_DropDown[Ackerkulturen])-1)/(--(SEARCH(CE$2,Liste_Ackerkulturen_Gemüse_DropDown[Ackerkulturen])&gt;0)),ROW()-2),1),"")</f>
        <v>0</v>
      </c>
      <c r="CE3" s="2464"/>
      <c r="CF3" s="2464">
        <f>IFERROR(INDEX(Liste_Ackerkulturen_Gemüse_DropDown[Ackerkulturen],_xlfn.AGGREGATE(15,6,(ROW(Liste_Ackerkulturen_Gemüse_DropDown[Ackerkulturen])-1)/(--(SEARCH(CG$2,Liste_Ackerkulturen_Gemüse_DropDown[Ackerkulturen])&gt;0)),ROW()-2),1),"")</f>
        <v>0</v>
      </c>
      <c r="CG3" s="2464"/>
      <c r="CH3" s="2464">
        <f>IFERROR(INDEX(Liste_Ackerkulturen_Gemüse_DropDown[Ackerkulturen],_xlfn.AGGREGATE(15,6,(ROW(Liste_Ackerkulturen_Gemüse_DropDown[Ackerkulturen])-1)/(--(SEARCH(CI$2,Liste_Ackerkulturen_Gemüse_DropDown[Ackerkulturen])&gt;0)),ROW()-2),1),"")</f>
        <v>0</v>
      </c>
      <c r="CI3" s="2464"/>
      <c r="CJ3" s="2464">
        <f>IFERROR(INDEX(Liste_Ackerkulturen_Gemüse_DropDown[Ackerkulturen],_xlfn.AGGREGATE(15,6,(ROW(Liste_Ackerkulturen_Gemüse_DropDown[Ackerkulturen])-1)/(--(SEARCH(CK$2,Liste_Ackerkulturen_Gemüse_DropDown[Ackerkulturen])&gt;0)),ROW()-2),1),"")</f>
        <v>0</v>
      </c>
      <c r="CK3" s="2464"/>
      <c r="CL3" s="2464">
        <f>IFERROR(INDEX(Liste_Ackerkulturen_Gemüse_DropDown[Ackerkulturen],_xlfn.AGGREGATE(15,6,(ROW(Liste_Ackerkulturen_Gemüse_DropDown[Ackerkulturen])-1)/(--(SEARCH(CM$2,Liste_Ackerkulturen_Gemüse_DropDown[Ackerkulturen])&gt;0)),ROW()-2),1),"")</f>
        <v>0</v>
      </c>
      <c r="CM3" s="2464"/>
      <c r="CN3" s="2464">
        <f>IFERROR(INDEX(Liste_Ackerkulturen_Gemüse_DropDown[Ackerkulturen],_xlfn.AGGREGATE(15,6,(ROW(Liste_Ackerkulturen_Gemüse_DropDown[Ackerkulturen])-1)/(--(SEARCH(CO$2,Liste_Ackerkulturen_Gemüse_DropDown[Ackerkulturen])&gt;0)),ROW()-2),1),"")</f>
        <v>0</v>
      </c>
      <c r="CO3" s="2464"/>
      <c r="CP3" s="2464">
        <f>IFERROR(INDEX(Liste_Ackerkulturen_Gemüse_DropDown[Ackerkulturen],_xlfn.AGGREGATE(15,6,(ROW(Liste_Ackerkulturen_Gemüse_DropDown[Ackerkulturen])-1)/(--(SEARCH(CQ$2,Liste_Ackerkulturen_Gemüse_DropDown[Ackerkulturen])&gt;0)),ROW()-2),1),"")</f>
        <v>0</v>
      </c>
      <c r="CQ3" s="2464"/>
      <c r="CR3" s="2464">
        <f>IFERROR(INDEX(Liste_Ackerkulturen_Gemüse_DropDown[Ackerkulturen],_xlfn.AGGREGATE(15,6,(ROW(Liste_Ackerkulturen_Gemüse_DropDown[Ackerkulturen])-1)/(--(SEARCH(CS$2,Liste_Ackerkulturen_Gemüse_DropDown[Ackerkulturen])&gt;0)),ROW()-2),1),"")</f>
        <v>0</v>
      </c>
      <c r="CS3" s="2464"/>
      <c r="CT3"/>
      <c r="CU3"/>
      <c r="CV3" t="s">
        <v>2482</v>
      </c>
      <c r="CW3">
        <f>IFERROR(INDEX(Liste_Grünland_DropDown[Grünland],_xlfn.AGGREGATE(15,6,(ROW(Liste_Grünland_DropDown[Grünland])-1)/(--(SEARCH(CX$2,Liste_Grünland_DropDown[Grünland])&gt;0)),ROW()-2),1),"")</f>
        <v>0</v>
      </c>
      <c r="CX3" s="2468"/>
      <c r="CY3">
        <f>IFERROR(INDEX(Liste_Grünland_DropDown[Grünland],_xlfn.AGGREGATE(15,6,(ROW(Liste_Grünland_DropDown[Grünland])-1)/(--(SEARCH(CZ$2,Liste_Grünland_DropDown[Grünland])&gt;0)),ROW()-2),1),"")</f>
        <v>0</v>
      </c>
      <c r="CZ3" s="2449"/>
      <c r="DA3" s="2449">
        <f>IFERROR(INDEX(Liste_Grünland_DropDown[Grünland],_xlfn.AGGREGATE(15,6,(ROW(Liste_Grünland_DropDown[Grünland])-1)/(--(SEARCH(DB$2,Liste_Grünland_DropDown[Grünland])&gt;0)),ROW()-2),1),"")</f>
        <v>0</v>
      </c>
      <c r="DB3" s="2449"/>
      <c r="DC3" s="2449">
        <f>IFERROR(INDEX(Liste_Grünland_DropDown[Grünland],_xlfn.AGGREGATE(15,6,(ROW(Liste_Grünland_DropDown[Grünland])-1)/(--(SEARCH(DD$2,Liste_Grünland_DropDown[Grünland])&gt;0)),ROW()-2),1),"")</f>
        <v>0</v>
      </c>
      <c r="DD3" s="2449"/>
      <c r="DE3" s="2449">
        <f>IFERROR(INDEX(Liste_Grünland_DropDown[Grünland],_xlfn.AGGREGATE(15,6,(ROW(Liste_Grünland_DropDown[Grünland])-1)/(--(SEARCH(DF$2,Liste_Grünland_DropDown[Grünland])&gt;0)),ROW()-2),1),"")</f>
        <v>0</v>
      </c>
      <c r="DF3" s="2449"/>
      <c r="DG3" s="2449">
        <f>IFERROR(INDEX(Liste_Grünland_DropDown[Grünland],_xlfn.AGGREGATE(15,6,(ROW(Liste_Grünland_DropDown[Grünland])-1)/(--(SEARCH(DH$2,Liste_Grünland_DropDown[Grünland])&gt;0)),ROW()-2),1),"")</f>
        <v>0</v>
      </c>
      <c r="DH3" s="2449"/>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c r="IL3"/>
      <c r="IM3"/>
      <c r="IN3"/>
      <c r="IO3"/>
      <c r="IP3"/>
      <c r="IQ3"/>
      <c r="IR3"/>
      <c r="IS3"/>
      <c r="IT3"/>
      <c r="IU3"/>
    </row>
    <row r="4" spans="1:255" ht="29.25" customHeight="1" thickBot="1">
      <c r="B4" s="513"/>
      <c r="C4" s="2639" t="s">
        <v>770</v>
      </c>
      <c r="D4" s="2639"/>
      <c r="E4" s="1713" t="s">
        <v>1388</v>
      </c>
      <c r="F4" s="1714" t="s">
        <v>1791</v>
      </c>
      <c r="G4" s="1715" t="s">
        <v>1945</v>
      </c>
      <c r="H4" s="1715" t="s">
        <v>1792</v>
      </c>
      <c r="I4" s="1716"/>
      <c r="J4" s="1716" t="s">
        <v>1793</v>
      </c>
      <c r="K4" s="1715" t="s">
        <v>1792</v>
      </c>
      <c r="L4" s="1714" t="s">
        <v>1794</v>
      </c>
      <c r="M4" s="1716" t="s">
        <v>1793</v>
      </c>
      <c r="N4" s="2592"/>
      <c r="O4" s="2592"/>
      <c r="P4" s="2592"/>
      <c r="Q4" s="1717" t="s">
        <v>1388</v>
      </c>
      <c r="R4" s="1716" t="s">
        <v>1795</v>
      </c>
      <c r="S4" s="1717" t="s">
        <v>1796</v>
      </c>
      <c r="T4" s="951"/>
      <c r="U4" s="2629" t="s">
        <v>762</v>
      </c>
      <c r="V4" s="2629"/>
      <c r="W4" s="2629"/>
      <c r="X4" s="2629"/>
      <c r="Y4" s="949"/>
      <c r="Z4" s="949"/>
      <c r="AA4" s="949"/>
      <c r="AB4" s="949"/>
      <c r="AC4" s="949"/>
      <c r="AD4" s="949"/>
      <c r="AE4" s="2259" t="s">
        <v>1945</v>
      </c>
      <c r="AF4" s="1277" t="s">
        <v>1388</v>
      </c>
      <c r="AG4" s="1277" t="s">
        <v>1793</v>
      </c>
      <c r="AH4" s="1277" t="s">
        <v>1793</v>
      </c>
      <c r="AI4" s="1277" t="s">
        <v>1793</v>
      </c>
      <c r="AJ4" s="1277" t="s">
        <v>1793</v>
      </c>
      <c r="AK4" s="1277" t="s">
        <v>1793</v>
      </c>
      <c r="AL4" s="1988"/>
      <c r="AM4" s="1294"/>
      <c r="AN4" s="2271">
        <v>2</v>
      </c>
      <c r="AO4" s="2271">
        <v>3</v>
      </c>
      <c r="AP4" s="2271">
        <v>4</v>
      </c>
      <c r="AQ4" s="2271">
        <v>5</v>
      </c>
      <c r="AR4" s="2271">
        <v>6</v>
      </c>
      <c r="AS4" s="2271">
        <v>7</v>
      </c>
      <c r="AT4" s="2271">
        <v>8</v>
      </c>
      <c r="AU4" s="2271">
        <v>9</v>
      </c>
      <c r="AV4" s="2271">
        <v>10</v>
      </c>
      <c r="AW4" s="2271">
        <v>11</v>
      </c>
      <c r="AX4" s="2271">
        <v>12</v>
      </c>
      <c r="AY4" s="2271">
        <v>13</v>
      </c>
      <c r="AZ4" s="2271">
        <v>14</v>
      </c>
      <c r="BA4" s="2271">
        <v>15</v>
      </c>
      <c r="BB4" s="1295">
        <v>16</v>
      </c>
      <c r="BC4" s="1295">
        <v>17</v>
      </c>
      <c r="BD4" s="1292"/>
      <c r="BE4" s="1296"/>
      <c r="BF4" s="1297" t="s">
        <v>1797</v>
      </c>
      <c r="BG4" s="1297" t="s">
        <v>1797</v>
      </c>
      <c r="BH4" s="1297" t="s">
        <v>1797</v>
      </c>
      <c r="BI4" s="1286"/>
      <c r="BJ4" s="1296"/>
      <c r="BK4" s="1298" t="s">
        <v>1798</v>
      </c>
      <c r="BL4" s="1298" t="s">
        <v>1798</v>
      </c>
      <c r="BM4" s="1298" t="s">
        <v>1798</v>
      </c>
      <c r="BN4" s="1298" t="s">
        <v>1798</v>
      </c>
      <c r="BO4" s="1298" t="s">
        <v>1798</v>
      </c>
      <c r="BP4" s="458"/>
      <c r="BQ4" s="2527">
        <f>IFERROR(COUNTIF(Liste_Ackerkulturen_Gemüse_DropDown[Ackerkulturen],N_Bedarf!$C6),0)</f>
        <v>2</v>
      </c>
      <c r="BR4" s="458"/>
      <c r="BS4" s="2461" t="s">
        <v>732</v>
      </c>
      <c r="BT4" s="2463" t="str">
        <f>IFERROR(INDEX(Liste_Ackerkulturen_Gemüse_DropDown[Ackerkulturen],_xlfn.AGGREGATE(15,6,(ROW(Liste_Ackerkulturen_Gemüse_DropDown[Ackerkulturen])-1)/(--(SEARCH(BU$2,Liste_Ackerkulturen_Gemüse_DropDown[Ackerkulturen])&gt;0)),ROW()-2),1),"")</f>
        <v>Weizen &lt; 14 % Rohprotein</v>
      </c>
      <c r="BU4" s="2466"/>
      <c r="BV4" s="2463" t="str">
        <f>IFERROR(INDEX(Liste_Ackerkulturen_Gemüse_DropDown[Ackerkulturen],_xlfn.AGGREGATE(15,6,(ROW(Liste_Ackerkulturen_Gemüse_DropDown[Ackerkulturen])-1)/(--(SEARCH(BW$2,Liste_Ackerkulturen_Gemüse_DropDown[Ackerkulturen])&gt;0)),ROW()-2),1),"")</f>
        <v>Weizen &lt; 14 % Rohprotein</v>
      </c>
      <c r="BW4" s="2463"/>
      <c r="BX4" s="2463" t="str">
        <f>IFERROR(INDEX(Liste_Ackerkulturen_Gemüse_DropDown[Ackerkulturen],_xlfn.AGGREGATE(15,6,(ROW(Liste_Ackerkulturen_Gemüse_DropDown[Ackerkulturen])-1)/(--(SEARCH(BY$2,Liste_Ackerkulturen_Gemüse_DropDown[Ackerkulturen])&gt;0)),ROW()-2),1),"")</f>
        <v>Weizen &lt; 14 % Rohprotein</v>
      </c>
      <c r="BY4" s="2463"/>
      <c r="BZ4" s="2463" t="str">
        <f>IFERROR(INDEX(Liste_Ackerkulturen_Gemüse_DropDown[Ackerkulturen],_xlfn.AGGREGATE(15,6,(ROW(Liste_Ackerkulturen_Gemüse_DropDown[Ackerkulturen])-1)/(--(SEARCH(CA$2,Liste_Ackerkulturen_Gemüse_DropDown[Ackerkulturen])&gt;0)),ROW()-2),1),"")</f>
        <v>Weizen &lt; 14 % Rohprotein</v>
      </c>
      <c r="CA4" s="2463"/>
      <c r="CB4" s="2463" t="str">
        <f>IFERROR(INDEX(Liste_Ackerkulturen_Gemüse_DropDown[Ackerkulturen],_xlfn.AGGREGATE(15,6,(ROW(Liste_Ackerkulturen_Gemüse_DropDown[Ackerkulturen])-1)/(--(SEARCH(CC$2,Liste_Ackerkulturen_Gemüse_DropDown[Ackerkulturen])&gt;0)),ROW()-2),1),"")</f>
        <v>Weizen &lt; 14 % Rohprotein</v>
      </c>
      <c r="CC4" s="2463"/>
      <c r="CD4" s="2464" t="str">
        <f>IFERROR(INDEX(Liste_Ackerkulturen_Gemüse_DropDown[Ackerkulturen],_xlfn.AGGREGATE(15,6,(ROW(Liste_Ackerkulturen_Gemüse_DropDown[Ackerkulturen])-1)/(--(SEARCH(CE$2,Liste_Ackerkulturen_Gemüse_DropDown[Ackerkulturen])&gt;0)),ROW()-2),1),"")</f>
        <v>Weizen &lt; 14 % Rohprotein</v>
      </c>
      <c r="CE4" s="2464"/>
      <c r="CF4" s="2464" t="str">
        <f>IFERROR(INDEX(Liste_Ackerkulturen_Gemüse_DropDown[Ackerkulturen],_xlfn.AGGREGATE(15,6,(ROW(Liste_Ackerkulturen_Gemüse_DropDown[Ackerkulturen])-1)/(--(SEARCH(CG$2,Liste_Ackerkulturen_Gemüse_DropDown[Ackerkulturen])&gt;0)),ROW()-2),1),"")</f>
        <v>Weizen &lt; 14 % Rohprotein</v>
      </c>
      <c r="CG4" s="2464"/>
      <c r="CH4" s="2464" t="str">
        <f>IFERROR(INDEX(Liste_Ackerkulturen_Gemüse_DropDown[Ackerkulturen],_xlfn.AGGREGATE(15,6,(ROW(Liste_Ackerkulturen_Gemüse_DropDown[Ackerkulturen])-1)/(--(SEARCH(CI$2,Liste_Ackerkulturen_Gemüse_DropDown[Ackerkulturen])&gt;0)),ROW()-2),1),"")</f>
        <v>Weizen &lt; 14 % Rohprotein</v>
      </c>
      <c r="CI4" s="2464"/>
      <c r="CJ4" s="2464" t="str">
        <f>IFERROR(INDEX(Liste_Ackerkulturen_Gemüse_DropDown[Ackerkulturen],_xlfn.AGGREGATE(15,6,(ROW(Liste_Ackerkulturen_Gemüse_DropDown[Ackerkulturen])-1)/(--(SEARCH(CK$2,Liste_Ackerkulturen_Gemüse_DropDown[Ackerkulturen])&gt;0)),ROW()-2),1),"")</f>
        <v>Weizen &lt; 14 % Rohprotein</v>
      </c>
      <c r="CK4" s="2464"/>
      <c r="CL4" s="2464" t="str">
        <f>IFERROR(INDEX(Liste_Ackerkulturen_Gemüse_DropDown[Ackerkulturen],_xlfn.AGGREGATE(15,6,(ROW(Liste_Ackerkulturen_Gemüse_DropDown[Ackerkulturen])-1)/(--(SEARCH(CM$2,Liste_Ackerkulturen_Gemüse_DropDown[Ackerkulturen])&gt;0)),ROW()-2),1),"")</f>
        <v>Weizen &lt; 14 % Rohprotein</v>
      </c>
      <c r="CM4" s="2464"/>
      <c r="CN4" s="2464" t="str">
        <f>IFERROR(INDEX(Liste_Ackerkulturen_Gemüse_DropDown[Ackerkulturen],_xlfn.AGGREGATE(15,6,(ROW(Liste_Ackerkulturen_Gemüse_DropDown[Ackerkulturen])-1)/(--(SEARCH(CO$2,Liste_Ackerkulturen_Gemüse_DropDown[Ackerkulturen])&gt;0)),ROW()-2),1),"")</f>
        <v>Weizen &lt; 14 % Rohprotein</v>
      </c>
      <c r="CO4" s="2464"/>
      <c r="CP4" s="2464" t="str">
        <f>IFERROR(INDEX(Liste_Ackerkulturen_Gemüse_DropDown[Ackerkulturen],_xlfn.AGGREGATE(15,6,(ROW(Liste_Ackerkulturen_Gemüse_DropDown[Ackerkulturen])-1)/(--(SEARCH(CQ$2,Liste_Ackerkulturen_Gemüse_DropDown[Ackerkulturen])&gt;0)),ROW()-2),1),"")</f>
        <v>Weizen &lt; 14 % Rohprotein</v>
      </c>
      <c r="CQ4" s="2464"/>
      <c r="CR4" s="2464" t="str">
        <f>IFERROR(INDEX(Liste_Ackerkulturen_Gemüse_DropDown[Ackerkulturen],_xlfn.AGGREGATE(15,6,(ROW(Liste_Ackerkulturen_Gemüse_DropDown[Ackerkulturen])-1)/(--(SEARCH(CS$2,Liste_Ackerkulturen_Gemüse_DropDown[Ackerkulturen])&gt;0)),ROW()-2),1),"")</f>
        <v>Weizen &lt; 14 % Rohprotein</v>
      </c>
      <c r="CS4" s="2464"/>
      <c r="CT4"/>
      <c r="CU4"/>
      <c r="CV4" t="s">
        <v>2477</v>
      </c>
      <c r="CW4" t="str">
        <f>IFERROR(INDEX(Liste_Grünland_DropDown[Grünland],_xlfn.AGGREGATE(15,6,(ROW(Liste_Grünland_DropDown[Grünland])-1)/(--(SEARCH(CX$2,Liste_Grünland_DropDown[Grünland])&gt;0)),ROW()-2),1),"")</f>
        <v>GL &lt; 40 % Leguminosen 1 Nutzung</v>
      </c>
      <c r="CX4" s="2468"/>
      <c r="CY4" t="str">
        <f>IFERROR(INDEX(Liste_Grünland_DropDown[Grünland],_xlfn.AGGREGATE(15,6,(ROW(Liste_Grünland_DropDown[Grünland])-1)/(--(SEARCH(CZ$2,Liste_Grünland_DropDown[Grünland])&gt;0)),ROW()-2),1),"")</f>
        <v>GL &lt; 40 % Leguminosen 1 Nutzung</v>
      </c>
      <c r="CZ4" s="2449"/>
      <c r="DA4" s="2449" t="str">
        <f>IFERROR(INDEX(Liste_Grünland_DropDown[Grünland],_xlfn.AGGREGATE(15,6,(ROW(Liste_Grünland_DropDown[Grünland])-1)/(--(SEARCH(DB$2,Liste_Grünland_DropDown[Grünland])&gt;0)),ROW()-2),1),"")</f>
        <v>GL &lt; 40 % Leguminosen 1 Nutzung</v>
      </c>
      <c r="DB4" s="2449"/>
      <c r="DC4" s="2449" t="str">
        <f>IFERROR(INDEX(Liste_Grünland_DropDown[Grünland],_xlfn.AGGREGATE(15,6,(ROW(Liste_Grünland_DropDown[Grünland])-1)/(--(SEARCH(DD$2,Liste_Grünland_DropDown[Grünland])&gt;0)),ROW()-2),1),"")</f>
        <v>GL &lt; 40 % Leguminosen 1 Nutzung</v>
      </c>
      <c r="DD4" s="2449"/>
      <c r="DE4" s="2449" t="str">
        <f>IFERROR(INDEX(Liste_Grünland_DropDown[Grünland],_xlfn.AGGREGATE(15,6,(ROW(Liste_Grünland_DropDown[Grünland])-1)/(--(SEARCH(DF$2,Liste_Grünland_DropDown[Grünland])&gt;0)),ROW()-2),1),"")</f>
        <v>GL &lt; 40 % Leguminosen 1 Nutzung</v>
      </c>
      <c r="DF4" s="2449"/>
      <c r="DG4" s="2449" t="str">
        <f>IFERROR(INDEX(Liste_Grünland_DropDown[Grünland],_xlfn.AGGREGATE(15,6,(ROW(Liste_Grünland_DropDown[Grünland])-1)/(--(SEARCH(DH$2,Liste_Grünland_DropDown[Grünland])&gt;0)),ROW()-2),1),"")</f>
        <v>GL &lt; 40 % Leguminosen 1 Nutzung</v>
      </c>
      <c r="DH4" s="2449"/>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c r="IN4"/>
      <c r="IO4"/>
      <c r="IP4"/>
      <c r="IQ4"/>
      <c r="IR4"/>
      <c r="IS4"/>
      <c r="IT4"/>
      <c r="IU4"/>
    </row>
    <row r="5" spans="1:255" ht="21" customHeight="1" thickBot="1">
      <c r="A5" s="514" t="s">
        <v>1799</v>
      </c>
      <c r="B5" s="507" t="str">
        <f t="shared" ref="B5:B18" si="0">CONCATENATE(A5," - ",C5)</f>
        <v xml:space="preserve">a - </v>
      </c>
      <c r="C5" s="2652" t="s">
        <v>2502</v>
      </c>
      <c r="D5" s="2652"/>
      <c r="E5" s="1140"/>
      <c r="F5" s="1141"/>
      <c r="G5" s="2323" t="str">
        <f>IF(ISERROR(AE5),"",AE5)</f>
        <v/>
      </c>
      <c r="H5" s="1142"/>
      <c r="I5" s="1143">
        <f t="shared" ref="I5:I18" si="1">IF(AND(ISNA(AH5),ISBLANK(C5)),0,IF(ISNA(AH5),H5,AH5))</f>
        <v>0</v>
      </c>
      <c r="J5" s="1144">
        <f t="shared" ref="J5:J18" si="2">E5*I5</f>
        <v>0</v>
      </c>
      <c r="K5" s="1142"/>
      <c r="L5" s="1145">
        <f t="shared" ref="L5:L18" si="3">IF(ISNA(AI5),0,AI5)</f>
        <v>0</v>
      </c>
      <c r="M5" s="1146">
        <f t="shared" ref="M5:M18" si="4">IF(ISBLANK(K5),E5*L5,E5*K5)</f>
        <v>0</v>
      </c>
      <c r="N5" s="2635" t="s">
        <v>1800</v>
      </c>
      <c r="O5" s="2635"/>
      <c r="P5" s="2635"/>
      <c r="Q5" s="1114"/>
      <c r="R5" s="1115">
        <v>20</v>
      </c>
      <c r="S5" s="1147">
        <f>Q5*R5</f>
        <v>0</v>
      </c>
      <c r="T5" s="951"/>
      <c r="U5" s="2629"/>
      <c r="V5" s="2629"/>
      <c r="W5" s="2629"/>
      <c r="X5" s="2629"/>
      <c r="Y5" s="949"/>
      <c r="Z5" s="949"/>
      <c r="AA5" s="949"/>
      <c r="AB5" s="949"/>
      <c r="AC5" s="949"/>
      <c r="AD5" s="949"/>
      <c r="AE5" s="2260" t="str">
        <f t="shared" ref="AE5:AE17" si="5">IFERROR(IF(OR(C5="",E5="",F5=""),"",(IF(F5="niedrig",VLOOKUP(C5,Liste_N_Bedarf,3,0),IF(F5="mittel",VLOOKUP(C5,Liste_N_Bedarf,5,0),IF(F5="hoch 1",VLOOKUP(C5,Liste_N_Bedarf,7,0),IF(F5="hoch 2",VLOOKUP(C5,Liste_N_Bedarf,9,0),IF(F5="hoch 3",VLOOKUP(C5,Liste_N_Bedarf,11,0),IF(F5="GW-mittel",VLOOKUP(C5,Liste_N_Bedarf,13,0),IF(F5="GW-hoch",VLOOKUP(C5,Liste_N_Bedarf,15,0)))))))))),"")</f>
        <v/>
      </c>
      <c r="AF5" s="589">
        <f t="shared" ref="AF5:AF18" si="6">IF(J5&gt;0,E5,0)</f>
        <v>0</v>
      </c>
      <c r="AG5" s="589">
        <f t="shared" ref="AG5:AG18" si="7">IF(ISBLANK(F5),0,VLOOKUP(C5,Liste_N_Bedarf,9,0))</f>
        <v>0</v>
      </c>
      <c r="AH5" s="589">
        <f t="shared" ref="AH5:AH18" si="8">IF(F5="niedrig",VLOOKUP(C5,Liste_N_Bedarf,2,0),IF(F5="mittel",VLOOKUP(C5,Liste_N_Bedarf,4,0),IF(F5="hoch 1",VLOOKUP(C5,Liste_N_Bedarf,6,0),IF(F5="hoch 2",VLOOKUP(C5,Liste_N_Bedarf,8,0),IF(F5="hoch 3",VLOOKUP(C5,Liste_N_Bedarf,10,0),IF(F5="GW-mittel",VLOOKUP(C5,Liste_N_Bedarf,12,0),IF(F5="GW-hoch",VLOOKUP(C5,Liste_N_Bedarf,14,0),0)))))))</f>
        <v>0</v>
      </c>
      <c r="AI5" s="589">
        <f t="shared" ref="AI5:AI18" si="9">IF(F5="niedrig",VLOOKUP(C5,Liste_P_Bedarf,2,0),IF(F5="GW-mittel",VLOOKUP(C5,Liste_P_Bedarf,3,0),IF(F5="mittel",VLOOKUP(C5,Liste_P_Bedarf,3,0),IF(F5="GW-hoch",VLOOKUP(C5,Liste_P_Bedarf,4,0),IF(F5="hoch 1",VLOOKUP(C5,Liste_P_Bedarf,4,0),IF(F5="hoch 2",VLOOKUP(C5,Liste_P_Bedarf,4,0),IF(F5="hoch 3",VLOOKUP(C5,Liste_P_Bedarf,4,0),0)))))))</f>
        <v>0</v>
      </c>
      <c r="AJ5" s="589">
        <f t="shared" ref="AJ5:AJ18" si="10">IF(F5="niedrig",VLOOKUP(C5,Liste_K_Bedarf,2,0),IF(F5="GW-mittel",VLOOKUP(C5,Liste_K_Bedarf,3,0),IF(F5="mittel",VLOOKUP(C5,Liste_K_Bedarf,3,0),IF(F5="GW-hoch",VLOOKUP(C5,Liste_K_Bedarf,4,0),IF(F5="hoch 1",VLOOKUP(C5,Liste_K_Bedarf,4,0),IF(F5="hoch 2",VLOOKUP(C5,Liste_K_Bedarf,4,0),IF(F5="hoch 3",VLOOKUP(C5,Liste_K_Bedarf,4,0),0)))))))</f>
        <v>0</v>
      </c>
      <c r="AK5" s="589">
        <f t="shared" ref="AK5:AK18" si="11">IF(ISBLANK(F5),0,VLOOKUP(C5,Liste_K_Bedarf,5,0))</f>
        <v>0</v>
      </c>
      <c r="AL5" s="589">
        <f t="shared" ref="AL5:AL18" si="12">IF(ISBLANK(F5),0,VLOOKUP(C5,Liste_N_Bedarf,17,0))</f>
        <v>0</v>
      </c>
      <c r="AM5" s="2264" t="s">
        <v>731</v>
      </c>
      <c r="AN5" s="2272">
        <v>105</v>
      </c>
      <c r="AO5" s="2275" t="s">
        <v>1949</v>
      </c>
      <c r="AP5" s="2272">
        <v>145</v>
      </c>
      <c r="AQ5" s="2276" t="s">
        <v>1950</v>
      </c>
      <c r="AR5" s="2272">
        <v>170</v>
      </c>
      <c r="AS5" s="2275" t="s">
        <v>1951</v>
      </c>
      <c r="AT5" s="2272">
        <v>180</v>
      </c>
      <c r="AU5" s="2275" t="s">
        <v>1952</v>
      </c>
      <c r="AV5" s="2272">
        <v>195</v>
      </c>
      <c r="AW5" s="2275" t="s">
        <v>1953</v>
      </c>
      <c r="AX5" s="2277">
        <v>130</v>
      </c>
      <c r="AY5" s="2278" t="s">
        <v>1950</v>
      </c>
      <c r="AZ5" s="2277">
        <v>150</v>
      </c>
      <c r="BA5" s="2278" t="s">
        <v>2283</v>
      </c>
      <c r="BB5" s="582">
        <v>20</v>
      </c>
      <c r="BC5" s="1032"/>
      <c r="BD5" s="511"/>
      <c r="BE5" s="2264" t="s">
        <v>731</v>
      </c>
      <c r="BF5" s="575">
        <v>50</v>
      </c>
      <c r="BG5" s="575">
        <v>55</v>
      </c>
      <c r="BH5" s="575">
        <v>65</v>
      </c>
      <c r="BI5" s="511"/>
      <c r="BJ5" s="2264" t="s">
        <v>731</v>
      </c>
      <c r="BK5" s="575">
        <v>70</v>
      </c>
      <c r="BL5" s="575">
        <v>80</v>
      </c>
      <c r="BM5" s="575">
        <v>90</v>
      </c>
      <c r="BN5" s="1019">
        <f>IF('Kali u Kosten'!$H$3="ja",BO5,IF($V$27="nein",0,0))</f>
        <v>50</v>
      </c>
      <c r="BO5" s="575">
        <v>50</v>
      </c>
      <c r="BP5" s="458"/>
      <c r="BQ5" s="2527">
        <f>IFERROR(COUNTIF(Liste_Ackerkulturen_Gemüse_DropDown[Ackerkulturen],N_Bedarf!$C7),0)</f>
        <v>2</v>
      </c>
      <c r="BR5" s="458"/>
      <c r="BS5" s="2461" t="s">
        <v>736</v>
      </c>
      <c r="BT5" s="2463" t="str">
        <f>IFERROR(INDEX(Liste_Ackerkulturen_Gemüse_DropDown[Ackerkulturen],_xlfn.AGGREGATE(15,6,(ROW(Liste_Ackerkulturen_Gemüse_DropDown[Ackerkulturen])-1)/(--(SEARCH(BU$2,Liste_Ackerkulturen_Gemüse_DropDown[Ackerkulturen])&gt;0)),ROW()-2),1),"")</f>
        <v>Weizen ≥ 14 % Rohprotein</v>
      </c>
      <c r="BU5" s="2466"/>
      <c r="BV5" s="2463" t="str">
        <f>IFERROR(INDEX(Liste_Ackerkulturen_Gemüse_DropDown[Ackerkulturen],_xlfn.AGGREGATE(15,6,(ROW(Liste_Ackerkulturen_Gemüse_DropDown[Ackerkulturen])-1)/(--(SEARCH(BW$2,Liste_Ackerkulturen_Gemüse_DropDown[Ackerkulturen])&gt;0)),ROW()-2),1),"")</f>
        <v>Weizen ≥ 14 % Rohprotein</v>
      </c>
      <c r="BW5" s="2463"/>
      <c r="BX5" s="2463" t="str">
        <f>IFERROR(INDEX(Liste_Ackerkulturen_Gemüse_DropDown[Ackerkulturen],_xlfn.AGGREGATE(15,6,(ROW(Liste_Ackerkulturen_Gemüse_DropDown[Ackerkulturen])-1)/(--(SEARCH(BY$2,Liste_Ackerkulturen_Gemüse_DropDown[Ackerkulturen])&gt;0)),ROW()-2),1),"")</f>
        <v>Weizen ≥ 14 % Rohprotein</v>
      </c>
      <c r="BY5" s="2463"/>
      <c r="BZ5" s="2463" t="str">
        <f>IFERROR(INDEX(Liste_Ackerkulturen_Gemüse_DropDown[Ackerkulturen],_xlfn.AGGREGATE(15,6,(ROW(Liste_Ackerkulturen_Gemüse_DropDown[Ackerkulturen])-1)/(--(SEARCH(CA$2,Liste_Ackerkulturen_Gemüse_DropDown[Ackerkulturen])&gt;0)),ROW()-2),1),"")</f>
        <v>Weizen ≥ 14 % Rohprotein</v>
      </c>
      <c r="CA5" s="2463"/>
      <c r="CB5" s="2463" t="str">
        <f>IFERROR(INDEX(Liste_Ackerkulturen_Gemüse_DropDown[Ackerkulturen],_xlfn.AGGREGATE(15,6,(ROW(Liste_Ackerkulturen_Gemüse_DropDown[Ackerkulturen])-1)/(--(SEARCH(CC$2,Liste_Ackerkulturen_Gemüse_DropDown[Ackerkulturen])&gt;0)),ROW()-2),1),"")</f>
        <v>Weizen ≥ 14 % Rohprotein</v>
      </c>
      <c r="CC5" s="2463"/>
      <c r="CD5" s="2464" t="str">
        <f>IFERROR(INDEX(Liste_Ackerkulturen_Gemüse_DropDown[Ackerkulturen],_xlfn.AGGREGATE(15,6,(ROW(Liste_Ackerkulturen_Gemüse_DropDown[Ackerkulturen])-1)/(--(SEARCH(CE$2,Liste_Ackerkulturen_Gemüse_DropDown[Ackerkulturen])&gt;0)),ROW()-2),1),"")</f>
        <v>Weizen ≥ 14 % Rohprotein</v>
      </c>
      <c r="CE5" s="2464"/>
      <c r="CF5" s="2464" t="str">
        <f>IFERROR(INDEX(Liste_Ackerkulturen_Gemüse_DropDown[Ackerkulturen],_xlfn.AGGREGATE(15,6,(ROW(Liste_Ackerkulturen_Gemüse_DropDown[Ackerkulturen])-1)/(--(SEARCH(CG$2,Liste_Ackerkulturen_Gemüse_DropDown[Ackerkulturen])&gt;0)),ROW()-2),1),"")</f>
        <v>Weizen ≥ 14 % Rohprotein</v>
      </c>
      <c r="CG5" s="2464"/>
      <c r="CH5" s="2464" t="str">
        <f>IFERROR(INDEX(Liste_Ackerkulturen_Gemüse_DropDown[Ackerkulturen],_xlfn.AGGREGATE(15,6,(ROW(Liste_Ackerkulturen_Gemüse_DropDown[Ackerkulturen])-1)/(--(SEARCH(CI$2,Liste_Ackerkulturen_Gemüse_DropDown[Ackerkulturen])&gt;0)),ROW()-2),1),"")</f>
        <v>Weizen ≥ 14 % Rohprotein</v>
      </c>
      <c r="CI5" s="2464"/>
      <c r="CJ5" s="2464" t="str">
        <f>IFERROR(INDEX(Liste_Ackerkulturen_Gemüse_DropDown[Ackerkulturen],_xlfn.AGGREGATE(15,6,(ROW(Liste_Ackerkulturen_Gemüse_DropDown[Ackerkulturen])-1)/(--(SEARCH(CK$2,Liste_Ackerkulturen_Gemüse_DropDown[Ackerkulturen])&gt;0)),ROW()-2),1),"")</f>
        <v>Weizen ≥ 14 % Rohprotein</v>
      </c>
      <c r="CK5" s="2464"/>
      <c r="CL5" s="2464" t="str">
        <f>IFERROR(INDEX(Liste_Ackerkulturen_Gemüse_DropDown[Ackerkulturen],_xlfn.AGGREGATE(15,6,(ROW(Liste_Ackerkulturen_Gemüse_DropDown[Ackerkulturen])-1)/(--(SEARCH(CM$2,Liste_Ackerkulturen_Gemüse_DropDown[Ackerkulturen])&gt;0)),ROW()-2),1),"")</f>
        <v>Weizen ≥ 14 % Rohprotein</v>
      </c>
      <c r="CM5" s="2464"/>
      <c r="CN5" s="2464" t="str">
        <f>IFERROR(INDEX(Liste_Ackerkulturen_Gemüse_DropDown[Ackerkulturen],_xlfn.AGGREGATE(15,6,(ROW(Liste_Ackerkulturen_Gemüse_DropDown[Ackerkulturen])-1)/(--(SEARCH(CO$2,Liste_Ackerkulturen_Gemüse_DropDown[Ackerkulturen])&gt;0)),ROW()-2),1),"")</f>
        <v>Weizen ≥ 14 % Rohprotein</v>
      </c>
      <c r="CO5" s="2464"/>
      <c r="CP5" s="2464" t="str">
        <f>IFERROR(INDEX(Liste_Ackerkulturen_Gemüse_DropDown[Ackerkulturen],_xlfn.AGGREGATE(15,6,(ROW(Liste_Ackerkulturen_Gemüse_DropDown[Ackerkulturen])-1)/(--(SEARCH(CQ$2,Liste_Ackerkulturen_Gemüse_DropDown[Ackerkulturen])&gt;0)),ROW()-2),1),"")</f>
        <v>Weizen ≥ 14 % Rohprotein</v>
      </c>
      <c r="CQ5" s="2464"/>
      <c r="CR5" s="2464" t="str">
        <f>IFERROR(INDEX(Liste_Ackerkulturen_Gemüse_DropDown[Ackerkulturen],_xlfn.AGGREGATE(15,6,(ROW(Liste_Ackerkulturen_Gemüse_DropDown[Ackerkulturen])-1)/(--(SEARCH(CS$2,Liste_Ackerkulturen_Gemüse_DropDown[Ackerkulturen])&gt;0)),ROW()-2),1),"")</f>
        <v>Weizen ≥ 14 % Rohprotein</v>
      </c>
      <c r="CS5" s="2464"/>
      <c r="CT5"/>
      <c r="CU5"/>
      <c r="CV5" t="s">
        <v>2478</v>
      </c>
      <c r="CW5" t="str">
        <f>IFERROR(INDEX(Liste_Grünland_DropDown[Grünland],_xlfn.AGGREGATE(15,6,(ROW(Liste_Grünland_DropDown[Grünland])-1)/(--(SEARCH(CX$2,Liste_Grünland_DropDown[Grünland])&gt;0)),ROW()-2),1),"")</f>
        <v>GL &lt; 40 % Leguminosen 2 Nutzungen</v>
      </c>
      <c r="CX5" s="2468"/>
      <c r="CY5" t="str">
        <f>IFERROR(INDEX(Liste_Grünland_DropDown[Grünland],_xlfn.AGGREGATE(15,6,(ROW(Liste_Grünland_DropDown[Grünland])-1)/(--(SEARCH(CZ$2,Liste_Grünland_DropDown[Grünland])&gt;0)),ROW()-2),1),"")</f>
        <v>GL &lt; 40 % Leguminosen 2 Nutzungen</v>
      </c>
      <c r="CZ5" s="2449"/>
      <c r="DA5" s="2449" t="str">
        <f>IFERROR(INDEX(Liste_Grünland_DropDown[Grünland],_xlfn.AGGREGATE(15,6,(ROW(Liste_Grünland_DropDown[Grünland])-1)/(--(SEARCH(DB$2,Liste_Grünland_DropDown[Grünland])&gt;0)),ROW()-2),1),"")</f>
        <v>GL &lt; 40 % Leguminosen 2 Nutzungen</v>
      </c>
      <c r="DB5" s="2449"/>
      <c r="DC5" s="2449" t="str">
        <f>IFERROR(INDEX(Liste_Grünland_DropDown[Grünland],_xlfn.AGGREGATE(15,6,(ROW(Liste_Grünland_DropDown[Grünland])-1)/(--(SEARCH(DD$2,Liste_Grünland_DropDown[Grünland])&gt;0)),ROW()-2),1),"")</f>
        <v>GL &lt; 40 % Leguminosen 2 Nutzungen</v>
      </c>
      <c r="DD5" s="2449"/>
      <c r="DE5" s="2449" t="str">
        <f>IFERROR(INDEX(Liste_Grünland_DropDown[Grünland],_xlfn.AGGREGATE(15,6,(ROW(Liste_Grünland_DropDown[Grünland])-1)/(--(SEARCH(DF$2,Liste_Grünland_DropDown[Grünland])&gt;0)),ROW()-2),1),"")</f>
        <v>GL &lt; 40 % Leguminosen 2 Nutzungen</v>
      </c>
      <c r="DF5" s="2449"/>
      <c r="DG5" s="2449" t="str">
        <f>IFERROR(INDEX(Liste_Grünland_DropDown[Grünland],_xlfn.AGGREGATE(15,6,(ROW(Liste_Grünland_DropDown[Grünland])-1)/(--(SEARCH(DH$2,Liste_Grünland_DropDown[Grünland])&gt;0)),ROW()-2),1),"")</f>
        <v>GL &lt; 40 % Leguminosen 2 Nutzungen</v>
      </c>
      <c r="DH5" s="2449"/>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c r="IN5"/>
      <c r="IO5"/>
      <c r="IP5"/>
      <c r="IQ5"/>
      <c r="IR5"/>
      <c r="IS5"/>
      <c r="IT5"/>
      <c r="IU5"/>
    </row>
    <row r="6" spans="1:255" ht="21" customHeight="1" thickBot="1">
      <c r="A6" s="514" t="s">
        <v>1801</v>
      </c>
      <c r="B6" s="508" t="str">
        <f t="shared" si="0"/>
        <v xml:space="preserve">b - </v>
      </c>
      <c r="C6" s="2650"/>
      <c r="D6" s="2651"/>
      <c r="E6" s="1140"/>
      <c r="F6" s="1141"/>
      <c r="G6" s="2323" t="str">
        <f t="shared" ref="G6:G17" si="13">IF(ISERROR(AE6),"",AE6)</f>
        <v/>
      </c>
      <c r="H6" s="1142"/>
      <c r="I6" s="1143">
        <f t="shared" si="1"/>
        <v>0</v>
      </c>
      <c r="J6" s="1144">
        <f t="shared" si="2"/>
        <v>0</v>
      </c>
      <c r="K6" s="1142"/>
      <c r="L6" s="1145">
        <f t="shared" si="3"/>
        <v>0</v>
      </c>
      <c r="M6" s="1146">
        <f t="shared" si="4"/>
        <v>0</v>
      </c>
      <c r="N6" s="2634" t="s">
        <v>799</v>
      </c>
      <c r="O6" s="2634"/>
      <c r="P6" s="2634"/>
      <c r="Q6" s="2638"/>
      <c r="R6" s="2646">
        <v>20</v>
      </c>
      <c r="S6" s="2627">
        <f>Q6*R6</f>
        <v>0</v>
      </c>
      <c r="T6" s="951"/>
      <c r="U6" s="2629"/>
      <c r="V6" s="2629"/>
      <c r="W6" s="2629"/>
      <c r="X6" s="2629"/>
      <c r="Y6" s="949"/>
      <c r="Z6" s="949"/>
      <c r="AA6" s="949"/>
      <c r="AB6" s="949"/>
      <c r="AC6" s="949"/>
      <c r="AD6" s="949"/>
      <c r="AE6" s="2260" t="str">
        <f t="shared" si="5"/>
        <v/>
      </c>
      <c r="AF6" s="589">
        <f t="shared" si="6"/>
        <v>0</v>
      </c>
      <c r="AG6" s="589">
        <f t="shared" si="7"/>
        <v>0</v>
      </c>
      <c r="AH6" s="589">
        <f t="shared" si="8"/>
        <v>0</v>
      </c>
      <c r="AI6" s="589">
        <f t="shared" si="9"/>
        <v>0</v>
      </c>
      <c r="AJ6" s="589">
        <f t="shared" si="10"/>
        <v>0</v>
      </c>
      <c r="AK6" s="589">
        <f t="shared" si="11"/>
        <v>0</v>
      </c>
      <c r="AL6" s="589">
        <f t="shared" si="12"/>
        <v>0</v>
      </c>
      <c r="AM6" s="2264" t="s">
        <v>732</v>
      </c>
      <c r="AN6" s="2272">
        <v>105</v>
      </c>
      <c r="AO6" s="2275" t="s">
        <v>1957</v>
      </c>
      <c r="AP6" s="2272">
        <v>145</v>
      </c>
      <c r="AQ6" s="2276" t="s">
        <v>2284</v>
      </c>
      <c r="AR6" s="2272">
        <v>170</v>
      </c>
      <c r="AS6" s="2275" t="s">
        <v>1959</v>
      </c>
      <c r="AT6" s="2272">
        <v>180</v>
      </c>
      <c r="AU6" s="2275" t="s">
        <v>1960</v>
      </c>
      <c r="AV6" s="2272">
        <v>195</v>
      </c>
      <c r="AW6" s="2275" t="s">
        <v>1961</v>
      </c>
      <c r="AX6" s="2277">
        <v>130</v>
      </c>
      <c r="AY6" s="2278" t="s">
        <v>2284</v>
      </c>
      <c r="AZ6" s="2277">
        <v>150</v>
      </c>
      <c r="BA6" s="2278" t="s">
        <v>50</v>
      </c>
      <c r="BB6" s="583">
        <v>22</v>
      </c>
      <c r="BC6" s="519"/>
      <c r="BD6" s="511"/>
      <c r="BE6" s="2264" t="s">
        <v>732</v>
      </c>
      <c r="BF6" s="575">
        <v>50</v>
      </c>
      <c r="BG6" s="575">
        <v>55</v>
      </c>
      <c r="BH6" s="575">
        <v>65</v>
      </c>
      <c r="BI6" s="511"/>
      <c r="BJ6" s="2264" t="s">
        <v>732</v>
      </c>
      <c r="BK6" s="575">
        <v>70</v>
      </c>
      <c r="BL6" s="575">
        <v>80</v>
      </c>
      <c r="BM6" s="575">
        <v>90</v>
      </c>
      <c r="BN6" s="1019">
        <f>IF('Kali u Kosten'!$H$3="ja",BO6,IF($V$27="nein",0,0))</f>
        <v>50</v>
      </c>
      <c r="BO6" s="575">
        <v>50</v>
      </c>
      <c r="BP6" s="458"/>
      <c r="BQ6" s="2527">
        <f>IFERROR(COUNTIF(Liste_Ackerkulturen_Gemüse_DropDown[Ackerkulturen],N_Bedarf!$C8),0)</f>
        <v>2</v>
      </c>
      <c r="BR6" s="458"/>
      <c r="BS6" s="2461" t="s">
        <v>886</v>
      </c>
      <c r="BT6" s="2463" t="str">
        <f>IFERROR(INDEX(Liste_Ackerkulturen_Gemüse_DropDown[Ackerkulturen],_xlfn.AGGREGATE(15,6,(ROW(Liste_Ackerkulturen_Gemüse_DropDown[Ackerkulturen])-1)/(--(SEARCH(BU$2,Liste_Ackerkulturen_Gemüse_DropDown[Ackerkulturen])&gt;0)),ROW()-2),1),"")</f>
        <v>Durum - Hartweizen</v>
      </c>
      <c r="BU6" s="2466"/>
      <c r="BV6" s="2463" t="str">
        <f>IFERROR(INDEX(Liste_Ackerkulturen_Gemüse_DropDown[Ackerkulturen],_xlfn.AGGREGATE(15,6,(ROW(Liste_Ackerkulturen_Gemüse_DropDown[Ackerkulturen])-1)/(--(SEARCH(BW$2,Liste_Ackerkulturen_Gemüse_DropDown[Ackerkulturen])&gt;0)),ROW()-2),1),"")</f>
        <v>Durum - Hartweizen</v>
      </c>
      <c r="BW6" s="2463"/>
      <c r="BX6" s="2463" t="str">
        <f>IFERROR(INDEX(Liste_Ackerkulturen_Gemüse_DropDown[Ackerkulturen],_xlfn.AGGREGATE(15,6,(ROW(Liste_Ackerkulturen_Gemüse_DropDown[Ackerkulturen])-1)/(--(SEARCH(BY$2,Liste_Ackerkulturen_Gemüse_DropDown[Ackerkulturen])&gt;0)),ROW()-2),1),"")</f>
        <v>Durum - Hartweizen</v>
      </c>
      <c r="BY6" s="2463"/>
      <c r="BZ6" s="2463" t="str">
        <f>IFERROR(INDEX(Liste_Ackerkulturen_Gemüse_DropDown[Ackerkulturen],_xlfn.AGGREGATE(15,6,(ROW(Liste_Ackerkulturen_Gemüse_DropDown[Ackerkulturen])-1)/(--(SEARCH(CA$2,Liste_Ackerkulturen_Gemüse_DropDown[Ackerkulturen])&gt;0)),ROW()-2),1),"")</f>
        <v>Durum - Hartweizen</v>
      </c>
      <c r="CA6" s="2463"/>
      <c r="CB6" s="2463" t="str">
        <f>IFERROR(INDEX(Liste_Ackerkulturen_Gemüse_DropDown[Ackerkulturen],_xlfn.AGGREGATE(15,6,(ROW(Liste_Ackerkulturen_Gemüse_DropDown[Ackerkulturen])-1)/(--(SEARCH(CC$2,Liste_Ackerkulturen_Gemüse_DropDown[Ackerkulturen])&gt;0)),ROW()-2),1),"")</f>
        <v>Durum - Hartweizen</v>
      </c>
      <c r="CC6" s="2463"/>
      <c r="CD6" s="2464" t="str">
        <f>IFERROR(INDEX(Liste_Ackerkulturen_Gemüse_DropDown[Ackerkulturen],_xlfn.AGGREGATE(15,6,(ROW(Liste_Ackerkulturen_Gemüse_DropDown[Ackerkulturen])-1)/(--(SEARCH(CE$2,Liste_Ackerkulturen_Gemüse_DropDown[Ackerkulturen])&gt;0)),ROW()-2),1),"")</f>
        <v>Durum - Hartweizen</v>
      </c>
      <c r="CE6" s="2464"/>
      <c r="CF6" s="2464" t="str">
        <f>IFERROR(INDEX(Liste_Ackerkulturen_Gemüse_DropDown[Ackerkulturen],_xlfn.AGGREGATE(15,6,(ROW(Liste_Ackerkulturen_Gemüse_DropDown[Ackerkulturen])-1)/(--(SEARCH(CG$2,Liste_Ackerkulturen_Gemüse_DropDown[Ackerkulturen])&gt;0)),ROW()-2),1),"")</f>
        <v>Durum - Hartweizen</v>
      </c>
      <c r="CG6" s="2464"/>
      <c r="CH6" s="2464" t="str">
        <f>IFERROR(INDEX(Liste_Ackerkulturen_Gemüse_DropDown[Ackerkulturen],_xlfn.AGGREGATE(15,6,(ROW(Liste_Ackerkulturen_Gemüse_DropDown[Ackerkulturen])-1)/(--(SEARCH(CI$2,Liste_Ackerkulturen_Gemüse_DropDown[Ackerkulturen])&gt;0)),ROW()-2),1),"")</f>
        <v>Durum - Hartweizen</v>
      </c>
      <c r="CI6" s="2464"/>
      <c r="CJ6" s="2464" t="str">
        <f>IFERROR(INDEX(Liste_Ackerkulturen_Gemüse_DropDown[Ackerkulturen],_xlfn.AGGREGATE(15,6,(ROW(Liste_Ackerkulturen_Gemüse_DropDown[Ackerkulturen])-1)/(--(SEARCH(CK$2,Liste_Ackerkulturen_Gemüse_DropDown[Ackerkulturen])&gt;0)),ROW()-2),1),"")</f>
        <v>Durum - Hartweizen</v>
      </c>
      <c r="CK6" s="2464"/>
      <c r="CL6" s="2464" t="str">
        <f>IFERROR(INDEX(Liste_Ackerkulturen_Gemüse_DropDown[Ackerkulturen],_xlfn.AGGREGATE(15,6,(ROW(Liste_Ackerkulturen_Gemüse_DropDown[Ackerkulturen])-1)/(--(SEARCH(CM$2,Liste_Ackerkulturen_Gemüse_DropDown[Ackerkulturen])&gt;0)),ROW()-2),1),"")</f>
        <v>Durum - Hartweizen</v>
      </c>
      <c r="CM6" s="2464"/>
      <c r="CN6" s="2464" t="str">
        <f>IFERROR(INDEX(Liste_Ackerkulturen_Gemüse_DropDown[Ackerkulturen],_xlfn.AGGREGATE(15,6,(ROW(Liste_Ackerkulturen_Gemüse_DropDown[Ackerkulturen])-1)/(--(SEARCH(CO$2,Liste_Ackerkulturen_Gemüse_DropDown[Ackerkulturen])&gt;0)),ROW()-2),1),"")</f>
        <v>Durum - Hartweizen</v>
      </c>
      <c r="CO6" s="2464"/>
      <c r="CP6" s="2464" t="str">
        <f>IFERROR(INDEX(Liste_Ackerkulturen_Gemüse_DropDown[Ackerkulturen],_xlfn.AGGREGATE(15,6,(ROW(Liste_Ackerkulturen_Gemüse_DropDown[Ackerkulturen])-1)/(--(SEARCH(CQ$2,Liste_Ackerkulturen_Gemüse_DropDown[Ackerkulturen])&gt;0)),ROW()-2),1),"")</f>
        <v>Durum - Hartweizen</v>
      </c>
      <c r="CQ6" s="2464"/>
      <c r="CR6" s="2464" t="str">
        <f>IFERROR(INDEX(Liste_Ackerkulturen_Gemüse_DropDown[Ackerkulturen],_xlfn.AGGREGATE(15,6,(ROW(Liste_Ackerkulturen_Gemüse_DropDown[Ackerkulturen])-1)/(--(SEARCH(CS$2,Liste_Ackerkulturen_Gemüse_DropDown[Ackerkulturen])&gt;0)),ROW()-2),1),"")</f>
        <v>Durum - Hartweizen</v>
      </c>
      <c r="CS6" s="2464"/>
      <c r="CT6"/>
      <c r="CU6"/>
      <c r="CV6" t="s">
        <v>2479</v>
      </c>
      <c r="CW6" t="str">
        <f>IFERROR(INDEX(Liste_Grünland_DropDown[Grünland],_xlfn.AGGREGATE(15,6,(ROW(Liste_Grünland_DropDown[Grünland])-1)/(--(SEARCH(CX$2,Liste_Grünland_DropDown[Grünland])&gt;0)),ROW()-2),1),"")</f>
        <v>GL &lt; 40 % Leguminosen 3 Nutzungen</v>
      </c>
      <c r="CX6" s="2468"/>
      <c r="CY6" t="str">
        <f>IFERROR(INDEX(Liste_Grünland_DropDown[Grünland],_xlfn.AGGREGATE(15,6,(ROW(Liste_Grünland_DropDown[Grünland])-1)/(--(SEARCH(CZ$2,Liste_Grünland_DropDown[Grünland])&gt;0)),ROW()-2),1),"")</f>
        <v>GL &lt; 40 % Leguminosen 3 Nutzungen</v>
      </c>
      <c r="CZ6" s="2449"/>
      <c r="DA6" s="2449" t="str">
        <f>IFERROR(INDEX(Liste_Grünland_DropDown[Grünland],_xlfn.AGGREGATE(15,6,(ROW(Liste_Grünland_DropDown[Grünland])-1)/(--(SEARCH(DB$2,Liste_Grünland_DropDown[Grünland])&gt;0)),ROW()-2),1),"")</f>
        <v>GL &lt; 40 % Leguminosen 3 Nutzungen</v>
      </c>
      <c r="DB6" s="2449"/>
      <c r="DC6" s="2449" t="str">
        <f>IFERROR(INDEX(Liste_Grünland_DropDown[Grünland],_xlfn.AGGREGATE(15,6,(ROW(Liste_Grünland_DropDown[Grünland])-1)/(--(SEARCH(DD$2,Liste_Grünland_DropDown[Grünland])&gt;0)),ROW()-2),1),"")</f>
        <v>GL &lt; 40 % Leguminosen 3 Nutzungen</v>
      </c>
      <c r="DD6" s="2449"/>
      <c r="DE6" s="2449" t="str">
        <f>IFERROR(INDEX(Liste_Grünland_DropDown[Grünland],_xlfn.AGGREGATE(15,6,(ROW(Liste_Grünland_DropDown[Grünland])-1)/(--(SEARCH(DF$2,Liste_Grünland_DropDown[Grünland])&gt;0)),ROW()-2),1),"")</f>
        <v>GL &lt; 40 % Leguminosen 3 Nutzungen</v>
      </c>
      <c r="DF6" s="2449"/>
      <c r="DG6" s="2449" t="str">
        <f>IFERROR(INDEX(Liste_Grünland_DropDown[Grünland],_xlfn.AGGREGATE(15,6,(ROW(Liste_Grünland_DropDown[Grünland])-1)/(--(SEARCH(DH$2,Liste_Grünland_DropDown[Grünland])&gt;0)),ROW()-2),1),"")</f>
        <v>GL &lt; 40 % Leguminosen 3 Nutzungen</v>
      </c>
      <c r="DH6" s="2449"/>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c r="IS6"/>
      <c r="IT6"/>
      <c r="IU6"/>
    </row>
    <row r="7" spans="1:255" ht="21" customHeight="1" thickBot="1">
      <c r="A7" s="514" t="s">
        <v>1803</v>
      </c>
      <c r="B7" s="508" t="str">
        <f t="shared" si="0"/>
        <v xml:space="preserve">c - </v>
      </c>
      <c r="C7" s="2650"/>
      <c r="D7" s="2651"/>
      <c r="E7" s="1140"/>
      <c r="F7" s="1141"/>
      <c r="G7" s="2323" t="str">
        <f t="shared" si="13"/>
        <v/>
      </c>
      <c r="H7" s="1142"/>
      <c r="I7" s="1143">
        <f t="shared" si="1"/>
        <v>0</v>
      </c>
      <c r="J7" s="1144">
        <f t="shared" si="2"/>
        <v>0</v>
      </c>
      <c r="K7" s="1142"/>
      <c r="L7" s="1145">
        <f t="shared" si="3"/>
        <v>0</v>
      </c>
      <c r="M7" s="1146">
        <f t="shared" si="4"/>
        <v>0</v>
      </c>
      <c r="N7" s="2634"/>
      <c r="O7" s="2634"/>
      <c r="P7" s="2634"/>
      <c r="Q7" s="2638"/>
      <c r="R7" s="2646"/>
      <c r="S7" s="2627"/>
      <c r="T7" s="951"/>
      <c r="U7" s="2629"/>
      <c r="V7" s="2629"/>
      <c r="W7" s="2629"/>
      <c r="X7" s="2629"/>
      <c r="Y7" s="949"/>
      <c r="Z7" s="949"/>
      <c r="AA7" s="949"/>
      <c r="AB7" s="949"/>
      <c r="AC7" s="949"/>
      <c r="AD7" s="949"/>
      <c r="AE7" s="2260" t="str">
        <f t="shared" si="5"/>
        <v/>
      </c>
      <c r="AF7" s="589">
        <f t="shared" si="6"/>
        <v>0</v>
      </c>
      <c r="AG7" s="589">
        <f t="shared" si="7"/>
        <v>0</v>
      </c>
      <c r="AH7" s="589">
        <f t="shared" si="8"/>
        <v>0</v>
      </c>
      <c r="AI7" s="589">
        <f t="shared" si="9"/>
        <v>0</v>
      </c>
      <c r="AJ7" s="589">
        <f t="shared" si="10"/>
        <v>0</v>
      </c>
      <c r="AK7" s="589">
        <f t="shared" si="11"/>
        <v>0</v>
      </c>
      <c r="AL7" s="589">
        <f t="shared" si="12"/>
        <v>0</v>
      </c>
      <c r="AM7" s="2264" t="s">
        <v>736</v>
      </c>
      <c r="AN7" s="2272">
        <v>105</v>
      </c>
      <c r="AO7" s="2275" t="s">
        <v>1962</v>
      </c>
      <c r="AP7" s="2272">
        <v>145</v>
      </c>
      <c r="AQ7" s="2276" t="s">
        <v>1963</v>
      </c>
      <c r="AR7" s="2272">
        <v>170</v>
      </c>
      <c r="AS7" s="2275" t="s">
        <v>1964</v>
      </c>
      <c r="AT7" s="2272">
        <v>180</v>
      </c>
      <c r="AU7" s="2275" t="s">
        <v>1965</v>
      </c>
      <c r="AV7" s="2272">
        <v>195</v>
      </c>
      <c r="AW7" s="2275" t="s">
        <v>1966</v>
      </c>
      <c r="AX7" s="2277">
        <v>130</v>
      </c>
      <c r="AY7" s="2278" t="s">
        <v>1963</v>
      </c>
      <c r="AZ7" s="2277">
        <v>150</v>
      </c>
      <c r="BA7" s="2278" t="s">
        <v>2001</v>
      </c>
      <c r="BB7" s="583">
        <v>23</v>
      </c>
      <c r="BC7" s="519"/>
      <c r="BD7" s="511"/>
      <c r="BE7" s="2264" t="s">
        <v>736</v>
      </c>
      <c r="BF7" s="575">
        <v>50</v>
      </c>
      <c r="BG7" s="575">
        <v>55</v>
      </c>
      <c r="BH7" s="575">
        <v>65</v>
      </c>
      <c r="BI7" s="511"/>
      <c r="BJ7" s="2264" t="s">
        <v>736</v>
      </c>
      <c r="BK7" s="575">
        <v>70</v>
      </c>
      <c r="BL7" s="575">
        <v>80</v>
      </c>
      <c r="BM7" s="575">
        <v>90</v>
      </c>
      <c r="BN7" s="1019">
        <f>IF('Kali u Kosten'!$H$3="ja",BO7,IF($V$27="nein",0,0))</f>
        <v>50</v>
      </c>
      <c r="BO7" s="575">
        <v>50</v>
      </c>
      <c r="BP7" s="458"/>
      <c r="BQ7" s="2527">
        <f>IFERROR(COUNTIF(Liste_Ackerkulturen_Gemüse_DropDown[Ackerkulturen],N_Bedarf!$C9),0)</f>
        <v>2</v>
      </c>
      <c r="BR7" s="458"/>
      <c r="BS7" s="2461" t="s">
        <v>1802</v>
      </c>
      <c r="BT7" s="2463" t="str">
        <f>IFERROR(INDEX(Liste_Ackerkulturen_Gemüse_DropDown[Ackerkulturen],_xlfn.AGGREGATE(15,6,(ROW(Liste_Ackerkulturen_Gemüse_DropDown[Ackerkulturen])-1)/(--(SEARCH(BU$2,Liste_Ackerkulturen_Gemüse_DropDown[Ackerkulturen])&gt;0)),ROW()-2),1),"")</f>
        <v>Dinkel (Spelzenanteil ca. 30 %)</v>
      </c>
      <c r="BU7" s="2466"/>
      <c r="BV7" s="2463" t="str">
        <f>IFERROR(INDEX(Liste_Ackerkulturen_Gemüse_DropDown[Ackerkulturen],_xlfn.AGGREGATE(15,6,(ROW(Liste_Ackerkulturen_Gemüse_DropDown[Ackerkulturen])-1)/(--(SEARCH(BW$2,Liste_Ackerkulturen_Gemüse_DropDown[Ackerkulturen])&gt;0)),ROW()-2),1),"")</f>
        <v>Dinkel (Spelzenanteil ca. 30 %)</v>
      </c>
      <c r="BW7" s="2463"/>
      <c r="BX7" s="2463" t="str">
        <f>IFERROR(INDEX(Liste_Ackerkulturen_Gemüse_DropDown[Ackerkulturen],_xlfn.AGGREGATE(15,6,(ROW(Liste_Ackerkulturen_Gemüse_DropDown[Ackerkulturen])-1)/(--(SEARCH(BY$2,Liste_Ackerkulturen_Gemüse_DropDown[Ackerkulturen])&gt;0)),ROW()-2),1),"")</f>
        <v>Dinkel (Spelzenanteil ca. 30 %)</v>
      </c>
      <c r="BY7" s="2463"/>
      <c r="BZ7" s="2463" t="str">
        <f>IFERROR(INDEX(Liste_Ackerkulturen_Gemüse_DropDown[Ackerkulturen],_xlfn.AGGREGATE(15,6,(ROW(Liste_Ackerkulturen_Gemüse_DropDown[Ackerkulturen])-1)/(--(SEARCH(CA$2,Liste_Ackerkulturen_Gemüse_DropDown[Ackerkulturen])&gt;0)),ROW()-2),1),"")</f>
        <v>Dinkel (Spelzenanteil ca. 30 %)</v>
      </c>
      <c r="CA7" s="2463"/>
      <c r="CB7" s="2463" t="str">
        <f>IFERROR(INDEX(Liste_Ackerkulturen_Gemüse_DropDown[Ackerkulturen],_xlfn.AGGREGATE(15,6,(ROW(Liste_Ackerkulturen_Gemüse_DropDown[Ackerkulturen])-1)/(--(SEARCH(CC$2,Liste_Ackerkulturen_Gemüse_DropDown[Ackerkulturen])&gt;0)),ROW()-2),1),"")</f>
        <v>Dinkel (Spelzenanteil ca. 30 %)</v>
      </c>
      <c r="CC7" s="2463"/>
      <c r="CD7" s="2464" t="str">
        <f>IFERROR(INDEX(Liste_Ackerkulturen_Gemüse_DropDown[Ackerkulturen],_xlfn.AGGREGATE(15,6,(ROW(Liste_Ackerkulturen_Gemüse_DropDown[Ackerkulturen])-1)/(--(SEARCH(CE$2,Liste_Ackerkulturen_Gemüse_DropDown[Ackerkulturen])&gt;0)),ROW()-2),1),"")</f>
        <v>Dinkel (Spelzenanteil ca. 30 %)</v>
      </c>
      <c r="CE7" s="2464"/>
      <c r="CF7" s="2464" t="str">
        <f>IFERROR(INDEX(Liste_Ackerkulturen_Gemüse_DropDown[Ackerkulturen],_xlfn.AGGREGATE(15,6,(ROW(Liste_Ackerkulturen_Gemüse_DropDown[Ackerkulturen])-1)/(--(SEARCH(CG$2,Liste_Ackerkulturen_Gemüse_DropDown[Ackerkulturen])&gt;0)),ROW()-2),1),"")</f>
        <v>Dinkel (Spelzenanteil ca. 30 %)</v>
      </c>
      <c r="CG7" s="2464"/>
      <c r="CH7" s="2464" t="str">
        <f>IFERROR(INDEX(Liste_Ackerkulturen_Gemüse_DropDown[Ackerkulturen],_xlfn.AGGREGATE(15,6,(ROW(Liste_Ackerkulturen_Gemüse_DropDown[Ackerkulturen])-1)/(--(SEARCH(CI$2,Liste_Ackerkulturen_Gemüse_DropDown[Ackerkulturen])&gt;0)),ROW()-2),1),"")</f>
        <v>Dinkel (Spelzenanteil ca. 30 %)</v>
      </c>
      <c r="CI7" s="2464"/>
      <c r="CJ7" s="2464" t="str">
        <f>IFERROR(INDEX(Liste_Ackerkulturen_Gemüse_DropDown[Ackerkulturen],_xlfn.AGGREGATE(15,6,(ROW(Liste_Ackerkulturen_Gemüse_DropDown[Ackerkulturen])-1)/(--(SEARCH(CK$2,Liste_Ackerkulturen_Gemüse_DropDown[Ackerkulturen])&gt;0)),ROW()-2),1),"")</f>
        <v>Dinkel (Spelzenanteil ca. 30 %)</v>
      </c>
      <c r="CK7" s="2464"/>
      <c r="CL7" s="2464" t="str">
        <f>IFERROR(INDEX(Liste_Ackerkulturen_Gemüse_DropDown[Ackerkulturen],_xlfn.AGGREGATE(15,6,(ROW(Liste_Ackerkulturen_Gemüse_DropDown[Ackerkulturen])-1)/(--(SEARCH(CM$2,Liste_Ackerkulturen_Gemüse_DropDown[Ackerkulturen])&gt;0)),ROW()-2),1),"")</f>
        <v>Dinkel (Spelzenanteil ca. 30 %)</v>
      </c>
      <c r="CM7" s="2464"/>
      <c r="CN7" s="2464" t="str">
        <f>IFERROR(INDEX(Liste_Ackerkulturen_Gemüse_DropDown[Ackerkulturen],_xlfn.AGGREGATE(15,6,(ROW(Liste_Ackerkulturen_Gemüse_DropDown[Ackerkulturen])-1)/(--(SEARCH(CO$2,Liste_Ackerkulturen_Gemüse_DropDown[Ackerkulturen])&gt;0)),ROW()-2),1),"")</f>
        <v>Dinkel (Spelzenanteil ca. 30 %)</v>
      </c>
      <c r="CO7" s="2464"/>
      <c r="CP7" s="2464" t="str">
        <f>IFERROR(INDEX(Liste_Ackerkulturen_Gemüse_DropDown[Ackerkulturen],_xlfn.AGGREGATE(15,6,(ROW(Liste_Ackerkulturen_Gemüse_DropDown[Ackerkulturen])-1)/(--(SEARCH(CQ$2,Liste_Ackerkulturen_Gemüse_DropDown[Ackerkulturen])&gt;0)),ROW()-2),1),"")</f>
        <v>Dinkel (Spelzenanteil ca. 30 %)</v>
      </c>
      <c r="CQ7" s="2464"/>
      <c r="CR7" s="2464" t="str">
        <f>IFERROR(INDEX(Liste_Ackerkulturen_Gemüse_DropDown[Ackerkulturen],_xlfn.AGGREGATE(15,6,(ROW(Liste_Ackerkulturen_Gemüse_DropDown[Ackerkulturen])-1)/(--(SEARCH(CS$2,Liste_Ackerkulturen_Gemüse_DropDown[Ackerkulturen])&gt;0)),ROW()-2),1),"")</f>
        <v>Dinkel (Spelzenanteil ca. 30 %)</v>
      </c>
      <c r="CS7" s="2464"/>
      <c r="CT7"/>
      <c r="CU7"/>
      <c r="CV7" t="s">
        <v>2480</v>
      </c>
      <c r="CW7" t="str">
        <f>IFERROR(INDEX(Liste_Grünland_DropDown[Grünland],_xlfn.AGGREGATE(15,6,(ROW(Liste_Grünland_DropDown[Grünland])-1)/(--(SEARCH(CX$2,Liste_Grünland_DropDown[Grünland])&gt;0)),ROW()-2),1),"")</f>
        <v>GL &lt; 40 % Leguminosen 4 Nutzungen</v>
      </c>
      <c r="CX7" s="2468"/>
      <c r="CY7" t="str">
        <f>IFERROR(INDEX(Liste_Grünland_DropDown[Grünland],_xlfn.AGGREGATE(15,6,(ROW(Liste_Grünland_DropDown[Grünland])-1)/(--(SEARCH(CZ$2,Liste_Grünland_DropDown[Grünland])&gt;0)),ROW()-2),1),"")</f>
        <v>GL &lt; 40 % Leguminosen 4 Nutzungen</v>
      </c>
      <c r="CZ7" s="2449"/>
      <c r="DA7" s="2449" t="str">
        <f>IFERROR(INDEX(Liste_Grünland_DropDown[Grünland],_xlfn.AGGREGATE(15,6,(ROW(Liste_Grünland_DropDown[Grünland])-1)/(--(SEARCH(DB$2,Liste_Grünland_DropDown[Grünland])&gt;0)),ROW()-2),1),"")</f>
        <v>GL &lt; 40 % Leguminosen 4 Nutzungen</v>
      </c>
      <c r="DB7" s="2449"/>
      <c r="DC7" s="2449" t="str">
        <f>IFERROR(INDEX(Liste_Grünland_DropDown[Grünland],_xlfn.AGGREGATE(15,6,(ROW(Liste_Grünland_DropDown[Grünland])-1)/(--(SEARCH(DD$2,Liste_Grünland_DropDown[Grünland])&gt;0)),ROW()-2),1),"")</f>
        <v>GL &lt; 40 % Leguminosen 4 Nutzungen</v>
      </c>
      <c r="DD7" s="2449"/>
      <c r="DE7" s="2449" t="str">
        <f>IFERROR(INDEX(Liste_Grünland_DropDown[Grünland],_xlfn.AGGREGATE(15,6,(ROW(Liste_Grünland_DropDown[Grünland])-1)/(--(SEARCH(DF$2,Liste_Grünland_DropDown[Grünland])&gt;0)),ROW()-2),1),"")</f>
        <v>GL &lt; 40 % Leguminosen 4 Nutzungen</v>
      </c>
      <c r="DF7" s="2449"/>
      <c r="DG7" s="2449" t="str">
        <f>IFERROR(INDEX(Liste_Grünland_DropDown[Grünland],_xlfn.AGGREGATE(15,6,(ROW(Liste_Grünland_DropDown[Grünland])-1)/(--(SEARCH(DH$2,Liste_Grünland_DropDown[Grünland])&gt;0)),ROW()-2),1),"")</f>
        <v>GL &lt; 40 % Leguminosen 4 Nutzungen</v>
      </c>
      <c r="DH7" s="2449"/>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row>
    <row r="8" spans="1:255" ht="21" customHeight="1" thickBot="1">
      <c r="A8" s="514" t="s">
        <v>1805</v>
      </c>
      <c r="B8" s="508" t="str">
        <f t="shared" si="0"/>
        <v xml:space="preserve">d - </v>
      </c>
      <c r="C8" s="2650"/>
      <c r="D8" s="2651"/>
      <c r="E8" s="1140"/>
      <c r="F8" s="1141"/>
      <c r="G8" s="2323" t="str">
        <f t="shared" si="13"/>
        <v/>
      </c>
      <c r="H8" s="1142"/>
      <c r="I8" s="1143">
        <f t="shared" si="1"/>
        <v>0</v>
      </c>
      <c r="J8" s="1144">
        <f t="shared" si="2"/>
        <v>0</v>
      </c>
      <c r="K8" s="1142"/>
      <c r="L8" s="1145">
        <f t="shared" si="3"/>
        <v>0</v>
      </c>
      <c r="M8" s="1146">
        <f t="shared" si="4"/>
        <v>0</v>
      </c>
      <c r="N8" s="2639" t="s">
        <v>2028</v>
      </c>
      <c r="O8" s="2639"/>
      <c r="P8" s="2639"/>
      <c r="Q8" s="2638"/>
      <c r="R8" s="2646">
        <v>20</v>
      </c>
      <c r="S8" s="2627">
        <f>Q8*R8</f>
        <v>0</v>
      </c>
      <c r="T8" s="951"/>
      <c r="U8" s="2629"/>
      <c r="V8" s="2629"/>
      <c r="W8" s="2629"/>
      <c r="X8" s="2629"/>
      <c r="Y8" s="949"/>
      <c r="Z8" s="949"/>
      <c r="AA8" s="949"/>
      <c r="AB8" s="949"/>
      <c r="AC8" s="949"/>
      <c r="AD8" s="949"/>
      <c r="AE8" s="2260" t="str">
        <f t="shared" si="5"/>
        <v/>
      </c>
      <c r="AF8" s="589">
        <f t="shared" si="6"/>
        <v>0</v>
      </c>
      <c r="AG8" s="589">
        <f t="shared" si="7"/>
        <v>0</v>
      </c>
      <c r="AH8" s="589">
        <f t="shared" si="8"/>
        <v>0</v>
      </c>
      <c r="AI8" s="589">
        <f t="shared" si="9"/>
        <v>0</v>
      </c>
      <c r="AJ8" s="589">
        <f t="shared" si="10"/>
        <v>0</v>
      </c>
      <c r="AK8" s="589">
        <f t="shared" si="11"/>
        <v>0</v>
      </c>
      <c r="AL8" s="589">
        <f t="shared" si="12"/>
        <v>0</v>
      </c>
      <c r="AM8" s="2264" t="s">
        <v>886</v>
      </c>
      <c r="AN8" s="2272">
        <v>80</v>
      </c>
      <c r="AO8" s="2275" t="s">
        <v>1967</v>
      </c>
      <c r="AP8" s="2272">
        <v>110</v>
      </c>
      <c r="AQ8" s="2276" t="s">
        <v>1968</v>
      </c>
      <c r="AR8" s="2272">
        <v>130</v>
      </c>
      <c r="AS8" s="2275" t="s">
        <v>1969</v>
      </c>
      <c r="AT8" s="2272">
        <v>140</v>
      </c>
      <c r="AU8" s="2275" t="s">
        <v>1970</v>
      </c>
      <c r="AV8" s="2272">
        <v>150</v>
      </c>
      <c r="AW8" s="2275" t="s">
        <v>1966</v>
      </c>
      <c r="AX8" s="2277">
        <v>80</v>
      </c>
      <c r="AY8" s="2278" t="s">
        <v>1968</v>
      </c>
      <c r="AZ8" s="2277">
        <v>90</v>
      </c>
      <c r="BA8" s="2278" t="s">
        <v>50</v>
      </c>
      <c r="BB8" s="583">
        <v>24</v>
      </c>
      <c r="BC8" s="519"/>
      <c r="BD8" s="511"/>
      <c r="BE8" s="2264" t="s">
        <v>886</v>
      </c>
      <c r="BF8" s="575">
        <v>50</v>
      </c>
      <c r="BG8" s="575">
        <v>55</v>
      </c>
      <c r="BH8" s="575">
        <v>65</v>
      </c>
      <c r="BI8" s="511"/>
      <c r="BJ8" s="2264" t="s">
        <v>886</v>
      </c>
      <c r="BK8" s="575">
        <v>70</v>
      </c>
      <c r="BL8" s="575">
        <v>80</v>
      </c>
      <c r="BM8" s="575">
        <v>90</v>
      </c>
      <c r="BN8" s="1019">
        <f>IF('Kali u Kosten'!$H$3="ja",BO8,IF($V$27="nein",0,0))</f>
        <v>50</v>
      </c>
      <c r="BO8" s="575">
        <v>50</v>
      </c>
      <c r="BP8" s="458"/>
      <c r="BQ8" s="2527">
        <f>IFERROR(COUNTIF(Liste_Ackerkulturen_Gemüse_DropDown[Ackerkulturen],N_Bedarf!$C10),0)</f>
        <v>2</v>
      </c>
      <c r="BR8" s="458"/>
      <c r="BS8" s="2461" t="s">
        <v>738</v>
      </c>
      <c r="BT8" s="2463" t="str">
        <f>IFERROR(INDEX(Liste_Ackerkulturen_Gemüse_DropDown[Ackerkulturen],_xlfn.AGGREGATE(15,6,(ROW(Liste_Ackerkulturen_Gemüse_DropDown[Ackerkulturen])-1)/(--(SEARCH(BU$2,Liste_Ackerkulturen_Gemüse_DropDown[Ackerkulturen])&gt;0)),ROW()-2),1),"")</f>
        <v>Wintergerste</v>
      </c>
      <c r="BU8" s="2466"/>
      <c r="BV8" s="2463" t="str">
        <f>IFERROR(INDEX(Liste_Ackerkulturen_Gemüse_DropDown[Ackerkulturen],_xlfn.AGGREGATE(15,6,(ROW(Liste_Ackerkulturen_Gemüse_DropDown[Ackerkulturen])-1)/(--(SEARCH(BW$2,Liste_Ackerkulturen_Gemüse_DropDown[Ackerkulturen])&gt;0)),ROW()-2),1),"")</f>
        <v>Wintergerste</v>
      </c>
      <c r="BW8" s="2463"/>
      <c r="BX8" s="2463" t="str">
        <f>IFERROR(INDEX(Liste_Ackerkulturen_Gemüse_DropDown[Ackerkulturen],_xlfn.AGGREGATE(15,6,(ROW(Liste_Ackerkulturen_Gemüse_DropDown[Ackerkulturen])-1)/(--(SEARCH(BY$2,Liste_Ackerkulturen_Gemüse_DropDown[Ackerkulturen])&gt;0)),ROW()-2),1),"")</f>
        <v>Wintergerste</v>
      </c>
      <c r="BY8" s="2463"/>
      <c r="BZ8" s="2463" t="str">
        <f>IFERROR(INDEX(Liste_Ackerkulturen_Gemüse_DropDown[Ackerkulturen],_xlfn.AGGREGATE(15,6,(ROW(Liste_Ackerkulturen_Gemüse_DropDown[Ackerkulturen])-1)/(--(SEARCH(CA$2,Liste_Ackerkulturen_Gemüse_DropDown[Ackerkulturen])&gt;0)),ROW()-2),1),"")</f>
        <v>Wintergerste</v>
      </c>
      <c r="CA8" s="2463"/>
      <c r="CB8" s="2463" t="str">
        <f>IFERROR(INDEX(Liste_Ackerkulturen_Gemüse_DropDown[Ackerkulturen],_xlfn.AGGREGATE(15,6,(ROW(Liste_Ackerkulturen_Gemüse_DropDown[Ackerkulturen])-1)/(--(SEARCH(CC$2,Liste_Ackerkulturen_Gemüse_DropDown[Ackerkulturen])&gt;0)),ROW()-2),1),"")</f>
        <v>Wintergerste</v>
      </c>
      <c r="CC8" s="2463"/>
      <c r="CD8" s="2464" t="str">
        <f>IFERROR(INDEX(Liste_Ackerkulturen_Gemüse_DropDown[Ackerkulturen],_xlfn.AGGREGATE(15,6,(ROW(Liste_Ackerkulturen_Gemüse_DropDown[Ackerkulturen])-1)/(--(SEARCH(CE$2,Liste_Ackerkulturen_Gemüse_DropDown[Ackerkulturen])&gt;0)),ROW()-2),1),"")</f>
        <v>Wintergerste</v>
      </c>
      <c r="CE8" s="2464"/>
      <c r="CF8" s="2464" t="str">
        <f>IFERROR(INDEX(Liste_Ackerkulturen_Gemüse_DropDown[Ackerkulturen],_xlfn.AGGREGATE(15,6,(ROW(Liste_Ackerkulturen_Gemüse_DropDown[Ackerkulturen])-1)/(--(SEARCH(CG$2,Liste_Ackerkulturen_Gemüse_DropDown[Ackerkulturen])&gt;0)),ROW()-2),1),"")</f>
        <v>Wintergerste</v>
      </c>
      <c r="CG8" s="2464"/>
      <c r="CH8" s="2464" t="str">
        <f>IFERROR(INDEX(Liste_Ackerkulturen_Gemüse_DropDown[Ackerkulturen],_xlfn.AGGREGATE(15,6,(ROW(Liste_Ackerkulturen_Gemüse_DropDown[Ackerkulturen])-1)/(--(SEARCH(CI$2,Liste_Ackerkulturen_Gemüse_DropDown[Ackerkulturen])&gt;0)),ROW()-2),1),"")</f>
        <v>Wintergerste</v>
      </c>
      <c r="CI8" s="2464"/>
      <c r="CJ8" s="2464" t="str">
        <f>IFERROR(INDEX(Liste_Ackerkulturen_Gemüse_DropDown[Ackerkulturen],_xlfn.AGGREGATE(15,6,(ROW(Liste_Ackerkulturen_Gemüse_DropDown[Ackerkulturen])-1)/(--(SEARCH(CK$2,Liste_Ackerkulturen_Gemüse_DropDown[Ackerkulturen])&gt;0)),ROW()-2),1),"")</f>
        <v>Wintergerste</v>
      </c>
      <c r="CK8" s="2464"/>
      <c r="CL8" s="2464" t="str">
        <f>IFERROR(INDEX(Liste_Ackerkulturen_Gemüse_DropDown[Ackerkulturen],_xlfn.AGGREGATE(15,6,(ROW(Liste_Ackerkulturen_Gemüse_DropDown[Ackerkulturen])-1)/(--(SEARCH(CM$2,Liste_Ackerkulturen_Gemüse_DropDown[Ackerkulturen])&gt;0)),ROW()-2),1),"")</f>
        <v>Wintergerste</v>
      </c>
      <c r="CM8" s="2464"/>
      <c r="CN8" s="2464" t="str">
        <f>IFERROR(INDEX(Liste_Ackerkulturen_Gemüse_DropDown[Ackerkulturen],_xlfn.AGGREGATE(15,6,(ROW(Liste_Ackerkulturen_Gemüse_DropDown[Ackerkulturen])-1)/(--(SEARCH(CO$2,Liste_Ackerkulturen_Gemüse_DropDown[Ackerkulturen])&gt;0)),ROW()-2),1),"")</f>
        <v>Wintergerste</v>
      </c>
      <c r="CO8" s="2464"/>
      <c r="CP8" s="2464" t="str">
        <f>IFERROR(INDEX(Liste_Ackerkulturen_Gemüse_DropDown[Ackerkulturen],_xlfn.AGGREGATE(15,6,(ROW(Liste_Ackerkulturen_Gemüse_DropDown[Ackerkulturen])-1)/(--(SEARCH(CQ$2,Liste_Ackerkulturen_Gemüse_DropDown[Ackerkulturen])&gt;0)),ROW()-2),1),"")</f>
        <v>Wintergerste</v>
      </c>
      <c r="CQ8" s="2464"/>
      <c r="CR8" s="2464" t="str">
        <f>IFERROR(INDEX(Liste_Ackerkulturen_Gemüse_DropDown[Ackerkulturen],_xlfn.AGGREGATE(15,6,(ROW(Liste_Ackerkulturen_Gemüse_DropDown[Ackerkulturen])-1)/(--(SEARCH(CS$2,Liste_Ackerkulturen_Gemüse_DropDown[Ackerkulturen])&gt;0)),ROW()-2),1),"")</f>
        <v>Wintergerste</v>
      </c>
      <c r="CS8" s="2464"/>
      <c r="CT8"/>
      <c r="CU8"/>
      <c r="CV8" t="s">
        <v>2481</v>
      </c>
      <c r="CW8" t="str">
        <f>IFERROR(INDEX(Liste_Grünland_DropDown[Grünland],_xlfn.AGGREGATE(15,6,(ROW(Liste_Grünland_DropDown[Grünland])-1)/(--(SEARCH(CX$2,Liste_Grünland_DropDown[Grünland])&gt;0)),ROW()-2),1),"")</f>
        <v>GL &lt; 40 % Leguminosen 5 Nutzungen</v>
      </c>
      <c r="CX8" s="2468"/>
      <c r="CY8" t="str">
        <f>IFERROR(INDEX(Liste_Grünland_DropDown[Grünland],_xlfn.AGGREGATE(15,6,(ROW(Liste_Grünland_DropDown[Grünland])-1)/(--(SEARCH(CZ$2,Liste_Grünland_DropDown[Grünland])&gt;0)),ROW()-2),1),"")</f>
        <v>GL &lt; 40 % Leguminosen 5 Nutzungen</v>
      </c>
      <c r="CZ8" s="2449"/>
      <c r="DA8" s="2449" t="str">
        <f>IFERROR(INDEX(Liste_Grünland_DropDown[Grünland],_xlfn.AGGREGATE(15,6,(ROW(Liste_Grünland_DropDown[Grünland])-1)/(--(SEARCH(DB$2,Liste_Grünland_DropDown[Grünland])&gt;0)),ROW()-2),1),"")</f>
        <v>GL &lt; 40 % Leguminosen 5 Nutzungen</v>
      </c>
      <c r="DB8" s="2449"/>
      <c r="DC8" s="2449" t="str">
        <f>IFERROR(INDEX(Liste_Grünland_DropDown[Grünland],_xlfn.AGGREGATE(15,6,(ROW(Liste_Grünland_DropDown[Grünland])-1)/(--(SEARCH(DD$2,Liste_Grünland_DropDown[Grünland])&gt;0)),ROW()-2),1),"")</f>
        <v>GL &lt; 40 % Leguminosen 5 Nutzungen</v>
      </c>
      <c r="DD8" s="2449"/>
      <c r="DE8" s="2449" t="str">
        <f>IFERROR(INDEX(Liste_Grünland_DropDown[Grünland],_xlfn.AGGREGATE(15,6,(ROW(Liste_Grünland_DropDown[Grünland])-1)/(--(SEARCH(DF$2,Liste_Grünland_DropDown[Grünland])&gt;0)),ROW()-2),1),"")</f>
        <v>GL &lt; 40 % Leguminosen 5 Nutzungen</v>
      </c>
      <c r="DF8" s="2449"/>
      <c r="DG8" s="2449" t="str">
        <f>IFERROR(INDEX(Liste_Grünland_DropDown[Grünland],_xlfn.AGGREGATE(15,6,(ROW(Liste_Grünland_DropDown[Grünland])-1)/(--(SEARCH(DH$2,Liste_Grünland_DropDown[Grünland])&gt;0)),ROW()-2),1),"")</f>
        <v>GL &lt; 40 % Leguminosen 5 Nutzungen</v>
      </c>
      <c r="DH8" s="2449"/>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row>
    <row r="9" spans="1:255" ht="21" customHeight="1" thickBot="1">
      <c r="A9" s="514" t="s">
        <v>1806</v>
      </c>
      <c r="B9" s="508" t="str">
        <f t="shared" si="0"/>
        <v xml:space="preserve">e - </v>
      </c>
      <c r="C9" s="2650"/>
      <c r="D9" s="2651"/>
      <c r="E9" s="1140"/>
      <c r="F9" s="1141"/>
      <c r="G9" s="2323" t="str">
        <f t="shared" si="13"/>
        <v/>
      </c>
      <c r="H9" s="1142"/>
      <c r="I9" s="1143">
        <f t="shared" si="1"/>
        <v>0</v>
      </c>
      <c r="J9" s="1144">
        <f t="shared" si="2"/>
        <v>0</v>
      </c>
      <c r="K9" s="1142"/>
      <c r="L9" s="1145">
        <f t="shared" si="3"/>
        <v>0</v>
      </c>
      <c r="M9" s="1146">
        <f t="shared" si="4"/>
        <v>0</v>
      </c>
      <c r="N9" s="2639"/>
      <c r="O9" s="2639"/>
      <c r="P9" s="2639"/>
      <c r="Q9" s="2638"/>
      <c r="R9" s="2646"/>
      <c r="S9" s="2627"/>
      <c r="T9" s="951"/>
      <c r="U9" s="2629"/>
      <c r="V9" s="2629"/>
      <c r="W9" s="2629"/>
      <c r="X9" s="2629"/>
      <c r="Y9" s="949"/>
      <c r="Z9" s="949"/>
      <c r="AA9" s="949"/>
      <c r="AB9" s="949"/>
      <c r="AC9" s="949"/>
      <c r="AD9" s="949"/>
      <c r="AE9" s="2260" t="str">
        <f t="shared" si="5"/>
        <v/>
      </c>
      <c r="AF9" s="589">
        <f t="shared" si="6"/>
        <v>0</v>
      </c>
      <c r="AG9" s="589">
        <f t="shared" si="7"/>
        <v>0</v>
      </c>
      <c r="AH9" s="589">
        <f t="shared" si="8"/>
        <v>0</v>
      </c>
      <c r="AI9" s="589">
        <f t="shared" si="9"/>
        <v>0</v>
      </c>
      <c r="AJ9" s="589">
        <f t="shared" si="10"/>
        <v>0</v>
      </c>
      <c r="AK9" s="589">
        <f t="shared" si="11"/>
        <v>0</v>
      </c>
      <c r="AL9" s="589">
        <f t="shared" si="12"/>
        <v>0</v>
      </c>
      <c r="AM9" s="2264" t="s">
        <v>1802</v>
      </c>
      <c r="AN9" s="2272">
        <v>95</v>
      </c>
      <c r="AO9" s="2275" t="s">
        <v>1949</v>
      </c>
      <c r="AP9" s="2272">
        <v>130</v>
      </c>
      <c r="AQ9" s="2276" t="s">
        <v>1950</v>
      </c>
      <c r="AR9" s="2272">
        <v>155</v>
      </c>
      <c r="AS9" s="2275" t="s">
        <v>1951</v>
      </c>
      <c r="AT9" s="2272">
        <v>170</v>
      </c>
      <c r="AU9" s="2275" t="s">
        <v>1952</v>
      </c>
      <c r="AV9" s="2272">
        <v>180</v>
      </c>
      <c r="AW9" s="2275" t="s">
        <v>1953</v>
      </c>
      <c r="AX9" s="2277">
        <v>120</v>
      </c>
      <c r="AY9" s="2278" t="s">
        <v>1950</v>
      </c>
      <c r="AZ9" s="2277">
        <v>135</v>
      </c>
      <c r="BA9" s="2278" t="s">
        <v>2283</v>
      </c>
      <c r="BB9" s="583">
        <v>18</v>
      </c>
      <c r="BC9" s="519"/>
      <c r="BD9" s="511"/>
      <c r="BE9" s="2264" t="s">
        <v>1802</v>
      </c>
      <c r="BF9" s="575">
        <v>50</v>
      </c>
      <c r="BG9" s="575">
        <v>55</v>
      </c>
      <c r="BH9" s="575">
        <v>65</v>
      </c>
      <c r="BI9" s="511"/>
      <c r="BJ9" s="2264" t="s">
        <v>1802</v>
      </c>
      <c r="BK9" s="575">
        <v>70</v>
      </c>
      <c r="BL9" s="575">
        <v>80</v>
      </c>
      <c r="BM9" s="575">
        <v>90</v>
      </c>
      <c r="BN9" s="1019">
        <f>IF('Kali u Kosten'!$H$3="ja",BO9,IF($V$27="nein",0,0))</f>
        <v>50</v>
      </c>
      <c r="BO9" s="575">
        <v>50</v>
      </c>
      <c r="BP9" s="458"/>
      <c r="BQ9" s="2527">
        <f>IFERROR(COUNTIF(Liste_Ackerkulturen_Gemüse_DropDown[Ackerkulturen],N_Bedarf!$C11),0)</f>
        <v>2</v>
      </c>
      <c r="BR9" s="458"/>
      <c r="BS9" s="2461" t="s">
        <v>887</v>
      </c>
      <c r="BT9" s="2463" t="str">
        <f>IFERROR(INDEX(Liste_Ackerkulturen_Gemüse_DropDown[Ackerkulturen],_xlfn.AGGREGATE(15,6,(ROW(Liste_Ackerkulturen_Gemüse_DropDown[Ackerkulturen])-1)/(--(SEARCH(BU$2,Liste_Ackerkulturen_Gemüse_DropDown[Ackerkulturen])&gt;0)),ROW()-2),1),"")</f>
        <v>Triticale</v>
      </c>
      <c r="BU9" s="2466"/>
      <c r="BV9" s="2463" t="str">
        <f>IFERROR(INDEX(Liste_Ackerkulturen_Gemüse_DropDown[Ackerkulturen],_xlfn.AGGREGATE(15,6,(ROW(Liste_Ackerkulturen_Gemüse_DropDown[Ackerkulturen])-1)/(--(SEARCH(BW$2,Liste_Ackerkulturen_Gemüse_DropDown[Ackerkulturen])&gt;0)),ROW()-2),1),"")</f>
        <v>Triticale</v>
      </c>
      <c r="BW9" s="2463"/>
      <c r="BX9" s="2463" t="str">
        <f>IFERROR(INDEX(Liste_Ackerkulturen_Gemüse_DropDown[Ackerkulturen],_xlfn.AGGREGATE(15,6,(ROW(Liste_Ackerkulturen_Gemüse_DropDown[Ackerkulturen])-1)/(--(SEARCH(BY$2,Liste_Ackerkulturen_Gemüse_DropDown[Ackerkulturen])&gt;0)),ROW()-2),1),"")</f>
        <v>Triticale</v>
      </c>
      <c r="BY9" s="2463"/>
      <c r="BZ9" s="2463" t="str">
        <f>IFERROR(INDEX(Liste_Ackerkulturen_Gemüse_DropDown[Ackerkulturen],_xlfn.AGGREGATE(15,6,(ROW(Liste_Ackerkulturen_Gemüse_DropDown[Ackerkulturen])-1)/(--(SEARCH(CA$2,Liste_Ackerkulturen_Gemüse_DropDown[Ackerkulturen])&gt;0)),ROW()-2),1),"")</f>
        <v>Triticale</v>
      </c>
      <c r="CA9" s="2463"/>
      <c r="CB9" s="2463" t="str">
        <f>IFERROR(INDEX(Liste_Ackerkulturen_Gemüse_DropDown[Ackerkulturen],_xlfn.AGGREGATE(15,6,(ROW(Liste_Ackerkulturen_Gemüse_DropDown[Ackerkulturen])-1)/(--(SEARCH(CC$2,Liste_Ackerkulturen_Gemüse_DropDown[Ackerkulturen])&gt;0)),ROW()-2),1),"")</f>
        <v>Triticale</v>
      </c>
      <c r="CC9" s="2463"/>
      <c r="CD9" s="2464" t="str">
        <f>IFERROR(INDEX(Liste_Ackerkulturen_Gemüse_DropDown[Ackerkulturen],_xlfn.AGGREGATE(15,6,(ROW(Liste_Ackerkulturen_Gemüse_DropDown[Ackerkulturen])-1)/(--(SEARCH(CE$2,Liste_Ackerkulturen_Gemüse_DropDown[Ackerkulturen])&gt;0)),ROW()-2),1),"")</f>
        <v>Triticale</v>
      </c>
      <c r="CE9" s="2464"/>
      <c r="CF9" s="2464" t="str">
        <f>IFERROR(INDEX(Liste_Ackerkulturen_Gemüse_DropDown[Ackerkulturen],_xlfn.AGGREGATE(15,6,(ROW(Liste_Ackerkulturen_Gemüse_DropDown[Ackerkulturen])-1)/(--(SEARCH(CG$2,Liste_Ackerkulturen_Gemüse_DropDown[Ackerkulturen])&gt;0)),ROW()-2),1),"")</f>
        <v>Triticale</v>
      </c>
      <c r="CG9" s="2464"/>
      <c r="CH9" s="2464" t="str">
        <f>IFERROR(INDEX(Liste_Ackerkulturen_Gemüse_DropDown[Ackerkulturen],_xlfn.AGGREGATE(15,6,(ROW(Liste_Ackerkulturen_Gemüse_DropDown[Ackerkulturen])-1)/(--(SEARCH(CI$2,Liste_Ackerkulturen_Gemüse_DropDown[Ackerkulturen])&gt;0)),ROW()-2),1),"")</f>
        <v>Triticale</v>
      </c>
      <c r="CI9" s="2464"/>
      <c r="CJ9" s="2464" t="str">
        <f>IFERROR(INDEX(Liste_Ackerkulturen_Gemüse_DropDown[Ackerkulturen],_xlfn.AGGREGATE(15,6,(ROW(Liste_Ackerkulturen_Gemüse_DropDown[Ackerkulturen])-1)/(--(SEARCH(CK$2,Liste_Ackerkulturen_Gemüse_DropDown[Ackerkulturen])&gt;0)),ROW()-2),1),"")</f>
        <v>Triticale</v>
      </c>
      <c r="CK9" s="2464"/>
      <c r="CL9" s="2464" t="str">
        <f>IFERROR(INDEX(Liste_Ackerkulturen_Gemüse_DropDown[Ackerkulturen],_xlfn.AGGREGATE(15,6,(ROW(Liste_Ackerkulturen_Gemüse_DropDown[Ackerkulturen])-1)/(--(SEARCH(CM$2,Liste_Ackerkulturen_Gemüse_DropDown[Ackerkulturen])&gt;0)),ROW()-2),1),"")</f>
        <v>Triticale</v>
      </c>
      <c r="CM9" s="2464"/>
      <c r="CN9" s="2464" t="str">
        <f>IFERROR(INDEX(Liste_Ackerkulturen_Gemüse_DropDown[Ackerkulturen],_xlfn.AGGREGATE(15,6,(ROW(Liste_Ackerkulturen_Gemüse_DropDown[Ackerkulturen])-1)/(--(SEARCH(CO$2,Liste_Ackerkulturen_Gemüse_DropDown[Ackerkulturen])&gt;0)),ROW()-2),1),"")</f>
        <v>Triticale</v>
      </c>
      <c r="CO9" s="2464"/>
      <c r="CP9" s="2464" t="str">
        <f>IFERROR(INDEX(Liste_Ackerkulturen_Gemüse_DropDown[Ackerkulturen],_xlfn.AGGREGATE(15,6,(ROW(Liste_Ackerkulturen_Gemüse_DropDown[Ackerkulturen])-1)/(--(SEARCH(CQ$2,Liste_Ackerkulturen_Gemüse_DropDown[Ackerkulturen])&gt;0)),ROW()-2),1),"")</f>
        <v>Triticale</v>
      </c>
      <c r="CQ9" s="2464"/>
      <c r="CR9" s="2464" t="str">
        <f>IFERROR(INDEX(Liste_Ackerkulturen_Gemüse_DropDown[Ackerkulturen],_xlfn.AGGREGATE(15,6,(ROW(Liste_Ackerkulturen_Gemüse_DropDown[Ackerkulturen])-1)/(--(SEARCH(CS$2,Liste_Ackerkulturen_Gemüse_DropDown[Ackerkulturen])&gt;0)),ROW()-2),1),"")</f>
        <v>Triticale</v>
      </c>
      <c r="CS9" s="2464"/>
      <c r="CT9"/>
      <c r="CU9"/>
      <c r="CV9" t="s">
        <v>2369</v>
      </c>
      <c r="CW9" t="str">
        <f>IFERROR(INDEX(Liste_Grünland_DropDown[Grünland],_xlfn.AGGREGATE(15,6,(ROW(Liste_Grünland_DropDown[Grünland])-1)/(--(SEARCH(CX$2,Liste_Grünland_DropDown[Grünland])&gt;0)),ROW()-2),1),"")</f>
        <v>GL &lt; 40 % Leguminosen 6 Nutzungen</v>
      </c>
      <c r="CX9"/>
      <c r="CY9" t="str">
        <f>IFERROR(INDEX(Liste_Grünland_DropDown[Grünland],_xlfn.AGGREGATE(15,6,(ROW(Liste_Grünland_DropDown[Grünland])-1)/(--(SEARCH(CZ$2,Liste_Grünland_DropDown[Grünland])&gt;0)),ROW()-2),1),"")</f>
        <v>GL &lt; 40 % Leguminosen 6 Nutzungen</v>
      </c>
      <c r="CZ9" s="2449"/>
      <c r="DA9" s="2449" t="str">
        <f>IFERROR(INDEX(Liste_Grünland_DropDown[Grünland],_xlfn.AGGREGATE(15,6,(ROW(Liste_Grünland_DropDown[Grünland])-1)/(--(SEARCH(DB$2,Liste_Grünland_DropDown[Grünland])&gt;0)),ROW()-2),1),"")</f>
        <v>GL &lt; 40 % Leguminosen 6 Nutzungen</v>
      </c>
      <c r="DB9" s="2449"/>
      <c r="DC9" s="2449" t="str">
        <f>IFERROR(INDEX(Liste_Grünland_DropDown[Grünland],_xlfn.AGGREGATE(15,6,(ROW(Liste_Grünland_DropDown[Grünland])-1)/(--(SEARCH(DD$2,Liste_Grünland_DropDown[Grünland])&gt;0)),ROW()-2),1),"")</f>
        <v>GL &lt; 40 % Leguminosen 6 Nutzungen</v>
      </c>
      <c r="DD9" s="2449"/>
      <c r="DE9" s="2449" t="str">
        <f>IFERROR(INDEX(Liste_Grünland_DropDown[Grünland],_xlfn.AGGREGATE(15,6,(ROW(Liste_Grünland_DropDown[Grünland])-1)/(--(SEARCH(DF$2,Liste_Grünland_DropDown[Grünland])&gt;0)),ROW()-2),1),"")</f>
        <v>GL &lt; 40 % Leguminosen 6 Nutzungen</v>
      </c>
      <c r="DF9" s="2449"/>
      <c r="DG9" s="2449" t="str">
        <f>IFERROR(INDEX(Liste_Grünland_DropDown[Grünland],_xlfn.AGGREGATE(15,6,(ROW(Liste_Grünland_DropDown[Grünland])-1)/(--(SEARCH(DH$2,Liste_Grünland_DropDown[Grünland])&gt;0)),ROW()-2),1),"")</f>
        <v>GL &lt; 40 % Leguminosen 6 Nutzungen</v>
      </c>
      <c r="DH9" s="244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row>
    <row r="10" spans="1:255" ht="21" customHeight="1" thickBot="1">
      <c r="A10" s="514" t="s">
        <v>1807</v>
      </c>
      <c r="B10" s="508" t="str">
        <f t="shared" si="0"/>
        <v xml:space="preserve">f - </v>
      </c>
      <c r="C10" s="2650"/>
      <c r="D10" s="2651"/>
      <c r="E10" s="1140"/>
      <c r="F10" s="1141"/>
      <c r="G10" s="2323" t="str">
        <f t="shared" si="13"/>
        <v/>
      </c>
      <c r="H10" s="1142"/>
      <c r="I10" s="1143">
        <f t="shared" si="1"/>
        <v>0</v>
      </c>
      <c r="J10" s="1144">
        <f t="shared" si="2"/>
        <v>0</v>
      </c>
      <c r="K10" s="1142"/>
      <c r="L10" s="1145">
        <f t="shared" si="3"/>
        <v>0</v>
      </c>
      <c r="M10" s="1146">
        <f t="shared" si="4"/>
        <v>0</v>
      </c>
      <c r="N10" s="2634" t="s">
        <v>800</v>
      </c>
      <c r="O10" s="2634"/>
      <c r="P10" s="2634"/>
      <c r="Q10" s="2638"/>
      <c r="R10" s="2646">
        <v>30</v>
      </c>
      <c r="S10" s="2627">
        <f>Q10*R10</f>
        <v>0</v>
      </c>
      <c r="T10" s="951"/>
      <c r="U10" s="2629"/>
      <c r="V10" s="2629"/>
      <c r="W10" s="2629"/>
      <c r="X10" s="2629"/>
      <c r="Y10" s="949"/>
      <c r="Z10" s="949"/>
      <c r="AA10" s="949"/>
      <c r="AB10" s="949"/>
      <c r="AC10" s="949"/>
      <c r="AD10" s="949"/>
      <c r="AE10" s="2260" t="str">
        <f t="shared" si="5"/>
        <v/>
      </c>
      <c r="AF10" s="589">
        <f t="shared" si="6"/>
        <v>0</v>
      </c>
      <c r="AG10" s="589">
        <f t="shared" si="7"/>
        <v>0</v>
      </c>
      <c r="AH10" s="589">
        <f t="shared" si="8"/>
        <v>0</v>
      </c>
      <c r="AI10" s="589">
        <f t="shared" si="9"/>
        <v>0</v>
      </c>
      <c r="AJ10" s="589">
        <f t="shared" si="10"/>
        <v>0</v>
      </c>
      <c r="AK10" s="589">
        <f t="shared" si="11"/>
        <v>0</v>
      </c>
      <c r="AL10" s="589">
        <f t="shared" si="12"/>
        <v>0</v>
      </c>
      <c r="AM10" s="2264" t="s">
        <v>738</v>
      </c>
      <c r="AN10" s="2272">
        <v>90</v>
      </c>
      <c r="AO10" s="2275" t="s">
        <v>1949</v>
      </c>
      <c r="AP10" s="2272">
        <v>120</v>
      </c>
      <c r="AQ10" s="2276" t="s">
        <v>1950</v>
      </c>
      <c r="AR10" s="2272">
        <v>145</v>
      </c>
      <c r="AS10" s="2275" t="s">
        <v>1951</v>
      </c>
      <c r="AT10" s="2272">
        <v>155</v>
      </c>
      <c r="AU10" s="2275" t="s">
        <v>1952</v>
      </c>
      <c r="AV10" s="2272">
        <v>165</v>
      </c>
      <c r="AW10" s="2275" t="s">
        <v>1953</v>
      </c>
      <c r="AX10" s="2277">
        <v>110</v>
      </c>
      <c r="AY10" s="2278" t="s">
        <v>1950</v>
      </c>
      <c r="AZ10" s="2277">
        <v>120</v>
      </c>
      <c r="BA10" s="2278" t="s">
        <v>2283</v>
      </c>
      <c r="BB10" s="583">
        <v>18</v>
      </c>
      <c r="BC10" s="519"/>
      <c r="BD10" s="511"/>
      <c r="BE10" s="2264" t="s">
        <v>738</v>
      </c>
      <c r="BF10" s="575">
        <v>50</v>
      </c>
      <c r="BG10" s="575">
        <v>55</v>
      </c>
      <c r="BH10" s="575">
        <v>65</v>
      </c>
      <c r="BI10" s="511"/>
      <c r="BJ10" s="2264" t="s">
        <v>738</v>
      </c>
      <c r="BK10" s="575">
        <v>70</v>
      </c>
      <c r="BL10" s="575">
        <v>80</v>
      </c>
      <c r="BM10" s="575">
        <v>90</v>
      </c>
      <c r="BN10" s="1019">
        <f>IF('Kali u Kosten'!$H$3="ja",BO10,IF($V$27="nein",0,0))</f>
        <v>50</v>
      </c>
      <c r="BO10" s="575">
        <v>50</v>
      </c>
      <c r="BP10" s="458"/>
      <c r="BQ10" s="2527">
        <f>IFERROR(COUNTIF(Liste_Ackerkulturen_Gemüse_DropDown[Ackerkulturen],N_Bedarf!$C12),0)</f>
        <v>2</v>
      </c>
      <c r="BR10" s="458"/>
      <c r="BS10" s="2461" t="s">
        <v>739</v>
      </c>
      <c r="BT10" s="2463" t="str">
        <f>IFERROR(INDEX(Liste_Ackerkulturen_Gemüse_DropDown[Ackerkulturen],_xlfn.AGGREGATE(15,6,(ROW(Liste_Ackerkulturen_Gemüse_DropDown[Ackerkulturen])-1)/(--(SEARCH(BU$2,Liste_Ackerkulturen_Gemüse_DropDown[Ackerkulturen])&gt;0)),ROW()-2),1),"")</f>
        <v>Roggen</v>
      </c>
      <c r="BU10" s="2466"/>
      <c r="BV10" s="2463" t="str">
        <f>IFERROR(INDEX(Liste_Ackerkulturen_Gemüse_DropDown[Ackerkulturen],_xlfn.AGGREGATE(15,6,(ROW(Liste_Ackerkulturen_Gemüse_DropDown[Ackerkulturen])-1)/(--(SEARCH(BW$2,Liste_Ackerkulturen_Gemüse_DropDown[Ackerkulturen])&gt;0)),ROW()-2),1),"")</f>
        <v>Roggen</v>
      </c>
      <c r="BW10" s="2463"/>
      <c r="BX10" s="2463" t="str">
        <f>IFERROR(INDEX(Liste_Ackerkulturen_Gemüse_DropDown[Ackerkulturen],_xlfn.AGGREGATE(15,6,(ROW(Liste_Ackerkulturen_Gemüse_DropDown[Ackerkulturen])-1)/(--(SEARCH(BY$2,Liste_Ackerkulturen_Gemüse_DropDown[Ackerkulturen])&gt;0)),ROW()-2),1),"")</f>
        <v>Roggen</v>
      </c>
      <c r="BY10" s="2463"/>
      <c r="BZ10" s="2463" t="str">
        <f>IFERROR(INDEX(Liste_Ackerkulturen_Gemüse_DropDown[Ackerkulturen],_xlfn.AGGREGATE(15,6,(ROW(Liste_Ackerkulturen_Gemüse_DropDown[Ackerkulturen])-1)/(--(SEARCH(CA$2,Liste_Ackerkulturen_Gemüse_DropDown[Ackerkulturen])&gt;0)),ROW()-2),1),"")</f>
        <v>Roggen</v>
      </c>
      <c r="CA10" s="2463"/>
      <c r="CB10" s="2463" t="str">
        <f>IFERROR(INDEX(Liste_Ackerkulturen_Gemüse_DropDown[Ackerkulturen],_xlfn.AGGREGATE(15,6,(ROW(Liste_Ackerkulturen_Gemüse_DropDown[Ackerkulturen])-1)/(--(SEARCH(CC$2,Liste_Ackerkulturen_Gemüse_DropDown[Ackerkulturen])&gt;0)),ROW()-2),1),"")</f>
        <v>Roggen</v>
      </c>
      <c r="CC10" s="2463"/>
      <c r="CD10" s="2464" t="str">
        <f>IFERROR(INDEX(Liste_Ackerkulturen_Gemüse_DropDown[Ackerkulturen],_xlfn.AGGREGATE(15,6,(ROW(Liste_Ackerkulturen_Gemüse_DropDown[Ackerkulturen])-1)/(--(SEARCH(CE$2,Liste_Ackerkulturen_Gemüse_DropDown[Ackerkulturen])&gt;0)),ROW()-2),1),"")</f>
        <v>Roggen</v>
      </c>
      <c r="CE10" s="2464"/>
      <c r="CF10" s="2464" t="str">
        <f>IFERROR(INDEX(Liste_Ackerkulturen_Gemüse_DropDown[Ackerkulturen],_xlfn.AGGREGATE(15,6,(ROW(Liste_Ackerkulturen_Gemüse_DropDown[Ackerkulturen])-1)/(--(SEARCH(CG$2,Liste_Ackerkulturen_Gemüse_DropDown[Ackerkulturen])&gt;0)),ROW()-2),1),"")</f>
        <v>Roggen</v>
      </c>
      <c r="CG10" s="2464"/>
      <c r="CH10" s="2464" t="str">
        <f>IFERROR(INDEX(Liste_Ackerkulturen_Gemüse_DropDown[Ackerkulturen],_xlfn.AGGREGATE(15,6,(ROW(Liste_Ackerkulturen_Gemüse_DropDown[Ackerkulturen])-1)/(--(SEARCH(CI$2,Liste_Ackerkulturen_Gemüse_DropDown[Ackerkulturen])&gt;0)),ROW()-2),1),"")</f>
        <v>Roggen</v>
      </c>
      <c r="CI10" s="2464"/>
      <c r="CJ10" s="2464" t="str">
        <f>IFERROR(INDEX(Liste_Ackerkulturen_Gemüse_DropDown[Ackerkulturen],_xlfn.AGGREGATE(15,6,(ROW(Liste_Ackerkulturen_Gemüse_DropDown[Ackerkulturen])-1)/(--(SEARCH(CK$2,Liste_Ackerkulturen_Gemüse_DropDown[Ackerkulturen])&gt;0)),ROW()-2),1),"")</f>
        <v>Roggen</v>
      </c>
      <c r="CK10" s="2464"/>
      <c r="CL10" s="2464" t="str">
        <f>IFERROR(INDEX(Liste_Ackerkulturen_Gemüse_DropDown[Ackerkulturen],_xlfn.AGGREGATE(15,6,(ROW(Liste_Ackerkulturen_Gemüse_DropDown[Ackerkulturen])-1)/(--(SEARCH(CM$2,Liste_Ackerkulturen_Gemüse_DropDown[Ackerkulturen])&gt;0)),ROW()-2),1),"")</f>
        <v>Roggen</v>
      </c>
      <c r="CM10" s="2464"/>
      <c r="CN10" s="2464" t="str">
        <f>IFERROR(INDEX(Liste_Ackerkulturen_Gemüse_DropDown[Ackerkulturen],_xlfn.AGGREGATE(15,6,(ROW(Liste_Ackerkulturen_Gemüse_DropDown[Ackerkulturen])-1)/(--(SEARCH(CO$2,Liste_Ackerkulturen_Gemüse_DropDown[Ackerkulturen])&gt;0)),ROW()-2),1),"")</f>
        <v>Roggen</v>
      </c>
      <c r="CO10" s="2464"/>
      <c r="CP10" s="2464" t="str">
        <f>IFERROR(INDEX(Liste_Ackerkulturen_Gemüse_DropDown[Ackerkulturen],_xlfn.AGGREGATE(15,6,(ROW(Liste_Ackerkulturen_Gemüse_DropDown[Ackerkulturen])-1)/(--(SEARCH(CQ$2,Liste_Ackerkulturen_Gemüse_DropDown[Ackerkulturen])&gt;0)),ROW()-2),1),"")</f>
        <v>Roggen</v>
      </c>
      <c r="CQ10" s="2464"/>
      <c r="CR10" s="2464" t="str">
        <f>IFERROR(INDEX(Liste_Ackerkulturen_Gemüse_DropDown[Ackerkulturen],_xlfn.AGGREGATE(15,6,(ROW(Liste_Ackerkulturen_Gemüse_DropDown[Ackerkulturen])-1)/(--(SEARCH(CS$2,Liste_Ackerkulturen_Gemüse_DropDown[Ackerkulturen])&gt;0)),ROW()-2),1),"")</f>
        <v>Roggen</v>
      </c>
      <c r="CS10" s="2464"/>
      <c r="CT10"/>
      <c r="CU10"/>
      <c r="CV10" t="s">
        <v>2364</v>
      </c>
      <c r="CW10" t="str">
        <f>IFERROR(INDEX(Liste_Grünland_DropDown[Grünland],_xlfn.AGGREGATE(15,6,(ROW(Liste_Grünland_DropDown[Grünland])-1)/(--(SEARCH(CX$2,Liste_Grünland_DropDown[Grünland])&gt;0)),ROW()-2),1),"")</f>
        <v>GL über 40 % Leguminosen 1 Nutzung</v>
      </c>
      <c r="CX10"/>
      <c r="CY10" t="str">
        <f>IFERROR(INDEX(Liste_Grünland_DropDown[Grünland],_xlfn.AGGREGATE(15,6,(ROW(Liste_Grünland_DropDown[Grünland])-1)/(--(SEARCH(CZ$2,Liste_Grünland_DropDown[Grünland])&gt;0)),ROW()-2),1),"")</f>
        <v>GL über 40 % Leguminosen 1 Nutzung</v>
      </c>
      <c r="CZ10" s="2449"/>
      <c r="DA10" s="2449" t="str">
        <f>IFERROR(INDEX(Liste_Grünland_DropDown[Grünland],_xlfn.AGGREGATE(15,6,(ROW(Liste_Grünland_DropDown[Grünland])-1)/(--(SEARCH(DB$2,Liste_Grünland_DropDown[Grünland])&gt;0)),ROW()-2),1),"")</f>
        <v>GL über 40 % Leguminosen 1 Nutzung</v>
      </c>
      <c r="DB10" s="2449"/>
      <c r="DC10" s="2449" t="str">
        <f>IFERROR(INDEX(Liste_Grünland_DropDown[Grünland],_xlfn.AGGREGATE(15,6,(ROW(Liste_Grünland_DropDown[Grünland])-1)/(--(SEARCH(DD$2,Liste_Grünland_DropDown[Grünland])&gt;0)),ROW()-2),1),"")</f>
        <v>GL über 40 % Leguminosen 1 Nutzung</v>
      </c>
      <c r="DD10" s="2449"/>
      <c r="DE10" s="2449" t="str">
        <f>IFERROR(INDEX(Liste_Grünland_DropDown[Grünland],_xlfn.AGGREGATE(15,6,(ROW(Liste_Grünland_DropDown[Grünland])-1)/(--(SEARCH(DF$2,Liste_Grünland_DropDown[Grünland])&gt;0)),ROW()-2),1),"")</f>
        <v>GL über 40 % Leguminosen 1 Nutzung</v>
      </c>
      <c r="DF10" s="2449"/>
      <c r="DG10" s="2449" t="str">
        <f>IFERROR(INDEX(Liste_Grünland_DropDown[Grünland],_xlfn.AGGREGATE(15,6,(ROW(Liste_Grünland_DropDown[Grünland])-1)/(--(SEARCH(DH$2,Liste_Grünland_DropDown[Grünland])&gt;0)),ROW()-2),1),"")</f>
        <v>GL über 40 % Leguminosen 1 Nutzung</v>
      </c>
      <c r="DH10" s="2449"/>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row>
    <row r="11" spans="1:255" ht="21" customHeight="1" thickBot="1">
      <c r="A11" s="514" t="s">
        <v>1808</v>
      </c>
      <c r="B11" s="508" t="str">
        <f t="shared" si="0"/>
        <v xml:space="preserve">g - </v>
      </c>
      <c r="C11" s="2650"/>
      <c r="D11" s="2651"/>
      <c r="E11" s="1140"/>
      <c r="F11" s="1141"/>
      <c r="G11" s="2323" t="str">
        <f t="shared" si="13"/>
        <v/>
      </c>
      <c r="H11" s="1142"/>
      <c r="I11" s="1143">
        <f t="shared" si="1"/>
        <v>0</v>
      </c>
      <c r="J11" s="1144">
        <f t="shared" si="2"/>
        <v>0</v>
      </c>
      <c r="K11" s="1142"/>
      <c r="L11" s="1145">
        <f t="shared" si="3"/>
        <v>0</v>
      </c>
      <c r="M11" s="1146">
        <f t="shared" si="4"/>
        <v>0</v>
      </c>
      <c r="N11" s="2634"/>
      <c r="O11" s="2634"/>
      <c r="P11" s="2634"/>
      <c r="Q11" s="2638"/>
      <c r="R11" s="2646"/>
      <c r="S11" s="2627">
        <f>Q11*R11</f>
        <v>0</v>
      </c>
      <c r="T11" s="951"/>
      <c r="U11" s="2629"/>
      <c r="V11" s="2629"/>
      <c r="W11" s="2629"/>
      <c r="X11" s="2629"/>
      <c r="Y11" s="949"/>
      <c r="Z11" s="949"/>
      <c r="AA11" s="949"/>
      <c r="AB11" s="949"/>
      <c r="AC11" s="949"/>
      <c r="AD11" s="949"/>
      <c r="AE11" s="2260" t="str">
        <f t="shared" si="5"/>
        <v/>
      </c>
      <c r="AF11" s="589">
        <f t="shared" si="6"/>
        <v>0</v>
      </c>
      <c r="AG11" s="589">
        <f t="shared" si="7"/>
        <v>0</v>
      </c>
      <c r="AH11" s="589">
        <f t="shared" si="8"/>
        <v>0</v>
      </c>
      <c r="AI11" s="589">
        <f t="shared" si="9"/>
        <v>0</v>
      </c>
      <c r="AJ11" s="589">
        <f t="shared" si="10"/>
        <v>0</v>
      </c>
      <c r="AK11" s="589">
        <f t="shared" si="11"/>
        <v>0</v>
      </c>
      <c r="AL11" s="589">
        <f t="shared" si="12"/>
        <v>0</v>
      </c>
      <c r="AM11" s="2264" t="s">
        <v>887</v>
      </c>
      <c r="AN11" s="2272">
        <v>80</v>
      </c>
      <c r="AO11" s="2275" t="s">
        <v>1967</v>
      </c>
      <c r="AP11" s="2272">
        <v>110</v>
      </c>
      <c r="AQ11" s="2276" t="s">
        <v>1968</v>
      </c>
      <c r="AR11" s="2272">
        <v>130</v>
      </c>
      <c r="AS11" s="2275" t="s">
        <v>1972</v>
      </c>
      <c r="AT11" s="2272">
        <v>140</v>
      </c>
      <c r="AU11" s="2275" t="s">
        <v>1973</v>
      </c>
      <c r="AV11" s="2272">
        <v>150</v>
      </c>
      <c r="AW11" s="2275" t="s">
        <v>1974</v>
      </c>
      <c r="AX11" s="2277">
        <v>100</v>
      </c>
      <c r="AY11" s="2278" t="s">
        <v>1968</v>
      </c>
      <c r="AZ11" s="2277">
        <v>110</v>
      </c>
      <c r="BA11" s="2278" t="s">
        <v>50</v>
      </c>
      <c r="BB11" s="583">
        <v>16</v>
      </c>
      <c r="BC11" s="519"/>
      <c r="BD11" s="511"/>
      <c r="BE11" s="2264" t="s">
        <v>887</v>
      </c>
      <c r="BF11" s="575">
        <v>50</v>
      </c>
      <c r="BG11" s="575">
        <v>55</v>
      </c>
      <c r="BH11" s="575">
        <v>65</v>
      </c>
      <c r="BI11" s="511"/>
      <c r="BJ11" s="2264" t="s">
        <v>887</v>
      </c>
      <c r="BK11" s="575">
        <v>70</v>
      </c>
      <c r="BL11" s="575">
        <v>80</v>
      </c>
      <c r="BM11" s="575">
        <v>90</v>
      </c>
      <c r="BN11" s="1019">
        <f>IF('Kali u Kosten'!$H$3="ja",BO11,IF($V$27="nein",0,0))</f>
        <v>50</v>
      </c>
      <c r="BO11" s="575">
        <v>50</v>
      </c>
      <c r="BP11" s="458"/>
      <c r="BQ11" s="2527">
        <f>IFERROR(COUNTIF(Liste_Ackerkulturen_Gemüse_DropDown[Ackerkulturen],N_Bedarf!$C13),0)</f>
        <v>2</v>
      </c>
      <c r="BR11" s="458"/>
      <c r="BS11" s="2461" t="s">
        <v>888</v>
      </c>
      <c r="BT11" s="2463" t="str">
        <f>IFERROR(INDEX(Liste_Ackerkulturen_Gemüse_DropDown[Ackerkulturen],_xlfn.AGGREGATE(15,6,(ROW(Liste_Ackerkulturen_Gemüse_DropDown[Ackerkulturen])-1)/(--(SEARCH(BU$2,Liste_Ackerkulturen_Gemüse_DropDown[Ackerkulturen])&gt;0)),ROW()-2),1),"")</f>
        <v xml:space="preserve">Hafer </v>
      </c>
      <c r="BU11" s="2466"/>
      <c r="BV11" s="2463" t="str">
        <f>IFERROR(INDEX(Liste_Ackerkulturen_Gemüse_DropDown[Ackerkulturen],_xlfn.AGGREGATE(15,6,(ROW(Liste_Ackerkulturen_Gemüse_DropDown[Ackerkulturen])-1)/(--(SEARCH(BW$2,Liste_Ackerkulturen_Gemüse_DropDown[Ackerkulturen])&gt;0)),ROW()-2),1),"")</f>
        <v xml:space="preserve">Hafer </v>
      </c>
      <c r="BW11" s="2463"/>
      <c r="BX11" s="2463" t="str">
        <f>IFERROR(INDEX(Liste_Ackerkulturen_Gemüse_DropDown[Ackerkulturen],_xlfn.AGGREGATE(15,6,(ROW(Liste_Ackerkulturen_Gemüse_DropDown[Ackerkulturen])-1)/(--(SEARCH(BY$2,Liste_Ackerkulturen_Gemüse_DropDown[Ackerkulturen])&gt;0)),ROW()-2),1),"")</f>
        <v xml:space="preserve">Hafer </v>
      </c>
      <c r="BY11" s="2463"/>
      <c r="BZ11" s="2463" t="str">
        <f>IFERROR(INDEX(Liste_Ackerkulturen_Gemüse_DropDown[Ackerkulturen],_xlfn.AGGREGATE(15,6,(ROW(Liste_Ackerkulturen_Gemüse_DropDown[Ackerkulturen])-1)/(--(SEARCH(CA$2,Liste_Ackerkulturen_Gemüse_DropDown[Ackerkulturen])&gt;0)),ROW()-2),1),"")</f>
        <v xml:space="preserve">Hafer </v>
      </c>
      <c r="CA11" s="2463"/>
      <c r="CB11" s="2463" t="str">
        <f>IFERROR(INDEX(Liste_Ackerkulturen_Gemüse_DropDown[Ackerkulturen],_xlfn.AGGREGATE(15,6,(ROW(Liste_Ackerkulturen_Gemüse_DropDown[Ackerkulturen])-1)/(--(SEARCH(CC$2,Liste_Ackerkulturen_Gemüse_DropDown[Ackerkulturen])&gt;0)),ROW()-2),1),"")</f>
        <v xml:space="preserve">Hafer </v>
      </c>
      <c r="CC11" s="2463"/>
      <c r="CD11" s="2464" t="str">
        <f>IFERROR(INDEX(Liste_Ackerkulturen_Gemüse_DropDown[Ackerkulturen],_xlfn.AGGREGATE(15,6,(ROW(Liste_Ackerkulturen_Gemüse_DropDown[Ackerkulturen])-1)/(--(SEARCH(CE$2,Liste_Ackerkulturen_Gemüse_DropDown[Ackerkulturen])&gt;0)),ROW()-2),1),"")</f>
        <v xml:space="preserve">Hafer </v>
      </c>
      <c r="CE11" s="2464"/>
      <c r="CF11" s="2464" t="str">
        <f>IFERROR(INDEX(Liste_Ackerkulturen_Gemüse_DropDown[Ackerkulturen],_xlfn.AGGREGATE(15,6,(ROW(Liste_Ackerkulturen_Gemüse_DropDown[Ackerkulturen])-1)/(--(SEARCH(CG$2,Liste_Ackerkulturen_Gemüse_DropDown[Ackerkulturen])&gt;0)),ROW()-2),1),"")</f>
        <v xml:space="preserve">Hafer </v>
      </c>
      <c r="CG11" s="2464"/>
      <c r="CH11" s="2464" t="str">
        <f>IFERROR(INDEX(Liste_Ackerkulturen_Gemüse_DropDown[Ackerkulturen],_xlfn.AGGREGATE(15,6,(ROW(Liste_Ackerkulturen_Gemüse_DropDown[Ackerkulturen])-1)/(--(SEARCH(CI$2,Liste_Ackerkulturen_Gemüse_DropDown[Ackerkulturen])&gt;0)),ROW()-2),1),"")</f>
        <v xml:space="preserve">Hafer </v>
      </c>
      <c r="CI11" s="2464"/>
      <c r="CJ11" s="2464" t="str">
        <f>IFERROR(INDEX(Liste_Ackerkulturen_Gemüse_DropDown[Ackerkulturen],_xlfn.AGGREGATE(15,6,(ROW(Liste_Ackerkulturen_Gemüse_DropDown[Ackerkulturen])-1)/(--(SEARCH(CK$2,Liste_Ackerkulturen_Gemüse_DropDown[Ackerkulturen])&gt;0)),ROW()-2),1),"")</f>
        <v xml:space="preserve">Hafer </v>
      </c>
      <c r="CK11" s="2464"/>
      <c r="CL11" s="2464" t="str">
        <f>IFERROR(INDEX(Liste_Ackerkulturen_Gemüse_DropDown[Ackerkulturen],_xlfn.AGGREGATE(15,6,(ROW(Liste_Ackerkulturen_Gemüse_DropDown[Ackerkulturen])-1)/(--(SEARCH(CM$2,Liste_Ackerkulturen_Gemüse_DropDown[Ackerkulturen])&gt;0)),ROW()-2),1),"")</f>
        <v xml:space="preserve">Hafer </v>
      </c>
      <c r="CM11" s="2464"/>
      <c r="CN11" s="2464" t="str">
        <f>IFERROR(INDEX(Liste_Ackerkulturen_Gemüse_DropDown[Ackerkulturen],_xlfn.AGGREGATE(15,6,(ROW(Liste_Ackerkulturen_Gemüse_DropDown[Ackerkulturen])-1)/(--(SEARCH(CO$2,Liste_Ackerkulturen_Gemüse_DropDown[Ackerkulturen])&gt;0)),ROW()-2),1),"")</f>
        <v xml:space="preserve">Hafer </v>
      </c>
      <c r="CO11" s="2464"/>
      <c r="CP11" s="2464" t="str">
        <f>IFERROR(INDEX(Liste_Ackerkulturen_Gemüse_DropDown[Ackerkulturen],_xlfn.AGGREGATE(15,6,(ROW(Liste_Ackerkulturen_Gemüse_DropDown[Ackerkulturen])-1)/(--(SEARCH(CQ$2,Liste_Ackerkulturen_Gemüse_DropDown[Ackerkulturen])&gt;0)),ROW()-2),1),"")</f>
        <v xml:space="preserve">Hafer </v>
      </c>
      <c r="CQ11" s="2464"/>
      <c r="CR11" s="2464" t="str">
        <f>IFERROR(INDEX(Liste_Ackerkulturen_Gemüse_DropDown[Ackerkulturen],_xlfn.AGGREGATE(15,6,(ROW(Liste_Ackerkulturen_Gemüse_DropDown[Ackerkulturen])-1)/(--(SEARCH(CS$2,Liste_Ackerkulturen_Gemüse_DropDown[Ackerkulturen])&gt;0)),ROW()-2),1),"")</f>
        <v xml:space="preserve">Hafer </v>
      </c>
      <c r="CS11" s="2464"/>
      <c r="CT11"/>
      <c r="CU11"/>
      <c r="CV11" t="s">
        <v>2365</v>
      </c>
      <c r="CW11" t="str">
        <f>IFERROR(INDEX(Liste_Grünland_DropDown[Grünland],_xlfn.AGGREGATE(15,6,(ROW(Liste_Grünland_DropDown[Grünland])-1)/(--(SEARCH(CX$2,Liste_Grünland_DropDown[Grünland])&gt;0)),ROW()-2),1),"")</f>
        <v>GL über 40 % Leguminosen 2 Nutzungen</v>
      </c>
      <c r="CX11"/>
      <c r="CY11" t="str">
        <f>IFERROR(INDEX(Liste_Grünland_DropDown[Grünland],_xlfn.AGGREGATE(15,6,(ROW(Liste_Grünland_DropDown[Grünland])-1)/(--(SEARCH(CZ$2,Liste_Grünland_DropDown[Grünland])&gt;0)),ROW()-2),1),"")</f>
        <v>GL über 40 % Leguminosen 2 Nutzungen</v>
      </c>
      <c r="CZ11" s="2449"/>
      <c r="DA11" s="2449" t="str">
        <f>IFERROR(INDEX(Liste_Grünland_DropDown[Grünland],_xlfn.AGGREGATE(15,6,(ROW(Liste_Grünland_DropDown[Grünland])-1)/(--(SEARCH(DB$2,Liste_Grünland_DropDown[Grünland])&gt;0)),ROW()-2),1),"")</f>
        <v>GL über 40 % Leguminosen 2 Nutzungen</v>
      </c>
      <c r="DB11" s="2449"/>
      <c r="DC11" s="2449" t="str">
        <f>IFERROR(INDEX(Liste_Grünland_DropDown[Grünland],_xlfn.AGGREGATE(15,6,(ROW(Liste_Grünland_DropDown[Grünland])-1)/(--(SEARCH(DD$2,Liste_Grünland_DropDown[Grünland])&gt;0)),ROW()-2),1),"")</f>
        <v>GL über 40 % Leguminosen 2 Nutzungen</v>
      </c>
      <c r="DD11" s="2449"/>
      <c r="DE11" s="2449" t="str">
        <f>IFERROR(INDEX(Liste_Grünland_DropDown[Grünland],_xlfn.AGGREGATE(15,6,(ROW(Liste_Grünland_DropDown[Grünland])-1)/(--(SEARCH(DF$2,Liste_Grünland_DropDown[Grünland])&gt;0)),ROW()-2),1),"")</f>
        <v>GL über 40 % Leguminosen 2 Nutzungen</v>
      </c>
      <c r="DF11" s="2449"/>
      <c r="DG11" s="2449" t="str">
        <f>IFERROR(INDEX(Liste_Grünland_DropDown[Grünland],_xlfn.AGGREGATE(15,6,(ROW(Liste_Grünland_DropDown[Grünland])-1)/(--(SEARCH(DH$2,Liste_Grünland_DropDown[Grünland])&gt;0)),ROW()-2),1),"")</f>
        <v>GL über 40 % Leguminosen 2 Nutzungen</v>
      </c>
      <c r="DH11" s="2449"/>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c r="IS11"/>
      <c r="IT11"/>
      <c r="IU11"/>
    </row>
    <row r="12" spans="1:255" ht="21" customHeight="1" thickBot="1">
      <c r="A12" s="514" t="s">
        <v>1810</v>
      </c>
      <c r="B12" s="508" t="str">
        <f t="shared" si="0"/>
        <v xml:space="preserve">h - </v>
      </c>
      <c r="C12" s="2650"/>
      <c r="D12" s="2651"/>
      <c r="E12" s="1140"/>
      <c r="F12" s="1141"/>
      <c r="G12" s="2323" t="str">
        <f t="shared" si="13"/>
        <v/>
      </c>
      <c r="H12" s="1142"/>
      <c r="I12" s="1143">
        <f t="shared" si="1"/>
        <v>0</v>
      </c>
      <c r="J12" s="1144">
        <f t="shared" si="2"/>
        <v>0</v>
      </c>
      <c r="K12" s="1142"/>
      <c r="L12" s="1145">
        <f t="shared" si="3"/>
        <v>0</v>
      </c>
      <c r="M12" s="1146">
        <f t="shared" si="4"/>
        <v>0</v>
      </c>
      <c r="N12" s="2639" t="s">
        <v>2027</v>
      </c>
      <c r="O12" s="2639"/>
      <c r="P12" s="2639"/>
      <c r="Q12" s="2638"/>
      <c r="R12" s="2646">
        <v>30</v>
      </c>
      <c r="S12" s="2627">
        <f>Q12*R12</f>
        <v>0</v>
      </c>
      <c r="T12" s="951"/>
      <c r="U12" s="2629"/>
      <c r="V12" s="2629"/>
      <c r="W12" s="2629"/>
      <c r="X12" s="2629"/>
      <c r="Y12" s="949"/>
      <c r="Z12" s="949"/>
      <c r="AA12" s="949"/>
      <c r="AB12" s="949"/>
      <c r="AC12" s="949"/>
      <c r="AD12" s="949"/>
      <c r="AE12" s="2260" t="str">
        <f t="shared" si="5"/>
        <v/>
      </c>
      <c r="AF12" s="589">
        <f t="shared" si="6"/>
        <v>0</v>
      </c>
      <c r="AG12" s="589">
        <f t="shared" si="7"/>
        <v>0</v>
      </c>
      <c r="AH12" s="589">
        <f t="shared" si="8"/>
        <v>0</v>
      </c>
      <c r="AI12" s="589">
        <f t="shared" si="9"/>
        <v>0</v>
      </c>
      <c r="AJ12" s="589">
        <f t="shared" si="10"/>
        <v>0</v>
      </c>
      <c r="AK12" s="589">
        <f t="shared" si="11"/>
        <v>0</v>
      </c>
      <c r="AL12" s="589">
        <f t="shared" si="12"/>
        <v>0</v>
      </c>
      <c r="AM12" s="2264" t="s">
        <v>739</v>
      </c>
      <c r="AN12" s="2272">
        <v>70</v>
      </c>
      <c r="AO12" s="2275" t="s">
        <v>1967</v>
      </c>
      <c r="AP12" s="2272">
        <v>100</v>
      </c>
      <c r="AQ12" s="2276" t="s">
        <v>1963</v>
      </c>
      <c r="AR12" s="2272">
        <v>115</v>
      </c>
      <c r="AS12" s="2275" t="s">
        <v>1975</v>
      </c>
      <c r="AT12" s="2272">
        <v>125</v>
      </c>
      <c r="AU12" s="2275" t="s">
        <v>1976</v>
      </c>
      <c r="AV12" s="2272">
        <v>135</v>
      </c>
      <c r="AW12" s="2275" t="s">
        <v>1977</v>
      </c>
      <c r="AX12" s="2277">
        <v>90</v>
      </c>
      <c r="AY12" s="2278" t="s">
        <v>1963</v>
      </c>
      <c r="AZ12" s="2277">
        <v>100</v>
      </c>
      <c r="BA12" s="2278" t="s">
        <v>2001</v>
      </c>
      <c r="BB12" s="583">
        <v>16</v>
      </c>
      <c r="BC12" s="519"/>
      <c r="BD12" s="511"/>
      <c r="BE12" s="2264" t="s">
        <v>739</v>
      </c>
      <c r="BF12" s="575">
        <v>50</v>
      </c>
      <c r="BG12" s="575">
        <v>55</v>
      </c>
      <c r="BH12" s="575">
        <v>65</v>
      </c>
      <c r="BI12" s="511"/>
      <c r="BJ12" s="2264" t="s">
        <v>739</v>
      </c>
      <c r="BK12" s="575">
        <v>70</v>
      </c>
      <c r="BL12" s="575">
        <v>80</v>
      </c>
      <c r="BM12" s="575">
        <v>90</v>
      </c>
      <c r="BN12" s="1019">
        <f>IF('Kali u Kosten'!$H$3="ja",BO12,IF($V$27="nein",0,0))</f>
        <v>50</v>
      </c>
      <c r="BO12" s="575">
        <v>50</v>
      </c>
      <c r="BP12" s="458"/>
      <c r="BQ12" s="2527">
        <f>IFERROR(COUNTIF(Liste_Ackerkulturen_Gemüse_DropDown[Ackerkulturen],N_Bedarf!$C14),0)</f>
        <v>2</v>
      </c>
      <c r="BR12" s="458"/>
      <c r="BS12" s="2461" t="s">
        <v>1809</v>
      </c>
      <c r="BT12" s="2463" t="str">
        <f>IFERROR(INDEX(Liste_Ackerkulturen_Gemüse_DropDown[Ackerkulturen],_xlfn.AGGREGATE(15,6,(ROW(Liste_Ackerkulturen_Gemüse_DropDown[Ackerkulturen])-1)/(--(SEARCH(BU$2,Liste_Ackerkulturen_Gemüse_DropDown[Ackerkulturen])&gt;0)),ROW()-2),1),"")</f>
        <v>Sommerbraugerste</v>
      </c>
      <c r="BU12" s="2466"/>
      <c r="BV12" s="2463" t="str">
        <f>IFERROR(INDEX(Liste_Ackerkulturen_Gemüse_DropDown[Ackerkulturen],_xlfn.AGGREGATE(15,6,(ROW(Liste_Ackerkulturen_Gemüse_DropDown[Ackerkulturen])-1)/(--(SEARCH(BW$2,Liste_Ackerkulturen_Gemüse_DropDown[Ackerkulturen])&gt;0)),ROW()-2),1),"")</f>
        <v>Sommerbraugerste</v>
      </c>
      <c r="BW12" s="2463"/>
      <c r="BX12" s="2463" t="str">
        <f>IFERROR(INDEX(Liste_Ackerkulturen_Gemüse_DropDown[Ackerkulturen],_xlfn.AGGREGATE(15,6,(ROW(Liste_Ackerkulturen_Gemüse_DropDown[Ackerkulturen])-1)/(--(SEARCH(BY$2,Liste_Ackerkulturen_Gemüse_DropDown[Ackerkulturen])&gt;0)),ROW()-2),1),"")</f>
        <v>Sommerbraugerste</v>
      </c>
      <c r="BY12" s="2463"/>
      <c r="BZ12" s="2463" t="str">
        <f>IFERROR(INDEX(Liste_Ackerkulturen_Gemüse_DropDown[Ackerkulturen],_xlfn.AGGREGATE(15,6,(ROW(Liste_Ackerkulturen_Gemüse_DropDown[Ackerkulturen])-1)/(--(SEARCH(CA$2,Liste_Ackerkulturen_Gemüse_DropDown[Ackerkulturen])&gt;0)),ROW()-2),1),"")</f>
        <v>Sommerbraugerste</v>
      </c>
      <c r="CA12" s="2463"/>
      <c r="CB12" s="2463" t="str">
        <f>IFERROR(INDEX(Liste_Ackerkulturen_Gemüse_DropDown[Ackerkulturen],_xlfn.AGGREGATE(15,6,(ROW(Liste_Ackerkulturen_Gemüse_DropDown[Ackerkulturen])-1)/(--(SEARCH(CC$2,Liste_Ackerkulturen_Gemüse_DropDown[Ackerkulturen])&gt;0)),ROW()-2),1),"")</f>
        <v>Sommerbraugerste</v>
      </c>
      <c r="CC12" s="2463"/>
      <c r="CD12" s="2464" t="str">
        <f>IFERROR(INDEX(Liste_Ackerkulturen_Gemüse_DropDown[Ackerkulturen],_xlfn.AGGREGATE(15,6,(ROW(Liste_Ackerkulturen_Gemüse_DropDown[Ackerkulturen])-1)/(--(SEARCH(CE$2,Liste_Ackerkulturen_Gemüse_DropDown[Ackerkulturen])&gt;0)),ROW()-2),1),"")</f>
        <v>Sommerbraugerste</v>
      </c>
      <c r="CE12" s="2464"/>
      <c r="CF12" s="2464" t="str">
        <f>IFERROR(INDEX(Liste_Ackerkulturen_Gemüse_DropDown[Ackerkulturen],_xlfn.AGGREGATE(15,6,(ROW(Liste_Ackerkulturen_Gemüse_DropDown[Ackerkulturen])-1)/(--(SEARCH(CG$2,Liste_Ackerkulturen_Gemüse_DropDown[Ackerkulturen])&gt;0)),ROW()-2),1),"")</f>
        <v>Sommerbraugerste</v>
      </c>
      <c r="CG12" s="2464"/>
      <c r="CH12" s="2464" t="str">
        <f>IFERROR(INDEX(Liste_Ackerkulturen_Gemüse_DropDown[Ackerkulturen],_xlfn.AGGREGATE(15,6,(ROW(Liste_Ackerkulturen_Gemüse_DropDown[Ackerkulturen])-1)/(--(SEARCH(CI$2,Liste_Ackerkulturen_Gemüse_DropDown[Ackerkulturen])&gt;0)),ROW()-2),1),"")</f>
        <v>Sommerbraugerste</v>
      </c>
      <c r="CI12" s="2464"/>
      <c r="CJ12" s="2464" t="str">
        <f>IFERROR(INDEX(Liste_Ackerkulturen_Gemüse_DropDown[Ackerkulturen],_xlfn.AGGREGATE(15,6,(ROW(Liste_Ackerkulturen_Gemüse_DropDown[Ackerkulturen])-1)/(--(SEARCH(CK$2,Liste_Ackerkulturen_Gemüse_DropDown[Ackerkulturen])&gt;0)),ROW()-2),1),"")</f>
        <v>Sommerbraugerste</v>
      </c>
      <c r="CK12" s="2464"/>
      <c r="CL12" s="2464" t="str">
        <f>IFERROR(INDEX(Liste_Ackerkulturen_Gemüse_DropDown[Ackerkulturen],_xlfn.AGGREGATE(15,6,(ROW(Liste_Ackerkulturen_Gemüse_DropDown[Ackerkulturen])-1)/(--(SEARCH(CM$2,Liste_Ackerkulturen_Gemüse_DropDown[Ackerkulturen])&gt;0)),ROW()-2),1),"")</f>
        <v>Sommerbraugerste</v>
      </c>
      <c r="CM12" s="2464"/>
      <c r="CN12" s="2464" t="str">
        <f>IFERROR(INDEX(Liste_Ackerkulturen_Gemüse_DropDown[Ackerkulturen],_xlfn.AGGREGATE(15,6,(ROW(Liste_Ackerkulturen_Gemüse_DropDown[Ackerkulturen])-1)/(--(SEARCH(CO$2,Liste_Ackerkulturen_Gemüse_DropDown[Ackerkulturen])&gt;0)),ROW()-2),1),"")</f>
        <v>Sommerbraugerste</v>
      </c>
      <c r="CO12" s="2464"/>
      <c r="CP12" s="2464" t="str">
        <f>IFERROR(INDEX(Liste_Ackerkulturen_Gemüse_DropDown[Ackerkulturen],_xlfn.AGGREGATE(15,6,(ROW(Liste_Ackerkulturen_Gemüse_DropDown[Ackerkulturen])-1)/(--(SEARCH(CQ$2,Liste_Ackerkulturen_Gemüse_DropDown[Ackerkulturen])&gt;0)),ROW()-2),1),"")</f>
        <v>Sommerbraugerste</v>
      </c>
      <c r="CQ12" s="2464"/>
      <c r="CR12" s="2464" t="str">
        <f>IFERROR(INDEX(Liste_Ackerkulturen_Gemüse_DropDown[Ackerkulturen],_xlfn.AGGREGATE(15,6,(ROW(Liste_Ackerkulturen_Gemüse_DropDown[Ackerkulturen])-1)/(--(SEARCH(CS$2,Liste_Ackerkulturen_Gemüse_DropDown[Ackerkulturen])&gt;0)),ROW()-2),1),"")</f>
        <v>Sommerbraugerste</v>
      </c>
      <c r="CS12" s="2464"/>
      <c r="CT12"/>
      <c r="CU12"/>
      <c r="CV12" t="s">
        <v>2366</v>
      </c>
      <c r="CW12" t="str">
        <f>IFERROR(INDEX(Liste_Grünland_DropDown[Grünland],_xlfn.AGGREGATE(15,6,(ROW(Liste_Grünland_DropDown[Grünland])-1)/(--(SEARCH(CX$2,Liste_Grünland_DropDown[Grünland])&gt;0)),ROW()-2),1),"")</f>
        <v>GL über 40 % Leguminosen 3 Nutzungen</v>
      </c>
      <c r="CX12"/>
      <c r="CY12" t="str">
        <f>IFERROR(INDEX(Liste_Grünland_DropDown[Grünland],_xlfn.AGGREGATE(15,6,(ROW(Liste_Grünland_DropDown[Grünland])-1)/(--(SEARCH(CZ$2,Liste_Grünland_DropDown[Grünland])&gt;0)),ROW()-2),1),"")</f>
        <v>GL über 40 % Leguminosen 3 Nutzungen</v>
      </c>
      <c r="CZ12" s="2449"/>
      <c r="DA12" s="2449" t="str">
        <f>IFERROR(INDEX(Liste_Grünland_DropDown[Grünland],_xlfn.AGGREGATE(15,6,(ROW(Liste_Grünland_DropDown[Grünland])-1)/(--(SEARCH(DB$2,Liste_Grünland_DropDown[Grünland])&gt;0)),ROW()-2),1),"")</f>
        <v>GL über 40 % Leguminosen 3 Nutzungen</v>
      </c>
      <c r="DB12" s="2449"/>
      <c r="DC12" s="2449" t="str">
        <f>IFERROR(INDEX(Liste_Grünland_DropDown[Grünland],_xlfn.AGGREGATE(15,6,(ROW(Liste_Grünland_DropDown[Grünland])-1)/(--(SEARCH(DD$2,Liste_Grünland_DropDown[Grünland])&gt;0)),ROW()-2),1),"")</f>
        <v>GL über 40 % Leguminosen 3 Nutzungen</v>
      </c>
      <c r="DD12" s="2449"/>
      <c r="DE12" s="2449" t="str">
        <f>IFERROR(INDEX(Liste_Grünland_DropDown[Grünland],_xlfn.AGGREGATE(15,6,(ROW(Liste_Grünland_DropDown[Grünland])-1)/(--(SEARCH(DF$2,Liste_Grünland_DropDown[Grünland])&gt;0)),ROW()-2),1),"")</f>
        <v>GL über 40 % Leguminosen 3 Nutzungen</v>
      </c>
      <c r="DF12" s="2449"/>
      <c r="DG12" s="2449" t="str">
        <f>IFERROR(INDEX(Liste_Grünland_DropDown[Grünland],_xlfn.AGGREGATE(15,6,(ROW(Liste_Grünland_DropDown[Grünland])-1)/(--(SEARCH(DH$2,Liste_Grünland_DropDown[Grünland])&gt;0)),ROW()-2),1),"")</f>
        <v>GL über 40 % Leguminosen 3 Nutzungen</v>
      </c>
      <c r="DH12" s="2449"/>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c r="IS12"/>
      <c r="IT12"/>
      <c r="IU12"/>
    </row>
    <row r="13" spans="1:255" ht="21" customHeight="1" thickBot="1">
      <c r="A13" s="514" t="s">
        <v>1811</v>
      </c>
      <c r="B13" s="508" t="str">
        <f t="shared" si="0"/>
        <v xml:space="preserve">i - </v>
      </c>
      <c r="C13" s="2650"/>
      <c r="D13" s="2651"/>
      <c r="E13" s="1140"/>
      <c r="F13" s="1141"/>
      <c r="G13" s="2323" t="str">
        <f t="shared" si="13"/>
        <v/>
      </c>
      <c r="H13" s="1142"/>
      <c r="I13" s="1143">
        <f t="shared" si="1"/>
        <v>0</v>
      </c>
      <c r="J13" s="1144">
        <f t="shared" si="2"/>
        <v>0</v>
      </c>
      <c r="K13" s="1142"/>
      <c r="L13" s="1145">
        <f t="shared" si="3"/>
        <v>0</v>
      </c>
      <c r="M13" s="1146">
        <f t="shared" si="4"/>
        <v>0</v>
      </c>
      <c r="N13" s="2639"/>
      <c r="O13" s="2639"/>
      <c r="P13" s="2639"/>
      <c r="Q13" s="2638"/>
      <c r="R13" s="2646"/>
      <c r="S13" s="2627"/>
      <c r="T13" s="951"/>
      <c r="U13" s="949"/>
      <c r="V13" s="949"/>
      <c r="W13" s="949"/>
      <c r="X13" s="949"/>
      <c r="Y13" s="949"/>
      <c r="Z13" s="949"/>
      <c r="AA13" s="949"/>
      <c r="AB13" s="949"/>
      <c r="AC13" s="949"/>
      <c r="AD13" s="949"/>
      <c r="AE13" s="2260" t="str">
        <f t="shared" si="5"/>
        <v/>
      </c>
      <c r="AF13" s="589">
        <f t="shared" si="6"/>
        <v>0</v>
      </c>
      <c r="AG13" s="589">
        <f t="shared" si="7"/>
        <v>0</v>
      </c>
      <c r="AH13" s="589">
        <f t="shared" si="8"/>
        <v>0</v>
      </c>
      <c r="AI13" s="589">
        <f t="shared" si="9"/>
        <v>0</v>
      </c>
      <c r="AJ13" s="589">
        <f t="shared" si="10"/>
        <v>0</v>
      </c>
      <c r="AK13" s="589">
        <f t="shared" si="11"/>
        <v>0</v>
      </c>
      <c r="AL13" s="589">
        <f t="shared" si="12"/>
        <v>0</v>
      </c>
      <c r="AM13" s="2264" t="s">
        <v>888</v>
      </c>
      <c r="AN13" s="2272">
        <v>65</v>
      </c>
      <c r="AO13" s="2275" t="s">
        <v>1967</v>
      </c>
      <c r="AP13" s="2272">
        <v>80</v>
      </c>
      <c r="AQ13" s="2276" t="s">
        <v>1963</v>
      </c>
      <c r="AR13" s="2272">
        <v>95</v>
      </c>
      <c r="AS13" s="2275" t="s">
        <v>1975</v>
      </c>
      <c r="AT13" s="2272">
        <v>105</v>
      </c>
      <c r="AU13" s="2275" t="s">
        <v>1976</v>
      </c>
      <c r="AV13" s="2272">
        <v>110</v>
      </c>
      <c r="AW13" s="2275" t="s">
        <v>1977</v>
      </c>
      <c r="AX13" s="2277">
        <v>70</v>
      </c>
      <c r="AY13" s="2278" t="s">
        <v>1963</v>
      </c>
      <c r="AZ13" s="2277">
        <v>80</v>
      </c>
      <c r="BA13" s="2278" t="s">
        <v>2001</v>
      </c>
      <c r="BB13" s="583">
        <v>14</v>
      </c>
      <c r="BC13" s="519"/>
      <c r="BD13" s="511"/>
      <c r="BE13" s="2264" t="s">
        <v>888</v>
      </c>
      <c r="BF13" s="575">
        <v>50</v>
      </c>
      <c r="BG13" s="575">
        <v>55</v>
      </c>
      <c r="BH13" s="575">
        <v>65</v>
      </c>
      <c r="BI13" s="511"/>
      <c r="BJ13" s="2264" t="s">
        <v>888</v>
      </c>
      <c r="BK13" s="575">
        <v>70</v>
      </c>
      <c r="BL13" s="575">
        <v>80</v>
      </c>
      <c r="BM13" s="575">
        <v>90</v>
      </c>
      <c r="BN13" s="1019">
        <f>IF('Kali u Kosten'!$H$3="ja",BO13,IF($V$27="nein",0,0))</f>
        <v>50</v>
      </c>
      <c r="BO13" s="575">
        <v>50</v>
      </c>
      <c r="BP13" s="458"/>
      <c r="BQ13" s="2527">
        <f>IFERROR(COUNTIF(Liste_Ackerkulturen_Gemüse_DropDown[Ackerkulturen],N_Bedarf!$C15),0)</f>
        <v>2</v>
      </c>
      <c r="BR13" s="458"/>
      <c r="BS13" s="2461" t="s">
        <v>1804</v>
      </c>
      <c r="BT13" s="2463" t="str">
        <f>IFERROR(INDEX(Liste_Ackerkulturen_Gemüse_DropDown[Ackerkulturen],_xlfn.AGGREGATE(15,6,(ROW(Liste_Ackerkulturen_Gemüse_DropDown[Ackerkulturen])-1)/(--(SEARCH(BU$2,Liste_Ackerkulturen_Gemüse_DropDown[Ackerkulturen])&gt;0)),ROW()-2),1),"")</f>
        <v>Sommerfuttergerste</v>
      </c>
      <c r="BU13" s="2466"/>
      <c r="BV13" s="2463" t="str">
        <f>IFERROR(INDEX(Liste_Ackerkulturen_Gemüse_DropDown[Ackerkulturen],_xlfn.AGGREGATE(15,6,(ROW(Liste_Ackerkulturen_Gemüse_DropDown[Ackerkulturen])-1)/(--(SEARCH(BW$2,Liste_Ackerkulturen_Gemüse_DropDown[Ackerkulturen])&gt;0)),ROW()-2),1),"")</f>
        <v>Sommerfuttergerste</v>
      </c>
      <c r="BW13" s="2463"/>
      <c r="BX13" s="2463" t="str">
        <f>IFERROR(INDEX(Liste_Ackerkulturen_Gemüse_DropDown[Ackerkulturen],_xlfn.AGGREGATE(15,6,(ROW(Liste_Ackerkulturen_Gemüse_DropDown[Ackerkulturen])-1)/(--(SEARCH(BY$2,Liste_Ackerkulturen_Gemüse_DropDown[Ackerkulturen])&gt;0)),ROW()-2),1),"")</f>
        <v>Sommerfuttergerste</v>
      </c>
      <c r="BY13" s="2463"/>
      <c r="BZ13" s="2463" t="str">
        <f>IFERROR(INDEX(Liste_Ackerkulturen_Gemüse_DropDown[Ackerkulturen],_xlfn.AGGREGATE(15,6,(ROW(Liste_Ackerkulturen_Gemüse_DropDown[Ackerkulturen])-1)/(--(SEARCH(CA$2,Liste_Ackerkulturen_Gemüse_DropDown[Ackerkulturen])&gt;0)),ROW()-2),1),"")</f>
        <v>Sommerfuttergerste</v>
      </c>
      <c r="CA13" s="2463"/>
      <c r="CB13" s="2463" t="str">
        <f>IFERROR(INDEX(Liste_Ackerkulturen_Gemüse_DropDown[Ackerkulturen],_xlfn.AGGREGATE(15,6,(ROW(Liste_Ackerkulturen_Gemüse_DropDown[Ackerkulturen])-1)/(--(SEARCH(CC$2,Liste_Ackerkulturen_Gemüse_DropDown[Ackerkulturen])&gt;0)),ROW()-2),1),"")</f>
        <v>Sommerfuttergerste</v>
      </c>
      <c r="CC13" s="2463"/>
      <c r="CD13" s="2464" t="str">
        <f>IFERROR(INDEX(Liste_Ackerkulturen_Gemüse_DropDown[Ackerkulturen],_xlfn.AGGREGATE(15,6,(ROW(Liste_Ackerkulturen_Gemüse_DropDown[Ackerkulturen])-1)/(--(SEARCH(CE$2,Liste_Ackerkulturen_Gemüse_DropDown[Ackerkulturen])&gt;0)),ROW()-2),1),"")</f>
        <v>Sommerfuttergerste</v>
      </c>
      <c r="CE13" s="2464"/>
      <c r="CF13" s="2464" t="str">
        <f>IFERROR(INDEX(Liste_Ackerkulturen_Gemüse_DropDown[Ackerkulturen],_xlfn.AGGREGATE(15,6,(ROW(Liste_Ackerkulturen_Gemüse_DropDown[Ackerkulturen])-1)/(--(SEARCH(CG$2,Liste_Ackerkulturen_Gemüse_DropDown[Ackerkulturen])&gt;0)),ROW()-2),1),"")</f>
        <v>Sommerfuttergerste</v>
      </c>
      <c r="CG13" s="2464"/>
      <c r="CH13" s="2464" t="str">
        <f>IFERROR(INDEX(Liste_Ackerkulturen_Gemüse_DropDown[Ackerkulturen],_xlfn.AGGREGATE(15,6,(ROW(Liste_Ackerkulturen_Gemüse_DropDown[Ackerkulturen])-1)/(--(SEARCH(CI$2,Liste_Ackerkulturen_Gemüse_DropDown[Ackerkulturen])&gt;0)),ROW()-2),1),"")</f>
        <v>Sommerfuttergerste</v>
      </c>
      <c r="CI13" s="2464"/>
      <c r="CJ13" s="2464" t="str">
        <f>IFERROR(INDEX(Liste_Ackerkulturen_Gemüse_DropDown[Ackerkulturen],_xlfn.AGGREGATE(15,6,(ROW(Liste_Ackerkulturen_Gemüse_DropDown[Ackerkulturen])-1)/(--(SEARCH(CK$2,Liste_Ackerkulturen_Gemüse_DropDown[Ackerkulturen])&gt;0)),ROW()-2),1),"")</f>
        <v>Sommerfuttergerste</v>
      </c>
      <c r="CK13" s="2464"/>
      <c r="CL13" s="2464" t="str">
        <f>IFERROR(INDEX(Liste_Ackerkulturen_Gemüse_DropDown[Ackerkulturen],_xlfn.AGGREGATE(15,6,(ROW(Liste_Ackerkulturen_Gemüse_DropDown[Ackerkulturen])-1)/(--(SEARCH(CM$2,Liste_Ackerkulturen_Gemüse_DropDown[Ackerkulturen])&gt;0)),ROW()-2),1),"")</f>
        <v>Sommerfuttergerste</v>
      </c>
      <c r="CM13" s="2464"/>
      <c r="CN13" s="2464" t="str">
        <f>IFERROR(INDEX(Liste_Ackerkulturen_Gemüse_DropDown[Ackerkulturen],_xlfn.AGGREGATE(15,6,(ROW(Liste_Ackerkulturen_Gemüse_DropDown[Ackerkulturen])-1)/(--(SEARCH(CO$2,Liste_Ackerkulturen_Gemüse_DropDown[Ackerkulturen])&gt;0)),ROW()-2),1),"")</f>
        <v>Sommerfuttergerste</v>
      </c>
      <c r="CO13" s="2464"/>
      <c r="CP13" s="2464" t="str">
        <f>IFERROR(INDEX(Liste_Ackerkulturen_Gemüse_DropDown[Ackerkulturen],_xlfn.AGGREGATE(15,6,(ROW(Liste_Ackerkulturen_Gemüse_DropDown[Ackerkulturen])-1)/(--(SEARCH(CQ$2,Liste_Ackerkulturen_Gemüse_DropDown[Ackerkulturen])&gt;0)),ROW()-2),1),"")</f>
        <v>Sommerfuttergerste</v>
      </c>
      <c r="CQ13" s="2464"/>
      <c r="CR13" s="2464" t="str">
        <f>IFERROR(INDEX(Liste_Ackerkulturen_Gemüse_DropDown[Ackerkulturen],_xlfn.AGGREGATE(15,6,(ROW(Liste_Ackerkulturen_Gemüse_DropDown[Ackerkulturen])-1)/(--(SEARCH(CS$2,Liste_Ackerkulturen_Gemüse_DropDown[Ackerkulturen])&gt;0)),ROW()-2),1),"")</f>
        <v>Sommerfuttergerste</v>
      </c>
      <c r="CS13" s="2464"/>
      <c r="CT13"/>
      <c r="CU13"/>
      <c r="CV13" t="s">
        <v>2367</v>
      </c>
      <c r="CW13" t="str">
        <f>IFERROR(INDEX(Liste_Grünland_DropDown[Grünland],_xlfn.AGGREGATE(15,6,(ROW(Liste_Grünland_DropDown[Grünland])-1)/(--(SEARCH(CX$2,Liste_Grünland_DropDown[Grünland])&gt;0)),ROW()-2),1),"")</f>
        <v>GL über 40 % Leguminosen 4 Nutzungen</v>
      </c>
      <c r="CX13"/>
      <c r="CY13" t="str">
        <f>IFERROR(INDEX(Liste_Grünland_DropDown[Grünland],_xlfn.AGGREGATE(15,6,(ROW(Liste_Grünland_DropDown[Grünland])-1)/(--(SEARCH(CZ$2,Liste_Grünland_DropDown[Grünland])&gt;0)),ROW()-2),1),"")</f>
        <v>GL über 40 % Leguminosen 4 Nutzungen</v>
      </c>
      <c r="CZ13" s="2449"/>
      <c r="DA13" s="2449" t="str">
        <f>IFERROR(INDEX(Liste_Grünland_DropDown[Grünland],_xlfn.AGGREGATE(15,6,(ROW(Liste_Grünland_DropDown[Grünland])-1)/(--(SEARCH(DB$2,Liste_Grünland_DropDown[Grünland])&gt;0)),ROW()-2),1),"")</f>
        <v>GL über 40 % Leguminosen 4 Nutzungen</v>
      </c>
      <c r="DB13" s="2449"/>
      <c r="DC13" s="2449" t="str">
        <f>IFERROR(INDEX(Liste_Grünland_DropDown[Grünland],_xlfn.AGGREGATE(15,6,(ROW(Liste_Grünland_DropDown[Grünland])-1)/(--(SEARCH(DD$2,Liste_Grünland_DropDown[Grünland])&gt;0)),ROW()-2),1),"")</f>
        <v>GL über 40 % Leguminosen 4 Nutzungen</v>
      </c>
      <c r="DD13" s="2449"/>
      <c r="DE13" s="2449" t="str">
        <f>IFERROR(INDEX(Liste_Grünland_DropDown[Grünland],_xlfn.AGGREGATE(15,6,(ROW(Liste_Grünland_DropDown[Grünland])-1)/(--(SEARCH(DF$2,Liste_Grünland_DropDown[Grünland])&gt;0)),ROW()-2),1),"")</f>
        <v>GL über 40 % Leguminosen 4 Nutzungen</v>
      </c>
      <c r="DF13" s="2449"/>
      <c r="DG13" s="2449" t="str">
        <f>IFERROR(INDEX(Liste_Grünland_DropDown[Grünland],_xlfn.AGGREGATE(15,6,(ROW(Liste_Grünland_DropDown[Grünland])-1)/(--(SEARCH(DH$2,Liste_Grünland_DropDown[Grünland])&gt;0)),ROW()-2),1),"")</f>
        <v>GL über 40 % Leguminosen 4 Nutzungen</v>
      </c>
      <c r="DH13" s="2449"/>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row>
    <row r="14" spans="1:255" ht="21" customHeight="1" thickBot="1">
      <c r="A14" s="514" t="s">
        <v>1812</v>
      </c>
      <c r="B14" s="508" t="str">
        <f t="shared" si="0"/>
        <v xml:space="preserve">j - </v>
      </c>
      <c r="C14" s="2650"/>
      <c r="D14" s="2651"/>
      <c r="E14" s="1140"/>
      <c r="F14" s="1141"/>
      <c r="G14" s="2323" t="str">
        <f t="shared" si="13"/>
        <v/>
      </c>
      <c r="H14" s="1142"/>
      <c r="I14" s="1143">
        <f t="shared" si="1"/>
        <v>0</v>
      </c>
      <c r="J14" s="1144">
        <f t="shared" si="2"/>
        <v>0</v>
      </c>
      <c r="K14" s="1142"/>
      <c r="L14" s="1145">
        <f t="shared" si="3"/>
        <v>0</v>
      </c>
      <c r="M14" s="1146">
        <f t="shared" si="4"/>
        <v>0</v>
      </c>
      <c r="N14" s="2639"/>
      <c r="O14" s="2639"/>
      <c r="P14" s="2639"/>
      <c r="Q14" s="2638"/>
      <c r="R14" s="2646"/>
      <c r="S14" s="2627"/>
      <c r="T14" s="951"/>
      <c r="U14" s="949"/>
      <c r="V14" s="949"/>
      <c r="W14" s="949"/>
      <c r="X14" s="949"/>
      <c r="Y14" s="949"/>
      <c r="Z14" s="949"/>
      <c r="AA14" s="949"/>
      <c r="AB14" s="949"/>
      <c r="AC14" s="949"/>
      <c r="AD14" s="949"/>
      <c r="AE14" s="2260" t="str">
        <f t="shared" si="5"/>
        <v/>
      </c>
      <c r="AF14" s="589">
        <f t="shared" si="6"/>
        <v>0</v>
      </c>
      <c r="AG14" s="589">
        <f t="shared" si="7"/>
        <v>0</v>
      </c>
      <c r="AH14" s="589">
        <f t="shared" si="8"/>
        <v>0</v>
      </c>
      <c r="AI14" s="589">
        <f t="shared" si="9"/>
        <v>0</v>
      </c>
      <c r="AJ14" s="589">
        <f t="shared" si="10"/>
        <v>0</v>
      </c>
      <c r="AK14" s="589">
        <f t="shared" si="11"/>
        <v>0</v>
      </c>
      <c r="AL14" s="589">
        <f t="shared" si="12"/>
        <v>0</v>
      </c>
      <c r="AM14" s="2264" t="s">
        <v>1809</v>
      </c>
      <c r="AN14" s="2272">
        <v>80</v>
      </c>
      <c r="AO14" s="2275" t="s">
        <v>1967</v>
      </c>
      <c r="AP14" s="2272">
        <v>110</v>
      </c>
      <c r="AQ14" s="2276" t="s">
        <v>1968</v>
      </c>
      <c r="AR14" s="2272">
        <v>130</v>
      </c>
      <c r="AS14" s="2275" t="s">
        <v>1972</v>
      </c>
      <c r="AT14" s="2272">
        <v>140</v>
      </c>
      <c r="AU14" s="2275" t="s">
        <v>1973</v>
      </c>
      <c r="AV14" s="2272">
        <v>150</v>
      </c>
      <c r="AW14" s="2275" t="s">
        <v>1974</v>
      </c>
      <c r="AX14" s="2277">
        <v>100</v>
      </c>
      <c r="AY14" s="2278" t="s">
        <v>1968</v>
      </c>
      <c r="AZ14" s="2277">
        <v>110</v>
      </c>
      <c r="BA14" s="2278" t="s">
        <v>50</v>
      </c>
      <c r="BB14" s="583">
        <v>18</v>
      </c>
      <c r="BC14" s="519"/>
      <c r="BD14" s="511"/>
      <c r="BE14" s="2264" t="s">
        <v>1809</v>
      </c>
      <c r="BF14" s="575">
        <v>50</v>
      </c>
      <c r="BG14" s="575">
        <v>55</v>
      </c>
      <c r="BH14" s="575">
        <v>65</v>
      </c>
      <c r="BI14" s="511"/>
      <c r="BJ14" s="2264" t="s">
        <v>1809</v>
      </c>
      <c r="BK14" s="575">
        <v>70</v>
      </c>
      <c r="BL14" s="575">
        <v>80</v>
      </c>
      <c r="BM14" s="575">
        <v>90</v>
      </c>
      <c r="BN14" s="1019">
        <f>IF('Kali u Kosten'!$H$3="ja",BO14,IF($V$27="nein",0,0))</f>
        <v>50</v>
      </c>
      <c r="BO14" s="575">
        <v>50</v>
      </c>
      <c r="BP14" s="458"/>
      <c r="BQ14" s="2527">
        <f>IFERROR(COUNTIF(Liste_Ackerkulturen_Gemüse_DropDown[Ackerkulturen],N_Bedarf!$C16),0)</f>
        <v>2</v>
      </c>
      <c r="BR14" s="458"/>
      <c r="BS14" s="2461" t="s">
        <v>737</v>
      </c>
      <c r="BT14" s="2463" t="str">
        <f>IFERROR(INDEX(Liste_Ackerkulturen_Gemüse_DropDown[Ackerkulturen],_xlfn.AGGREGATE(15,6,(ROW(Liste_Ackerkulturen_Gemüse_DropDown[Ackerkulturen])-1)/(--(SEARCH(BU$2,Liste_Ackerkulturen_Gemüse_DropDown[Ackerkulturen])&gt;0)),ROW()-2),1),"")</f>
        <v>Körnermais</v>
      </c>
      <c r="BU14" s="2466"/>
      <c r="BV14" s="2463" t="str">
        <f>IFERROR(INDEX(Liste_Ackerkulturen_Gemüse_DropDown[Ackerkulturen],_xlfn.AGGREGATE(15,6,(ROW(Liste_Ackerkulturen_Gemüse_DropDown[Ackerkulturen])-1)/(--(SEARCH(BW$2,Liste_Ackerkulturen_Gemüse_DropDown[Ackerkulturen])&gt;0)),ROW()-2),1),"")</f>
        <v>Körnermais</v>
      </c>
      <c r="BW14" s="2463"/>
      <c r="BX14" s="2463" t="str">
        <f>IFERROR(INDEX(Liste_Ackerkulturen_Gemüse_DropDown[Ackerkulturen],_xlfn.AGGREGATE(15,6,(ROW(Liste_Ackerkulturen_Gemüse_DropDown[Ackerkulturen])-1)/(--(SEARCH(BY$2,Liste_Ackerkulturen_Gemüse_DropDown[Ackerkulturen])&gt;0)),ROW()-2),1),"")</f>
        <v>Körnermais</v>
      </c>
      <c r="BY14" s="2463"/>
      <c r="BZ14" s="2463" t="str">
        <f>IFERROR(INDEX(Liste_Ackerkulturen_Gemüse_DropDown[Ackerkulturen],_xlfn.AGGREGATE(15,6,(ROW(Liste_Ackerkulturen_Gemüse_DropDown[Ackerkulturen])-1)/(--(SEARCH(CA$2,Liste_Ackerkulturen_Gemüse_DropDown[Ackerkulturen])&gt;0)),ROW()-2),1),"")</f>
        <v>Körnermais</v>
      </c>
      <c r="CA14" s="2463"/>
      <c r="CB14" s="2463" t="str">
        <f>IFERROR(INDEX(Liste_Ackerkulturen_Gemüse_DropDown[Ackerkulturen],_xlfn.AGGREGATE(15,6,(ROW(Liste_Ackerkulturen_Gemüse_DropDown[Ackerkulturen])-1)/(--(SEARCH(CC$2,Liste_Ackerkulturen_Gemüse_DropDown[Ackerkulturen])&gt;0)),ROW()-2),1),"")</f>
        <v>Körnermais</v>
      </c>
      <c r="CC14" s="2463"/>
      <c r="CD14" s="2464" t="str">
        <f>IFERROR(INDEX(Liste_Ackerkulturen_Gemüse_DropDown[Ackerkulturen],_xlfn.AGGREGATE(15,6,(ROW(Liste_Ackerkulturen_Gemüse_DropDown[Ackerkulturen])-1)/(--(SEARCH(CE$2,Liste_Ackerkulturen_Gemüse_DropDown[Ackerkulturen])&gt;0)),ROW()-2),1),"")</f>
        <v>Körnermais</v>
      </c>
      <c r="CE14" s="2464"/>
      <c r="CF14" s="2464" t="str">
        <f>IFERROR(INDEX(Liste_Ackerkulturen_Gemüse_DropDown[Ackerkulturen],_xlfn.AGGREGATE(15,6,(ROW(Liste_Ackerkulturen_Gemüse_DropDown[Ackerkulturen])-1)/(--(SEARCH(CG$2,Liste_Ackerkulturen_Gemüse_DropDown[Ackerkulturen])&gt;0)),ROW()-2),1),"")</f>
        <v>Körnermais</v>
      </c>
      <c r="CG14" s="2464"/>
      <c r="CH14" s="2464" t="str">
        <f>IFERROR(INDEX(Liste_Ackerkulturen_Gemüse_DropDown[Ackerkulturen],_xlfn.AGGREGATE(15,6,(ROW(Liste_Ackerkulturen_Gemüse_DropDown[Ackerkulturen])-1)/(--(SEARCH(CI$2,Liste_Ackerkulturen_Gemüse_DropDown[Ackerkulturen])&gt;0)),ROW()-2),1),"")</f>
        <v>Körnermais</v>
      </c>
      <c r="CI14" s="2464"/>
      <c r="CJ14" s="2464" t="str">
        <f>IFERROR(INDEX(Liste_Ackerkulturen_Gemüse_DropDown[Ackerkulturen],_xlfn.AGGREGATE(15,6,(ROW(Liste_Ackerkulturen_Gemüse_DropDown[Ackerkulturen])-1)/(--(SEARCH(CK$2,Liste_Ackerkulturen_Gemüse_DropDown[Ackerkulturen])&gt;0)),ROW()-2),1),"")</f>
        <v>Körnermais</v>
      </c>
      <c r="CK14" s="2464"/>
      <c r="CL14" s="2464" t="str">
        <f>IFERROR(INDEX(Liste_Ackerkulturen_Gemüse_DropDown[Ackerkulturen],_xlfn.AGGREGATE(15,6,(ROW(Liste_Ackerkulturen_Gemüse_DropDown[Ackerkulturen])-1)/(--(SEARCH(CM$2,Liste_Ackerkulturen_Gemüse_DropDown[Ackerkulturen])&gt;0)),ROW()-2),1),"")</f>
        <v>Körnermais</v>
      </c>
      <c r="CM14" s="2464"/>
      <c r="CN14" s="2464" t="str">
        <f>IFERROR(INDEX(Liste_Ackerkulturen_Gemüse_DropDown[Ackerkulturen],_xlfn.AGGREGATE(15,6,(ROW(Liste_Ackerkulturen_Gemüse_DropDown[Ackerkulturen])-1)/(--(SEARCH(CO$2,Liste_Ackerkulturen_Gemüse_DropDown[Ackerkulturen])&gt;0)),ROW()-2),1),"")</f>
        <v>Körnermais</v>
      </c>
      <c r="CO14" s="2464"/>
      <c r="CP14" s="2464" t="str">
        <f>IFERROR(INDEX(Liste_Ackerkulturen_Gemüse_DropDown[Ackerkulturen],_xlfn.AGGREGATE(15,6,(ROW(Liste_Ackerkulturen_Gemüse_DropDown[Ackerkulturen])-1)/(--(SEARCH(CQ$2,Liste_Ackerkulturen_Gemüse_DropDown[Ackerkulturen])&gt;0)),ROW()-2),1),"")</f>
        <v>Körnermais</v>
      </c>
      <c r="CQ14" s="2464"/>
      <c r="CR14" s="2464" t="str">
        <f>IFERROR(INDEX(Liste_Ackerkulturen_Gemüse_DropDown[Ackerkulturen],_xlfn.AGGREGATE(15,6,(ROW(Liste_Ackerkulturen_Gemüse_DropDown[Ackerkulturen])-1)/(--(SEARCH(CS$2,Liste_Ackerkulturen_Gemüse_DropDown[Ackerkulturen])&gt;0)),ROW()-2),1),"")</f>
        <v>Körnermais</v>
      </c>
      <c r="CS14" s="2464"/>
      <c r="CT14"/>
      <c r="CU14"/>
      <c r="CV14" t="s">
        <v>2368</v>
      </c>
      <c r="CW14" t="str">
        <f>IFERROR(INDEX(Liste_Grünland_DropDown[Grünland],_xlfn.AGGREGATE(15,6,(ROW(Liste_Grünland_DropDown[Grünland])-1)/(--(SEARCH(CX$2,Liste_Grünland_DropDown[Grünland])&gt;0)),ROW()-2),1),"")</f>
        <v>GL über 40 % Leguminosen 5 Nutzungen</v>
      </c>
      <c r="CX14"/>
      <c r="CY14" t="str">
        <f>IFERROR(INDEX(Liste_Grünland_DropDown[Grünland],_xlfn.AGGREGATE(15,6,(ROW(Liste_Grünland_DropDown[Grünland])-1)/(--(SEARCH(CZ$2,Liste_Grünland_DropDown[Grünland])&gt;0)),ROW()-2),1),"")</f>
        <v>GL über 40 % Leguminosen 5 Nutzungen</v>
      </c>
      <c r="CZ14" s="2449"/>
      <c r="DA14" s="2449" t="str">
        <f>IFERROR(INDEX(Liste_Grünland_DropDown[Grünland],_xlfn.AGGREGATE(15,6,(ROW(Liste_Grünland_DropDown[Grünland])-1)/(--(SEARCH(DB$2,Liste_Grünland_DropDown[Grünland])&gt;0)),ROW()-2),1),"")</f>
        <v>GL über 40 % Leguminosen 5 Nutzungen</v>
      </c>
      <c r="DB14" s="2449"/>
      <c r="DC14" s="2449" t="str">
        <f>IFERROR(INDEX(Liste_Grünland_DropDown[Grünland],_xlfn.AGGREGATE(15,6,(ROW(Liste_Grünland_DropDown[Grünland])-1)/(--(SEARCH(DD$2,Liste_Grünland_DropDown[Grünland])&gt;0)),ROW()-2),1),"")</f>
        <v>GL über 40 % Leguminosen 5 Nutzungen</v>
      </c>
      <c r="DD14" s="2449"/>
      <c r="DE14" s="2449" t="str">
        <f>IFERROR(INDEX(Liste_Grünland_DropDown[Grünland],_xlfn.AGGREGATE(15,6,(ROW(Liste_Grünland_DropDown[Grünland])-1)/(--(SEARCH(DF$2,Liste_Grünland_DropDown[Grünland])&gt;0)),ROW()-2),1),"")</f>
        <v>GL über 40 % Leguminosen 5 Nutzungen</v>
      </c>
      <c r="DF14" s="2449"/>
      <c r="DG14" s="2449" t="str">
        <f>IFERROR(INDEX(Liste_Grünland_DropDown[Grünland],_xlfn.AGGREGATE(15,6,(ROW(Liste_Grünland_DropDown[Grünland])-1)/(--(SEARCH(DH$2,Liste_Grünland_DropDown[Grünland])&gt;0)),ROW()-2),1),"")</f>
        <v>GL über 40 % Leguminosen 5 Nutzungen</v>
      </c>
      <c r="DH14" s="2449"/>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row>
    <row r="15" spans="1:255" ht="21" customHeight="1" thickBot="1">
      <c r="A15" s="514" t="s">
        <v>1813</v>
      </c>
      <c r="B15" s="508" t="str">
        <f t="shared" si="0"/>
        <v xml:space="preserve">k - </v>
      </c>
      <c r="C15" s="2650"/>
      <c r="D15" s="2651"/>
      <c r="E15" s="1140"/>
      <c r="F15" s="1141"/>
      <c r="G15" s="2323" t="str">
        <f t="shared" si="13"/>
        <v/>
      </c>
      <c r="H15" s="1142"/>
      <c r="I15" s="1143">
        <f t="shared" si="1"/>
        <v>0</v>
      </c>
      <c r="J15" s="1144">
        <f t="shared" si="2"/>
        <v>0</v>
      </c>
      <c r="K15" s="1142"/>
      <c r="L15" s="1145">
        <f t="shared" si="3"/>
        <v>0</v>
      </c>
      <c r="M15" s="1146">
        <f t="shared" si="4"/>
        <v>0</v>
      </c>
      <c r="N15" s="2634" t="s">
        <v>801</v>
      </c>
      <c r="O15" s="2634"/>
      <c r="P15" s="2634"/>
      <c r="Q15" s="2638"/>
      <c r="R15" s="2646">
        <v>40</v>
      </c>
      <c r="S15" s="2627">
        <f>Q15*R15</f>
        <v>0</v>
      </c>
      <c r="T15" s="951"/>
      <c r="U15" s="949"/>
      <c r="V15" s="949"/>
      <c r="W15" s="949"/>
      <c r="X15" s="949"/>
      <c r="Y15" s="949"/>
      <c r="Z15" s="949"/>
      <c r="AA15" s="949"/>
      <c r="AB15" s="949"/>
      <c r="AC15" s="949"/>
      <c r="AD15" s="949"/>
      <c r="AE15" s="2260" t="str">
        <f t="shared" si="5"/>
        <v/>
      </c>
      <c r="AF15" s="589">
        <f t="shared" si="6"/>
        <v>0</v>
      </c>
      <c r="AG15" s="589">
        <f t="shared" si="7"/>
        <v>0</v>
      </c>
      <c r="AH15" s="589">
        <f t="shared" si="8"/>
        <v>0</v>
      </c>
      <c r="AI15" s="589">
        <f t="shared" si="9"/>
        <v>0</v>
      </c>
      <c r="AJ15" s="589">
        <f t="shared" si="10"/>
        <v>0</v>
      </c>
      <c r="AK15" s="589">
        <f t="shared" si="11"/>
        <v>0</v>
      </c>
      <c r="AL15" s="589">
        <f t="shared" si="12"/>
        <v>0</v>
      </c>
      <c r="AM15" s="2264" t="s">
        <v>1804</v>
      </c>
      <c r="AN15" s="2272">
        <v>110</v>
      </c>
      <c r="AO15" s="2275" t="s">
        <v>1978</v>
      </c>
      <c r="AP15" s="2272">
        <v>155</v>
      </c>
      <c r="AQ15" s="2276" t="s">
        <v>1979</v>
      </c>
      <c r="AR15" s="2272">
        <v>180</v>
      </c>
      <c r="AS15" s="2275" t="s">
        <v>1980</v>
      </c>
      <c r="AT15" s="2272">
        <v>195</v>
      </c>
      <c r="AU15" s="2275" t="s">
        <v>1981</v>
      </c>
      <c r="AV15" s="2272">
        <v>210</v>
      </c>
      <c r="AW15" s="2275" t="s">
        <v>1982</v>
      </c>
      <c r="AX15" s="2277">
        <v>140</v>
      </c>
      <c r="AY15" s="2278" t="s">
        <v>1979</v>
      </c>
      <c r="AZ15" s="2277">
        <v>160</v>
      </c>
      <c r="BA15" s="2278" t="s">
        <v>2285</v>
      </c>
      <c r="BB15" s="583">
        <v>13</v>
      </c>
      <c r="BC15" s="519"/>
      <c r="BD15" s="511"/>
      <c r="BE15" s="2264" t="s">
        <v>1804</v>
      </c>
      <c r="BF15" s="575">
        <v>75</v>
      </c>
      <c r="BG15" s="575">
        <v>85</v>
      </c>
      <c r="BH15" s="575">
        <v>100</v>
      </c>
      <c r="BI15" s="511"/>
      <c r="BJ15" s="2264" t="s">
        <v>1804</v>
      </c>
      <c r="BK15" s="575">
        <v>180</v>
      </c>
      <c r="BL15" s="575">
        <v>200</v>
      </c>
      <c r="BM15" s="575">
        <v>230</v>
      </c>
      <c r="BN15" s="575">
        <v>120</v>
      </c>
      <c r="BO15" s="575">
        <v>120</v>
      </c>
      <c r="BP15" s="458"/>
      <c r="BQ15" s="2527">
        <f>IFERROR(COUNTIF(Liste_Ackerkulturen_Gemüse_DropDown[Ackerkulturen],N_Bedarf!$C17),0)</f>
        <v>2</v>
      </c>
      <c r="BR15" s="458"/>
      <c r="BS15" s="2461" t="s">
        <v>720</v>
      </c>
      <c r="BT15" s="2463" t="str">
        <f>IFERROR(INDEX(Liste_Ackerkulturen_Gemüse_DropDown[Ackerkulturen],_xlfn.AGGREGATE(15,6,(ROW(Liste_Ackerkulturen_Gemüse_DropDown[Ackerkulturen])-1)/(--(SEARCH(BU$2,Liste_Ackerkulturen_Gemüse_DropDown[Ackerkulturen])&gt;0)),ROW()-2),1),"")</f>
        <v>Silomais</v>
      </c>
      <c r="BU15" s="2463"/>
      <c r="BV15" s="2463" t="str">
        <f>IFERROR(INDEX(Liste_Ackerkulturen_Gemüse_DropDown[Ackerkulturen],_xlfn.AGGREGATE(15,6,(ROW(Liste_Ackerkulturen_Gemüse_DropDown[Ackerkulturen])-1)/(--(SEARCH(BW$2,Liste_Ackerkulturen_Gemüse_DropDown[Ackerkulturen])&gt;0)),ROW()-2),1),"")</f>
        <v>Silomais</v>
      </c>
      <c r="BW15" s="2463"/>
      <c r="BX15" s="2463" t="str">
        <f>IFERROR(INDEX(Liste_Ackerkulturen_Gemüse_DropDown[Ackerkulturen],_xlfn.AGGREGATE(15,6,(ROW(Liste_Ackerkulturen_Gemüse_DropDown[Ackerkulturen])-1)/(--(SEARCH(BY$2,Liste_Ackerkulturen_Gemüse_DropDown[Ackerkulturen])&gt;0)),ROW()-2),1),"")</f>
        <v>Silomais</v>
      </c>
      <c r="BY15" s="2463"/>
      <c r="BZ15" s="2463" t="str">
        <f>IFERROR(INDEX(Liste_Ackerkulturen_Gemüse_DropDown[Ackerkulturen],_xlfn.AGGREGATE(15,6,(ROW(Liste_Ackerkulturen_Gemüse_DropDown[Ackerkulturen])-1)/(--(SEARCH(CA$2,Liste_Ackerkulturen_Gemüse_DropDown[Ackerkulturen])&gt;0)),ROW()-2),1),"")</f>
        <v>Silomais</v>
      </c>
      <c r="CA15" s="2463"/>
      <c r="CB15" s="2463" t="str">
        <f>IFERROR(INDEX(Liste_Ackerkulturen_Gemüse_DropDown[Ackerkulturen],_xlfn.AGGREGATE(15,6,(ROW(Liste_Ackerkulturen_Gemüse_DropDown[Ackerkulturen])-1)/(--(SEARCH(CC$2,Liste_Ackerkulturen_Gemüse_DropDown[Ackerkulturen])&gt;0)),ROW()-2),1),"")</f>
        <v>Silomais</v>
      </c>
      <c r="CC15" s="2463"/>
      <c r="CD15" s="2464" t="str">
        <f>IFERROR(INDEX(Liste_Ackerkulturen_Gemüse_DropDown[Ackerkulturen],_xlfn.AGGREGATE(15,6,(ROW(Liste_Ackerkulturen_Gemüse_DropDown[Ackerkulturen])-1)/(--(SEARCH(CE$2,Liste_Ackerkulturen_Gemüse_DropDown[Ackerkulturen])&gt;0)),ROW()-2),1),"")</f>
        <v>Silomais</v>
      </c>
      <c r="CE15" s="2464"/>
      <c r="CF15" s="2464" t="str">
        <f>IFERROR(INDEX(Liste_Ackerkulturen_Gemüse_DropDown[Ackerkulturen],_xlfn.AGGREGATE(15,6,(ROW(Liste_Ackerkulturen_Gemüse_DropDown[Ackerkulturen])-1)/(--(SEARCH(CG$2,Liste_Ackerkulturen_Gemüse_DropDown[Ackerkulturen])&gt;0)),ROW()-2),1),"")</f>
        <v>Silomais</v>
      </c>
      <c r="CG15" s="2464"/>
      <c r="CH15" s="2464" t="str">
        <f>IFERROR(INDEX(Liste_Ackerkulturen_Gemüse_DropDown[Ackerkulturen],_xlfn.AGGREGATE(15,6,(ROW(Liste_Ackerkulturen_Gemüse_DropDown[Ackerkulturen])-1)/(--(SEARCH(CI$2,Liste_Ackerkulturen_Gemüse_DropDown[Ackerkulturen])&gt;0)),ROW()-2),1),"")</f>
        <v>Silomais</v>
      </c>
      <c r="CI15" s="2464"/>
      <c r="CJ15" s="2464" t="str">
        <f>IFERROR(INDEX(Liste_Ackerkulturen_Gemüse_DropDown[Ackerkulturen],_xlfn.AGGREGATE(15,6,(ROW(Liste_Ackerkulturen_Gemüse_DropDown[Ackerkulturen])-1)/(--(SEARCH(CK$2,Liste_Ackerkulturen_Gemüse_DropDown[Ackerkulturen])&gt;0)),ROW()-2),1),"")</f>
        <v>Silomais</v>
      </c>
      <c r="CK15" s="2464"/>
      <c r="CL15" s="2464" t="str">
        <f>IFERROR(INDEX(Liste_Ackerkulturen_Gemüse_DropDown[Ackerkulturen],_xlfn.AGGREGATE(15,6,(ROW(Liste_Ackerkulturen_Gemüse_DropDown[Ackerkulturen])-1)/(--(SEARCH(CM$2,Liste_Ackerkulturen_Gemüse_DropDown[Ackerkulturen])&gt;0)),ROW()-2),1),"")</f>
        <v>Silomais</v>
      </c>
      <c r="CM15" s="2464"/>
      <c r="CN15" s="2464" t="str">
        <f>IFERROR(INDEX(Liste_Ackerkulturen_Gemüse_DropDown[Ackerkulturen],_xlfn.AGGREGATE(15,6,(ROW(Liste_Ackerkulturen_Gemüse_DropDown[Ackerkulturen])-1)/(--(SEARCH(CO$2,Liste_Ackerkulturen_Gemüse_DropDown[Ackerkulturen])&gt;0)),ROW()-2),1),"")</f>
        <v>Silomais</v>
      </c>
      <c r="CO15" s="2464"/>
      <c r="CP15" s="2464" t="str">
        <f>IFERROR(INDEX(Liste_Ackerkulturen_Gemüse_DropDown[Ackerkulturen],_xlfn.AGGREGATE(15,6,(ROW(Liste_Ackerkulturen_Gemüse_DropDown[Ackerkulturen])-1)/(--(SEARCH(CQ$2,Liste_Ackerkulturen_Gemüse_DropDown[Ackerkulturen])&gt;0)),ROW()-2),1),"")</f>
        <v>Silomais</v>
      </c>
      <c r="CQ15" s="2464"/>
      <c r="CR15" s="2464" t="str">
        <f>IFERROR(INDEX(Liste_Ackerkulturen_Gemüse_DropDown[Ackerkulturen],_xlfn.AGGREGATE(15,6,(ROW(Liste_Ackerkulturen_Gemüse_DropDown[Ackerkulturen])-1)/(--(SEARCH(CS$2,Liste_Ackerkulturen_Gemüse_DropDown[Ackerkulturen])&gt;0)),ROW()-2),1),"")</f>
        <v>Silomais</v>
      </c>
      <c r="CS15" s="2464"/>
      <c r="CT15"/>
      <c r="CU15"/>
      <c r="CV15" t="s">
        <v>898</v>
      </c>
      <c r="CW15" t="str">
        <f>IFERROR(INDEX(Liste_Grünland_DropDown[Grünland],_xlfn.AGGREGATE(15,6,(ROW(Liste_Grünland_DropDown[Grünland])-1)/(--(SEARCH(CX$2,Liste_Grünland_DropDown[Grünland])&gt;0)),ROW()-2),1),"")</f>
        <v>GL über 40 % Leguminosen 6 Nutzungen</v>
      </c>
      <c r="CX15"/>
      <c r="CY15" t="str">
        <f>IFERROR(INDEX(Liste_Grünland_DropDown[Grünland],_xlfn.AGGREGATE(15,6,(ROW(Liste_Grünland_DropDown[Grünland])-1)/(--(SEARCH(CZ$2,Liste_Grünland_DropDown[Grünland])&gt;0)),ROW()-2),1),"")</f>
        <v>GL über 40 % Leguminosen 6 Nutzungen</v>
      </c>
      <c r="CZ15" s="2449"/>
      <c r="DA15" s="2449" t="str">
        <f>IFERROR(INDEX(Liste_Grünland_DropDown[Grünland],_xlfn.AGGREGATE(15,6,(ROW(Liste_Grünland_DropDown[Grünland])-1)/(--(SEARCH(DB$2,Liste_Grünland_DropDown[Grünland])&gt;0)),ROW()-2),1),"")</f>
        <v>GL über 40 % Leguminosen 6 Nutzungen</v>
      </c>
      <c r="DB15" s="2449"/>
      <c r="DC15" s="2449" t="str">
        <f>IFERROR(INDEX(Liste_Grünland_DropDown[Grünland],_xlfn.AGGREGATE(15,6,(ROW(Liste_Grünland_DropDown[Grünland])-1)/(--(SEARCH(DD$2,Liste_Grünland_DropDown[Grünland])&gt;0)),ROW()-2),1),"")</f>
        <v>GL über 40 % Leguminosen 6 Nutzungen</v>
      </c>
      <c r="DD15" s="2449"/>
      <c r="DE15" s="2449" t="str">
        <f>IFERROR(INDEX(Liste_Grünland_DropDown[Grünland],_xlfn.AGGREGATE(15,6,(ROW(Liste_Grünland_DropDown[Grünland])-1)/(--(SEARCH(DF$2,Liste_Grünland_DropDown[Grünland])&gt;0)),ROW()-2),1),"")</f>
        <v>GL über 40 % Leguminosen 6 Nutzungen</v>
      </c>
      <c r="DF15" s="2449"/>
      <c r="DG15" s="2449" t="str">
        <f>IFERROR(INDEX(Liste_Grünland_DropDown[Grünland],_xlfn.AGGREGATE(15,6,(ROW(Liste_Grünland_DropDown[Grünland])-1)/(--(SEARCH(DH$2,Liste_Grünland_DropDown[Grünland])&gt;0)),ROW()-2),1),"")</f>
        <v>GL über 40 % Leguminosen 6 Nutzungen</v>
      </c>
      <c r="DH15" s="2449"/>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c r="IS15"/>
      <c r="IT15"/>
      <c r="IU15"/>
    </row>
    <row r="16" spans="1:255" ht="21" customHeight="1" thickBot="1">
      <c r="A16" s="514" t="s">
        <v>1814</v>
      </c>
      <c r="B16" s="508" t="str">
        <f t="shared" si="0"/>
        <v xml:space="preserve">l - </v>
      </c>
      <c r="C16" s="2650"/>
      <c r="D16" s="2651"/>
      <c r="E16" s="1140"/>
      <c r="F16" s="1141"/>
      <c r="G16" s="2323" t="str">
        <f t="shared" si="13"/>
        <v/>
      </c>
      <c r="H16" s="1142"/>
      <c r="I16" s="1143">
        <f t="shared" si="1"/>
        <v>0</v>
      </c>
      <c r="J16" s="1144">
        <f t="shared" si="2"/>
        <v>0</v>
      </c>
      <c r="K16" s="1142"/>
      <c r="L16" s="1145">
        <f t="shared" si="3"/>
        <v>0</v>
      </c>
      <c r="M16" s="1146">
        <f t="shared" si="4"/>
        <v>0</v>
      </c>
      <c r="N16" s="2634"/>
      <c r="O16" s="2634"/>
      <c r="P16" s="2634"/>
      <c r="Q16" s="2638"/>
      <c r="R16" s="2646"/>
      <c r="S16" s="2627">
        <f>Q16*R16</f>
        <v>0</v>
      </c>
      <c r="T16" s="951"/>
      <c r="U16" s="949"/>
      <c r="V16" s="949"/>
      <c r="W16" s="949"/>
      <c r="X16" s="949"/>
      <c r="Y16" s="949"/>
      <c r="Z16" s="949"/>
      <c r="AA16" s="949"/>
      <c r="AB16" s="949"/>
      <c r="AC16" s="949"/>
      <c r="AD16" s="949"/>
      <c r="AE16" s="2260" t="str">
        <f t="shared" si="5"/>
        <v/>
      </c>
      <c r="AF16" s="589">
        <f t="shared" si="6"/>
        <v>0</v>
      </c>
      <c r="AG16" s="589">
        <f t="shared" si="7"/>
        <v>0</v>
      </c>
      <c r="AH16" s="589">
        <f t="shared" si="8"/>
        <v>0</v>
      </c>
      <c r="AI16" s="589">
        <f t="shared" si="9"/>
        <v>0</v>
      </c>
      <c r="AJ16" s="589">
        <f t="shared" si="10"/>
        <v>0</v>
      </c>
      <c r="AK16" s="589">
        <f t="shared" si="11"/>
        <v>0</v>
      </c>
      <c r="AL16" s="589">
        <f t="shared" si="12"/>
        <v>0</v>
      </c>
      <c r="AM16" s="2264" t="s">
        <v>737</v>
      </c>
      <c r="AN16" s="2272">
        <v>130</v>
      </c>
      <c r="AO16" s="2275" t="s">
        <v>1983</v>
      </c>
      <c r="AP16" s="2272">
        <v>175</v>
      </c>
      <c r="AQ16" s="2276" t="s">
        <v>1984</v>
      </c>
      <c r="AR16" s="2272">
        <v>210</v>
      </c>
      <c r="AS16" s="2275" t="s">
        <v>1985</v>
      </c>
      <c r="AT16" s="2272">
        <v>225</v>
      </c>
      <c r="AU16" s="2275" t="s">
        <v>1986</v>
      </c>
      <c r="AV16" s="2272">
        <v>240</v>
      </c>
      <c r="AW16" s="2275" t="s">
        <v>1987</v>
      </c>
      <c r="AX16" s="2277">
        <v>160</v>
      </c>
      <c r="AY16" s="2278" t="s">
        <v>1984</v>
      </c>
      <c r="AZ16" s="2277">
        <v>180</v>
      </c>
      <c r="BA16" s="2278" t="s">
        <v>168</v>
      </c>
      <c r="BB16" s="583">
        <v>4</v>
      </c>
      <c r="BC16" s="519"/>
      <c r="BD16" s="511"/>
      <c r="BE16" s="2264" t="s">
        <v>737</v>
      </c>
      <c r="BF16" s="575">
        <v>80</v>
      </c>
      <c r="BG16" s="575">
        <v>90</v>
      </c>
      <c r="BH16" s="575">
        <v>105</v>
      </c>
      <c r="BI16" s="511"/>
      <c r="BJ16" s="2264" t="s">
        <v>737</v>
      </c>
      <c r="BK16" s="575">
        <v>205</v>
      </c>
      <c r="BL16" s="575">
        <v>225</v>
      </c>
      <c r="BM16" s="575">
        <v>260</v>
      </c>
      <c r="BN16" s="575">
        <v>0</v>
      </c>
      <c r="BO16" s="575">
        <v>0</v>
      </c>
      <c r="BP16" s="458"/>
      <c r="BQ16" s="2528" t="s">
        <v>1818</v>
      </c>
      <c r="BR16" s="458"/>
      <c r="BS16" s="2461" t="s">
        <v>721</v>
      </c>
      <c r="BT16" s="2463" t="str">
        <f>IFERROR(INDEX(Liste_Ackerkulturen_Gemüse_DropDown[Ackerkulturen],_xlfn.AGGREGATE(15,6,(ROW(Liste_Ackerkulturen_Gemüse_DropDown[Ackerkulturen])-1)/(--(SEARCH(BU$2,Liste_Ackerkulturen_Gemüse_DropDown[Ackerkulturen])&gt;0)),ROW()-2),1),"")</f>
        <v>Körnerhirse/-sorghum</v>
      </c>
      <c r="BU16" s="2463"/>
      <c r="BV16" s="2463" t="str">
        <f>IFERROR(INDEX(Liste_Ackerkulturen_Gemüse_DropDown[Ackerkulturen],_xlfn.AGGREGATE(15,6,(ROW(Liste_Ackerkulturen_Gemüse_DropDown[Ackerkulturen])-1)/(--(SEARCH(BW$2,Liste_Ackerkulturen_Gemüse_DropDown[Ackerkulturen])&gt;0)),ROW()-2),1),"")</f>
        <v>Körnerhirse/-sorghum</v>
      </c>
      <c r="BW16" s="2463"/>
      <c r="BX16" s="2463" t="str">
        <f>IFERROR(INDEX(Liste_Ackerkulturen_Gemüse_DropDown[Ackerkulturen],_xlfn.AGGREGATE(15,6,(ROW(Liste_Ackerkulturen_Gemüse_DropDown[Ackerkulturen])-1)/(--(SEARCH(BY$2,Liste_Ackerkulturen_Gemüse_DropDown[Ackerkulturen])&gt;0)),ROW()-2),1),"")</f>
        <v>Körnerhirse/-sorghum</v>
      </c>
      <c r="BY16" s="2463"/>
      <c r="BZ16" s="2463" t="str">
        <f>IFERROR(INDEX(Liste_Ackerkulturen_Gemüse_DropDown[Ackerkulturen],_xlfn.AGGREGATE(15,6,(ROW(Liste_Ackerkulturen_Gemüse_DropDown[Ackerkulturen])-1)/(--(SEARCH(CA$2,Liste_Ackerkulturen_Gemüse_DropDown[Ackerkulturen])&gt;0)),ROW()-2),1),"")</f>
        <v>Körnerhirse/-sorghum</v>
      </c>
      <c r="CA16" s="2463"/>
      <c r="CB16" s="2463" t="str">
        <f>IFERROR(INDEX(Liste_Ackerkulturen_Gemüse_DropDown[Ackerkulturen],_xlfn.AGGREGATE(15,6,(ROW(Liste_Ackerkulturen_Gemüse_DropDown[Ackerkulturen])-1)/(--(SEARCH(CC$2,Liste_Ackerkulturen_Gemüse_DropDown[Ackerkulturen])&gt;0)),ROW()-2),1),"")</f>
        <v>Körnerhirse/-sorghum</v>
      </c>
      <c r="CC16" s="2463"/>
      <c r="CD16" s="2464" t="str">
        <f>IFERROR(INDEX(Liste_Ackerkulturen_Gemüse_DropDown[Ackerkulturen],_xlfn.AGGREGATE(15,6,(ROW(Liste_Ackerkulturen_Gemüse_DropDown[Ackerkulturen])-1)/(--(SEARCH(CE$2,Liste_Ackerkulturen_Gemüse_DropDown[Ackerkulturen])&gt;0)),ROW()-2),1),"")</f>
        <v>Körnerhirse/-sorghum</v>
      </c>
      <c r="CE16" s="2464"/>
      <c r="CF16" s="2464" t="str">
        <f>IFERROR(INDEX(Liste_Ackerkulturen_Gemüse_DropDown[Ackerkulturen],_xlfn.AGGREGATE(15,6,(ROW(Liste_Ackerkulturen_Gemüse_DropDown[Ackerkulturen])-1)/(--(SEARCH(CG$2,Liste_Ackerkulturen_Gemüse_DropDown[Ackerkulturen])&gt;0)),ROW()-2),1),"")</f>
        <v>Körnerhirse/-sorghum</v>
      </c>
      <c r="CG16" s="2464"/>
      <c r="CH16" s="2464" t="str">
        <f>IFERROR(INDEX(Liste_Ackerkulturen_Gemüse_DropDown[Ackerkulturen],_xlfn.AGGREGATE(15,6,(ROW(Liste_Ackerkulturen_Gemüse_DropDown[Ackerkulturen])-1)/(--(SEARCH(CI$2,Liste_Ackerkulturen_Gemüse_DropDown[Ackerkulturen])&gt;0)),ROW()-2),1),"")</f>
        <v>Körnerhirse/-sorghum</v>
      </c>
      <c r="CI16" s="2464"/>
      <c r="CJ16" s="2464" t="str">
        <f>IFERROR(INDEX(Liste_Ackerkulturen_Gemüse_DropDown[Ackerkulturen],_xlfn.AGGREGATE(15,6,(ROW(Liste_Ackerkulturen_Gemüse_DropDown[Ackerkulturen])-1)/(--(SEARCH(CK$2,Liste_Ackerkulturen_Gemüse_DropDown[Ackerkulturen])&gt;0)),ROW()-2),1),"")</f>
        <v>Körnerhirse/-sorghum</v>
      </c>
      <c r="CK16" s="2464"/>
      <c r="CL16" s="2464" t="str">
        <f>IFERROR(INDEX(Liste_Ackerkulturen_Gemüse_DropDown[Ackerkulturen],_xlfn.AGGREGATE(15,6,(ROW(Liste_Ackerkulturen_Gemüse_DropDown[Ackerkulturen])-1)/(--(SEARCH(CM$2,Liste_Ackerkulturen_Gemüse_DropDown[Ackerkulturen])&gt;0)),ROW()-2),1),"")</f>
        <v>Körnerhirse/-sorghum</v>
      </c>
      <c r="CM16" s="2464"/>
      <c r="CN16" s="2464" t="str">
        <f>IFERROR(INDEX(Liste_Ackerkulturen_Gemüse_DropDown[Ackerkulturen],_xlfn.AGGREGATE(15,6,(ROW(Liste_Ackerkulturen_Gemüse_DropDown[Ackerkulturen])-1)/(--(SEARCH(CO$2,Liste_Ackerkulturen_Gemüse_DropDown[Ackerkulturen])&gt;0)),ROW()-2),1),"")</f>
        <v>Körnerhirse/-sorghum</v>
      </c>
      <c r="CO16" s="2464"/>
      <c r="CP16" s="2464" t="str">
        <f>IFERROR(INDEX(Liste_Ackerkulturen_Gemüse_DropDown[Ackerkulturen],_xlfn.AGGREGATE(15,6,(ROW(Liste_Ackerkulturen_Gemüse_DropDown[Ackerkulturen])-1)/(--(SEARCH(CQ$2,Liste_Ackerkulturen_Gemüse_DropDown[Ackerkulturen])&gt;0)),ROW()-2),1),"")</f>
        <v>Körnerhirse/-sorghum</v>
      </c>
      <c r="CQ16" s="2464"/>
      <c r="CR16" s="2464" t="str">
        <f>IFERROR(INDEX(Liste_Ackerkulturen_Gemüse_DropDown[Ackerkulturen],_xlfn.AGGREGATE(15,6,(ROW(Liste_Ackerkulturen_Gemüse_DropDown[Ackerkulturen])-1)/(--(SEARCH(CS$2,Liste_Ackerkulturen_Gemüse_DropDown[Ackerkulturen])&gt;0)),ROW()-2),1),"")</f>
        <v>Körnerhirse/-sorghum</v>
      </c>
      <c r="CS16" s="2464"/>
      <c r="CT16"/>
      <c r="CU16"/>
      <c r="CV16" t="s">
        <v>764</v>
      </c>
      <c r="CW16" t="str">
        <f>IFERROR(INDEX(Liste_Grünland_DropDown[Grünland],_xlfn.AGGREGATE(15,6,(ROW(Liste_Grünland_DropDown[Grünland])-1)/(--(SEARCH(CX$2,Liste_Grünland_DropDown[Grünland])&gt;0)),ROW()-2),1),"")</f>
        <v>Almfutterfläche mit Düngung</v>
      </c>
      <c r="CX16"/>
      <c r="CY16" t="str">
        <f>IFERROR(INDEX(Liste_Grünland_DropDown[Grünland],_xlfn.AGGREGATE(15,6,(ROW(Liste_Grünland_DropDown[Grünland])-1)/(--(SEARCH(CZ$2,Liste_Grünland_DropDown[Grünland])&gt;0)),ROW()-2),1),"")</f>
        <v>Almfutterfläche mit Düngung</v>
      </c>
      <c r="CZ16" s="2449"/>
      <c r="DA16" s="2449" t="str">
        <f>IFERROR(INDEX(Liste_Grünland_DropDown[Grünland],_xlfn.AGGREGATE(15,6,(ROW(Liste_Grünland_DropDown[Grünland])-1)/(--(SEARCH(DB$2,Liste_Grünland_DropDown[Grünland])&gt;0)),ROW()-2),1),"")</f>
        <v>Almfutterfläche mit Düngung</v>
      </c>
      <c r="DB16" s="2449"/>
      <c r="DC16" s="2449" t="str">
        <f>IFERROR(INDEX(Liste_Grünland_DropDown[Grünland],_xlfn.AGGREGATE(15,6,(ROW(Liste_Grünland_DropDown[Grünland])-1)/(--(SEARCH(DD$2,Liste_Grünland_DropDown[Grünland])&gt;0)),ROW()-2),1),"")</f>
        <v>Almfutterfläche mit Düngung</v>
      </c>
      <c r="DD16" s="2449"/>
      <c r="DE16" s="2449" t="str">
        <f>IFERROR(INDEX(Liste_Grünland_DropDown[Grünland],_xlfn.AGGREGATE(15,6,(ROW(Liste_Grünland_DropDown[Grünland])-1)/(--(SEARCH(DF$2,Liste_Grünland_DropDown[Grünland])&gt;0)),ROW()-2),1),"")</f>
        <v>Almfutterfläche mit Düngung</v>
      </c>
      <c r="DF16" s="2449"/>
      <c r="DG16" s="2449" t="str">
        <f>IFERROR(INDEX(Liste_Grünland_DropDown[Grünland],_xlfn.AGGREGATE(15,6,(ROW(Liste_Grünland_DropDown[Grünland])-1)/(--(SEARCH(DH$2,Liste_Grünland_DropDown[Grünland])&gt;0)),ROW()-2),1),"")</f>
        <v>Almfutterfläche mit Düngung</v>
      </c>
      <c r="DH16" s="2449"/>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c r="IS16"/>
      <c r="IT16"/>
      <c r="IU16"/>
    </row>
    <row r="17" spans="1:255" ht="21" customHeight="1" thickBot="1">
      <c r="A17" s="515" t="s">
        <v>1815</v>
      </c>
      <c r="B17" s="508" t="str">
        <f t="shared" si="0"/>
        <v xml:space="preserve">m - </v>
      </c>
      <c r="C17" s="2650"/>
      <c r="D17" s="2651"/>
      <c r="E17" s="1140"/>
      <c r="F17" s="1141"/>
      <c r="G17" s="2323" t="str">
        <f t="shared" si="13"/>
        <v/>
      </c>
      <c r="H17" s="1142"/>
      <c r="I17" s="1143">
        <f t="shared" si="1"/>
        <v>0</v>
      </c>
      <c r="J17" s="1144">
        <f t="shared" si="2"/>
        <v>0</v>
      </c>
      <c r="K17" s="1142"/>
      <c r="L17" s="1145">
        <f t="shared" si="3"/>
        <v>0</v>
      </c>
      <c r="M17" s="1146">
        <f t="shared" si="4"/>
        <v>0</v>
      </c>
      <c r="N17" s="2575" t="s">
        <v>1816</v>
      </c>
      <c r="O17" s="2575"/>
      <c r="P17" s="2575"/>
      <c r="Q17" s="2575"/>
      <c r="R17" s="2575"/>
      <c r="S17" s="2656">
        <f>SUM(S5:S15)</f>
        <v>0</v>
      </c>
      <c r="T17" s="951"/>
      <c r="U17" s="949"/>
      <c r="V17" s="949"/>
      <c r="W17" s="949"/>
      <c r="X17" s="949"/>
      <c r="Y17" s="949"/>
      <c r="Z17" s="949"/>
      <c r="AA17" s="949"/>
      <c r="AB17" s="949"/>
      <c r="AC17" s="949"/>
      <c r="AD17" s="949"/>
      <c r="AE17" s="2260" t="str">
        <f t="shared" si="5"/>
        <v/>
      </c>
      <c r="AF17" s="589">
        <f t="shared" si="6"/>
        <v>0</v>
      </c>
      <c r="AG17" s="589">
        <f t="shared" si="7"/>
        <v>0</v>
      </c>
      <c r="AH17" s="589">
        <f t="shared" si="8"/>
        <v>0</v>
      </c>
      <c r="AI17" s="589">
        <f t="shared" si="9"/>
        <v>0</v>
      </c>
      <c r="AJ17" s="589">
        <f t="shared" si="10"/>
        <v>0</v>
      </c>
      <c r="AK17" s="589">
        <f t="shared" si="11"/>
        <v>0</v>
      </c>
      <c r="AL17" s="589">
        <f t="shared" si="12"/>
        <v>0</v>
      </c>
      <c r="AM17" s="2264" t="s">
        <v>720</v>
      </c>
      <c r="AN17" s="2272">
        <v>110</v>
      </c>
      <c r="AO17" s="2275" t="s">
        <v>1988</v>
      </c>
      <c r="AP17" s="2272">
        <v>155</v>
      </c>
      <c r="AQ17" s="2276" t="s">
        <v>1976</v>
      </c>
      <c r="AR17" s="2272">
        <v>180</v>
      </c>
      <c r="AS17" s="2275" t="s">
        <v>1989</v>
      </c>
      <c r="AT17" s="2272">
        <v>195</v>
      </c>
      <c r="AU17" s="2275" t="s">
        <v>1990</v>
      </c>
      <c r="AV17" s="2272">
        <v>210</v>
      </c>
      <c r="AW17" s="2275" t="s">
        <v>1991</v>
      </c>
      <c r="AX17" s="2277">
        <v>140</v>
      </c>
      <c r="AY17" s="2278" t="s">
        <v>1976</v>
      </c>
      <c r="AZ17" s="2277">
        <v>160</v>
      </c>
      <c r="BA17" s="2278" t="s">
        <v>1977</v>
      </c>
      <c r="BB17" s="583"/>
      <c r="BC17" s="520"/>
      <c r="BD17" s="511"/>
      <c r="BE17" s="2264" t="s">
        <v>720</v>
      </c>
      <c r="BF17" s="575">
        <v>75</v>
      </c>
      <c r="BG17" s="575">
        <v>85</v>
      </c>
      <c r="BH17" s="575">
        <v>100</v>
      </c>
      <c r="BI17" s="511"/>
      <c r="BJ17" s="2264" t="s">
        <v>720</v>
      </c>
      <c r="BK17" s="575">
        <v>190</v>
      </c>
      <c r="BL17" s="575">
        <v>210</v>
      </c>
      <c r="BM17" s="575">
        <v>240</v>
      </c>
      <c r="BN17" s="575">
        <v>170</v>
      </c>
      <c r="BO17" s="575">
        <v>170</v>
      </c>
      <c r="BP17" s="458"/>
      <c r="BQ17" s="2528">
        <f>IFERROR(COUNTIF(Liste_Grünland_DropDown[Grünland],N_Bedarf!$C20),0)</f>
        <v>2</v>
      </c>
      <c r="BR17" s="458"/>
      <c r="BS17" s="2461" t="s">
        <v>889</v>
      </c>
      <c r="BT17" s="2463" t="str">
        <f>IFERROR(INDEX(Liste_Ackerkulturen_Gemüse_DropDown[Ackerkulturen],_xlfn.AGGREGATE(15,6,(ROW(Liste_Ackerkulturen_Gemüse_DropDown[Ackerkulturen])-1)/(--(SEARCH(BU$2,Liste_Ackerkulturen_Gemüse_DropDown[Ackerkulturen])&gt;0)),ROW()-2),1),"")</f>
        <v>Silohirse/sorghum (FM)</v>
      </c>
      <c r="BU17" s="2463"/>
      <c r="BV17" s="2463" t="str">
        <f>IFERROR(INDEX(Liste_Ackerkulturen_Gemüse_DropDown[Ackerkulturen],_xlfn.AGGREGATE(15,6,(ROW(Liste_Ackerkulturen_Gemüse_DropDown[Ackerkulturen])-1)/(--(SEARCH(BW$2,Liste_Ackerkulturen_Gemüse_DropDown[Ackerkulturen])&gt;0)),ROW()-2),1),"")</f>
        <v>Silohirse/sorghum (FM)</v>
      </c>
      <c r="BW17" s="2463"/>
      <c r="BX17" s="2463" t="str">
        <f>IFERROR(INDEX(Liste_Ackerkulturen_Gemüse_DropDown[Ackerkulturen],_xlfn.AGGREGATE(15,6,(ROW(Liste_Ackerkulturen_Gemüse_DropDown[Ackerkulturen])-1)/(--(SEARCH(BY$2,Liste_Ackerkulturen_Gemüse_DropDown[Ackerkulturen])&gt;0)),ROW()-2),1),"")</f>
        <v>Silohirse/sorghum (FM)</v>
      </c>
      <c r="BY17" s="2463"/>
      <c r="BZ17" s="2463" t="str">
        <f>IFERROR(INDEX(Liste_Ackerkulturen_Gemüse_DropDown[Ackerkulturen],_xlfn.AGGREGATE(15,6,(ROW(Liste_Ackerkulturen_Gemüse_DropDown[Ackerkulturen])-1)/(--(SEARCH(CA$2,Liste_Ackerkulturen_Gemüse_DropDown[Ackerkulturen])&gt;0)),ROW()-2),1),"")</f>
        <v>Silohirse/sorghum (FM)</v>
      </c>
      <c r="CA17" s="2463"/>
      <c r="CB17" s="2463" t="str">
        <f>IFERROR(INDEX(Liste_Ackerkulturen_Gemüse_DropDown[Ackerkulturen],_xlfn.AGGREGATE(15,6,(ROW(Liste_Ackerkulturen_Gemüse_DropDown[Ackerkulturen])-1)/(--(SEARCH(CC$2,Liste_Ackerkulturen_Gemüse_DropDown[Ackerkulturen])&gt;0)),ROW()-2),1),"")</f>
        <v>Silohirse/sorghum (FM)</v>
      </c>
      <c r="CC17" s="2463"/>
      <c r="CD17" s="2464" t="str">
        <f>IFERROR(INDEX(Liste_Ackerkulturen_Gemüse_DropDown[Ackerkulturen],_xlfn.AGGREGATE(15,6,(ROW(Liste_Ackerkulturen_Gemüse_DropDown[Ackerkulturen])-1)/(--(SEARCH(CE$2,Liste_Ackerkulturen_Gemüse_DropDown[Ackerkulturen])&gt;0)),ROW()-2),1),"")</f>
        <v>Silohirse/sorghum (FM)</v>
      </c>
      <c r="CE17" s="2464"/>
      <c r="CF17" s="2464" t="str">
        <f>IFERROR(INDEX(Liste_Ackerkulturen_Gemüse_DropDown[Ackerkulturen],_xlfn.AGGREGATE(15,6,(ROW(Liste_Ackerkulturen_Gemüse_DropDown[Ackerkulturen])-1)/(--(SEARCH(CG$2,Liste_Ackerkulturen_Gemüse_DropDown[Ackerkulturen])&gt;0)),ROW()-2),1),"")</f>
        <v>Silohirse/sorghum (FM)</v>
      </c>
      <c r="CG17" s="2464"/>
      <c r="CH17" s="2464" t="str">
        <f>IFERROR(INDEX(Liste_Ackerkulturen_Gemüse_DropDown[Ackerkulturen],_xlfn.AGGREGATE(15,6,(ROW(Liste_Ackerkulturen_Gemüse_DropDown[Ackerkulturen])-1)/(--(SEARCH(CI$2,Liste_Ackerkulturen_Gemüse_DropDown[Ackerkulturen])&gt;0)),ROW()-2),1),"")</f>
        <v>Silohirse/sorghum (FM)</v>
      </c>
      <c r="CI17" s="2464"/>
      <c r="CJ17" s="2464" t="str">
        <f>IFERROR(INDEX(Liste_Ackerkulturen_Gemüse_DropDown[Ackerkulturen],_xlfn.AGGREGATE(15,6,(ROW(Liste_Ackerkulturen_Gemüse_DropDown[Ackerkulturen])-1)/(--(SEARCH(CK$2,Liste_Ackerkulturen_Gemüse_DropDown[Ackerkulturen])&gt;0)),ROW()-2),1),"")</f>
        <v>Silohirse/sorghum (FM)</v>
      </c>
      <c r="CK17" s="2464"/>
      <c r="CL17" s="2464" t="str">
        <f>IFERROR(INDEX(Liste_Ackerkulturen_Gemüse_DropDown[Ackerkulturen],_xlfn.AGGREGATE(15,6,(ROW(Liste_Ackerkulturen_Gemüse_DropDown[Ackerkulturen])-1)/(--(SEARCH(CM$2,Liste_Ackerkulturen_Gemüse_DropDown[Ackerkulturen])&gt;0)),ROW()-2),1),"")</f>
        <v>Silohirse/sorghum (FM)</v>
      </c>
      <c r="CM17" s="2464"/>
      <c r="CN17" s="2464" t="str">
        <f>IFERROR(INDEX(Liste_Ackerkulturen_Gemüse_DropDown[Ackerkulturen],_xlfn.AGGREGATE(15,6,(ROW(Liste_Ackerkulturen_Gemüse_DropDown[Ackerkulturen])-1)/(--(SEARCH(CO$2,Liste_Ackerkulturen_Gemüse_DropDown[Ackerkulturen])&gt;0)),ROW()-2),1),"")</f>
        <v>Silohirse/sorghum (FM)</v>
      </c>
      <c r="CO17" s="2464"/>
      <c r="CP17" s="2464" t="str">
        <f>IFERROR(INDEX(Liste_Ackerkulturen_Gemüse_DropDown[Ackerkulturen],_xlfn.AGGREGATE(15,6,(ROW(Liste_Ackerkulturen_Gemüse_DropDown[Ackerkulturen])-1)/(--(SEARCH(CQ$2,Liste_Ackerkulturen_Gemüse_DropDown[Ackerkulturen])&gt;0)),ROW()-2),1),"")</f>
        <v>Silohirse/sorghum (FM)</v>
      </c>
      <c r="CQ17" s="2464"/>
      <c r="CR17" s="2464" t="str">
        <f>IFERROR(INDEX(Liste_Ackerkulturen_Gemüse_DropDown[Ackerkulturen],_xlfn.AGGREGATE(15,6,(ROW(Liste_Ackerkulturen_Gemüse_DropDown[Ackerkulturen])-1)/(--(SEARCH(CS$2,Liste_Ackerkulturen_Gemüse_DropDown[Ackerkulturen])&gt;0)),ROW()-2),1),"")</f>
        <v>Silohirse/sorghum (FM)</v>
      </c>
      <c r="CS17" s="2464"/>
      <c r="CT17"/>
      <c r="CU17"/>
      <c r="CV17" t="s">
        <v>899</v>
      </c>
      <c r="CW17" t="str">
        <f>IFERROR(INDEX(Liste_Grünland_DropDown[Grünland],_xlfn.AGGREGATE(15,6,(ROW(Liste_Grünland_DropDown[Grünland])-1)/(--(SEARCH(CX$2,Liste_Grünland_DropDown[Grünland])&gt;0)),ROW()-2),1),"")</f>
        <v>Bergmähder mit Code "BM 1/ 2 / 3"</v>
      </c>
      <c r="CX17"/>
      <c r="CY17" t="str">
        <f>IFERROR(INDEX(Liste_Grünland_DropDown[Grünland],_xlfn.AGGREGATE(15,6,(ROW(Liste_Grünland_DropDown[Grünland])-1)/(--(SEARCH(CZ$2,Liste_Grünland_DropDown[Grünland])&gt;0)),ROW()-2),1),"")</f>
        <v>Bergmähder mit Code "BM 1/ 2 / 3"</v>
      </c>
      <c r="CZ17" s="2449"/>
      <c r="DA17" s="2449" t="str">
        <f>IFERROR(INDEX(Liste_Grünland_DropDown[Grünland],_xlfn.AGGREGATE(15,6,(ROW(Liste_Grünland_DropDown[Grünland])-1)/(--(SEARCH(DB$2,Liste_Grünland_DropDown[Grünland])&gt;0)),ROW()-2),1),"")</f>
        <v>Bergmähder mit Code "BM 1/ 2 / 3"</v>
      </c>
      <c r="DB17" s="2449"/>
      <c r="DC17" s="2449" t="str">
        <f>IFERROR(INDEX(Liste_Grünland_DropDown[Grünland],_xlfn.AGGREGATE(15,6,(ROW(Liste_Grünland_DropDown[Grünland])-1)/(--(SEARCH(DD$2,Liste_Grünland_DropDown[Grünland])&gt;0)),ROW()-2),1),"")</f>
        <v>Bergmähder mit Code "BM 1/ 2 / 3"</v>
      </c>
      <c r="DD17" s="2449"/>
      <c r="DE17" s="2449" t="str">
        <f>IFERROR(INDEX(Liste_Grünland_DropDown[Grünland],_xlfn.AGGREGATE(15,6,(ROW(Liste_Grünland_DropDown[Grünland])-1)/(--(SEARCH(DF$2,Liste_Grünland_DropDown[Grünland])&gt;0)),ROW()-2),1),"")</f>
        <v>Bergmähder mit Code "BM 1/ 2 / 3"</v>
      </c>
      <c r="DF17" s="2449"/>
      <c r="DG17" s="2449" t="str">
        <f>IFERROR(INDEX(Liste_Grünland_DropDown[Grünland],_xlfn.AGGREGATE(15,6,(ROW(Liste_Grünland_DropDown[Grünland])-1)/(--(SEARCH(DH$2,Liste_Grünland_DropDown[Grünland])&gt;0)),ROW()-2),1),"")</f>
        <v>Bergmähder mit Code "BM 1/ 2 / 3"</v>
      </c>
      <c r="DH17" s="2449"/>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row>
    <row r="18" spans="1:255" ht="21" customHeight="1" thickBot="1">
      <c r="A18" s="514" t="s">
        <v>1817</v>
      </c>
      <c r="B18" s="508" t="str">
        <f t="shared" si="0"/>
        <v>n - diverse Grünbrachen zB Biodiv.</v>
      </c>
      <c r="C18" s="2652" t="s">
        <v>1843</v>
      </c>
      <c r="D18" s="2652"/>
      <c r="E18" s="1140"/>
      <c r="F18" s="1141"/>
      <c r="G18" s="2323"/>
      <c r="H18" s="1142"/>
      <c r="I18" s="1143">
        <f t="shared" si="1"/>
        <v>0</v>
      </c>
      <c r="J18" s="1144">
        <f t="shared" si="2"/>
        <v>0</v>
      </c>
      <c r="K18" s="1142"/>
      <c r="L18" s="1145">
        <f t="shared" si="3"/>
        <v>0</v>
      </c>
      <c r="M18" s="1146">
        <f t="shared" si="4"/>
        <v>0</v>
      </c>
      <c r="N18" s="2575"/>
      <c r="O18" s="2575"/>
      <c r="P18" s="2575"/>
      <c r="Q18" s="2575"/>
      <c r="R18" s="2575"/>
      <c r="S18" s="2656"/>
      <c r="T18" s="951"/>
      <c r="U18" s="949"/>
      <c r="V18" s="949"/>
      <c r="W18" s="949"/>
      <c r="X18" s="949"/>
      <c r="Y18" s="949"/>
      <c r="Z18" s="949"/>
      <c r="AA18" s="949"/>
      <c r="AB18" s="949"/>
      <c r="AC18" s="949"/>
      <c r="AD18" s="949"/>
      <c r="AE18" s="2262"/>
      <c r="AF18" s="2261">
        <f t="shared" si="6"/>
        <v>0</v>
      </c>
      <c r="AG18" s="589">
        <f t="shared" si="7"/>
        <v>0</v>
      </c>
      <c r="AH18" s="589">
        <f t="shared" si="8"/>
        <v>0</v>
      </c>
      <c r="AI18" s="589">
        <f t="shared" si="9"/>
        <v>0</v>
      </c>
      <c r="AJ18" s="589">
        <f t="shared" si="10"/>
        <v>0</v>
      </c>
      <c r="AK18" s="589">
        <f t="shared" si="11"/>
        <v>0</v>
      </c>
      <c r="AL18" s="589">
        <f t="shared" si="12"/>
        <v>0</v>
      </c>
      <c r="AM18" s="2264" t="s">
        <v>721</v>
      </c>
      <c r="AN18" s="2272">
        <v>130</v>
      </c>
      <c r="AO18" s="2275" t="s">
        <v>1992</v>
      </c>
      <c r="AP18" s="2272">
        <v>175</v>
      </c>
      <c r="AQ18" s="2276" t="s">
        <v>1993</v>
      </c>
      <c r="AR18" s="2272">
        <v>210</v>
      </c>
      <c r="AS18" s="2275" t="s">
        <v>1994</v>
      </c>
      <c r="AT18" s="2272">
        <v>225</v>
      </c>
      <c r="AU18" s="2275" t="s">
        <v>1995</v>
      </c>
      <c r="AV18" s="2272">
        <v>240</v>
      </c>
      <c r="AW18" s="2275" t="s">
        <v>1996</v>
      </c>
      <c r="AX18" s="2277">
        <v>140</v>
      </c>
      <c r="AY18" s="2278" t="s">
        <v>1993</v>
      </c>
      <c r="AZ18" s="2277">
        <v>160</v>
      </c>
      <c r="BA18" s="2278" t="s">
        <v>2286</v>
      </c>
      <c r="BB18" s="583"/>
      <c r="BC18" s="520"/>
      <c r="BD18" s="511"/>
      <c r="BE18" s="2264" t="s">
        <v>721</v>
      </c>
      <c r="BF18" s="575">
        <v>85</v>
      </c>
      <c r="BG18" s="575">
        <v>95</v>
      </c>
      <c r="BH18" s="575">
        <v>110</v>
      </c>
      <c r="BI18" s="511"/>
      <c r="BJ18" s="2264" t="s">
        <v>721</v>
      </c>
      <c r="BK18" s="575">
        <v>340</v>
      </c>
      <c r="BL18" s="575">
        <v>375</v>
      </c>
      <c r="BM18" s="575">
        <v>430</v>
      </c>
      <c r="BN18" s="575">
        <v>0</v>
      </c>
      <c r="BO18" s="575">
        <v>0</v>
      </c>
      <c r="BP18" s="458"/>
      <c r="BQ18" s="2528">
        <f>IFERROR(COUNTIF(Liste_Grünland_DropDown[Grünland],N_Bedarf!$C21),0)</f>
        <v>2</v>
      </c>
      <c r="BR18" s="458"/>
      <c r="BS18" s="2461" t="s">
        <v>740</v>
      </c>
      <c r="BT18" s="2463" t="str">
        <f>IFERROR(INDEX(Liste_Ackerkulturen_Gemüse_DropDown[Ackerkulturen],_xlfn.AGGREGATE(15,6,(ROW(Liste_Ackerkulturen_Gemüse_DropDown[Ackerkulturen])-1)/(--(SEARCH(BU$2,Liste_Ackerkulturen_Gemüse_DropDown[Ackerkulturen])&gt;0)),ROW()-2),1),"")</f>
        <v>Winterraps</v>
      </c>
      <c r="BU18" s="2463"/>
      <c r="BV18" s="2463" t="str">
        <f>IFERROR(INDEX(Liste_Ackerkulturen_Gemüse_DropDown[Ackerkulturen],_xlfn.AGGREGATE(15,6,(ROW(Liste_Ackerkulturen_Gemüse_DropDown[Ackerkulturen])-1)/(--(SEARCH(BW$2,Liste_Ackerkulturen_Gemüse_DropDown[Ackerkulturen])&gt;0)),ROW()-2),1),"")</f>
        <v>Winterraps</v>
      </c>
      <c r="BW18" s="2463"/>
      <c r="BX18" s="2463" t="str">
        <f>IFERROR(INDEX(Liste_Ackerkulturen_Gemüse_DropDown[Ackerkulturen],_xlfn.AGGREGATE(15,6,(ROW(Liste_Ackerkulturen_Gemüse_DropDown[Ackerkulturen])-1)/(--(SEARCH(BY$2,Liste_Ackerkulturen_Gemüse_DropDown[Ackerkulturen])&gt;0)),ROW()-2),1),"")</f>
        <v>Winterraps</v>
      </c>
      <c r="BY18" s="2463"/>
      <c r="BZ18" s="2463" t="str">
        <f>IFERROR(INDEX(Liste_Ackerkulturen_Gemüse_DropDown[Ackerkulturen],_xlfn.AGGREGATE(15,6,(ROW(Liste_Ackerkulturen_Gemüse_DropDown[Ackerkulturen])-1)/(--(SEARCH(CA$2,Liste_Ackerkulturen_Gemüse_DropDown[Ackerkulturen])&gt;0)),ROW()-2),1),"")</f>
        <v>Winterraps</v>
      </c>
      <c r="CA18" s="2463"/>
      <c r="CB18" s="2463" t="str">
        <f>IFERROR(INDEX(Liste_Ackerkulturen_Gemüse_DropDown[Ackerkulturen],_xlfn.AGGREGATE(15,6,(ROW(Liste_Ackerkulturen_Gemüse_DropDown[Ackerkulturen])-1)/(--(SEARCH(CC$2,Liste_Ackerkulturen_Gemüse_DropDown[Ackerkulturen])&gt;0)),ROW()-2),1),"")</f>
        <v>Winterraps</v>
      </c>
      <c r="CC18" s="2463"/>
      <c r="CD18" s="2464" t="str">
        <f>IFERROR(INDEX(Liste_Ackerkulturen_Gemüse_DropDown[Ackerkulturen],_xlfn.AGGREGATE(15,6,(ROW(Liste_Ackerkulturen_Gemüse_DropDown[Ackerkulturen])-1)/(--(SEARCH(CE$2,Liste_Ackerkulturen_Gemüse_DropDown[Ackerkulturen])&gt;0)),ROW()-2),1),"")</f>
        <v>Winterraps</v>
      </c>
      <c r="CE18" s="2464"/>
      <c r="CF18" s="2464" t="str">
        <f>IFERROR(INDEX(Liste_Ackerkulturen_Gemüse_DropDown[Ackerkulturen],_xlfn.AGGREGATE(15,6,(ROW(Liste_Ackerkulturen_Gemüse_DropDown[Ackerkulturen])-1)/(--(SEARCH(CG$2,Liste_Ackerkulturen_Gemüse_DropDown[Ackerkulturen])&gt;0)),ROW()-2),1),"")</f>
        <v>Winterraps</v>
      </c>
      <c r="CG18" s="2464"/>
      <c r="CH18" s="2464" t="str">
        <f>IFERROR(INDEX(Liste_Ackerkulturen_Gemüse_DropDown[Ackerkulturen],_xlfn.AGGREGATE(15,6,(ROW(Liste_Ackerkulturen_Gemüse_DropDown[Ackerkulturen])-1)/(--(SEARCH(CI$2,Liste_Ackerkulturen_Gemüse_DropDown[Ackerkulturen])&gt;0)),ROW()-2),1),"")</f>
        <v>Winterraps</v>
      </c>
      <c r="CI18" s="2464"/>
      <c r="CJ18" s="2464" t="str">
        <f>IFERROR(INDEX(Liste_Ackerkulturen_Gemüse_DropDown[Ackerkulturen],_xlfn.AGGREGATE(15,6,(ROW(Liste_Ackerkulturen_Gemüse_DropDown[Ackerkulturen])-1)/(--(SEARCH(CK$2,Liste_Ackerkulturen_Gemüse_DropDown[Ackerkulturen])&gt;0)),ROW()-2),1),"")</f>
        <v>Winterraps</v>
      </c>
      <c r="CK18" s="2464"/>
      <c r="CL18" s="2464" t="str">
        <f>IFERROR(INDEX(Liste_Ackerkulturen_Gemüse_DropDown[Ackerkulturen],_xlfn.AGGREGATE(15,6,(ROW(Liste_Ackerkulturen_Gemüse_DropDown[Ackerkulturen])-1)/(--(SEARCH(CM$2,Liste_Ackerkulturen_Gemüse_DropDown[Ackerkulturen])&gt;0)),ROW()-2),1),"")</f>
        <v>Winterraps</v>
      </c>
      <c r="CM18" s="2464"/>
      <c r="CN18" s="2464" t="str">
        <f>IFERROR(INDEX(Liste_Ackerkulturen_Gemüse_DropDown[Ackerkulturen],_xlfn.AGGREGATE(15,6,(ROW(Liste_Ackerkulturen_Gemüse_DropDown[Ackerkulturen])-1)/(--(SEARCH(CO$2,Liste_Ackerkulturen_Gemüse_DropDown[Ackerkulturen])&gt;0)),ROW()-2),1),"")</f>
        <v>Winterraps</v>
      </c>
      <c r="CO18" s="2464"/>
      <c r="CP18" s="2464" t="str">
        <f>IFERROR(INDEX(Liste_Ackerkulturen_Gemüse_DropDown[Ackerkulturen],_xlfn.AGGREGATE(15,6,(ROW(Liste_Ackerkulturen_Gemüse_DropDown[Ackerkulturen])-1)/(--(SEARCH(CQ$2,Liste_Ackerkulturen_Gemüse_DropDown[Ackerkulturen])&gt;0)),ROW()-2),1),"")</f>
        <v>Winterraps</v>
      </c>
      <c r="CQ18" s="2464"/>
      <c r="CR18" s="2464" t="str">
        <f>IFERROR(INDEX(Liste_Ackerkulturen_Gemüse_DropDown[Ackerkulturen],_xlfn.AGGREGATE(15,6,(ROW(Liste_Ackerkulturen_Gemüse_DropDown[Ackerkulturen])-1)/(--(SEARCH(CS$2,Liste_Ackerkulturen_Gemüse_DropDown[Ackerkulturen])&gt;0)),ROW()-2),1),"")</f>
        <v>Winterraps</v>
      </c>
      <c r="CS18" s="2464"/>
      <c r="CT18"/>
      <c r="CU18"/>
      <c r="CV18" t="s">
        <v>900</v>
      </c>
      <c r="CW18" t="str">
        <f>IFERROR(INDEX(Liste_Grünland_DropDown[Grünland],_xlfn.AGGREGATE(15,6,(ROW(Liste_Grünland_DropDown[Grünland])-1)/(--(SEARCH(CX$2,Liste_Grünland_DropDown[Grünland])&gt;0)),ROW()-2),1),"")</f>
        <v>Dauerweide</v>
      </c>
      <c r="CX18"/>
      <c r="CY18" t="str">
        <f>IFERROR(INDEX(Liste_Grünland_DropDown[Grünland],_xlfn.AGGREGATE(15,6,(ROW(Liste_Grünland_DropDown[Grünland])-1)/(--(SEARCH(CZ$2,Liste_Grünland_DropDown[Grünland])&gt;0)),ROW()-2),1),"")</f>
        <v>Dauerweide</v>
      </c>
      <c r="CZ18" s="2449"/>
      <c r="DA18" s="2449" t="str">
        <f>IFERROR(INDEX(Liste_Grünland_DropDown[Grünland],_xlfn.AGGREGATE(15,6,(ROW(Liste_Grünland_DropDown[Grünland])-1)/(--(SEARCH(DB$2,Liste_Grünland_DropDown[Grünland])&gt;0)),ROW()-2),1),"")</f>
        <v>Dauerweide</v>
      </c>
      <c r="DB18" s="2449"/>
      <c r="DC18" s="2449" t="str">
        <f>IFERROR(INDEX(Liste_Grünland_DropDown[Grünland],_xlfn.AGGREGATE(15,6,(ROW(Liste_Grünland_DropDown[Grünland])-1)/(--(SEARCH(DD$2,Liste_Grünland_DropDown[Grünland])&gt;0)),ROW()-2),1),"")</f>
        <v>Dauerweide</v>
      </c>
      <c r="DD18" s="2449"/>
      <c r="DE18" s="2449" t="str">
        <f>IFERROR(INDEX(Liste_Grünland_DropDown[Grünland],_xlfn.AGGREGATE(15,6,(ROW(Liste_Grünland_DropDown[Grünland])-1)/(--(SEARCH(DF$2,Liste_Grünland_DropDown[Grünland])&gt;0)),ROW()-2),1),"")</f>
        <v>Dauerweide</v>
      </c>
      <c r="DF18" s="2449"/>
      <c r="DG18" s="2449" t="str">
        <f>IFERROR(INDEX(Liste_Grünland_DropDown[Grünland],_xlfn.AGGREGATE(15,6,(ROW(Liste_Grünland_DropDown[Grünland])-1)/(--(SEARCH(DH$2,Liste_Grünland_DropDown[Grünland])&gt;0)),ROW()-2),1),"")</f>
        <v>Dauerweide</v>
      </c>
      <c r="DH18" s="2449"/>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c r="IS18"/>
      <c r="IT18"/>
      <c r="IU18"/>
    </row>
    <row r="19" spans="1:255" ht="18" thickBot="1">
      <c r="A19" s="514"/>
      <c r="B19" s="508" t="s">
        <v>1818</v>
      </c>
      <c r="C19" s="1709" t="s">
        <v>1818</v>
      </c>
      <c r="D19" s="1710"/>
      <c r="E19" s="2397" t="s">
        <v>1388</v>
      </c>
      <c r="F19" s="1718"/>
      <c r="G19" s="2224"/>
      <c r="H19" s="1718" t="s">
        <v>1792</v>
      </c>
      <c r="I19" s="1718"/>
      <c r="J19" s="1719" t="s">
        <v>1793</v>
      </c>
      <c r="K19" s="1720"/>
      <c r="L19" s="1721"/>
      <c r="M19" s="1722" t="s">
        <v>1793</v>
      </c>
      <c r="N19" s="2631" t="str">
        <f>IFERROR(IF(AND(AL19&gt;0,S17=0),"Achtung Vorfruchtwirkung beachten! Wurden im Vorjahr Ackerbohnen, Erbsen, Ackerfutterflächen und Grünbrachen oder Grünland umgebrochen ist eine Vorfruchtwirkung einzugeben!",""),"")</f>
        <v/>
      </c>
      <c r="O19" s="2631"/>
      <c r="P19" s="2631"/>
      <c r="Q19" s="2631"/>
      <c r="R19" s="2631"/>
      <c r="S19" s="2631"/>
      <c r="T19" s="951"/>
      <c r="U19" s="2631" t="s">
        <v>995</v>
      </c>
      <c r="V19" s="2631"/>
      <c r="W19" s="2631"/>
      <c r="X19" s="2631"/>
      <c r="Y19" s="949"/>
      <c r="Z19" s="949"/>
      <c r="AA19" s="949"/>
      <c r="AB19" s="949"/>
      <c r="AC19" s="949"/>
      <c r="AD19" s="949"/>
      <c r="AE19" s="2263"/>
      <c r="AF19" s="1989"/>
      <c r="AG19" s="1278"/>
      <c r="AH19" s="1278"/>
      <c r="AI19" s="1278"/>
      <c r="AJ19" s="1278"/>
      <c r="AK19" s="2136" t="s">
        <v>2013</v>
      </c>
      <c r="AL19" s="2137">
        <f>SUM(AL5:AL18)</f>
        <v>0</v>
      </c>
      <c r="AM19" s="2265" t="s">
        <v>889</v>
      </c>
      <c r="AN19" s="2272">
        <v>110</v>
      </c>
      <c r="AO19" s="2275" t="s">
        <v>1997</v>
      </c>
      <c r="AP19" s="2272">
        <v>155</v>
      </c>
      <c r="AQ19" s="2276" t="s">
        <v>1998</v>
      </c>
      <c r="AR19" s="2272">
        <v>180</v>
      </c>
      <c r="AS19" s="2275" t="s">
        <v>1999</v>
      </c>
      <c r="AT19" s="2272">
        <v>195</v>
      </c>
      <c r="AU19" s="2275" t="s">
        <v>2000</v>
      </c>
      <c r="AV19" s="2272">
        <v>210</v>
      </c>
      <c r="AW19" s="2275" t="s">
        <v>2001</v>
      </c>
      <c r="AX19" s="2277">
        <v>140</v>
      </c>
      <c r="AY19" s="2278" t="s">
        <v>1998</v>
      </c>
      <c r="AZ19" s="2277">
        <v>160</v>
      </c>
      <c r="BA19" s="2278" t="s">
        <v>2287</v>
      </c>
      <c r="BB19" s="583">
        <v>33</v>
      </c>
      <c r="BC19" s="520"/>
      <c r="BD19" s="511"/>
      <c r="BE19" s="2265" t="s">
        <v>889</v>
      </c>
      <c r="BF19" s="575">
        <v>70</v>
      </c>
      <c r="BG19" s="575">
        <v>75</v>
      </c>
      <c r="BH19" s="575">
        <v>85</v>
      </c>
      <c r="BI19" s="511"/>
      <c r="BJ19" s="2265" t="s">
        <v>889</v>
      </c>
      <c r="BK19" s="575">
        <v>180</v>
      </c>
      <c r="BL19" s="575">
        <v>200</v>
      </c>
      <c r="BM19" s="575">
        <v>230</v>
      </c>
      <c r="BN19" s="575">
        <v>120</v>
      </c>
      <c r="BO19" s="575">
        <v>120</v>
      </c>
      <c r="BP19" s="458"/>
      <c r="BQ19" s="2528">
        <f>IFERROR(COUNTIF(Liste_Grünland_DropDown[Grünland],N_Bedarf!$C22),0)</f>
        <v>2</v>
      </c>
      <c r="BR19" s="458"/>
      <c r="BS19" s="2461" t="s">
        <v>722</v>
      </c>
      <c r="BT19" s="2463" t="str">
        <f>IFERROR(INDEX(Liste_Ackerkulturen_Gemüse_DropDown[Ackerkulturen],_xlfn.AGGREGATE(15,6,(ROW(Liste_Ackerkulturen_Gemüse_DropDown[Ackerkulturen])-1)/(--(SEARCH(BU$2,Liste_Ackerkulturen_Gemüse_DropDown[Ackerkulturen])&gt;0)),ROW()-2),1),"")</f>
        <v>Ackerbohnen</v>
      </c>
      <c r="BU19" s="2463"/>
      <c r="BV19" s="2463" t="str">
        <f>IFERROR(INDEX(Liste_Ackerkulturen_Gemüse_DropDown[Ackerkulturen],_xlfn.AGGREGATE(15,6,(ROW(Liste_Ackerkulturen_Gemüse_DropDown[Ackerkulturen])-1)/(--(SEARCH(BW$2,Liste_Ackerkulturen_Gemüse_DropDown[Ackerkulturen])&gt;0)),ROW()-2),1),"")</f>
        <v>Ackerbohnen</v>
      </c>
      <c r="BW19" s="2463"/>
      <c r="BX19" s="2463" t="str">
        <f>IFERROR(INDEX(Liste_Ackerkulturen_Gemüse_DropDown[Ackerkulturen],_xlfn.AGGREGATE(15,6,(ROW(Liste_Ackerkulturen_Gemüse_DropDown[Ackerkulturen])-1)/(--(SEARCH(BY$2,Liste_Ackerkulturen_Gemüse_DropDown[Ackerkulturen])&gt;0)),ROW()-2),1),"")</f>
        <v>Ackerbohnen</v>
      </c>
      <c r="BY19" s="2463"/>
      <c r="BZ19" s="2463" t="str">
        <f>IFERROR(INDEX(Liste_Ackerkulturen_Gemüse_DropDown[Ackerkulturen],_xlfn.AGGREGATE(15,6,(ROW(Liste_Ackerkulturen_Gemüse_DropDown[Ackerkulturen])-1)/(--(SEARCH(CA$2,Liste_Ackerkulturen_Gemüse_DropDown[Ackerkulturen])&gt;0)),ROW()-2),1),"")</f>
        <v>Ackerbohnen</v>
      </c>
      <c r="CA19" s="2463"/>
      <c r="CB19" s="2463" t="str">
        <f>IFERROR(INDEX(Liste_Ackerkulturen_Gemüse_DropDown[Ackerkulturen],_xlfn.AGGREGATE(15,6,(ROW(Liste_Ackerkulturen_Gemüse_DropDown[Ackerkulturen])-1)/(--(SEARCH(CC$2,Liste_Ackerkulturen_Gemüse_DropDown[Ackerkulturen])&gt;0)),ROW()-2),1),"")</f>
        <v>Ackerbohnen</v>
      </c>
      <c r="CC19" s="2463"/>
      <c r="CD19" s="2464" t="str">
        <f>IFERROR(INDEX(Liste_Ackerkulturen_Gemüse_DropDown[Ackerkulturen],_xlfn.AGGREGATE(15,6,(ROW(Liste_Ackerkulturen_Gemüse_DropDown[Ackerkulturen])-1)/(--(SEARCH(CE$2,Liste_Ackerkulturen_Gemüse_DropDown[Ackerkulturen])&gt;0)),ROW()-2),1),"")</f>
        <v>Ackerbohnen</v>
      </c>
      <c r="CE19" s="2464"/>
      <c r="CF19" s="2464" t="str">
        <f>IFERROR(INDEX(Liste_Ackerkulturen_Gemüse_DropDown[Ackerkulturen],_xlfn.AGGREGATE(15,6,(ROW(Liste_Ackerkulturen_Gemüse_DropDown[Ackerkulturen])-1)/(--(SEARCH(CG$2,Liste_Ackerkulturen_Gemüse_DropDown[Ackerkulturen])&gt;0)),ROW()-2),1),"")</f>
        <v>Ackerbohnen</v>
      </c>
      <c r="CG19" s="2464"/>
      <c r="CH19" s="2464" t="str">
        <f>IFERROR(INDEX(Liste_Ackerkulturen_Gemüse_DropDown[Ackerkulturen],_xlfn.AGGREGATE(15,6,(ROW(Liste_Ackerkulturen_Gemüse_DropDown[Ackerkulturen])-1)/(--(SEARCH(CI$2,Liste_Ackerkulturen_Gemüse_DropDown[Ackerkulturen])&gt;0)),ROW()-2),1),"")</f>
        <v>Ackerbohnen</v>
      </c>
      <c r="CI19" s="2464"/>
      <c r="CJ19" s="2464" t="str">
        <f>IFERROR(INDEX(Liste_Ackerkulturen_Gemüse_DropDown[Ackerkulturen],_xlfn.AGGREGATE(15,6,(ROW(Liste_Ackerkulturen_Gemüse_DropDown[Ackerkulturen])-1)/(--(SEARCH(CK$2,Liste_Ackerkulturen_Gemüse_DropDown[Ackerkulturen])&gt;0)),ROW()-2),1),"")</f>
        <v>Ackerbohnen</v>
      </c>
      <c r="CK19" s="2464"/>
      <c r="CL19" s="2464" t="str">
        <f>IFERROR(INDEX(Liste_Ackerkulturen_Gemüse_DropDown[Ackerkulturen],_xlfn.AGGREGATE(15,6,(ROW(Liste_Ackerkulturen_Gemüse_DropDown[Ackerkulturen])-1)/(--(SEARCH(CM$2,Liste_Ackerkulturen_Gemüse_DropDown[Ackerkulturen])&gt;0)),ROW()-2),1),"")</f>
        <v>Ackerbohnen</v>
      </c>
      <c r="CM19" s="2464"/>
      <c r="CN19" s="2464" t="str">
        <f>IFERROR(INDEX(Liste_Ackerkulturen_Gemüse_DropDown[Ackerkulturen],_xlfn.AGGREGATE(15,6,(ROW(Liste_Ackerkulturen_Gemüse_DropDown[Ackerkulturen])-1)/(--(SEARCH(CO$2,Liste_Ackerkulturen_Gemüse_DropDown[Ackerkulturen])&gt;0)),ROW()-2),1),"")</f>
        <v>Ackerbohnen</v>
      </c>
      <c r="CO19" s="2464"/>
      <c r="CP19" s="2464" t="str">
        <f>IFERROR(INDEX(Liste_Ackerkulturen_Gemüse_DropDown[Ackerkulturen],_xlfn.AGGREGATE(15,6,(ROW(Liste_Ackerkulturen_Gemüse_DropDown[Ackerkulturen])-1)/(--(SEARCH(CQ$2,Liste_Ackerkulturen_Gemüse_DropDown[Ackerkulturen])&gt;0)),ROW()-2),1),"")</f>
        <v>Ackerbohnen</v>
      </c>
      <c r="CQ19" s="2464"/>
      <c r="CR19" s="2464" t="str">
        <f>IFERROR(INDEX(Liste_Ackerkulturen_Gemüse_DropDown[Ackerkulturen],_xlfn.AGGREGATE(15,6,(ROW(Liste_Ackerkulturen_Gemüse_DropDown[Ackerkulturen])-1)/(--(SEARCH(CS$2,Liste_Ackerkulturen_Gemüse_DropDown[Ackerkulturen])&gt;0)),ROW()-2),1),"")</f>
        <v>Ackerbohnen</v>
      </c>
      <c r="CS19" s="2464"/>
      <c r="CT19"/>
      <c r="CU19"/>
      <c r="CV19" t="s">
        <v>1848</v>
      </c>
      <c r="CW19" t="str">
        <f>IFERROR(INDEX(Liste_Grünland_DropDown[Grünland],_xlfn.AGGREGATE(15,6,(ROW(Liste_Grünland_DropDown[Grünland])-1)/(--(SEARCH(CX$2,Liste_Grünland_DropDown[Grünland])&gt;0)),ROW()-2),1),"")</f>
        <v>Hutweide mit Düngung</v>
      </c>
      <c r="CX19"/>
      <c r="CY19" t="str">
        <f>IFERROR(INDEX(Liste_Grünland_DropDown[Grünland],_xlfn.AGGREGATE(15,6,(ROW(Liste_Grünland_DropDown[Grünland])-1)/(--(SEARCH(CZ$2,Liste_Grünland_DropDown[Grünland])&gt;0)),ROW()-2),1),"")</f>
        <v>Hutweide mit Düngung</v>
      </c>
      <c r="CZ19" s="2449"/>
      <c r="DA19" s="2449" t="str">
        <f>IFERROR(INDEX(Liste_Grünland_DropDown[Grünland],_xlfn.AGGREGATE(15,6,(ROW(Liste_Grünland_DropDown[Grünland])-1)/(--(SEARCH(DB$2,Liste_Grünland_DropDown[Grünland])&gt;0)),ROW()-2),1),"")</f>
        <v>Hutweide mit Düngung</v>
      </c>
      <c r="DB19" s="2449"/>
      <c r="DC19" s="2449" t="str">
        <f>IFERROR(INDEX(Liste_Grünland_DropDown[Grünland],_xlfn.AGGREGATE(15,6,(ROW(Liste_Grünland_DropDown[Grünland])-1)/(--(SEARCH(DD$2,Liste_Grünland_DropDown[Grünland])&gt;0)),ROW()-2),1),"")</f>
        <v>Hutweide mit Düngung</v>
      </c>
      <c r="DD19" s="2449"/>
      <c r="DE19" s="2449" t="str">
        <f>IFERROR(INDEX(Liste_Grünland_DropDown[Grünland],_xlfn.AGGREGATE(15,6,(ROW(Liste_Grünland_DropDown[Grünland])-1)/(--(SEARCH(DF$2,Liste_Grünland_DropDown[Grünland])&gt;0)),ROW()-2),1),"")</f>
        <v>Hutweide mit Düngung</v>
      </c>
      <c r="DF19" s="2449"/>
      <c r="DG19" s="2449" t="str">
        <f>IFERROR(INDEX(Liste_Grünland_DropDown[Grünland],_xlfn.AGGREGATE(15,6,(ROW(Liste_Grünland_DropDown[Grünland])-1)/(--(SEARCH(DH$2,Liste_Grünland_DropDown[Grünland])&gt;0)),ROW()-2),1),"")</f>
        <v>Hutweide mit Düngung</v>
      </c>
      <c r="DH19" s="244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c r="IS19"/>
      <c r="IT19"/>
      <c r="IU19"/>
    </row>
    <row r="20" spans="1:255" ht="21" customHeight="1" thickBot="1">
      <c r="A20" s="514" t="s">
        <v>1819</v>
      </c>
      <c r="B20" s="508" t="str">
        <f t="shared" ref="B20:B25" si="14">CONCATENATE(A20," - ",C20)</f>
        <v xml:space="preserve">o - </v>
      </c>
      <c r="C20" s="2653"/>
      <c r="D20" s="2653"/>
      <c r="E20" s="1148"/>
      <c r="F20" s="1149"/>
      <c r="G20" s="2324" t="str">
        <f>IF(ISERROR(AE20),"",AE20)</f>
        <v/>
      </c>
      <c r="H20" s="1142"/>
      <c r="I20" s="1143">
        <f t="shared" ref="I20:I25" si="15">IF(AND(ISNA(AH20),ISBLANK(C20)),0,IF(ISNA(AH20),H20,AH20))</f>
        <v>0</v>
      </c>
      <c r="J20" s="1144">
        <f t="shared" ref="J20:J25" si="16">E20*I20</f>
        <v>0</v>
      </c>
      <c r="K20" s="1142"/>
      <c r="L20" s="1145">
        <f t="shared" ref="L20:L25" si="17">IF(ISNA(AI20),0,AI20)</f>
        <v>0</v>
      </c>
      <c r="M20" s="1146">
        <f t="shared" ref="M20:M25" si="18">IF(ISBLANK(K20),E20*L20,E20*K20)</f>
        <v>0</v>
      </c>
      <c r="N20" s="2631"/>
      <c r="O20" s="2631"/>
      <c r="P20" s="2631"/>
      <c r="Q20" s="2631"/>
      <c r="R20" s="2631"/>
      <c r="S20" s="2631"/>
      <c r="T20" s="951"/>
      <c r="U20" s="2631"/>
      <c r="V20" s="2631"/>
      <c r="W20" s="2631"/>
      <c r="X20" s="2631"/>
      <c r="Y20" s="949"/>
      <c r="Z20" s="949"/>
      <c r="AA20" s="949"/>
      <c r="AB20" s="949"/>
      <c r="AC20" s="949"/>
      <c r="AD20" s="949"/>
      <c r="AE20" s="2260" t="str">
        <f>IFERROR(IF(F20="niedrig",VLOOKUP(C20,Liste_N_GL,3,0),IF(F20="mittel",VLOOKUP(C20,Liste_N_GL,5,0),IF(F20="hoch",VLOOKUP(C20,Liste_N_GL,7,0),""))),"")</f>
        <v/>
      </c>
      <c r="AF20" s="589">
        <f t="shared" ref="AF20:AF25" si="19">IF(J20&gt;0,E20,0)</f>
        <v>0</v>
      </c>
      <c r="AG20" s="589"/>
      <c r="AH20" s="589">
        <f t="shared" ref="AH20:AH25" si="20">IF(F20="niedrig",VLOOKUP(C20,Liste_N_GL,2,0),IF(F20="mittel",VLOOKUP(C20,Liste_N_GL,4,0),IF(F20="hoch",VLOOKUP(C20,Liste_N_GL,6,0),0)))</f>
        <v>0</v>
      </c>
      <c r="AI20" s="589">
        <f t="shared" ref="AI20:AI25" si="21">IF(F20="niedrig",VLOOKUP(C20,Liste_P_Bedarf,2,0),IF(F20="mittel",VLOOKUP(C20,Liste_P_Bedarf,3,0),IF(F20="hoch",VLOOKUP(C20,Liste_P_Bedarf,4,0),0)))</f>
        <v>0</v>
      </c>
      <c r="AJ20" s="589">
        <f t="shared" ref="AJ20:AJ25" si="22">IF(F20="niedrig",VLOOKUP(C20,Liste_K_Bedarf,2,0),IF(F20="mittel",VLOOKUP(C20,Liste_K_Bedarf,3,0),IF(F20="hoch",VLOOKUP(C20,Liste_K_Bedarf,4,0),0)))</f>
        <v>0</v>
      </c>
      <c r="AK20" s="1278"/>
      <c r="AL20" s="1997"/>
      <c r="AM20" s="2264" t="s">
        <v>740</v>
      </c>
      <c r="AN20" s="2272">
        <v>60</v>
      </c>
      <c r="AO20" s="2275" t="s">
        <v>2002</v>
      </c>
      <c r="AP20" s="2272">
        <v>60</v>
      </c>
      <c r="AQ20" s="2276" t="s">
        <v>2003</v>
      </c>
      <c r="AR20" s="2272">
        <v>60</v>
      </c>
      <c r="AS20" s="2275" t="s">
        <v>447</v>
      </c>
      <c r="AT20" s="2272">
        <v>60</v>
      </c>
      <c r="AU20" s="2275" t="s">
        <v>447</v>
      </c>
      <c r="AV20" s="2272">
        <v>60</v>
      </c>
      <c r="AW20" s="2275" t="s">
        <v>447</v>
      </c>
      <c r="AX20" s="2277">
        <v>60</v>
      </c>
      <c r="AY20" s="2278" t="s">
        <v>2003</v>
      </c>
      <c r="AZ20" s="2277">
        <v>60</v>
      </c>
      <c r="BA20" s="2278" t="s">
        <v>2287</v>
      </c>
      <c r="BB20" s="583"/>
      <c r="BC20" s="1996">
        <v>1</v>
      </c>
      <c r="BD20" s="511"/>
      <c r="BE20" s="2264" t="s">
        <v>740</v>
      </c>
      <c r="BF20" s="575">
        <v>60</v>
      </c>
      <c r="BG20" s="575">
        <v>65</v>
      </c>
      <c r="BH20" s="575">
        <v>75</v>
      </c>
      <c r="BI20" s="511"/>
      <c r="BJ20" s="2264" t="s">
        <v>740</v>
      </c>
      <c r="BK20" s="575">
        <v>110</v>
      </c>
      <c r="BL20" s="575">
        <v>120</v>
      </c>
      <c r="BM20" s="575">
        <v>140</v>
      </c>
      <c r="BN20" s="575">
        <v>45</v>
      </c>
      <c r="BO20" s="575">
        <v>45</v>
      </c>
      <c r="BP20" s="458"/>
      <c r="BQ20" s="2528">
        <f>IFERROR(COUNTIF(Liste_Grünland_DropDown[Grünland],N_Bedarf!$C23),0)</f>
        <v>2</v>
      </c>
      <c r="BR20" s="458"/>
      <c r="BS20" s="2461" t="s">
        <v>723</v>
      </c>
      <c r="BT20" s="2463" t="str">
        <f>IFERROR(INDEX(Liste_Ackerkulturen_Gemüse_DropDown[Ackerkulturen],_xlfn.AGGREGATE(15,6,(ROW(Liste_Ackerkulturen_Gemüse_DropDown[Ackerkulturen])-1)/(--(SEARCH(BU$2,Liste_Ackerkulturen_Gemüse_DropDown[Ackerkulturen])&gt;0)),ROW()-2),1),"")</f>
        <v>Körnererbsen</v>
      </c>
      <c r="BU20" s="2463"/>
      <c r="BV20" s="2463" t="str">
        <f>IFERROR(INDEX(Liste_Ackerkulturen_Gemüse_DropDown[Ackerkulturen],_xlfn.AGGREGATE(15,6,(ROW(Liste_Ackerkulturen_Gemüse_DropDown[Ackerkulturen])-1)/(--(SEARCH(BW$2,Liste_Ackerkulturen_Gemüse_DropDown[Ackerkulturen])&gt;0)),ROW()-2),1),"")</f>
        <v>Körnererbsen</v>
      </c>
      <c r="BW20" s="2463"/>
      <c r="BX20" s="2463" t="str">
        <f>IFERROR(INDEX(Liste_Ackerkulturen_Gemüse_DropDown[Ackerkulturen],_xlfn.AGGREGATE(15,6,(ROW(Liste_Ackerkulturen_Gemüse_DropDown[Ackerkulturen])-1)/(--(SEARCH(BY$2,Liste_Ackerkulturen_Gemüse_DropDown[Ackerkulturen])&gt;0)),ROW()-2),1),"")</f>
        <v>Körnererbsen</v>
      </c>
      <c r="BY20" s="2463"/>
      <c r="BZ20" s="2463" t="str">
        <f>IFERROR(INDEX(Liste_Ackerkulturen_Gemüse_DropDown[Ackerkulturen],_xlfn.AGGREGATE(15,6,(ROW(Liste_Ackerkulturen_Gemüse_DropDown[Ackerkulturen])-1)/(--(SEARCH(CA$2,Liste_Ackerkulturen_Gemüse_DropDown[Ackerkulturen])&gt;0)),ROW()-2),1),"")</f>
        <v>Körnererbsen</v>
      </c>
      <c r="CA20" s="2463"/>
      <c r="CB20" s="2463" t="str">
        <f>IFERROR(INDEX(Liste_Ackerkulturen_Gemüse_DropDown[Ackerkulturen],_xlfn.AGGREGATE(15,6,(ROW(Liste_Ackerkulturen_Gemüse_DropDown[Ackerkulturen])-1)/(--(SEARCH(CC$2,Liste_Ackerkulturen_Gemüse_DropDown[Ackerkulturen])&gt;0)),ROW()-2),1),"")</f>
        <v>Körnererbsen</v>
      </c>
      <c r="CC20" s="2463"/>
      <c r="CD20" s="2464" t="str">
        <f>IFERROR(INDEX(Liste_Ackerkulturen_Gemüse_DropDown[Ackerkulturen],_xlfn.AGGREGATE(15,6,(ROW(Liste_Ackerkulturen_Gemüse_DropDown[Ackerkulturen])-1)/(--(SEARCH(CE$2,Liste_Ackerkulturen_Gemüse_DropDown[Ackerkulturen])&gt;0)),ROW()-2),1),"")</f>
        <v>Körnererbsen</v>
      </c>
      <c r="CE20" s="2464"/>
      <c r="CF20" s="2464" t="str">
        <f>IFERROR(INDEX(Liste_Ackerkulturen_Gemüse_DropDown[Ackerkulturen],_xlfn.AGGREGATE(15,6,(ROW(Liste_Ackerkulturen_Gemüse_DropDown[Ackerkulturen])-1)/(--(SEARCH(CG$2,Liste_Ackerkulturen_Gemüse_DropDown[Ackerkulturen])&gt;0)),ROW()-2),1),"")</f>
        <v>Körnererbsen</v>
      </c>
      <c r="CG20" s="2464"/>
      <c r="CH20" s="2464" t="str">
        <f>IFERROR(INDEX(Liste_Ackerkulturen_Gemüse_DropDown[Ackerkulturen],_xlfn.AGGREGATE(15,6,(ROW(Liste_Ackerkulturen_Gemüse_DropDown[Ackerkulturen])-1)/(--(SEARCH(CI$2,Liste_Ackerkulturen_Gemüse_DropDown[Ackerkulturen])&gt;0)),ROW()-2),1),"")</f>
        <v>Körnererbsen</v>
      </c>
      <c r="CI20" s="2464"/>
      <c r="CJ20" s="2464" t="str">
        <f>IFERROR(INDEX(Liste_Ackerkulturen_Gemüse_DropDown[Ackerkulturen],_xlfn.AGGREGATE(15,6,(ROW(Liste_Ackerkulturen_Gemüse_DropDown[Ackerkulturen])-1)/(--(SEARCH(CK$2,Liste_Ackerkulturen_Gemüse_DropDown[Ackerkulturen])&gt;0)),ROW()-2),1),"")</f>
        <v>Körnererbsen</v>
      </c>
      <c r="CK20" s="2464"/>
      <c r="CL20" s="2464" t="str">
        <f>IFERROR(INDEX(Liste_Ackerkulturen_Gemüse_DropDown[Ackerkulturen],_xlfn.AGGREGATE(15,6,(ROW(Liste_Ackerkulturen_Gemüse_DropDown[Ackerkulturen])-1)/(--(SEARCH(CM$2,Liste_Ackerkulturen_Gemüse_DropDown[Ackerkulturen])&gt;0)),ROW()-2),1),"")</f>
        <v>Körnererbsen</v>
      </c>
      <c r="CM20" s="2464"/>
      <c r="CN20" s="2464" t="str">
        <f>IFERROR(INDEX(Liste_Ackerkulturen_Gemüse_DropDown[Ackerkulturen],_xlfn.AGGREGATE(15,6,(ROW(Liste_Ackerkulturen_Gemüse_DropDown[Ackerkulturen])-1)/(--(SEARCH(CO$2,Liste_Ackerkulturen_Gemüse_DropDown[Ackerkulturen])&gt;0)),ROW()-2),1),"")</f>
        <v>Körnererbsen</v>
      </c>
      <c r="CO20" s="2464"/>
      <c r="CP20" s="2464" t="str">
        <f>IFERROR(INDEX(Liste_Ackerkulturen_Gemüse_DropDown[Ackerkulturen],_xlfn.AGGREGATE(15,6,(ROW(Liste_Ackerkulturen_Gemüse_DropDown[Ackerkulturen])-1)/(--(SEARCH(CQ$2,Liste_Ackerkulturen_Gemüse_DropDown[Ackerkulturen])&gt;0)),ROW()-2),1),"")</f>
        <v>Körnererbsen</v>
      </c>
      <c r="CQ20" s="2464"/>
      <c r="CR20" s="2464" t="str">
        <f>IFERROR(INDEX(Liste_Ackerkulturen_Gemüse_DropDown[Ackerkulturen],_xlfn.AGGREGATE(15,6,(ROW(Liste_Ackerkulturen_Gemüse_DropDown[Ackerkulturen])-1)/(--(SEARCH(CS$2,Liste_Ackerkulturen_Gemüse_DropDown[Ackerkulturen])&gt;0)),ROW()-2),1),"")</f>
        <v>Körnererbsen</v>
      </c>
      <c r="CS20" s="2464"/>
      <c r="CT20"/>
      <c r="CU20"/>
      <c r="CV20" t="s">
        <v>1849</v>
      </c>
      <c r="CW20" s="2449" t="str">
        <f>IFERROR(INDEX(Liste_Grünland_DropDown[Grünland],_xlfn.AGGREGATE(15,6,(ROW(Liste_Grünland_DropDown[Grünland])-1)/(--(SEARCH(CX$2,Liste_Grünland_DropDown[Grünland])&gt;0)),ROW()-2),1),"")</f>
        <v>Streuwiese</v>
      </c>
      <c r="CX20" s="2449" t="str">
        <f>IF(N_Bedarf!$C38="","",IF(COUNTIF(Liste_Grünland_DropDown[Grünland],N_Bedarf!$C38),"",N_Bedarf!$C38))</f>
        <v>Durum - Hartweizen</v>
      </c>
      <c r="CY20" s="2449" t="str">
        <f>IFERROR(INDEX(Liste_Grünland_DropDown[Grünland],_xlfn.AGGREGATE(15,6,(ROW(Liste_Grünland_DropDown[Grünland])-1)/(--(SEARCH(CZ$2,Liste_Grünland_DropDown[Grünland])&gt;0)),ROW()-2),1),"")</f>
        <v>Streuwiese</v>
      </c>
      <c r="CZ20" s="2449"/>
      <c r="DA20" s="2449" t="str">
        <f>IFERROR(INDEX(Liste_Grünland_DropDown[Grünland],_xlfn.AGGREGATE(15,6,(ROW(Liste_Grünland_DropDown[Grünland])-1)/(--(SEARCH(DB$2,Liste_Grünland_DropDown[Grünland])&gt;0)),ROW()-2),1),"")</f>
        <v>Streuwiese</v>
      </c>
      <c r="DB20" s="2449"/>
      <c r="DC20" s="2449" t="str">
        <f>IFERROR(INDEX(Liste_Grünland_DropDown[Grünland],_xlfn.AGGREGATE(15,6,(ROW(Liste_Grünland_DropDown[Grünland])-1)/(--(SEARCH(DD$2,Liste_Grünland_DropDown[Grünland])&gt;0)),ROW()-2),1),"")</f>
        <v>Streuwiese</v>
      </c>
      <c r="DD20" s="2449"/>
      <c r="DE20" s="2449" t="str">
        <f>IFERROR(INDEX(Liste_Grünland_DropDown[Grünland],_xlfn.AGGREGATE(15,6,(ROW(Liste_Grünland_DropDown[Grünland])-1)/(--(SEARCH(DF$2,Liste_Grünland_DropDown[Grünland])&gt;0)),ROW()-2),1),"")</f>
        <v>Streuwiese</v>
      </c>
      <c r="DF20" s="2449"/>
      <c r="DG20" s="2449" t="str">
        <f>IFERROR(INDEX(Liste_Grünland_DropDown[Grünland],_xlfn.AGGREGATE(15,6,(ROW(Liste_Grünland_DropDown[Grünland])-1)/(--(SEARCH(DH$2,Liste_Grünland_DropDown[Grünland])&gt;0)),ROW()-2),1),"")</f>
        <v>Streuwiese</v>
      </c>
      <c r="DH20" s="2449"/>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row>
    <row r="21" spans="1:255" ht="21" customHeight="1" thickBot="1">
      <c r="A21" s="514" t="s">
        <v>1820</v>
      </c>
      <c r="B21" s="508" t="str">
        <f t="shared" si="14"/>
        <v xml:space="preserve">p - </v>
      </c>
      <c r="C21" s="2642"/>
      <c r="D21" s="2642"/>
      <c r="E21" s="1148"/>
      <c r="F21" s="1149"/>
      <c r="G21" s="2324" t="str">
        <f t="shared" ref="G21:G25" si="23">IF(ISERROR(AE21),"",AE21)</f>
        <v/>
      </c>
      <c r="H21" s="1142"/>
      <c r="I21" s="1143">
        <f t="shared" si="15"/>
        <v>0</v>
      </c>
      <c r="J21" s="1144">
        <f t="shared" si="16"/>
        <v>0</v>
      </c>
      <c r="K21" s="1142"/>
      <c r="L21" s="1145">
        <f t="shared" si="17"/>
        <v>0</v>
      </c>
      <c r="M21" s="1146">
        <f t="shared" si="18"/>
        <v>0</v>
      </c>
      <c r="N21" s="2631"/>
      <c r="O21" s="2631"/>
      <c r="P21" s="2631"/>
      <c r="Q21" s="2631"/>
      <c r="R21" s="2631"/>
      <c r="S21" s="2631"/>
      <c r="T21" s="951"/>
      <c r="U21" s="2633" t="s">
        <v>767</v>
      </c>
      <c r="V21" s="2633"/>
      <c r="W21" s="2633"/>
      <c r="X21" s="2625">
        <f>Betrieb!D18</f>
        <v>0</v>
      </c>
      <c r="Y21" s="949"/>
      <c r="Z21" s="949"/>
      <c r="AA21" s="949"/>
      <c r="AB21" s="949"/>
      <c r="AC21" s="949"/>
      <c r="AD21" s="949"/>
      <c r="AE21" s="2260" t="str">
        <f t="shared" ref="AE21:AE25" si="24">IFERROR(IF(F21="niedrig",VLOOKUP(C21,Liste_N_GL,3,0),IF(F21="mittel",VLOOKUP(C21,Liste_N_GL,5,0),IF(F21="hoch",VLOOKUP(C21,Liste_N_GL,7,0),""))),"")</f>
        <v/>
      </c>
      <c r="AF21" s="589">
        <f t="shared" si="19"/>
        <v>0</v>
      </c>
      <c r="AG21" s="589"/>
      <c r="AH21" s="589">
        <f t="shared" si="20"/>
        <v>0</v>
      </c>
      <c r="AI21" s="589">
        <f t="shared" si="21"/>
        <v>0</v>
      </c>
      <c r="AJ21" s="589">
        <f t="shared" si="22"/>
        <v>0</v>
      </c>
      <c r="AK21" s="1278"/>
      <c r="AL21" s="1989"/>
      <c r="AM21" s="2264" t="s">
        <v>722</v>
      </c>
      <c r="AN21" s="2272">
        <v>60</v>
      </c>
      <c r="AO21" s="2275" t="s">
        <v>448</v>
      </c>
      <c r="AP21" s="2272">
        <v>60</v>
      </c>
      <c r="AQ21" s="2276" t="s">
        <v>449</v>
      </c>
      <c r="AR21" s="2272">
        <v>60</v>
      </c>
      <c r="AS21" s="2275" t="s">
        <v>450</v>
      </c>
      <c r="AT21" s="2272">
        <v>60</v>
      </c>
      <c r="AU21" s="2275" t="s">
        <v>450</v>
      </c>
      <c r="AV21" s="2272">
        <v>60</v>
      </c>
      <c r="AW21" s="2275" t="s">
        <v>450</v>
      </c>
      <c r="AX21" s="2277">
        <v>60</v>
      </c>
      <c r="AY21" s="2278" t="s">
        <v>2003</v>
      </c>
      <c r="AZ21" s="2277">
        <v>60</v>
      </c>
      <c r="BA21" s="2278" t="s">
        <v>2287</v>
      </c>
      <c r="BB21" s="583"/>
      <c r="BC21" s="1996">
        <v>1</v>
      </c>
      <c r="BD21" s="511"/>
      <c r="BE21" s="2264" t="s">
        <v>722</v>
      </c>
      <c r="BF21" s="575">
        <v>60</v>
      </c>
      <c r="BG21" s="575">
        <v>65</v>
      </c>
      <c r="BH21" s="575">
        <v>75</v>
      </c>
      <c r="BI21" s="511"/>
      <c r="BJ21" s="2264" t="s">
        <v>722</v>
      </c>
      <c r="BK21" s="575">
        <v>90</v>
      </c>
      <c r="BL21" s="575">
        <v>100</v>
      </c>
      <c r="BM21" s="575">
        <v>115</v>
      </c>
      <c r="BN21" s="575">
        <v>40</v>
      </c>
      <c r="BO21" s="575">
        <v>40</v>
      </c>
      <c r="BP21" s="458"/>
      <c r="BQ21" s="2528">
        <f>IFERROR(COUNTIF(Liste_Grünland_DropDown[Grünland],N_Bedarf!$C24),0)</f>
        <v>2</v>
      </c>
      <c r="BR21" s="458"/>
      <c r="BS21" s="2461" t="s">
        <v>724</v>
      </c>
      <c r="BT21" s="2463" t="str">
        <f>IFERROR(INDEX(Liste_Ackerkulturen_Gemüse_DropDown[Ackerkulturen],_xlfn.AGGREGATE(15,6,(ROW(Liste_Ackerkulturen_Gemüse_DropDown[Ackerkulturen])-1)/(--(SEARCH(BU$2,Liste_Ackerkulturen_Gemüse_DropDown[Ackerkulturen])&gt;0)),ROW()-2),1),"")</f>
        <v>Sojabohnen</v>
      </c>
      <c r="BU21" s="2463"/>
      <c r="BV21" s="2463" t="str">
        <f>IFERROR(INDEX(Liste_Ackerkulturen_Gemüse_DropDown[Ackerkulturen],_xlfn.AGGREGATE(15,6,(ROW(Liste_Ackerkulturen_Gemüse_DropDown[Ackerkulturen])-1)/(--(SEARCH(BW$2,Liste_Ackerkulturen_Gemüse_DropDown[Ackerkulturen])&gt;0)),ROW()-2),1),"")</f>
        <v>Sojabohnen</v>
      </c>
      <c r="BW21" s="2463"/>
      <c r="BX21" s="2463" t="str">
        <f>IFERROR(INDEX(Liste_Ackerkulturen_Gemüse_DropDown[Ackerkulturen],_xlfn.AGGREGATE(15,6,(ROW(Liste_Ackerkulturen_Gemüse_DropDown[Ackerkulturen])-1)/(--(SEARCH(BY$2,Liste_Ackerkulturen_Gemüse_DropDown[Ackerkulturen])&gt;0)),ROW()-2),1),"")</f>
        <v>Sojabohnen</v>
      </c>
      <c r="BY21" s="2463"/>
      <c r="BZ21" s="2463" t="str">
        <f>IFERROR(INDEX(Liste_Ackerkulturen_Gemüse_DropDown[Ackerkulturen],_xlfn.AGGREGATE(15,6,(ROW(Liste_Ackerkulturen_Gemüse_DropDown[Ackerkulturen])-1)/(--(SEARCH(CA$2,Liste_Ackerkulturen_Gemüse_DropDown[Ackerkulturen])&gt;0)),ROW()-2),1),"")</f>
        <v>Sojabohnen</v>
      </c>
      <c r="CA21" s="2463"/>
      <c r="CB21" s="2463" t="str">
        <f>IFERROR(INDEX(Liste_Ackerkulturen_Gemüse_DropDown[Ackerkulturen],_xlfn.AGGREGATE(15,6,(ROW(Liste_Ackerkulturen_Gemüse_DropDown[Ackerkulturen])-1)/(--(SEARCH(CC$2,Liste_Ackerkulturen_Gemüse_DropDown[Ackerkulturen])&gt;0)),ROW()-2),1),"")</f>
        <v>Sojabohnen</v>
      </c>
      <c r="CC21" s="2463"/>
      <c r="CD21" s="2464" t="str">
        <f>IFERROR(INDEX(Liste_Ackerkulturen_Gemüse_DropDown[Ackerkulturen],_xlfn.AGGREGATE(15,6,(ROW(Liste_Ackerkulturen_Gemüse_DropDown[Ackerkulturen])-1)/(--(SEARCH(CE$2,Liste_Ackerkulturen_Gemüse_DropDown[Ackerkulturen])&gt;0)),ROW()-2),1),"")</f>
        <v>Sojabohnen</v>
      </c>
      <c r="CE21" s="2464"/>
      <c r="CF21" s="2464" t="str">
        <f>IFERROR(INDEX(Liste_Ackerkulturen_Gemüse_DropDown[Ackerkulturen],_xlfn.AGGREGATE(15,6,(ROW(Liste_Ackerkulturen_Gemüse_DropDown[Ackerkulturen])-1)/(--(SEARCH(CG$2,Liste_Ackerkulturen_Gemüse_DropDown[Ackerkulturen])&gt;0)),ROW()-2),1),"")</f>
        <v>Sojabohnen</v>
      </c>
      <c r="CG21" s="2464"/>
      <c r="CH21" s="2464" t="str">
        <f>IFERROR(INDEX(Liste_Ackerkulturen_Gemüse_DropDown[Ackerkulturen],_xlfn.AGGREGATE(15,6,(ROW(Liste_Ackerkulturen_Gemüse_DropDown[Ackerkulturen])-1)/(--(SEARCH(CI$2,Liste_Ackerkulturen_Gemüse_DropDown[Ackerkulturen])&gt;0)),ROW()-2),1),"")</f>
        <v>Sojabohnen</v>
      </c>
      <c r="CI21" s="2464"/>
      <c r="CJ21" s="2464" t="str">
        <f>IFERROR(INDEX(Liste_Ackerkulturen_Gemüse_DropDown[Ackerkulturen],_xlfn.AGGREGATE(15,6,(ROW(Liste_Ackerkulturen_Gemüse_DropDown[Ackerkulturen])-1)/(--(SEARCH(CK$2,Liste_Ackerkulturen_Gemüse_DropDown[Ackerkulturen])&gt;0)),ROW()-2),1),"")</f>
        <v>Sojabohnen</v>
      </c>
      <c r="CK21" s="2464"/>
      <c r="CL21" s="2464" t="str">
        <f>IFERROR(INDEX(Liste_Ackerkulturen_Gemüse_DropDown[Ackerkulturen],_xlfn.AGGREGATE(15,6,(ROW(Liste_Ackerkulturen_Gemüse_DropDown[Ackerkulturen])-1)/(--(SEARCH(CM$2,Liste_Ackerkulturen_Gemüse_DropDown[Ackerkulturen])&gt;0)),ROW()-2),1),"")</f>
        <v>Sojabohnen</v>
      </c>
      <c r="CM21" s="2464"/>
      <c r="CN21" s="2464" t="str">
        <f>IFERROR(INDEX(Liste_Ackerkulturen_Gemüse_DropDown[Ackerkulturen],_xlfn.AGGREGATE(15,6,(ROW(Liste_Ackerkulturen_Gemüse_DropDown[Ackerkulturen])-1)/(--(SEARCH(CO$2,Liste_Ackerkulturen_Gemüse_DropDown[Ackerkulturen])&gt;0)),ROW()-2),1),"")</f>
        <v>Sojabohnen</v>
      </c>
      <c r="CO21" s="2464"/>
      <c r="CP21" s="2464" t="str">
        <f>IFERROR(INDEX(Liste_Ackerkulturen_Gemüse_DropDown[Ackerkulturen],_xlfn.AGGREGATE(15,6,(ROW(Liste_Ackerkulturen_Gemüse_DropDown[Ackerkulturen])-1)/(--(SEARCH(CQ$2,Liste_Ackerkulturen_Gemüse_DropDown[Ackerkulturen])&gt;0)),ROW()-2),1),"")</f>
        <v>Sojabohnen</v>
      </c>
      <c r="CQ21" s="2464"/>
      <c r="CR21" s="2464" t="str">
        <f>IFERROR(INDEX(Liste_Ackerkulturen_Gemüse_DropDown[Ackerkulturen],_xlfn.AGGREGATE(15,6,(ROW(Liste_Ackerkulturen_Gemüse_DropDown[Ackerkulturen])-1)/(--(SEARCH(CS$2,Liste_Ackerkulturen_Gemüse_DropDown[Ackerkulturen])&gt;0)),ROW()-2),1),"")</f>
        <v>Sojabohnen</v>
      </c>
      <c r="CS21" s="2464"/>
      <c r="CT21"/>
      <c r="CU21"/>
      <c r="CV21">
        <f>0</f>
        <v>0</v>
      </c>
      <c r="CW21" s="2449" t="str">
        <f>IFERROR(INDEX(Liste_Grünland_DropDown[Grünland],_xlfn.AGGREGATE(15,6,(ROW(Liste_Grünland_DropDown[Grünland])-1)/(--(SEARCH(CX$2,Liste_Grünland_DropDown[Grünland])&gt;0)),ROW()-2),1),"")</f>
        <v>Grünlandbrache</v>
      </c>
      <c r="CX21" s="2449" t="str">
        <f>IF(N_Bedarf!$C39="","",IF(COUNTIF(Liste_Grünland_DropDown[Grünland],N_Bedarf!$C39),"",N_Bedarf!$C39))</f>
        <v>Dinkel (Spelzenanteil ca. 30 %)</v>
      </c>
      <c r="CY21" s="2449" t="str">
        <f>IFERROR(INDEX(Liste_Grünland_DropDown[Grünland],_xlfn.AGGREGATE(15,6,(ROW(Liste_Grünland_DropDown[Grünland])-1)/(--(SEARCH(CZ$2,Liste_Grünland_DropDown[Grünland])&gt;0)),ROW()-2),1),"")</f>
        <v>Grünlandbrache</v>
      </c>
      <c r="CZ21" s="2449"/>
      <c r="DA21" s="2449" t="str">
        <f>IFERROR(INDEX(Liste_Grünland_DropDown[Grünland],_xlfn.AGGREGATE(15,6,(ROW(Liste_Grünland_DropDown[Grünland])-1)/(--(SEARCH(DB$2,Liste_Grünland_DropDown[Grünland])&gt;0)),ROW()-2),1),"")</f>
        <v>Grünlandbrache</v>
      </c>
      <c r="DB21" s="2449"/>
      <c r="DC21" s="2449" t="str">
        <f>IFERROR(INDEX(Liste_Grünland_DropDown[Grünland],_xlfn.AGGREGATE(15,6,(ROW(Liste_Grünland_DropDown[Grünland])-1)/(--(SEARCH(DD$2,Liste_Grünland_DropDown[Grünland])&gt;0)),ROW()-2),1),"")</f>
        <v>Grünlandbrache</v>
      </c>
      <c r="DD21" s="2449"/>
      <c r="DE21" s="2449" t="str">
        <f>IFERROR(INDEX(Liste_Grünland_DropDown[Grünland],_xlfn.AGGREGATE(15,6,(ROW(Liste_Grünland_DropDown[Grünland])-1)/(--(SEARCH(DF$2,Liste_Grünland_DropDown[Grünland])&gt;0)),ROW()-2),1),"")</f>
        <v>Grünlandbrache</v>
      </c>
      <c r="DF21" s="2449"/>
      <c r="DG21" s="2449" t="str">
        <f>IFERROR(INDEX(Liste_Grünland_DropDown[Grünland],_xlfn.AGGREGATE(15,6,(ROW(Liste_Grünland_DropDown[Grünland])-1)/(--(SEARCH(DH$2,Liste_Grünland_DropDown[Grünland])&gt;0)),ROW()-2),1),"")</f>
        <v>Grünlandbrache</v>
      </c>
      <c r="DH21" s="2449"/>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row>
    <row r="22" spans="1:255" ht="21" customHeight="1" thickBot="1">
      <c r="A22" s="514" t="s">
        <v>1821</v>
      </c>
      <c r="B22" s="508" t="str">
        <f t="shared" si="14"/>
        <v xml:space="preserve">q - </v>
      </c>
      <c r="C22" s="2642"/>
      <c r="D22" s="2642"/>
      <c r="E22" s="1148"/>
      <c r="F22" s="1149"/>
      <c r="G22" s="2324" t="str">
        <f t="shared" si="23"/>
        <v/>
      </c>
      <c r="H22" s="1142"/>
      <c r="I22" s="1143">
        <f t="shared" si="15"/>
        <v>0</v>
      </c>
      <c r="J22" s="1144">
        <f t="shared" si="16"/>
        <v>0</v>
      </c>
      <c r="K22" s="1142"/>
      <c r="L22" s="1145">
        <f t="shared" si="17"/>
        <v>0</v>
      </c>
      <c r="M22" s="1146">
        <f t="shared" si="18"/>
        <v>0</v>
      </c>
      <c r="N22" s="2631"/>
      <c r="O22" s="2631"/>
      <c r="P22" s="2631"/>
      <c r="Q22" s="2631"/>
      <c r="R22" s="2631"/>
      <c r="S22" s="2631"/>
      <c r="T22" s="951"/>
      <c r="U22" s="2633"/>
      <c r="V22" s="2633"/>
      <c r="W22" s="2633"/>
      <c r="X22" s="2625"/>
      <c r="Y22" s="949"/>
      <c r="Z22" s="949"/>
      <c r="AA22" s="949"/>
      <c r="AB22" s="949"/>
      <c r="AC22" s="949"/>
      <c r="AD22" s="949"/>
      <c r="AE22" s="2260" t="str">
        <f t="shared" si="24"/>
        <v/>
      </c>
      <c r="AF22" s="589">
        <f t="shared" si="19"/>
        <v>0</v>
      </c>
      <c r="AG22" s="589"/>
      <c r="AH22" s="589">
        <f t="shared" si="20"/>
        <v>0</v>
      </c>
      <c r="AI22" s="589">
        <f t="shared" si="21"/>
        <v>0</v>
      </c>
      <c r="AJ22" s="589">
        <f t="shared" si="22"/>
        <v>0</v>
      </c>
      <c r="AK22" s="1278"/>
      <c r="AL22" s="1989"/>
      <c r="AM22" s="2264" t="s">
        <v>723</v>
      </c>
      <c r="AN22" s="2272">
        <v>60</v>
      </c>
      <c r="AO22" s="2275" t="s">
        <v>448</v>
      </c>
      <c r="AP22" s="2272">
        <v>60</v>
      </c>
      <c r="AQ22" s="2276" t="s">
        <v>449</v>
      </c>
      <c r="AR22" s="2272">
        <v>60</v>
      </c>
      <c r="AS22" s="2275" t="s">
        <v>452</v>
      </c>
      <c r="AT22" s="2272">
        <v>60</v>
      </c>
      <c r="AU22" s="2275" t="s">
        <v>452</v>
      </c>
      <c r="AV22" s="2272">
        <v>60</v>
      </c>
      <c r="AW22" s="2275" t="s">
        <v>452</v>
      </c>
      <c r="AX22" s="2277">
        <v>60</v>
      </c>
      <c r="AY22" s="2278" t="s">
        <v>449</v>
      </c>
      <c r="AZ22" s="2277">
        <v>60</v>
      </c>
      <c r="BA22" s="2278" t="s">
        <v>452</v>
      </c>
      <c r="BB22" s="583"/>
      <c r="BC22" s="520"/>
      <c r="BD22" s="511"/>
      <c r="BE22" s="2264" t="s">
        <v>723</v>
      </c>
      <c r="BF22" s="575">
        <v>60</v>
      </c>
      <c r="BG22" s="575">
        <v>65</v>
      </c>
      <c r="BH22" s="575">
        <v>75</v>
      </c>
      <c r="BI22" s="511"/>
      <c r="BJ22" s="2264" t="s">
        <v>723</v>
      </c>
      <c r="BK22" s="575">
        <v>80</v>
      </c>
      <c r="BL22" s="575">
        <v>90</v>
      </c>
      <c r="BM22" s="575">
        <v>105</v>
      </c>
      <c r="BN22" s="575">
        <v>40</v>
      </c>
      <c r="BO22" s="575">
        <v>40</v>
      </c>
      <c r="BP22" s="458"/>
      <c r="BQ22" s="2528">
        <f>IFERROR(COUNTIF(Liste_Grünland_DropDown[Grünland],N_Bedarf!$C25),0)</f>
        <v>2</v>
      </c>
      <c r="BR22" s="458"/>
      <c r="BS22" s="2461" t="s">
        <v>741</v>
      </c>
      <c r="BT22" s="2463" t="str">
        <f>IFERROR(INDEX(Liste_Ackerkulturen_Gemüse_DropDown[Ackerkulturen],_xlfn.AGGREGATE(15,6,(ROW(Liste_Ackerkulturen_Gemüse_DropDown[Ackerkulturen])-1)/(--(SEARCH(BU$2,Liste_Ackerkulturen_Gemüse_DropDown[Ackerkulturen])&gt;0)),ROW()-2),1),"")</f>
        <v>Sonnenblumen</v>
      </c>
      <c r="BU22" s="2463"/>
      <c r="BV22" s="2463" t="str">
        <f>IFERROR(INDEX(Liste_Ackerkulturen_Gemüse_DropDown[Ackerkulturen],_xlfn.AGGREGATE(15,6,(ROW(Liste_Ackerkulturen_Gemüse_DropDown[Ackerkulturen])-1)/(--(SEARCH(BW$2,Liste_Ackerkulturen_Gemüse_DropDown[Ackerkulturen])&gt;0)),ROW()-2),1),"")</f>
        <v>Sonnenblumen</v>
      </c>
      <c r="BW22" s="2463"/>
      <c r="BX22" s="2463" t="str">
        <f>IFERROR(INDEX(Liste_Ackerkulturen_Gemüse_DropDown[Ackerkulturen],_xlfn.AGGREGATE(15,6,(ROW(Liste_Ackerkulturen_Gemüse_DropDown[Ackerkulturen])-1)/(--(SEARCH(BY$2,Liste_Ackerkulturen_Gemüse_DropDown[Ackerkulturen])&gt;0)),ROW()-2),1),"")</f>
        <v>Sonnenblumen</v>
      </c>
      <c r="BY22" s="2463"/>
      <c r="BZ22" s="2463" t="str">
        <f>IFERROR(INDEX(Liste_Ackerkulturen_Gemüse_DropDown[Ackerkulturen],_xlfn.AGGREGATE(15,6,(ROW(Liste_Ackerkulturen_Gemüse_DropDown[Ackerkulturen])-1)/(--(SEARCH(CA$2,Liste_Ackerkulturen_Gemüse_DropDown[Ackerkulturen])&gt;0)),ROW()-2),1),"")</f>
        <v>Sonnenblumen</v>
      </c>
      <c r="CA22" s="2463"/>
      <c r="CB22" s="2463" t="str">
        <f>IFERROR(INDEX(Liste_Ackerkulturen_Gemüse_DropDown[Ackerkulturen],_xlfn.AGGREGATE(15,6,(ROW(Liste_Ackerkulturen_Gemüse_DropDown[Ackerkulturen])-1)/(--(SEARCH(CC$2,Liste_Ackerkulturen_Gemüse_DropDown[Ackerkulturen])&gt;0)),ROW()-2),1),"")</f>
        <v>Sonnenblumen</v>
      </c>
      <c r="CC22" s="2463"/>
      <c r="CD22" s="2464" t="str">
        <f>IFERROR(INDEX(Liste_Ackerkulturen_Gemüse_DropDown[Ackerkulturen],_xlfn.AGGREGATE(15,6,(ROW(Liste_Ackerkulturen_Gemüse_DropDown[Ackerkulturen])-1)/(--(SEARCH(CE$2,Liste_Ackerkulturen_Gemüse_DropDown[Ackerkulturen])&gt;0)),ROW()-2),1),"")</f>
        <v>Sonnenblumen</v>
      </c>
      <c r="CE22" s="2464"/>
      <c r="CF22" s="2464" t="str">
        <f>IFERROR(INDEX(Liste_Ackerkulturen_Gemüse_DropDown[Ackerkulturen],_xlfn.AGGREGATE(15,6,(ROW(Liste_Ackerkulturen_Gemüse_DropDown[Ackerkulturen])-1)/(--(SEARCH(CG$2,Liste_Ackerkulturen_Gemüse_DropDown[Ackerkulturen])&gt;0)),ROW()-2),1),"")</f>
        <v>Sonnenblumen</v>
      </c>
      <c r="CG22" s="2464"/>
      <c r="CH22" s="2464" t="str">
        <f>IFERROR(INDEX(Liste_Ackerkulturen_Gemüse_DropDown[Ackerkulturen],_xlfn.AGGREGATE(15,6,(ROW(Liste_Ackerkulturen_Gemüse_DropDown[Ackerkulturen])-1)/(--(SEARCH(CI$2,Liste_Ackerkulturen_Gemüse_DropDown[Ackerkulturen])&gt;0)),ROW()-2),1),"")</f>
        <v>Sonnenblumen</v>
      </c>
      <c r="CI22" s="2464"/>
      <c r="CJ22" s="2464" t="str">
        <f>IFERROR(INDEX(Liste_Ackerkulturen_Gemüse_DropDown[Ackerkulturen],_xlfn.AGGREGATE(15,6,(ROW(Liste_Ackerkulturen_Gemüse_DropDown[Ackerkulturen])-1)/(--(SEARCH(CK$2,Liste_Ackerkulturen_Gemüse_DropDown[Ackerkulturen])&gt;0)),ROW()-2),1),"")</f>
        <v>Sonnenblumen</v>
      </c>
      <c r="CK22" s="2464"/>
      <c r="CL22" s="2464" t="str">
        <f>IFERROR(INDEX(Liste_Ackerkulturen_Gemüse_DropDown[Ackerkulturen],_xlfn.AGGREGATE(15,6,(ROW(Liste_Ackerkulturen_Gemüse_DropDown[Ackerkulturen])-1)/(--(SEARCH(CM$2,Liste_Ackerkulturen_Gemüse_DropDown[Ackerkulturen])&gt;0)),ROW()-2),1),"")</f>
        <v>Sonnenblumen</v>
      </c>
      <c r="CM22" s="2464"/>
      <c r="CN22" s="2464" t="str">
        <f>IFERROR(INDEX(Liste_Ackerkulturen_Gemüse_DropDown[Ackerkulturen],_xlfn.AGGREGATE(15,6,(ROW(Liste_Ackerkulturen_Gemüse_DropDown[Ackerkulturen])-1)/(--(SEARCH(CO$2,Liste_Ackerkulturen_Gemüse_DropDown[Ackerkulturen])&gt;0)),ROW()-2),1),"")</f>
        <v>Sonnenblumen</v>
      </c>
      <c r="CO22" s="2464"/>
      <c r="CP22" s="2464" t="str">
        <f>IFERROR(INDEX(Liste_Ackerkulturen_Gemüse_DropDown[Ackerkulturen],_xlfn.AGGREGATE(15,6,(ROW(Liste_Ackerkulturen_Gemüse_DropDown[Ackerkulturen])-1)/(--(SEARCH(CQ$2,Liste_Ackerkulturen_Gemüse_DropDown[Ackerkulturen])&gt;0)),ROW()-2),1),"")</f>
        <v>Sonnenblumen</v>
      </c>
      <c r="CQ22" s="2464"/>
      <c r="CR22" s="2464" t="str">
        <f>IFERROR(INDEX(Liste_Ackerkulturen_Gemüse_DropDown[Ackerkulturen],_xlfn.AGGREGATE(15,6,(ROW(Liste_Ackerkulturen_Gemüse_DropDown[Ackerkulturen])-1)/(--(SEARCH(CS$2,Liste_Ackerkulturen_Gemüse_DropDown[Ackerkulturen])&gt;0)),ROW()-2),1),"")</f>
        <v>Sonnenblumen</v>
      </c>
      <c r="CS22" s="2464"/>
      <c r="CT22"/>
      <c r="CU22"/>
      <c r="CV22"/>
      <c r="CW22" s="2449">
        <f>IFERROR(INDEX(Liste_Grünland_DropDown[Grünland],_xlfn.AGGREGATE(15,6,(ROW(Liste_Grünland_DropDown[Grünland])-1)/(--(SEARCH(CX$2,Liste_Grünland_DropDown[Grünland])&gt;0)),ROW()-2),1),"")</f>
        <v>0</v>
      </c>
      <c r="CX22" s="2449" t="str">
        <f>IF(N_Bedarf!$C40="","",IF(COUNTIF(Liste_Grünland_DropDown[Grünland],N_Bedarf!$C40),"",N_Bedarf!$C40))</f>
        <v>Wintergerste</v>
      </c>
      <c r="CY22" s="2449">
        <f>IFERROR(INDEX(Liste_Grünland_DropDown[Grünland],_xlfn.AGGREGATE(15,6,(ROW(Liste_Grünland_DropDown[Grünland])-1)/(--(SEARCH(CZ$2,Liste_Grünland_DropDown[Grünland])&gt;0)),ROW()-2),1),"")</f>
        <v>0</v>
      </c>
      <c r="CZ22" s="2449"/>
      <c r="DA22" s="2449">
        <f>IFERROR(INDEX(Liste_Grünland_DropDown[Grünland],_xlfn.AGGREGATE(15,6,(ROW(Liste_Grünland_DropDown[Grünland])-1)/(--(SEARCH(DB$2,Liste_Grünland_DropDown[Grünland])&gt;0)),ROW()-2),1),"")</f>
        <v>0</v>
      </c>
      <c r="DB22" s="2449"/>
      <c r="DC22" s="2449">
        <f>IFERROR(INDEX(Liste_Grünland_DropDown[Grünland],_xlfn.AGGREGATE(15,6,(ROW(Liste_Grünland_DropDown[Grünland])-1)/(--(SEARCH(DD$2,Liste_Grünland_DropDown[Grünland])&gt;0)),ROW()-2),1),"")</f>
        <v>0</v>
      </c>
      <c r="DD22" s="2449"/>
      <c r="DE22" s="2449">
        <f>IFERROR(INDEX(Liste_Grünland_DropDown[Grünland],_xlfn.AGGREGATE(15,6,(ROW(Liste_Grünland_DropDown[Grünland])-1)/(--(SEARCH(DF$2,Liste_Grünland_DropDown[Grünland])&gt;0)),ROW()-2),1),"")</f>
        <v>0</v>
      </c>
      <c r="DF22" s="2449"/>
      <c r="DG22" s="2449">
        <f>IFERROR(INDEX(Liste_Grünland_DropDown[Grünland],_xlfn.AGGREGATE(15,6,(ROW(Liste_Grünland_DropDown[Grünland])-1)/(--(SEARCH(DH$2,Liste_Grünland_DropDown[Grünland])&gt;0)),ROW()-2),1),"")</f>
        <v>0</v>
      </c>
      <c r="DH22" s="2449"/>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c r="IS22"/>
      <c r="IT22"/>
      <c r="IU22"/>
    </row>
    <row r="23" spans="1:255" ht="21" customHeight="1">
      <c r="A23" s="514" t="s">
        <v>1822</v>
      </c>
      <c r="B23" s="508" t="str">
        <f t="shared" si="14"/>
        <v xml:space="preserve">r - </v>
      </c>
      <c r="C23" s="2642"/>
      <c r="D23" s="2642"/>
      <c r="E23" s="1148"/>
      <c r="F23" s="1149"/>
      <c r="G23" s="2324" t="str">
        <f t="shared" si="23"/>
        <v/>
      </c>
      <c r="H23" s="1142"/>
      <c r="I23" s="1143">
        <f t="shared" si="15"/>
        <v>0</v>
      </c>
      <c r="J23" s="1144">
        <f t="shared" si="16"/>
        <v>0</v>
      </c>
      <c r="K23" s="1142"/>
      <c r="L23" s="1145">
        <f t="shared" si="17"/>
        <v>0</v>
      </c>
      <c r="M23" s="1146">
        <f t="shared" si="18"/>
        <v>0</v>
      </c>
      <c r="N23" s="2632" t="str">
        <f>IF(Mineral!H28&lt;=0,"",IF((AND(Tabelle1!AO14=1,(M27/Betrieb!D18)&gt;100)),"Der Phosphoreinsatz liegt über 100 kg je ha LN, eine Dokumentation und Begründung ist erforderlich!",""))</f>
        <v/>
      </c>
      <c r="O23" s="2632"/>
      <c r="P23" s="2632"/>
      <c r="Q23" s="2632"/>
      <c r="R23" s="2632"/>
      <c r="S23" s="2632"/>
      <c r="T23" s="951"/>
      <c r="U23" s="2633" t="s">
        <v>2270</v>
      </c>
      <c r="V23" s="2633"/>
      <c r="W23" s="2633"/>
      <c r="X23" s="2626">
        <f>SUM(E5:E25)</f>
        <v>0</v>
      </c>
      <c r="Y23" s="949"/>
      <c r="Z23" s="949"/>
      <c r="AA23" s="949"/>
      <c r="AB23" s="949"/>
      <c r="AC23" s="949"/>
      <c r="AD23" s="949"/>
      <c r="AE23" s="2260" t="str">
        <f t="shared" si="24"/>
        <v/>
      </c>
      <c r="AF23" s="589">
        <f t="shared" si="19"/>
        <v>0</v>
      </c>
      <c r="AG23" s="589"/>
      <c r="AH23" s="589">
        <f t="shared" si="20"/>
        <v>0</v>
      </c>
      <c r="AI23" s="589">
        <f t="shared" si="21"/>
        <v>0</v>
      </c>
      <c r="AJ23" s="589">
        <f t="shared" si="22"/>
        <v>0</v>
      </c>
      <c r="AK23" s="1278"/>
      <c r="AL23" s="1989"/>
      <c r="AM23" s="2264" t="s">
        <v>724</v>
      </c>
      <c r="AN23" s="2272">
        <v>50</v>
      </c>
      <c r="AO23" s="2275" t="s">
        <v>2002</v>
      </c>
      <c r="AP23" s="2272">
        <v>65</v>
      </c>
      <c r="AQ23" s="2276" t="s">
        <v>449</v>
      </c>
      <c r="AR23" s="2272">
        <v>80</v>
      </c>
      <c r="AS23" s="2275" t="s">
        <v>453</v>
      </c>
      <c r="AT23" s="2272">
        <v>85</v>
      </c>
      <c r="AU23" s="2275" t="s">
        <v>454</v>
      </c>
      <c r="AV23" s="2272">
        <v>90</v>
      </c>
      <c r="AW23" s="2275" t="s">
        <v>2001</v>
      </c>
      <c r="AX23" s="2277">
        <v>60</v>
      </c>
      <c r="AY23" s="2278" t="s">
        <v>449</v>
      </c>
      <c r="AZ23" s="2277">
        <v>70</v>
      </c>
      <c r="BA23" s="2278" t="s">
        <v>452</v>
      </c>
      <c r="BB23" s="583">
        <v>26</v>
      </c>
      <c r="BC23" s="520"/>
      <c r="BD23" s="511"/>
      <c r="BE23" s="2264" t="s">
        <v>724</v>
      </c>
      <c r="BF23" s="575">
        <v>60</v>
      </c>
      <c r="BG23" s="575">
        <v>65</v>
      </c>
      <c r="BH23" s="575">
        <v>75</v>
      </c>
      <c r="BI23" s="511"/>
      <c r="BJ23" s="2264" t="s">
        <v>724</v>
      </c>
      <c r="BK23" s="575">
        <v>180</v>
      </c>
      <c r="BL23" s="575">
        <v>200</v>
      </c>
      <c r="BM23" s="575">
        <v>230</v>
      </c>
      <c r="BN23" s="575">
        <v>150</v>
      </c>
      <c r="BO23" s="575">
        <v>150</v>
      </c>
      <c r="BP23" s="458"/>
      <c r="BQ23" s="458"/>
      <c r="BR23" s="458"/>
      <c r="BS23" s="2461" t="s">
        <v>890</v>
      </c>
      <c r="BT23" s="2463" t="str">
        <f>IFERROR(INDEX(Liste_Ackerkulturen_Gemüse_DropDown[Ackerkulturen],_xlfn.AGGREGATE(15,6,(ROW(Liste_Ackerkulturen_Gemüse_DropDown[Ackerkulturen])-1)/(--(SEARCH(BU$2,Liste_Ackerkulturen_Gemüse_DropDown[Ackerkulturen])&gt;0)),ROW()-2),1),"")</f>
        <v>Futterrüben (Runkel-, Kohlrüben)</v>
      </c>
      <c r="BU23" s="2463"/>
      <c r="BV23" s="2463" t="str">
        <f>IFERROR(INDEX(Liste_Ackerkulturen_Gemüse_DropDown[Ackerkulturen],_xlfn.AGGREGATE(15,6,(ROW(Liste_Ackerkulturen_Gemüse_DropDown[Ackerkulturen])-1)/(--(SEARCH(BW$2,Liste_Ackerkulturen_Gemüse_DropDown[Ackerkulturen])&gt;0)),ROW()-2),1),"")</f>
        <v>Futterrüben (Runkel-, Kohlrüben)</v>
      </c>
      <c r="BW23" s="2463"/>
      <c r="BX23" s="2463" t="str">
        <f>IFERROR(INDEX(Liste_Ackerkulturen_Gemüse_DropDown[Ackerkulturen],_xlfn.AGGREGATE(15,6,(ROW(Liste_Ackerkulturen_Gemüse_DropDown[Ackerkulturen])-1)/(--(SEARCH(BY$2,Liste_Ackerkulturen_Gemüse_DropDown[Ackerkulturen])&gt;0)),ROW()-2),1),"")</f>
        <v>Futterrüben (Runkel-, Kohlrüben)</v>
      </c>
      <c r="BY23" s="2463"/>
      <c r="BZ23" s="2463" t="str">
        <f>IFERROR(INDEX(Liste_Ackerkulturen_Gemüse_DropDown[Ackerkulturen],_xlfn.AGGREGATE(15,6,(ROW(Liste_Ackerkulturen_Gemüse_DropDown[Ackerkulturen])-1)/(--(SEARCH(CA$2,Liste_Ackerkulturen_Gemüse_DropDown[Ackerkulturen])&gt;0)),ROW()-2),1),"")</f>
        <v>Futterrüben (Runkel-, Kohlrüben)</v>
      </c>
      <c r="CA23" s="2463"/>
      <c r="CB23" s="2463" t="str">
        <f>IFERROR(INDEX(Liste_Ackerkulturen_Gemüse_DropDown[Ackerkulturen],_xlfn.AGGREGATE(15,6,(ROW(Liste_Ackerkulturen_Gemüse_DropDown[Ackerkulturen])-1)/(--(SEARCH(CC$2,Liste_Ackerkulturen_Gemüse_DropDown[Ackerkulturen])&gt;0)),ROW()-2),1),"")</f>
        <v>Futterrüben (Runkel-, Kohlrüben)</v>
      </c>
      <c r="CC23" s="2463"/>
      <c r="CD23" s="2464" t="str">
        <f>IFERROR(INDEX(Liste_Ackerkulturen_Gemüse_DropDown[Ackerkulturen],_xlfn.AGGREGATE(15,6,(ROW(Liste_Ackerkulturen_Gemüse_DropDown[Ackerkulturen])-1)/(--(SEARCH(CE$2,Liste_Ackerkulturen_Gemüse_DropDown[Ackerkulturen])&gt;0)),ROW()-2),1),"")</f>
        <v>Futterrüben (Runkel-, Kohlrüben)</v>
      </c>
      <c r="CE23" s="2464"/>
      <c r="CF23" s="2464" t="str">
        <f>IFERROR(INDEX(Liste_Ackerkulturen_Gemüse_DropDown[Ackerkulturen],_xlfn.AGGREGATE(15,6,(ROW(Liste_Ackerkulturen_Gemüse_DropDown[Ackerkulturen])-1)/(--(SEARCH(CG$2,Liste_Ackerkulturen_Gemüse_DropDown[Ackerkulturen])&gt;0)),ROW()-2),1),"")</f>
        <v>Futterrüben (Runkel-, Kohlrüben)</v>
      </c>
      <c r="CG23" s="2464"/>
      <c r="CH23" s="2464" t="str">
        <f>IFERROR(INDEX(Liste_Ackerkulturen_Gemüse_DropDown[Ackerkulturen],_xlfn.AGGREGATE(15,6,(ROW(Liste_Ackerkulturen_Gemüse_DropDown[Ackerkulturen])-1)/(--(SEARCH(CI$2,Liste_Ackerkulturen_Gemüse_DropDown[Ackerkulturen])&gt;0)),ROW()-2),1),"")</f>
        <v>Futterrüben (Runkel-, Kohlrüben)</v>
      </c>
      <c r="CI23" s="2464"/>
      <c r="CJ23" s="2464" t="str">
        <f>IFERROR(INDEX(Liste_Ackerkulturen_Gemüse_DropDown[Ackerkulturen],_xlfn.AGGREGATE(15,6,(ROW(Liste_Ackerkulturen_Gemüse_DropDown[Ackerkulturen])-1)/(--(SEARCH(CK$2,Liste_Ackerkulturen_Gemüse_DropDown[Ackerkulturen])&gt;0)),ROW()-2),1),"")</f>
        <v>Futterrüben (Runkel-, Kohlrüben)</v>
      </c>
      <c r="CK23" s="2464"/>
      <c r="CL23" s="2464" t="str">
        <f>IFERROR(INDEX(Liste_Ackerkulturen_Gemüse_DropDown[Ackerkulturen],_xlfn.AGGREGATE(15,6,(ROW(Liste_Ackerkulturen_Gemüse_DropDown[Ackerkulturen])-1)/(--(SEARCH(CM$2,Liste_Ackerkulturen_Gemüse_DropDown[Ackerkulturen])&gt;0)),ROW()-2),1),"")</f>
        <v>Futterrüben (Runkel-, Kohlrüben)</v>
      </c>
      <c r="CM23" s="2464"/>
      <c r="CN23" s="2464" t="str">
        <f>IFERROR(INDEX(Liste_Ackerkulturen_Gemüse_DropDown[Ackerkulturen],_xlfn.AGGREGATE(15,6,(ROW(Liste_Ackerkulturen_Gemüse_DropDown[Ackerkulturen])-1)/(--(SEARCH(CO$2,Liste_Ackerkulturen_Gemüse_DropDown[Ackerkulturen])&gt;0)),ROW()-2),1),"")</f>
        <v>Futterrüben (Runkel-, Kohlrüben)</v>
      </c>
      <c r="CO23" s="2464"/>
      <c r="CP23" s="2464" t="str">
        <f>IFERROR(INDEX(Liste_Ackerkulturen_Gemüse_DropDown[Ackerkulturen],_xlfn.AGGREGATE(15,6,(ROW(Liste_Ackerkulturen_Gemüse_DropDown[Ackerkulturen])-1)/(--(SEARCH(CQ$2,Liste_Ackerkulturen_Gemüse_DropDown[Ackerkulturen])&gt;0)),ROW()-2),1),"")</f>
        <v>Futterrüben (Runkel-, Kohlrüben)</v>
      </c>
      <c r="CQ23" s="2464"/>
      <c r="CR23" s="2464" t="str">
        <f>IFERROR(INDEX(Liste_Ackerkulturen_Gemüse_DropDown[Ackerkulturen],_xlfn.AGGREGATE(15,6,(ROW(Liste_Ackerkulturen_Gemüse_DropDown[Ackerkulturen])-1)/(--(SEARCH(CS$2,Liste_Ackerkulturen_Gemüse_DropDown[Ackerkulturen])&gt;0)),ROW()-2),1),"")</f>
        <v>Futterrüben (Runkel-, Kohlrüben)</v>
      </c>
      <c r="CS23" s="2464"/>
      <c r="CT23"/>
      <c r="CU23"/>
      <c r="CV23"/>
      <c r="CW23"/>
      <c r="CX23"/>
      <c r="CY23"/>
      <c r="CZ23"/>
      <c r="DA23"/>
      <c r="DB23"/>
      <c r="DC23"/>
      <c r="DD23"/>
      <c r="DE23"/>
      <c r="DF23"/>
      <c r="DG23"/>
      <c r="DH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c r="IS23"/>
      <c r="IT23"/>
      <c r="IU23"/>
    </row>
    <row r="24" spans="1:255" ht="21" customHeight="1">
      <c r="A24" s="514" t="s">
        <v>1823</v>
      </c>
      <c r="B24" s="508" t="str">
        <f t="shared" si="14"/>
        <v xml:space="preserve">s - </v>
      </c>
      <c r="C24" s="2642"/>
      <c r="D24" s="2642"/>
      <c r="E24" s="1148"/>
      <c r="F24" s="1149"/>
      <c r="G24" s="2324" t="str">
        <f t="shared" si="23"/>
        <v/>
      </c>
      <c r="H24" s="1142"/>
      <c r="I24" s="1143">
        <f t="shared" si="15"/>
        <v>0</v>
      </c>
      <c r="J24" s="1144">
        <f t="shared" si="16"/>
        <v>0</v>
      </c>
      <c r="K24" s="1142"/>
      <c r="L24" s="1145">
        <f t="shared" si="17"/>
        <v>0</v>
      </c>
      <c r="M24" s="1146">
        <f t="shared" si="18"/>
        <v>0</v>
      </c>
      <c r="N24" s="2632"/>
      <c r="O24" s="2632"/>
      <c r="P24" s="2632"/>
      <c r="Q24" s="2632"/>
      <c r="R24" s="2632"/>
      <c r="S24" s="2632"/>
      <c r="T24" s="951"/>
      <c r="U24" s="2633"/>
      <c r="V24" s="2633"/>
      <c r="W24" s="2633"/>
      <c r="X24" s="2626"/>
      <c r="Y24" s="949"/>
      <c r="Z24" s="949"/>
      <c r="AA24" s="949"/>
      <c r="AB24" s="949"/>
      <c r="AC24" s="949"/>
      <c r="AD24" s="949"/>
      <c r="AE24" s="2260" t="str">
        <f t="shared" si="24"/>
        <v/>
      </c>
      <c r="AF24" s="589">
        <f t="shared" si="19"/>
        <v>0</v>
      </c>
      <c r="AG24" s="589"/>
      <c r="AH24" s="589">
        <f t="shared" si="20"/>
        <v>0</v>
      </c>
      <c r="AI24" s="589">
        <f t="shared" si="21"/>
        <v>0</v>
      </c>
      <c r="AJ24" s="589">
        <f t="shared" si="22"/>
        <v>0</v>
      </c>
      <c r="AK24" s="1278"/>
      <c r="AL24" s="1989"/>
      <c r="AM24" s="2264" t="s">
        <v>741</v>
      </c>
      <c r="AN24" s="2272">
        <v>110</v>
      </c>
      <c r="AO24" s="2275" t="s">
        <v>455</v>
      </c>
      <c r="AP24" s="2272">
        <v>155</v>
      </c>
      <c r="AQ24" s="2276" t="s">
        <v>456</v>
      </c>
      <c r="AR24" s="2272">
        <v>180</v>
      </c>
      <c r="AS24" s="2275" t="s">
        <v>457</v>
      </c>
      <c r="AT24" s="2272">
        <v>180</v>
      </c>
      <c r="AU24" s="2275" t="s">
        <v>457</v>
      </c>
      <c r="AV24" s="2272">
        <v>180</v>
      </c>
      <c r="AW24" s="2275" t="s">
        <v>457</v>
      </c>
      <c r="AX24" s="2277">
        <v>140</v>
      </c>
      <c r="AY24" s="2278" t="s">
        <v>456</v>
      </c>
      <c r="AZ24" s="2277">
        <v>150</v>
      </c>
      <c r="BA24" s="2278" t="s">
        <v>457</v>
      </c>
      <c r="BB24" s="583">
        <v>1.4</v>
      </c>
      <c r="BC24" s="519"/>
      <c r="BD24" s="511"/>
      <c r="BE24" s="2264" t="s">
        <v>741</v>
      </c>
      <c r="BF24" s="575">
        <v>75</v>
      </c>
      <c r="BG24" s="575">
        <v>85</v>
      </c>
      <c r="BH24" s="575">
        <v>100</v>
      </c>
      <c r="BI24" s="511"/>
      <c r="BJ24" s="2264" t="s">
        <v>741</v>
      </c>
      <c r="BK24" s="575">
        <v>290</v>
      </c>
      <c r="BL24" s="575">
        <v>320</v>
      </c>
      <c r="BM24" s="575">
        <v>370</v>
      </c>
      <c r="BN24" s="575">
        <v>150</v>
      </c>
      <c r="BO24" s="575">
        <v>150</v>
      </c>
      <c r="BP24" s="458"/>
      <c r="BQ24" s="458"/>
      <c r="BR24" s="458"/>
      <c r="BS24" s="2461" t="s">
        <v>891</v>
      </c>
      <c r="BT24" s="2463" t="str">
        <f>IFERROR(INDEX(Liste_Ackerkulturen_Gemüse_DropDown[Ackerkulturen],_xlfn.AGGREGATE(15,6,(ROW(Liste_Ackerkulturen_Gemüse_DropDown[Ackerkulturen])-1)/(--(SEARCH(BU$2,Liste_Ackerkulturen_Gemüse_DropDown[Ackerkulturen])&gt;0)),ROW()-2),1),"")</f>
        <v xml:space="preserve">Zuckerrübe </v>
      </c>
      <c r="BU24" s="2463"/>
      <c r="BV24" s="2463" t="str">
        <f>IFERROR(INDEX(Liste_Ackerkulturen_Gemüse_DropDown[Ackerkulturen],_xlfn.AGGREGATE(15,6,(ROW(Liste_Ackerkulturen_Gemüse_DropDown[Ackerkulturen])-1)/(--(SEARCH(BW$2,Liste_Ackerkulturen_Gemüse_DropDown[Ackerkulturen])&gt;0)),ROW()-2),1),"")</f>
        <v xml:space="preserve">Zuckerrübe </v>
      </c>
      <c r="BW24" s="2463"/>
      <c r="BX24" s="2463" t="str">
        <f>IFERROR(INDEX(Liste_Ackerkulturen_Gemüse_DropDown[Ackerkulturen],_xlfn.AGGREGATE(15,6,(ROW(Liste_Ackerkulturen_Gemüse_DropDown[Ackerkulturen])-1)/(--(SEARCH(BY$2,Liste_Ackerkulturen_Gemüse_DropDown[Ackerkulturen])&gt;0)),ROW()-2),1),"")</f>
        <v xml:space="preserve">Zuckerrübe </v>
      </c>
      <c r="BY24" s="2463"/>
      <c r="BZ24" s="2463" t="str">
        <f>IFERROR(INDEX(Liste_Ackerkulturen_Gemüse_DropDown[Ackerkulturen],_xlfn.AGGREGATE(15,6,(ROW(Liste_Ackerkulturen_Gemüse_DropDown[Ackerkulturen])-1)/(--(SEARCH(CA$2,Liste_Ackerkulturen_Gemüse_DropDown[Ackerkulturen])&gt;0)),ROW()-2),1),"")</f>
        <v xml:space="preserve">Zuckerrübe </v>
      </c>
      <c r="CA24" s="2463"/>
      <c r="CB24" s="2463" t="str">
        <f>IFERROR(INDEX(Liste_Ackerkulturen_Gemüse_DropDown[Ackerkulturen],_xlfn.AGGREGATE(15,6,(ROW(Liste_Ackerkulturen_Gemüse_DropDown[Ackerkulturen])-1)/(--(SEARCH(CC$2,Liste_Ackerkulturen_Gemüse_DropDown[Ackerkulturen])&gt;0)),ROW()-2),1),"")</f>
        <v xml:space="preserve">Zuckerrübe </v>
      </c>
      <c r="CC24" s="2463"/>
      <c r="CD24" s="2464" t="str">
        <f>IFERROR(INDEX(Liste_Ackerkulturen_Gemüse_DropDown[Ackerkulturen],_xlfn.AGGREGATE(15,6,(ROW(Liste_Ackerkulturen_Gemüse_DropDown[Ackerkulturen])-1)/(--(SEARCH(CE$2,Liste_Ackerkulturen_Gemüse_DropDown[Ackerkulturen])&gt;0)),ROW()-2),1),"")</f>
        <v xml:space="preserve">Zuckerrübe </v>
      </c>
      <c r="CE24" s="2464"/>
      <c r="CF24" s="2464" t="str">
        <f>IFERROR(INDEX(Liste_Ackerkulturen_Gemüse_DropDown[Ackerkulturen],_xlfn.AGGREGATE(15,6,(ROW(Liste_Ackerkulturen_Gemüse_DropDown[Ackerkulturen])-1)/(--(SEARCH(CG$2,Liste_Ackerkulturen_Gemüse_DropDown[Ackerkulturen])&gt;0)),ROW()-2),1),"")</f>
        <v xml:space="preserve">Zuckerrübe </v>
      </c>
      <c r="CG24" s="2464"/>
      <c r="CH24" s="2464" t="str">
        <f>IFERROR(INDEX(Liste_Ackerkulturen_Gemüse_DropDown[Ackerkulturen],_xlfn.AGGREGATE(15,6,(ROW(Liste_Ackerkulturen_Gemüse_DropDown[Ackerkulturen])-1)/(--(SEARCH(CI$2,Liste_Ackerkulturen_Gemüse_DropDown[Ackerkulturen])&gt;0)),ROW()-2),1),"")</f>
        <v xml:space="preserve">Zuckerrübe </v>
      </c>
      <c r="CI24" s="2464"/>
      <c r="CJ24" s="2464" t="str">
        <f>IFERROR(INDEX(Liste_Ackerkulturen_Gemüse_DropDown[Ackerkulturen],_xlfn.AGGREGATE(15,6,(ROW(Liste_Ackerkulturen_Gemüse_DropDown[Ackerkulturen])-1)/(--(SEARCH(CK$2,Liste_Ackerkulturen_Gemüse_DropDown[Ackerkulturen])&gt;0)),ROW()-2),1),"")</f>
        <v xml:space="preserve">Zuckerrübe </v>
      </c>
      <c r="CK24" s="2464"/>
      <c r="CL24" s="2464" t="str">
        <f>IFERROR(INDEX(Liste_Ackerkulturen_Gemüse_DropDown[Ackerkulturen],_xlfn.AGGREGATE(15,6,(ROW(Liste_Ackerkulturen_Gemüse_DropDown[Ackerkulturen])-1)/(--(SEARCH(CM$2,Liste_Ackerkulturen_Gemüse_DropDown[Ackerkulturen])&gt;0)),ROW()-2),1),"")</f>
        <v xml:space="preserve">Zuckerrübe </v>
      </c>
      <c r="CM24" s="2464"/>
      <c r="CN24" s="2464" t="str">
        <f>IFERROR(INDEX(Liste_Ackerkulturen_Gemüse_DropDown[Ackerkulturen],_xlfn.AGGREGATE(15,6,(ROW(Liste_Ackerkulturen_Gemüse_DropDown[Ackerkulturen])-1)/(--(SEARCH(CO$2,Liste_Ackerkulturen_Gemüse_DropDown[Ackerkulturen])&gt;0)),ROW()-2),1),"")</f>
        <v xml:space="preserve">Zuckerrübe </v>
      </c>
      <c r="CO24" s="2464"/>
      <c r="CP24" s="2464" t="str">
        <f>IFERROR(INDEX(Liste_Ackerkulturen_Gemüse_DropDown[Ackerkulturen],_xlfn.AGGREGATE(15,6,(ROW(Liste_Ackerkulturen_Gemüse_DropDown[Ackerkulturen])-1)/(--(SEARCH(CQ$2,Liste_Ackerkulturen_Gemüse_DropDown[Ackerkulturen])&gt;0)),ROW()-2),1),"")</f>
        <v xml:space="preserve">Zuckerrübe </v>
      </c>
      <c r="CQ24" s="2464"/>
      <c r="CR24" s="2464" t="str">
        <f>IFERROR(INDEX(Liste_Ackerkulturen_Gemüse_DropDown[Ackerkulturen],_xlfn.AGGREGATE(15,6,(ROW(Liste_Ackerkulturen_Gemüse_DropDown[Ackerkulturen])-1)/(--(SEARCH(CS$2,Liste_Ackerkulturen_Gemüse_DropDown[Ackerkulturen])&gt;0)),ROW()-2),1),"")</f>
        <v xml:space="preserve">Zuckerrübe </v>
      </c>
      <c r="CS24" s="2464"/>
      <c r="CT24"/>
      <c r="CU24"/>
      <c r="CV24"/>
      <c r="CW24"/>
      <c r="CX24"/>
      <c r="CY24"/>
      <c r="CZ24"/>
      <c r="DA24"/>
      <c r="DB24"/>
      <c r="DC24"/>
      <c r="DD24"/>
      <c r="DE24"/>
      <c r="DF24"/>
      <c r="DG24"/>
      <c r="DH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row>
    <row r="25" spans="1:255" ht="21" customHeight="1">
      <c r="A25" s="514" t="s">
        <v>1824</v>
      </c>
      <c r="B25" s="508" t="str">
        <f t="shared" si="14"/>
        <v xml:space="preserve">t - </v>
      </c>
      <c r="C25" s="2658"/>
      <c r="D25" s="2658"/>
      <c r="E25" s="1148"/>
      <c r="F25" s="1149"/>
      <c r="G25" s="2324" t="str">
        <f t="shared" si="23"/>
        <v/>
      </c>
      <c r="H25" s="1142"/>
      <c r="I25" s="1143">
        <f t="shared" si="15"/>
        <v>0</v>
      </c>
      <c r="J25" s="1144">
        <f t="shared" si="16"/>
        <v>0</v>
      </c>
      <c r="K25" s="1142"/>
      <c r="L25" s="1145">
        <f t="shared" si="17"/>
        <v>0</v>
      </c>
      <c r="M25" s="1146">
        <f t="shared" si="18"/>
        <v>0</v>
      </c>
      <c r="N25" s="2632"/>
      <c r="O25" s="2632"/>
      <c r="P25" s="2632"/>
      <c r="Q25" s="2632"/>
      <c r="R25" s="2632"/>
      <c r="S25" s="2632"/>
      <c r="T25" s="951"/>
      <c r="U25" s="2633" t="s">
        <v>768</v>
      </c>
      <c r="V25" s="2633"/>
      <c r="W25" s="2633"/>
      <c r="X25" s="2625">
        <f>Betrieb!D15</f>
        <v>0</v>
      </c>
      <c r="Y25" s="949"/>
      <c r="Z25" s="949"/>
      <c r="AA25" s="949"/>
      <c r="AB25" s="949"/>
      <c r="AC25" s="949"/>
      <c r="AD25" s="949"/>
      <c r="AE25" s="2260" t="str">
        <f t="shared" si="24"/>
        <v/>
      </c>
      <c r="AF25" s="589">
        <f t="shared" si="19"/>
        <v>0</v>
      </c>
      <c r="AG25" s="589"/>
      <c r="AH25" s="589">
        <f t="shared" si="20"/>
        <v>0</v>
      </c>
      <c r="AI25" s="589">
        <f t="shared" si="21"/>
        <v>0</v>
      </c>
      <c r="AJ25" s="589">
        <f t="shared" si="22"/>
        <v>0</v>
      </c>
      <c r="AK25" s="1278"/>
      <c r="AL25" s="1278"/>
      <c r="AM25" s="2265" t="s">
        <v>890</v>
      </c>
      <c r="AN25" s="2272">
        <v>110</v>
      </c>
      <c r="AO25" s="2275" t="s">
        <v>1992</v>
      </c>
      <c r="AP25" s="2272">
        <v>155</v>
      </c>
      <c r="AQ25" s="2276" t="s">
        <v>458</v>
      </c>
      <c r="AR25" s="2272">
        <v>180</v>
      </c>
      <c r="AS25" s="2275" t="s">
        <v>459</v>
      </c>
      <c r="AT25" s="2272">
        <v>195</v>
      </c>
      <c r="AU25" s="2275" t="s">
        <v>460</v>
      </c>
      <c r="AV25" s="2272">
        <v>210</v>
      </c>
      <c r="AW25" s="2275" t="s">
        <v>461</v>
      </c>
      <c r="AX25" s="2277">
        <v>110</v>
      </c>
      <c r="AY25" s="2278" t="s">
        <v>458</v>
      </c>
      <c r="AZ25" s="2277">
        <v>130</v>
      </c>
      <c r="BA25" s="2278" t="s">
        <v>210</v>
      </c>
      <c r="BB25" s="583">
        <v>1.8</v>
      </c>
      <c r="BC25" s="520"/>
      <c r="BD25" s="511"/>
      <c r="BE25" s="2265" t="s">
        <v>890</v>
      </c>
      <c r="BF25" s="575">
        <v>75</v>
      </c>
      <c r="BG25" s="575">
        <v>85</v>
      </c>
      <c r="BH25" s="575">
        <v>100</v>
      </c>
      <c r="BI25" s="511"/>
      <c r="BJ25" s="2265" t="s">
        <v>890</v>
      </c>
      <c r="BK25" s="575">
        <v>290</v>
      </c>
      <c r="BL25" s="575">
        <v>320</v>
      </c>
      <c r="BM25" s="575">
        <v>370</v>
      </c>
      <c r="BN25" s="575">
        <v>150</v>
      </c>
      <c r="BO25" s="575">
        <v>150</v>
      </c>
      <c r="BP25" s="458"/>
      <c r="BQ25" s="458"/>
      <c r="BR25" s="458"/>
      <c r="BS25" s="2461" t="s">
        <v>892</v>
      </c>
      <c r="BT25" s="2463" t="str">
        <f>IFERROR(INDEX(Liste_Ackerkulturen_Gemüse_DropDown[Ackerkulturen],_xlfn.AGGREGATE(15,6,(ROW(Liste_Ackerkulturen_Gemüse_DropDown[Ackerkulturen])-1)/(--(SEARCH(BU$2,Liste_Ackerkulturen_Gemüse_DropDown[Ackerkulturen])&gt;0)),ROW()-2),1),"")</f>
        <v>Frühkartoffeln, Saatkartoffeln</v>
      </c>
      <c r="BU25" s="2463"/>
      <c r="BV25" s="2463" t="str">
        <f>IFERROR(INDEX(Liste_Ackerkulturen_Gemüse_DropDown[Ackerkulturen],_xlfn.AGGREGATE(15,6,(ROW(Liste_Ackerkulturen_Gemüse_DropDown[Ackerkulturen])-1)/(--(SEARCH(BW$2,Liste_Ackerkulturen_Gemüse_DropDown[Ackerkulturen])&gt;0)),ROW()-2),1),"")</f>
        <v>Frühkartoffeln, Saatkartoffeln</v>
      </c>
      <c r="BW25" s="2463"/>
      <c r="BX25" s="2463" t="str">
        <f>IFERROR(INDEX(Liste_Ackerkulturen_Gemüse_DropDown[Ackerkulturen],_xlfn.AGGREGATE(15,6,(ROW(Liste_Ackerkulturen_Gemüse_DropDown[Ackerkulturen])-1)/(--(SEARCH(BY$2,Liste_Ackerkulturen_Gemüse_DropDown[Ackerkulturen])&gt;0)),ROW()-2),1),"")</f>
        <v>Frühkartoffeln, Saatkartoffeln</v>
      </c>
      <c r="BY25" s="2463"/>
      <c r="BZ25" s="2463" t="str">
        <f>IFERROR(INDEX(Liste_Ackerkulturen_Gemüse_DropDown[Ackerkulturen],_xlfn.AGGREGATE(15,6,(ROW(Liste_Ackerkulturen_Gemüse_DropDown[Ackerkulturen])-1)/(--(SEARCH(CA$2,Liste_Ackerkulturen_Gemüse_DropDown[Ackerkulturen])&gt;0)),ROW()-2),1),"")</f>
        <v>Frühkartoffeln, Saatkartoffeln</v>
      </c>
      <c r="CA25" s="2463"/>
      <c r="CB25" s="2463" t="str">
        <f>IFERROR(INDEX(Liste_Ackerkulturen_Gemüse_DropDown[Ackerkulturen],_xlfn.AGGREGATE(15,6,(ROW(Liste_Ackerkulturen_Gemüse_DropDown[Ackerkulturen])-1)/(--(SEARCH(CC$2,Liste_Ackerkulturen_Gemüse_DropDown[Ackerkulturen])&gt;0)),ROW()-2),1),"")</f>
        <v>Frühkartoffeln, Saatkartoffeln</v>
      </c>
      <c r="CC25" s="2463"/>
      <c r="CD25" s="2464" t="str">
        <f>IFERROR(INDEX(Liste_Ackerkulturen_Gemüse_DropDown[Ackerkulturen],_xlfn.AGGREGATE(15,6,(ROW(Liste_Ackerkulturen_Gemüse_DropDown[Ackerkulturen])-1)/(--(SEARCH(CE$2,Liste_Ackerkulturen_Gemüse_DropDown[Ackerkulturen])&gt;0)),ROW()-2),1),"")</f>
        <v>Frühkartoffeln, Saatkartoffeln</v>
      </c>
      <c r="CE25" s="2464"/>
      <c r="CF25" s="2464" t="str">
        <f>IFERROR(INDEX(Liste_Ackerkulturen_Gemüse_DropDown[Ackerkulturen],_xlfn.AGGREGATE(15,6,(ROW(Liste_Ackerkulturen_Gemüse_DropDown[Ackerkulturen])-1)/(--(SEARCH(CG$2,Liste_Ackerkulturen_Gemüse_DropDown[Ackerkulturen])&gt;0)),ROW()-2),1),"")</f>
        <v>Frühkartoffeln, Saatkartoffeln</v>
      </c>
      <c r="CG25" s="2464"/>
      <c r="CH25" s="2464" t="str">
        <f>IFERROR(INDEX(Liste_Ackerkulturen_Gemüse_DropDown[Ackerkulturen],_xlfn.AGGREGATE(15,6,(ROW(Liste_Ackerkulturen_Gemüse_DropDown[Ackerkulturen])-1)/(--(SEARCH(CI$2,Liste_Ackerkulturen_Gemüse_DropDown[Ackerkulturen])&gt;0)),ROW()-2),1),"")</f>
        <v>Frühkartoffeln, Saatkartoffeln</v>
      </c>
      <c r="CI25" s="2464"/>
      <c r="CJ25" s="2464" t="str">
        <f>IFERROR(INDEX(Liste_Ackerkulturen_Gemüse_DropDown[Ackerkulturen],_xlfn.AGGREGATE(15,6,(ROW(Liste_Ackerkulturen_Gemüse_DropDown[Ackerkulturen])-1)/(--(SEARCH(CK$2,Liste_Ackerkulturen_Gemüse_DropDown[Ackerkulturen])&gt;0)),ROW()-2),1),"")</f>
        <v>Frühkartoffeln, Saatkartoffeln</v>
      </c>
      <c r="CK25" s="2464"/>
      <c r="CL25" s="2464" t="str">
        <f>IFERROR(INDEX(Liste_Ackerkulturen_Gemüse_DropDown[Ackerkulturen],_xlfn.AGGREGATE(15,6,(ROW(Liste_Ackerkulturen_Gemüse_DropDown[Ackerkulturen])-1)/(--(SEARCH(CM$2,Liste_Ackerkulturen_Gemüse_DropDown[Ackerkulturen])&gt;0)),ROW()-2),1),"")</f>
        <v>Frühkartoffeln, Saatkartoffeln</v>
      </c>
      <c r="CM25" s="2464"/>
      <c r="CN25" s="2464" t="str">
        <f>IFERROR(INDEX(Liste_Ackerkulturen_Gemüse_DropDown[Ackerkulturen],_xlfn.AGGREGATE(15,6,(ROW(Liste_Ackerkulturen_Gemüse_DropDown[Ackerkulturen])-1)/(--(SEARCH(CO$2,Liste_Ackerkulturen_Gemüse_DropDown[Ackerkulturen])&gt;0)),ROW()-2),1),"")</f>
        <v>Frühkartoffeln, Saatkartoffeln</v>
      </c>
      <c r="CO25" s="2464"/>
      <c r="CP25" s="2464" t="str">
        <f>IFERROR(INDEX(Liste_Ackerkulturen_Gemüse_DropDown[Ackerkulturen],_xlfn.AGGREGATE(15,6,(ROW(Liste_Ackerkulturen_Gemüse_DropDown[Ackerkulturen])-1)/(--(SEARCH(CQ$2,Liste_Ackerkulturen_Gemüse_DropDown[Ackerkulturen])&gt;0)),ROW()-2),1),"")</f>
        <v>Frühkartoffeln, Saatkartoffeln</v>
      </c>
      <c r="CQ25" s="2464"/>
      <c r="CR25" s="2464" t="str">
        <f>IFERROR(INDEX(Liste_Ackerkulturen_Gemüse_DropDown[Ackerkulturen],_xlfn.AGGREGATE(15,6,(ROW(Liste_Ackerkulturen_Gemüse_DropDown[Ackerkulturen])-1)/(--(SEARCH(CS$2,Liste_Ackerkulturen_Gemüse_DropDown[Ackerkulturen])&gt;0)),ROW()-2),1),"")</f>
        <v>Frühkartoffeln, Saatkartoffeln</v>
      </c>
      <c r="CS25" s="2464"/>
      <c r="CT25"/>
      <c r="CU25"/>
      <c r="CV25"/>
      <c r="CW25"/>
      <c r="CX25"/>
      <c r="CY25"/>
      <c r="CZ25"/>
      <c r="DA25"/>
      <c r="DB25"/>
      <c r="DC25"/>
      <c r="DD25"/>
      <c r="DE25"/>
      <c r="DF25"/>
      <c r="DG25"/>
      <c r="DH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row>
    <row r="26" spans="1:255" ht="21.75" customHeight="1">
      <c r="B26" s="508"/>
      <c r="C26" s="1723" t="s">
        <v>763</v>
      </c>
      <c r="D26" s="1724"/>
      <c r="E26" s="1725"/>
      <c r="F26" s="1726"/>
      <c r="G26" s="1726"/>
      <c r="H26" s="1726"/>
      <c r="I26" s="1727"/>
      <c r="J26" s="1444">
        <f>-S17</f>
        <v>0</v>
      </c>
      <c r="K26" s="1730"/>
      <c r="L26" s="1736" t="s">
        <v>1826</v>
      </c>
      <c r="M26" s="1525">
        <f>SUM(M5:M25)</f>
        <v>0</v>
      </c>
      <c r="N26" s="2636" t="str">
        <f>IF(AND(Tabelle1!AO14=1,M29&gt;0,Mineral!H28&gt;0),"P-Mineraldünger reduzieren und eventuell den P-Bedarf genau nach Bodenversorgung und Ertragslagen eingeben!",IF(Betrieb!D18=0,"Betriebsfläche am Tabellenblatt Betrieb
 muss noch angeführt werden",""))</f>
        <v>Betriebsfläche am Tabellenblatt Betrieb
 muss noch angeführt werden</v>
      </c>
      <c r="O26" s="2636"/>
      <c r="P26" s="2636"/>
      <c r="Q26" s="2636"/>
      <c r="R26" s="2636"/>
      <c r="S26" s="2636"/>
      <c r="T26" s="951"/>
      <c r="U26" s="2633"/>
      <c r="V26" s="2633"/>
      <c r="W26" s="2633"/>
      <c r="X26" s="2625"/>
      <c r="Y26" s="950"/>
      <c r="Z26" s="950"/>
      <c r="AA26" s="950"/>
      <c r="AB26" s="950"/>
      <c r="AC26" s="950"/>
      <c r="AD26" s="950"/>
      <c r="AE26" s="950"/>
      <c r="AF26" s="590">
        <f>SUM(AF5:AF25)</f>
        <v>0</v>
      </c>
      <c r="AG26" s="268"/>
      <c r="AH26" s="268"/>
      <c r="AI26" s="268"/>
      <c r="AJ26" s="268"/>
      <c r="AK26" s="268"/>
      <c r="AL26" s="268"/>
      <c r="AM26" s="2265" t="s">
        <v>891</v>
      </c>
      <c r="AN26" s="2272">
        <v>90</v>
      </c>
      <c r="AO26" s="2275" t="s">
        <v>462</v>
      </c>
      <c r="AP26" s="2272">
        <v>120</v>
      </c>
      <c r="AQ26" s="2276" t="s">
        <v>463</v>
      </c>
      <c r="AR26" s="2272">
        <v>145</v>
      </c>
      <c r="AS26" s="2275" t="s">
        <v>464</v>
      </c>
      <c r="AT26" s="2272">
        <v>145</v>
      </c>
      <c r="AU26" s="2275" t="s">
        <v>464</v>
      </c>
      <c r="AV26" s="2272">
        <v>145</v>
      </c>
      <c r="AW26" s="2275" t="s">
        <v>464</v>
      </c>
      <c r="AX26" s="2277">
        <v>110</v>
      </c>
      <c r="AY26" s="2278" t="s">
        <v>463</v>
      </c>
      <c r="AZ26" s="2277">
        <v>125</v>
      </c>
      <c r="BA26" s="2278" t="s">
        <v>464</v>
      </c>
      <c r="BB26" s="583">
        <v>5</v>
      </c>
      <c r="BC26" s="520"/>
      <c r="BD26" s="511"/>
      <c r="BE26" s="2265" t="s">
        <v>891</v>
      </c>
      <c r="BF26" s="575">
        <v>55</v>
      </c>
      <c r="BG26" s="575">
        <v>60</v>
      </c>
      <c r="BH26" s="575">
        <v>70</v>
      </c>
      <c r="BI26" s="511"/>
      <c r="BJ26" s="2265" t="s">
        <v>891</v>
      </c>
      <c r="BK26" s="575">
        <v>160</v>
      </c>
      <c r="BL26" s="575">
        <v>180</v>
      </c>
      <c r="BM26" s="575">
        <v>205</v>
      </c>
      <c r="BN26" s="575">
        <v>40</v>
      </c>
      <c r="BO26" s="575">
        <v>40</v>
      </c>
      <c r="BP26" s="458"/>
      <c r="BQ26" s="458"/>
      <c r="BR26" s="458"/>
      <c r="BS26" s="2461" t="s">
        <v>725</v>
      </c>
      <c r="BT26" s="2463" t="str">
        <f>IFERROR(INDEX(Liste_Ackerkulturen_Gemüse_DropDown[Ackerkulturen],_xlfn.AGGREGATE(15,6,(ROW(Liste_Ackerkulturen_Gemüse_DropDown[Ackerkulturen])-1)/(--(SEARCH(BU$2,Liste_Ackerkulturen_Gemüse_DropDown[Ackerkulturen])&gt;0)),ROW()-2),1),"")</f>
        <v xml:space="preserve">Speise- und Industriekartoffeln </v>
      </c>
      <c r="BU26" s="2463"/>
      <c r="BV26" s="2463" t="str">
        <f>IFERROR(INDEX(Liste_Ackerkulturen_Gemüse_DropDown[Ackerkulturen],_xlfn.AGGREGATE(15,6,(ROW(Liste_Ackerkulturen_Gemüse_DropDown[Ackerkulturen])-1)/(--(SEARCH(BW$2,Liste_Ackerkulturen_Gemüse_DropDown[Ackerkulturen])&gt;0)),ROW()-2),1),"")</f>
        <v xml:space="preserve">Speise- und Industriekartoffeln </v>
      </c>
      <c r="BW26" s="2463"/>
      <c r="BX26" s="2463" t="str">
        <f>IFERROR(INDEX(Liste_Ackerkulturen_Gemüse_DropDown[Ackerkulturen],_xlfn.AGGREGATE(15,6,(ROW(Liste_Ackerkulturen_Gemüse_DropDown[Ackerkulturen])-1)/(--(SEARCH(BY$2,Liste_Ackerkulturen_Gemüse_DropDown[Ackerkulturen])&gt;0)),ROW()-2),1),"")</f>
        <v xml:space="preserve">Speise- und Industriekartoffeln </v>
      </c>
      <c r="BY26" s="2463"/>
      <c r="BZ26" s="2463" t="str">
        <f>IFERROR(INDEX(Liste_Ackerkulturen_Gemüse_DropDown[Ackerkulturen],_xlfn.AGGREGATE(15,6,(ROW(Liste_Ackerkulturen_Gemüse_DropDown[Ackerkulturen])-1)/(--(SEARCH(CA$2,Liste_Ackerkulturen_Gemüse_DropDown[Ackerkulturen])&gt;0)),ROW()-2),1),"")</f>
        <v xml:space="preserve">Speise- und Industriekartoffeln </v>
      </c>
      <c r="CA26" s="2463"/>
      <c r="CB26" s="2463" t="str">
        <f>IFERROR(INDEX(Liste_Ackerkulturen_Gemüse_DropDown[Ackerkulturen],_xlfn.AGGREGATE(15,6,(ROW(Liste_Ackerkulturen_Gemüse_DropDown[Ackerkulturen])-1)/(--(SEARCH(CC$2,Liste_Ackerkulturen_Gemüse_DropDown[Ackerkulturen])&gt;0)),ROW()-2),1),"")</f>
        <v xml:space="preserve">Speise- und Industriekartoffeln </v>
      </c>
      <c r="CC26" s="2463"/>
      <c r="CD26" s="2464" t="str">
        <f>IFERROR(INDEX(Liste_Ackerkulturen_Gemüse_DropDown[Ackerkulturen],_xlfn.AGGREGATE(15,6,(ROW(Liste_Ackerkulturen_Gemüse_DropDown[Ackerkulturen])-1)/(--(SEARCH(CE$2,Liste_Ackerkulturen_Gemüse_DropDown[Ackerkulturen])&gt;0)),ROW()-2),1),"")</f>
        <v xml:space="preserve">Speise- und Industriekartoffeln </v>
      </c>
      <c r="CE26" s="2464"/>
      <c r="CF26" s="2464" t="str">
        <f>IFERROR(INDEX(Liste_Ackerkulturen_Gemüse_DropDown[Ackerkulturen],_xlfn.AGGREGATE(15,6,(ROW(Liste_Ackerkulturen_Gemüse_DropDown[Ackerkulturen])-1)/(--(SEARCH(CG$2,Liste_Ackerkulturen_Gemüse_DropDown[Ackerkulturen])&gt;0)),ROW()-2),1),"")</f>
        <v xml:space="preserve">Speise- und Industriekartoffeln </v>
      </c>
      <c r="CG26" s="2464"/>
      <c r="CH26" s="2464" t="str">
        <f>IFERROR(INDEX(Liste_Ackerkulturen_Gemüse_DropDown[Ackerkulturen],_xlfn.AGGREGATE(15,6,(ROW(Liste_Ackerkulturen_Gemüse_DropDown[Ackerkulturen])-1)/(--(SEARCH(CI$2,Liste_Ackerkulturen_Gemüse_DropDown[Ackerkulturen])&gt;0)),ROW()-2),1),"")</f>
        <v xml:space="preserve">Speise- und Industriekartoffeln </v>
      </c>
      <c r="CI26" s="2464"/>
      <c r="CJ26" s="2464" t="str">
        <f>IFERROR(INDEX(Liste_Ackerkulturen_Gemüse_DropDown[Ackerkulturen],_xlfn.AGGREGATE(15,6,(ROW(Liste_Ackerkulturen_Gemüse_DropDown[Ackerkulturen])-1)/(--(SEARCH(CK$2,Liste_Ackerkulturen_Gemüse_DropDown[Ackerkulturen])&gt;0)),ROW()-2),1),"")</f>
        <v xml:space="preserve">Speise- und Industriekartoffeln </v>
      </c>
      <c r="CK26" s="2464"/>
      <c r="CL26" s="2464" t="str">
        <f>IFERROR(INDEX(Liste_Ackerkulturen_Gemüse_DropDown[Ackerkulturen],_xlfn.AGGREGATE(15,6,(ROW(Liste_Ackerkulturen_Gemüse_DropDown[Ackerkulturen])-1)/(--(SEARCH(CM$2,Liste_Ackerkulturen_Gemüse_DropDown[Ackerkulturen])&gt;0)),ROW()-2),1),"")</f>
        <v xml:space="preserve">Speise- und Industriekartoffeln </v>
      </c>
      <c r="CM26" s="2464"/>
      <c r="CN26" s="2464" t="str">
        <f>IFERROR(INDEX(Liste_Ackerkulturen_Gemüse_DropDown[Ackerkulturen],_xlfn.AGGREGATE(15,6,(ROW(Liste_Ackerkulturen_Gemüse_DropDown[Ackerkulturen])-1)/(--(SEARCH(CO$2,Liste_Ackerkulturen_Gemüse_DropDown[Ackerkulturen])&gt;0)),ROW()-2),1),"")</f>
        <v xml:space="preserve">Speise- und Industriekartoffeln </v>
      </c>
      <c r="CO26" s="2464"/>
      <c r="CP26" s="2464" t="str">
        <f>IFERROR(INDEX(Liste_Ackerkulturen_Gemüse_DropDown[Ackerkulturen],_xlfn.AGGREGATE(15,6,(ROW(Liste_Ackerkulturen_Gemüse_DropDown[Ackerkulturen])-1)/(--(SEARCH(CQ$2,Liste_Ackerkulturen_Gemüse_DropDown[Ackerkulturen])&gt;0)),ROW()-2),1),"")</f>
        <v xml:space="preserve">Speise- und Industriekartoffeln </v>
      </c>
      <c r="CQ26" s="2464"/>
      <c r="CR26" s="2464" t="str">
        <f>IFERROR(INDEX(Liste_Ackerkulturen_Gemüse_DropDown[Ackerkulturen],_xlfn.AGGREGATE(15,6,(ROW(Liste_Ackerkulturen_Gemüse_DropDown[Ackerkulturen])-1)/(--(SEARCH(CS$2,Liste_Ackerkulturen_Gemüse_DropDown[Ackerkulturen])&gt;0)),ROW()-2),1),"")</f>
        <v xml:space="preserve">Speise- und Industriekartoffeln </v>
      </c>
      <c r="CS26" s="2464"/>
      <c r="CT26"/>
      <c r="CU26"/>
      <c r="CV26"/>
      <c r="CW26"/>
      <c r="CX26"/>
      <c r="CY26"/>
      <c r="CZ26"/>
      <c r="DA26"/>
      <c r="DB26"/>
      <c r="DC26"/>
      <c r="DD26"/>
      <c r="DE26"/>
      <c r="DF26"/>
      <c r="DG26"/>
      <c r="DH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c r="IL26"/>
      <c r="IM26"/>
      <c r="IN26"/>
      <c r="IO26"/>
      <c r="IP26"/>
      <c r="IQ26"/>
      <c r="IR26"/>
      <c r="IS26"/>
      <c r="IT26"/>
      <c r="IU26"/>
    </row>
    <row r="27" spans="1:255" ht="21.75" customHeight="1">
      <c r="B27" s="1306"/>
      <c r="C27" s="1723" t="s">
        <v>1825</v>
      </c>
      <c r="D27" s="1724"/>
      <c r="E27" s="1728"/>
      <c r="F27" s="1729"/>
      <c r="G27" s="1729"/>
      <c r="H27" s="1729"/>
      <c r="I27" s="1730"/>
      <c r="J27" s="1524">
        <f>SUM(J5:J26)</f>
        <v>0</v>
      </c>
      <c r="K27" s="1730"/>
      <c r="L27" s="1736" t="s">
        <v>1829</v>
      </c>
      <c r="M27" s="1733">
        <f>Tabelle1!BI33</f>
        <v>0</v>
      </c>
      <c r="N27" s="2636"/>
      <c r="O27" s="2636"/>
      <c r="P27" s="2636"/>
      <c r="Q27" s="2636"/>
      <c r="R27" s="2636"/>
      <c r="S27" s="2636"/>
      <c r="T27" s="951"/>
      <c r="U27" s="2633" t="s">
        <v>769</v>
      </c>
      <c r="V27" s="2633"/>
      <c r="W27" s="2633"/>
      <c r="X27" s="2657">
        <f>SUM(E20:E25)</f>
        <v>0</v>
      </c>
      <c r="Y27" s="949"/>
      <c r="Z27" s="949"/>
      <c r="AA27" s="949"/>
      <c r="AB27" s="949"/>
      <c r="AC27" s="949"/>
      <c r="AD27" s="949"/>
      <c r="AE27" s="949"/>
      <c r="AF27" s="1305" t="s">
        <v>1827</v>
      </c>
      <c r="AG27" s="208"/>
      <c r="AH27" s="208"/>
      <c r="AI27" s="208"/>
      <c r="AJ27" s="208"/>
      <c r="AK27" s="208"/>
      <c r="AL27" s="208"/>
      <c r="AM27" s="2264" t="s">
        <v>892</v>
      </c>
      <c r="AN27" s="2272">
        <v>120</v>
      </c>
      <c r="AO27" s="2275" t="s">
        <v>465</v>
      </c>
      <c r="AP27" s="2272">
        <v>165</v>
      </c>
      <c r="AQ27" s="2276" t="s">
        <v>466</v>
      </c>
      <c r="AR27" s="2272">
        <v>195</v>
      </c>
      <c r="AS27" s="2275" t="s">
        <v>467</v>
      </c>
      <c r="AT27" s="2272">
        <v>210</v>
      </c>
      <c r="AU27" s="2275" t="s">
        <v>468</v>
      </c>
      <c r="AV27" s="2272">
        <v>225</v>
      </c>
      <c r="AW27" s="2275" t="s">
        <v>469</v>
      </c>
      <c r="AX27" s="2277">
        <v>130</v>
      </c>
      <c r="AY27" s="2278" t="s">
        <v>466</v>
      </c>
      <c r="AZ27" s="2277">
        <v>150</v>
      </c>
      <c r="BA27" s="2278" t="s">
        <v>141</v>
      </c>
      <c r="BB27" s="583">
        <v>3.5</v>
      </c>
      <c r="BC27" s="520"/>
      <c r="BD27" s="511"/>
      <c r="BE27" s="2264" t="s">
        <v>892</v>
      </c>
      <c r="BF27" s="575">
        <v>60</v>
      </c>
      <c r="BG27" s="575">
        <v>65</v>
      </c>
      <c r="BH27" s="575">
        <v>75</v>
      </c>
      <c r="BI27" s="511"/>
      <c r="BJ27" s="2264" t="s">
        <v>892</v>
      </c>
      <c r="BK27" s="575">
        <v>180</v>
      </c>
      <c r="BL27" s="575">
        <v>200</v>
      </c>
      <c r="BM27" s="575">
        <v>230</v>
      </c>
      <c r="BN27" s="575">
        <v>60</v>
      </c>
      <c r="BO27" s="575">
        <v>60</v>
      </c>
      <c r="BP27" s="458"/>
      <c r="BQ27" s="458"/>
      <c r="BR27" s="458"/>
      <c r="BS27" s="2461" t="s">
        <v>1840</v>
      </c>
      <c r="BT27" s="2463" t="str">
        <f>IFERROR(INDEX(Liste_Ackerkulturen_Gemüse_DropDown[Ackerkulturen],_xlfn.AGGREGATE(15,6,(ROW(Liste_Ackerkulturen_Gemüse_DropDown[Ackerkulturen])-1)/(--(SEARCH(BU$2,Liste_Ackerkulturen_Gemüse_DropDown[Ackerkulturen])&gt;0)),ROW()-2),1),"")</f>
        <v>Erdbeeren</v>
      </c>
      <c r="BU27" s="2463"/>
      <c r="BV27" s="2463" t="str">
        <f>IFERROR(INDEX(Liste_Ackerkulturen_Gemüse_DropDown[Ackerkulturen],_xlfn.AGGREGATE(15,6,(ROW(Liste_Ackerkulturen_Gemüse_DropDown[Ackerkulturen])-1)/(--(SEARCH(BW$2,Liste_Ackerkulturen_Gemüse_DropDown[Ackerkulturen])&gt;0)),ROW()-2),1),"")</f>
        <v>Erdbeeren</v>
      </c>
      <c r="BW27" s="2463"/>
      <c r="BX27" s="2463" t="str">
        <f>IFERROR(INDEX(Liste_Ackerkulturen_Gemüse_DropDown[Ackerkulturen],_xlfn.AGGREGATE(15,6,(ROW(Liste_Ackerkulturen_Gemüse_DropDown[Ackerkulturen])-1)/(--(SEARCH(BY$2,Liste_Ackerkulturen_Gemüse_DropDown[Ackerkulturen])&gt;0)),ROW()-2),1),"")</f>
        <v>Erdbeeren</v>
      </c>
      <c r="BY27" s="2463"/>
      <c r="BZ27" s="2463" t="str">
        <f>IFERROR(INDEX(Liste_Ackerkulturen_Gemüse_DropDown[Ackerkulturen],_xlfn.AGGREGATE(15,6,(ROW(Liste_Ackerkulturen_Gemüse_DropDown[Ackerkulturen])-1)/(--(SEARCH(CA$2,Liste_Ackerkulturen_Gemüse_DropDown[Ackerkulturen])&gt;0)),ROW()-2),1),"")</f>
        <v>Erdbeeren</v>
      </c>
      <c r="CA27" s="2463"/>
      <c r="CB27" s="2463" t="str">
        <f>IFERROR(INDEX(Liste_Ackerkulturen_Gemüse_DropDown[Ackerkulturen],_xlfn.AGGREGATE(15,6,(ROW(Liste_Ackerkulturen_Gemüse_DropDown[Ackerkulturen])-1)/(--(SEARCH(CC$2,Liste_Ackerkulturen_Gemüse_DropDown[Ackerkulturen])&gt;0)),ROW()-2),1),"")</f>
        <v>Erdbeeren</v>
      </c>
      <c r="CC27" s="2463"/>
      <c r="CD27" s="2464" t="str">
        <f>IFERROR(INDEX(Liste_Ackerkulturen_Gemüse_DropDown[Ackerkulturen],_xlfn.AGGREGATE(15,6,(ROW(Liste_Ackerkulturen_Gemüse_DropDown[Ackerkulturen])-1)/(--(SEARCH(CE$2,Liste_Ackerkulturen_Gemüse_DropDown[Ackerkulturen])&gt;0)),ROW()-2),1),"")</f>
        <v>Erdbeeren</v>
      </c>
      <c r="CE27" s="2464"/>
      <c r="CF27" s="2464" t="str">
        <f>IFERROR(INDEX(Liste_Ackerkulturen_Gemüse_DropDown[Ackerkulturen],_xlfn.AGGREGATE(15,6,(ROW(Liste_Ackerkulturen_Gemüse_DropDown[Ackerkulturen])-1)/(--(SEARCH(CG$2,Liste_Ackerkulturen_Gemüse_DropDown[Ackerkulturen])&gt;0)),ROW()-2),1),"")</f>
        <v>Erdbeeren</v>
      </c>
      <c r="CG27" s="2464"/>
      <c r="CH27" s="2464" t="str">
        <f>IFERROR(INDEX(Liste_Ackerkulturen_Gemüse_DropDown[Ackerkulturen],_xlfn.AGGREGATE(15,6,(ROW(Liste_Ackerkulturen_Gemüse_DropDown[Ackerkulturen])-1)/(--(SEARCH(CI$2,Liste_Ackerkulturen_Gemüse_DropDown[Ackerkulturen])&gt;0)),ROW()-2),1),"")</f>
        <v>Erdbeeren</v>
      </c>
      <c r="CI27" s="2464"/>
      <c r="CJ27" s="2464" t="str">
        <f>IFERROR(INDEX(Liste_Ackerkulturen_Gemüse_DropDown[Ackerkulturen],_xlfn.AGGREGATE(15,6,(ROW(Liste_Ackerkulturen_Gemüse_DropDown[Ackerkulturen])-1)/(--(SEARCH(CK$2,Liste_Ackerkulturen_Gemüse_DropDown[Ackerkulturen])&gt;0)),ROW()-2),1),"")</f>
        <v>Erdbeeren</v>
      </c>
      <c r="CK27" s="2464"/>
      <c r="CL27" s="2464" t="str">
        <f>IFERROR(INDEX(Liste_Ackerkulturen_Gemüse_DropDown[Ackerkulturen],_xlfn.AGGREGATE(15,6,(ROW(Liste_Ackerkulturen_Gemüse_DropDown[Ackerkulturen])-1)/(--(SEARCH(CM$2,Liste_Ackerkulturen_Gemüse_DropDown[Ackerkulturen])&gt;0)),ROW()-2),1),"")</f>
        <v>Erdbeeren</v>
      </c>
      <c r="CM27" s="2464"/>
      <c r="CN27" s="2464" t="str">
        <f>IFERROR(INDEX(Liste_Ackerkulturen_Gemüse_DropDown[Ackerkulturen],_xlfn.AGGREGATE(15,6,(ROW(Liste_Ackerkulturen_Gemüse_DropDown[Ackerkulturen])-1)/(--(SEARCH(CO$2,Liste_Ackerkulturen_Gemüse_DropDown[Ackerkulturen])&gt;0)),ROW()-2),1),"")</f>
        <v>Erdbeeren</v>
      </c>
      <c r="CO27" s="2464"/>
      <c r="CP27" s="2464" t="str">
        <f>IFERROR(INDEX(Liste_Ackerkulturen_Gemüse_DropDown[Ackerkulturen],_xlfn.AGGREGATE(15,6,(ROW(Liste_Ackerkulturen_Gemüse_DropDown[Ackerkulturen])-1)/(--(SEARCH(CQ$2,Liste_Ackerkulturen_Gemüse_DropDown[Ackerkulturen])&gt;0)),ROW()-2),1),"")</f>
        <v>Erdbeeren</v>
      </c>
      <c r="CQ27" s="2464"/>
      <c r="CR27" s="2464" t="str">
        <f>IFERROR(INDEX(Liste_Ackerkulturen_Gemüse_DropDown[Ackerkulturen],_xlfn.AGGREGATE(15,6,(ROW(Liste_Ackerkulturen_Gemüse_DropDown[Ackerkulturen])-1)/(--(SEARCH(CS$2,Liste_Ackerkulturen_Gemüse_DropDown[Ackerkulturen])&gt;0)),ROW()-2),1),"")</f>
        <v>Erdbeeren</v>
      </c>
      <c r="CS27" s="2464"/>
      <c r="CT27"/>
      <c r="CU27"/>
      <c r="CV27"/>
      <c r="CW27"/>
      <c r="CX27"/>
      <c r="CY27"/>
      <c r="CZ27"/>
      <c r="DA27"/>
      <c r="DB27"/>
      <c r="DC27"/>
      <c r="DD27"/>
      <c r="DE27"/>
      <c r="DF27"/>
      <c r="DG27"/>
      <c r="DH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c r="IL27"/>
      <c r="IM27"/>
      <c r="IN27"/>
      <c r="IO27"/>
      <c r="IP27"/>
      <c r="IQ27"/>
      <c r="IR27"/>
      <c r="IS27"/>
      <c r="IT27"/>
      <c r="IU27"/>
    </row>
    <row r="28" spans="1:255" ht="21.75" customHeight="1">
      <c r="C28" s="1723" t="s">
        <v>1828</v>
      </c>
      <c r="D28" s="1724"/>
      <c r="E28" s="1728"/>
      <c r="F28" s="1729"/>
      <c r="G28" s="1729"/>
      <c r="H28" s="1729"/>
      <c r="I28" s="1730"/>
      <c r="J28" s="1733">
        <f>Tabelle1!AX78</f>
        <v>0</v>
      </c>
      <c r="K28" s="1730"/>
      <c r="L28" s="1734" t="s">
        <v>765</v>
      </c>
      <c r="M28" s="1735">
        <f>IF(Betrieb!D18=0,0,M27/Betrieb!D18)</f>
        <v>0</v>
      </c>
      <c r="N28" s="2637"/>
      <c r="O28" s="2637"/>
      <c r="P28" s="2637"/>
      <c r="Q28" s="2637"/>
      <c r="R28" s="2637"/>
      <c r="S28" s="2637"/>
      <c r="T28" s="951"/>
      <c r="U28" s="2633"/>
      <c r="V28" s="2633"/>
      <c r="W28" s="2633"/>
      <c r="X28" s="2657"/>
      <c r="Y28" s="951"/>
      <c r="Z28" s="951"/>
      <c r="AA28" s="951"/>
      <c r="AB28" s="951"/>
      <c r="AC28" s="951"/>
      <c r="AD28" s="951"/>
      <c r="AE28" s="951"/>
      <c r="AF28" s="595"/>
      <c r="AG28" s="267"/>
      <c r="AH28" s="208"/>
      <c r="AI28" s="1303" t="s">
        <v>1831</v>
      </c>
      <c r="AJ28" s="1304" t="s">
        <v>1832</v>
      </c>
      <c r="AK28" s="1304" t="s">
        <v>1833</v>
      </c>
      <c r="AL28" s="1990"/>
      <c r="AM28" s="2264" t="s">
        <v>725</v>
      </c>
      <c r="AN28" s="2272">
        <v>100</v>
      </c>
      <c r="AO28" s="2275" t="s">
        <v>470</v>
      </c>
      <c r="AP28" s="2272">
        <v>100</v>
      </c>
      <c r="AQ28" s="2276" t="s">
        <v>471</v>
      </c>
      <c r="AR28" s="2272">
        <v>120</v>
      </c>
      <c r="AS28" s="2275" t="s">
        <v>472</v>
      </c>
      <c r="AT28" s="2272">
        <v>120</v>
      </c>
      <c r="AU28" s="2275" t="s">
        <v>137</v>
      </c>
      <c r="AV28" s="2272">
        <v>120</v>
      </c>
      <c r="AW28" s="2275" t="s">
        <v>137</v>
      </c>
      <c r="AX28" s="2277">
        <v>100</v>
      </c>
      <c r="AY28" s="2322" t="s">
        <v>471</v>
      </c>
      <c r="AZ28" s="2277">
        <v>120</v>
      </c>
      <c r="BA28" s="2278" t="s">
        <v>137</v>
      </c>
      <c r="BB28" s="583"/>
      <c r="BC28" s="520"/>
      <c r="BD28" s="511"/>
      <c r="BE28" s="2264" t="s">
        <v>725</v>
      </c>
      <c r="BF28" s="575">
        <v>35</v>
      </c>
      <c r="BG28" s="575">
        <v>35</v>
      </c>
      <c r="BH28" s="575">
        <v>45</v>
      </c>
      <c r="BI28" s="511"/>
      <c r="BJ28" s="2264" t="s">
        <v>725</v>
      </c>
      <c r="BK28" s="575">
        <v>130</v>
      </c>
      <c r="BL28" s="575">
        <v>130</v>
      </c>
      <c r="BM28" s="575">
        <v>170</v>
      </c>
      <c r="BN28" s="575"/>
      <c r="BO28" s="575"/>
      <c r="BP28" s="458"/>
      <c r="BQ28" s="458"/>
      <c r="BR28" s="458"/>
      <c r="BS28" s="2461" t="s">
        <v>1841</v>
      </c>
      <c r="BT28" s="2463" t="str">
        <f>IFERROR(INDEX(Liste_Ackerkulturen_Gemüse_DropDown[Ackerkulturen],_xlfn.AGGREGATE(15,6,(ROW(Liste_Ackerkulturen_Gemüse_DropDown[Ackerkulturen])-1)/(--(SEARCH(BU$2,Liste_Ackerkulturen_Gemüse_DropDown[Ackerkulturen])&gt;0)),ROW()-2),1),"")</f>
        <v>Kümmel</v>
      </c>
      <c r="BU28" s="2463"/>
      <c r="BV28" s="2463" t="str">
        <f>IFERROR(INDEX(Liste_Ackerkulturen_Gemüse_DropDown[Ackerkulturen],_xlfn.AGGREGATE(15,6,(ROW(Liste_Ackerkulturen_Gemüse_DropDown[Ackerkulturen])-1)/(--(SEARCH(BW$2,Liste_Ackerkulturen_Gemüse_DropDown[Ackerkulturen])&gt;0)),ROW()-2),1),"")</f>
        <v>Kümmel</v>
      </c>
      <c r="BW28" s="2463"/>
      <c r="BX28" s="2463" t="str">
        <f>IFERROR(INDEX(Liste_Ackerkulturen_Gemüse_DropDown[Ackerkulturen],_xlfn.AGGREGATE(15,6,(ROW(Liste_Ackerkulturen_Gemüse_DropDown[Ackerkulturen])-1)/(--(SEARCH(BY$2,Liste_Ackerkulturen_Gemüse_DropDown[Ackerkulturen])&gt;0)),ROW()-2),1),"")</f>
        <v>Kümmel</v>
      </c>
      <c r="BY28" s="2463"/>
      <c r="BZ28" s="2463" t="str">
        <f>IFERROR(INDEX(Liste_Ackerkulturen_Gemüse_DropDown[Ackerkulturen],_xlfn.AGGREGATE(15,6,(ROW(Liste_Ackerkulturen_Gemüse_DropDown[Ackerkulturen])-1)/(--(SEARCH(CA$2,Liste_Ackerkulturen_Gemüse_DropDown[Ackerkulturen])&gt;0)),ROW()-2),1),"")</f>
        <v>Kümmel</v>
      </c>
      <c r="CA28" s="2463"/>
      <c r="CB28" s="2463" t="str">
        <f>IFERROR(INDEX(Liste_Ackerkulturen_Gemüse_DropDown[Ackerkulturen],_xlfn.AGGREGATE(15,6,(ROW(Liste_Ackerkulturen_Gemüse_DropDown[Ackerkulturen])-1)/(--(SEARCH(CC$2,Liste_Ackerkulturen_Gemüse_DropDown[Ackerkulturen])&gt;0)),ROW()-2),1),"")</f>
        <v>Kümmel</v>
      </c>
      <c r="CC28" s="2463"/>
      <c r="CD28" s="2464" t="str">
        <f>IFERROR(INDEX(Liste_Ackerkulturen_Gemüse_DropDown[Ackerkulturen],_xlfn.AGGREGATE(15,6,(ROW(Liste_Ackerkulturen_Gemüse_DropDown[Ackerkulturen])-1)/(--(SEARCH(CE$2,Liste_Ackerkulturen_Gemüse_DropDown[Ackerkulturen])&gt;0)),ROW()-2),1),"")</f>
        <v>Kümmel</v>
      </c>
      <c r="CE28" s="2464"/>
      <c r="CF28" s="2464" t="str">
        <f>IFERROR(INDEX(Liste_Ackerkulturen_Gemüse_DropDown[Ackerkulturen],_xlfn.AGGREGATE(15,6,(ROW(Liste_Ackerkulturen_Gemüse_DropDown[Ackerkulturen])-1)/(--(SEARCH(CG$2,Liste_Ackerkulturen_Gemüse_DropDown[Ackerkulturen])&gt;0)),ROW()-2),1),"")</f>
        <v>Kümmel</v>
      </c>
      <c r="CG28" s="2464"/>
      <c r="CH28" s="2464" t="str">
        <f>IFERROR(INDEX(Liste_Ackerkulturen_Gemüse_DropDown[Ackerkulturen],_xlfn.AGGREGATE(15,6,(ROW(Liste_Ackerkulturen_Gemüse_DropDown[Ackerkulturen])-1)/(--(SEARCH(CI$2,Liste_Ackerkulturen_Gemüse_DropDown[Ackerkulturen])&gt;0)),ROW()-2),1),"")</f>
        <v>Kümmel</v>
      </c>
      <c r="CI28" s="2464"/>
      <c r="CJ28" s="2464" t="str">
        <f>IFERROR(INDEX(Liste_Ackerkulturen_Gemüse_DropDown[Ackerkulturen],_xlfn.AGGREGATE(15,6,(ROW(Liste_Ackerkulturen_Gemüse_DropDown[Ackerkulturen])-1)/(--(SEARCH(CK$2,Liste_Ackerkulturen_Gemüse_DropDown[Ackerkulturen])&gt;0)),ROW()-2),1),"")</f>
        <v>Kümmel</v>
      </c>
      <c r="CK28" s="2464"/>
      <c r="CL28" s="2464" t="str">
        <f>IFERROR(INDEX(Liste_Ackerkulturen_Gemüse_DropDown[Ackerkulturen],_xlfn.AGGREGATE(15,6,(ROW(Liste_Ackerkulturen_Gemüse_DropDown[Ackerkulturen])-1)/(--(SEARCH(CM$2,Liste_Ackerkulturen_Gemüse_DropDown[Ackerkulturen])&gt;0)),ROW()-2),1),"")</f>
        <v>Kümmel</v>
      </c>
      <c r="CM28" s="2464"/>
      <c r="CN28" s="2464" t="str">
        <f>IFERROR(INDEX(Liste_Ackerkulturen_Gemüse_DropDown[Ackerkulturen],_xlfn.AGGREGATE(15,6,(ROW(Liste_Ackerkulturen_Gemüse_DropDown[Ackerkulturen])-1)/(--(SEARCH(CO$2,Liste_Ackerkulturen_Gemüse_DropDown[Ackerkulturen])&gt;0)),ROW()-2),1),"")</f>
        <v>Kümmel</v>
      </c>
      <c r="CO28" s="2464"/>
      <c r="CP28" s="2464" t="str">
        <f>IFERROR(INDEX(Liste_Ackerkulturen_Gemüse_DropDown[Ackerkulturen],_xlfn.AGGREGATE(15,6,(ROW(Liste_Ackerkulturen_Gemüse_DropDown[Ackerkulturen])-1)/(--(SEARCH(CQ$2,Liste_Ackerkulturen_Gemüse_DropDown[Ackerkulturen])&gt;0)),ROW()-2),1),"")</f>
        <v>Kümmel</v>
      </c>
      <c r="CQ28" s="2464"/>
      <c r="CR28" s="2464" t="str">
        <f>IFERROR(INDEX(Liste_Ackerkulturen_Gemüse_DropDown[Ackerkulturen],_xlfn.AGGREGATE(15,6,(ROW(Liste_Ackerkulturen_Gemüse_DropDown[Ackerkulturen])-1)/(--(SEARCH(CS$2,Liste_Ackerkulturen_Gemüse_DropDown[Ackerkulturen])&gt;0)),ROW()-2),1),"")</f>
        <v>Kümmel</v>
      </c>
      <c r="CS28" s="2464"/>
      <c r="CT28"/>
      <c r="CU28"/>
      <c r="CV28"/>
      <c r="CW28"/>
      <c r="CX28"/>
      <c r="CY28"/>
      <c r="CZ28"/>
      <c r="DA28"/>
      <c r="DB28"/>
      <c r="DC28"/>
      <c r="DD28"/>
      <c r="DE28"/>
      <c r="DF28"/>
      <c r="DG28"/>
      <c r="DH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c r="IL28"/>
      <c r="IM28"/>
      <c r="IN28"/>
      <c r="IO28"/>
      <c r="IP28"/>
      <c r="IQ28"/>
      <c r="IR28"/>
      <c r="IS28"/>
      <c r="IT28"/>
      <c r="IU28"/>
    </row>
    <row r="29" spans="1:255" ht="27.75" customHeight="1">
      <c r="C29" s="2654" t="str">
        <f>IF(J29&lt;=0,"Der N-Saldo ist ok!","Der N-Saldo ist nicht ok!")</f>
        <v>Der N-Saldo ist ok!</v>
      </c>
      <c r="D29" s="2654"/>
      <c r="E29" s="2654"/>
      <c r="F29" s="2654"/>
      <c r="G29" s="2241"/>
      <c r="H29" s="1731"/>
      <c r="I29" s="1732" t="s">
        <v>1834</v>
      </c>
      <c r="J29" s="1524">
        <f>J28-J27</f>
        <v>0</v>
      </c>
      <c r="K29" s="1737"/>
      <c r="L29" s="1732" t="s">
        <v>977</v>
      </c>
      <c r="M29" s="1524">
        <f>M27-M26</f>
        <v>0</v>
      </c>
      <c r="N29" s="2655" t="str">
        <f>IF(Tabelle1!AO14=0,"Nicht im ÖPUL - keine Überprüfung von P!",IF(AND(M29&gt;0,Mineral!H28&lt;=0),"Ok! Kein Mineral-Phosphor am Betrieb!",IF(M29&lt;=0,"Der P-Saldo ist ok!","Achtung, der P-Saldo ist zu hoch!")))</f>
        <v>Der P-Saldo ist ok!</v>
      </c>
      <c r="O29" s="2655"/>
      <c r="P29" s="2655"/>
      <c r="Q29" s="2655"/>
      <c r="R29" s="2655"/>
      <c r="S29" s="2655"/>
      <c r="T29" s="951"/>
      <c r="U29" s="951"/>
      <c r="V29" s="951"/>
      <c r="W29" s="951"/>
      <c r="X29" s="951"/>
      <c r="Y29" s="951"/>
      <c r="Z29" s="951"/>
      <c r="AA29" s="951"/>
      <c r="AB29" s="951"/>
      <c r="AC29" s="951"/>
      <c r="AD29" s="951"/>
      <c r="AE29" s="951"/>
      <c r="AF29" s="595"/>
      <c r="AG29" s="267"/>
      <c r="AH29" s="208"/>
      <c r="AI29" s="591" t="s">
        <v>1836</v>
      </c>
      <c r="AJ29" s="592" t="s">
        <v>1784</v>
      </c>
      <c r="AK29" s="592" t="s">
        <v>1784</v>
      </c>
      <c r="AL29" s="1991"/>
      <c r="AM29" s="2264" t="s">
        <v>1840</v>
      </c>
      <c r="AN29" s="2272">
        <v>95</v>
      </c>
      <c r="AO29" s="2275" t="s">
        <v>473</v>
      </c>
      <c r="AP29" s="2272">
        <v>130</v>
      </c>
      <c r="AQ29" s="2276" t="s">
        <v>42</v>
      </c>
      <c r="AR29" s="2272">
        <v>155</v>
      </c>
      <c r="AS29" s="2275" t="s">
        <v>475</v>
      </c>
      <c r="AT29" s="2272">
        <v>170</v>
      </c>
      <c r="AU29" s="2275" t="s">
        <v>476</v>
      </c>
      <c r="AV29" s="2272">
        <v>180</v>
      </c>
      <c r="AW29" s="2275" t="s">
        <v>477</v>
      </c>
      <c r="AX29" s="2277">
        <v>110</v>
      </c>
      <c r="AY29" s="2278" t="s">
        <v>42</v>
      </c>
      <c r="AZ29" s="2277">
        <v>110</v>
      </c>
      <c r="BA29" s="2278" t="s">
        <v>2288</v>
      </c>
      <c r="BB29" s="583">
        <v>53</v>
      </c>
      <c r="BC29" s="520"/>
      <c r="BD29" s="511"/>
      <c r="BE29" s="2264" t="s">
        <v>1840</v>
      </c>
      <c r="BF29" s="575">
        <v>55</v>
      </c>
      <c r="BG29" s="575">
        <v>60</v>
      </c>
      <c r="BH29" s="575">
        <v>70</v>
      </c>
      <c r="BI29" s="511"/>
      <c r="BJ29" s="2264" t="s">
        <v>1840</v>
      </c>
      <c r="BK29" s="575">
        <v>70</v>
      </c>
      <c r="BL29" s="575">
        <v>80</v>
      </c>
      <c r="BM29" s="575">
        <v>90</v>
      </c>
      <c r="BN29" s="575"/>
      <c r="BO29" s="575"/>
      <c r="BP29" s="458"/>
      <c r="BQ29" s="458"/>
      <c r="BR29" s="458"/>
      <c r="BS29" s="2461" t="s">
        <v>1842</v>
      </c>
      <c r="BT29" s="2463" t="str">
        <f>IFERROR(INDEX(Liste_Ackerkulturen_Gemüse_DropDown[Ackerkulturen],_xlfn.AGGREGATE(15,6,(ROW(Liste_Ackerkulturen_Gemüse_DropDown[Ackerkulturen])-1)/(--(SEARCH(BU$2,Liste_Ackerkulturen_Gemüse_DropDown[Ackerkulturen])&gt;0)),ROW()-2),1),"")</f>
        <v>Mohn</v>
      </c>
      <c r="BU29" s="2463"/>
      <c r="BV29" s="2463" t="str">
        <f>IFERROR(INDEX(Liste_Ackerkulturen_Gemüse_DropDown[Ackerkulturen],_xlfn.AGGREGATE(15,6,(ROW(Liste_Ackerkulturen_Gemüse_DropDown[Ackerkulturen])-1)/(--(SEARCH(BW$2,Liste_Ackerkulturen_Gemüse_DropDown[Ackerkulturen])&gt;0)),ROW()-2),1),"")</f>
        <v>Mohn</v>
      </c>
      <c r="BW29" s="2463"/>
      <c r="BX29" s="2463" t="str">
        <f>IFERROR(INDEX(Liste_Ackerkulturen_Gemüse_DropDown[Ackerkulturen],_xlfn.AGGREGATE(15,6,(ROW(Liste_Ackerkulturen_Gemüse_DropDown[Ackerkulturen])-1)/(--(SEARCH(BY$2,Liste_Ackerkulturen_Gemüse_DropDown[Ackerkulturen])&gt;0)),ROW()-2),1),"")</f>
        <v>Mohn</v>
      </c>
      <c r="BY29" s="2463"/>
      <c r="BZ29" s="2463" t="str">
        <f>IFERROR(INDEX(Liste_Ackerkulturen_Gemüse_DropDown[Ackerkulturen],_xlfn.AGGREGATE(15,6,(ROW(Liste_Ackerkulturen_Gemüse_DropDown[Ackerkulturen])-1)/(--(SEARCH(CA$2,Liste_Ackerkulturen_Gemüse_DropDown[Ackerkulturen])&gt;0)),ROW()-2),1),"")</f>
        <v>Mohn</v>
      </c>
      <c r="CA29" s="2463"/>
      <c r="CB29" s="2463" t="str">
        <f>IFERROR(INDEX(Liste_Ackerkulturen_Gemüse_DropDown[Ackerkulturen],_xlfn.AGGREGATE(15,6,(ROW(Liste_Ackerkulturen_Gemüse_DropDown[Ackerkulturen])-1)/(--(SEARCH(CC$2,Liste_Ackerkulturen_Gemüse_DropDown[Ackerkulturen])&gt;0)),ROW()-2),1),"")</f>
        <v>Mohn</v>
      </c>
      <c r="CC29" s="2463"/>
      <c r="CD29" s="2464" t="str">
        <f>IFERROR(INDEX(Liste_Ackerkulturen_Gemüse_DropDown[Ackerkulturen],_xlfn.AGGREGATE(15,6,(ROW(Liste_Ackerkulturen_Gemüse_DropDown[Ackerkulturen])-1)/(--(SEARCH(CE$2,Liste_Ackerkulturen_Gemüse_DropDown[Ackerkulturen])&gt;0)),ROW()-2),1),"")</f>
        <v>Mohn</v>
      </c>
      <c r="CE29" s="2464"/>
      <c r="CF29" s="2464" t="str">
        <f>IFERROR(INDEX(Liste_Ackerkulturen_Gemüse_DropDown[Ackerkulturen],_xlfn.AGGREGATE(15,6,(ROW(Liste_Ackerkulturen_Gemüse_DropDown[Ackerkulturen])-1)/(--(SEARCH(CG$2,Liste_Ackerkulturen_Gemüse_DropDown[Ackerkulturen])&gt;0)),ROW()-2),1),"")</f>
        <v>Mohn</v>
      </c>
      <c r="CG29" s="2464"/>
      <c r="CH29" s="2464" t="str">
        <f>IFERROR(INDEX(Liste_Ackerkulturen_Gemüse_DropDown[Ackerkulturen],_xlfn.AGGREGATE(15,6,(ROW(Liste_Ackerkulturen_Gemüse_DropDown[Ackerkulturen])-1)/(--(SEARCH(CI$2,Liste_Ackerkulturen_Gemüse_DropDown[Ackerkulturen])&gt;0)),ROW()-2),1),"")</f>
        <v>Mohn</v>
      </c>
      <c r="CI29" s="2464"/>
      <c r="CJ29" s="2464" t="str">
        <f>IFERROR(INDEX(Liste_Ackerkulturen_Gemüse_DropDown[Ackerkulturen],_xlfn.AGGREGATE(15,6,(ROW(Liste_Ackerkulturen_Gemüse_DropDown[Ackerkulturen])-1)/(--(SEARCH(CK$2,Liste_Ackerkulturen_Gemüse_DropDown[Ackerkulturen])&gt;0)),ROW()-2),1),"")</f>
        <v>Mohn</v>
      </c>
      <c r="CK29" s="2464"/>
      <c r="CL29" s="2464" t="str">
        <f>IFERROR(INDEX(Liste_Ackerkulturen_Gemüse_DropDown[Ackerkulturen],_xlfn.AGGREGATE(15,6,(ROW(Liste_Ackerkulturen_Gemüse_DropDown[Ackerkulturen])-1)/(--(SEARCH(CM$2,Liste_Ackerkulturen_Gemüse_DropDown[Ackerkulturen])&gt;0)),ROW()-2),1),"")</f>
        <v>Mohn</v>
      </c>
      <c r="CM29" s="2464"/>
      <c r="CN29" s="2464" t="str">
        <f>IFERROR(INDEX(Liste_Ackerkulturen_Gemüse_DropDown[Ackerkulturen],_xlfn.AGGREGATE(15,6,(ROW(Liste_Ackerkulturen_Gemüse_DropDown[Ackerkulturen])-1)/(--(SEARCH(CO$2,Liste_Ackerkulturen_Gemüse_DropDown[Ackerkulturen])&gt;0)),ROW()-2),1),"")</f>
        <v>Mohn</v>
      </c>
      <c r="CO29" s="2464"/>
      <c r="CP29" s="2464" t="str">
        <f>IFERROR(INDEX(Liste_Ackerkulturen_Gemüse_DropDown[Ackerkulturen],_xlfn.AGGREGATE(15,6,(ROW(Liste_Ackerkulturen_Gemüse_DropDown[Ackerkulturen])-1)/(--(SEARCH(CQ$2,Liste_Ackerkulturen_Gemüse_DropDown[Ackerkulturen])&gt;0)),ROW()-2),1),"")</f>
        <v>Mohn</v>
      </c>
      <c r="CQ29" s="2464"/>
      <c r="CR29" s="2464" t="str">
        <f>IFERROR(INDEX(Liste_Ackerkulturen_Gemüse_DropDown[Ackerkulturen],_xlfn.AGGREGATE(15,6,(ROW(Liste_Ackerkulturen_Gemüse_DropDown[Ackerkulturen])-1)/(--(SEARCH(CS$2,Liste_Ackerkulturen_Gemüse_DropDown[Ackerkulturen])&gt;0)),ROW()-2),1),"")</f>
        <v>Mohn</v>
      </c>
      <c r="CS29" s="2464"/>
      <c r="CT29"/>
      <c r="CU29"/>
      <c r="CV29"/>
      <c r="CW29"/>
      <c r="CX29"/>
      <c r="CY29"/>
      <c r="CZ29"/>
      <c r="DA29"/>
      <c r="DB29"/>
      <c r="DC29"/>
      <c r="DD29"/>
      <c r="DE29"/>
      <c r="DF29"/>
      <c r="DG29"/>
      <c r="DH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c r="IL29"/>
      <c r="IM29"/>
      <c r="IN29"/>
      <c r="IO29"/>
      <c r="IP29"/>
      <c r="IQ29"/>
      <c r="IR29"/>
      <c r="IS29"/>
      <c r="IT29"/>
      <c r="IU29"/>
    </row>
    <row r="30" spans="1:255" ht="19.5" customHeight="1">
      <c r="C30" s="526" t="s">
        <v>1766</v>
      </c>
      <c r="D30" s="527"/>
      <c r="E30" s="951"/>
      <c r="F30" s="951"/>
      <c r="G30" s="951"/>
      <c r="H30" s="951"/>
      <c r="I30" s="951"/>
      <c r="J30" s="951"/>
      <c r="K30" s="951"/>
      <c r="L30" s="951"/>
      <c r="M30" s="951"/>
      <c r="N30" s="951"/>
      <c r="O30" s="951"/>
      <c r="P30" s="951"/>
      <c r="Q30" s="951"/>
      <c r="R30" s="951"/>
      <c r="S30" s="951"/>
      <c r="T30" s="951"/>
      <c r="U30" s="951"/>
      <c r="V30" s="951"/>
      <c r="W30" s="951"/>
      <c r="X30" s="951"/>
      <c r="Y30" s="951"/>
      <c r="Z30" s="951"/>
      <c r="AA30" s="951"/>
      <c r="AB30" s="951"/>
      <c r="AC30" s="951"/>
      <c r="AD30" s="951"/>
      <c r="AE30" s="951"/>
      <c r="AF30" s="595"/>
      <c r="AG30" s="267"/>
      <c r="AH30" s="208"/>
      <c r="AI30" s="591" t="s">
        <v>1838</v>
      </c>
      <c r="AJ30" s="593" t="s">
        <v>1095</v>
      </c>
      <c r="AK30" s="593" t="s">
        <v>1095</v>
      </c>
      <c r="AL30" s="1992"/>
      <c r="AM30" s="2264" t="s">
        <v>1841</v>
      </c>
      <c r="AN30" s="2272">
        <v>65</v>
      </c>
      <c r="AO30" s="2275" t="s">
        <v>478</v>
      </c>
      <c r="AP30" s="2272">
        <v>90</v>
      </c>
      <c r="AQ30" s="2276" t="s">
        <v>479</v>
      </c>
      <c r="AR30" s="2272">
        <v>105</v>
      </c>
      <c r="AS30" s="2275" t="s">
        <v>480</v>
      </c>
      <c r="AT30" s="2272">
        <v>110</v>
      </c>
      <c r="AU30" s="2275" t="s">
        <v>481</v>
      </c>
      <c r="AV30" s="2272">
        <v>120</v>
      </c>
      <c r="AW30" s="2275" t="s">
        <v>482</v>
      </c>
      <c r="AX30" s="2277">
        <v>70</v>
      </c>
      <c r="AY30" s="2278" t="s">
        <v>479</v>
      </c>
      <c r="AZ30" s="2277">
        <v>70</v>
      </c>
      <c r="BA30" s="2278" t="s">
        <v>484</v>
      </c>
      <c r="BB30" s="583">
        <v>100</v>
      </c>
      <c r="BC30" s="520"/>
      <c r="BD30" s="511"/>
      <c r="BE30" s="2264" t="s">
        <v>1841</v>
      </c>
      <c r="BF30" s="575">
        <v>50</v>
      </c>
      <c r="BG30" s="575">
        <v>55</v>
      </c>
      <c r="BH30" s="575">
        <v>65</v>
      </c>
      <c r="BI30" s="511"/>
      <c r="BJ30" s="2264" t="s">
        <v>1841</v>
      </c>
      <c r="BK30" s="575">
        <v>90</v>
      </c>
      <c r="BL30" s="575">
        <v>100</v>
      </c>
      <c r="BM30" s="575">
        <v>115</v>
      </c>
      <c r="BN30" s="575"/>
      <c r="BO30" s="575"/>
      <c r="BP30" s="458"/>
      <c r="BQ30" s="458"/>
      <c r="BR30" s="458"/>
      <c r="BS30" s="2461" t="s">
        <v>893</v>
      </c>
      <c r="BT30" s="2463" t="str">
        <f>IFERROR(INDEX(Liste_Ackerkulturen_Gemüse_DropDown[Ackerkulturen],_xlfn.AGGREGATE(15,6,(ROW(Liste_Ackerkulturen_Gemüse_DropDown[Ackerkulturen])-1)/(--(SEARCH(BU$2,Liste_Ackerkulturen_Gemüse_DropDown[Ackerkulturen])&gt;0)),ROW()-2),1),"")</f>
        <v>Ölkürbis</v>
      </c>
      <c r="BU30" s="2463"/>
      <c r="BV30" s="2463" t="str">
        <f>IFERROR(INDEX(Liste_Ackerkulturen_Gemüse_DropDown[Ackerkulturen],_xlfn.AGGREGATE(15,6,(ROW(Liste_Ackerkulturen_Gemüse_DropDown[Ackerkulturen])-1)/(--(SEARCH(BW$2,Liste_Ackerkulturen_Gemüse_DropDown[Ackerkulturen])&gt;0)),ROW()-2),1),"")</f>
        <v>Ölkürbis</v>
      </c>
      <c r="BW30" s="2463"/>
      <c r="BX30" s="2463" t="str">
        <f>IFERROR(INDEX(Liste_Ackerkulturen_Gemüse_DropDown[Ackerkulturen],_xlfn.AGGREGATE(15,6,(ROW(Liste_Ackerkulturen_Gemüse_DropDown[Ackerkulturen])-1)/(--(SEARCH(BY$2,Liste_Ackerkulturen_Gemüse_DropDown[Ackerkulturen])&gt;0)),ROW()-2),1),"")</f>
        <v>Ölkürbis</v>
      </c>
      <c r="BY30" s="2463"/>
      <c r="BZ30" s="2463" t="str">
        <f>IFERROR(INDEX(Liste_Ackerkulturen_Gemüse_DropDown[Ackerkulturen],_xlfn.AGGREGATE(15,6,(ROW(Liste_Ackerkulturen_Gemüse_DropDown[Ackerkulturen])-1)/(--(SEARCH(CA$2,Liste_Ackerkulturen_Gemüse_DropDown[Ackerkulturen])&gt;0)),ROW()-2),1),"")</f>
        <v>Ölkürbis</v>
      </c>
      <c r="CA30" s="2463"/>
      <c r="CB30" s="2463" t="str">
        <f>IFERROR(INDEX(Liste_Ackerkulturen_Gemüse_DropDown[Ackerkulturen],_xlfn.AGGREGATE(15,6,(ROW(Liste_Ackerkulturen_Gemüse_DropDown[Ackerkulturen])-1)/(--(SEARCH(CC$2,Liste_Ackerkulturen_Gemüse_DropDown[Ackerkulturen])&gt;0)),ROW()-2),1),"")</f>
        <v>Ölkürbis</v>
      </c>
      <c r="CC30" s="2463"/>
      <c r="CD30" s="2464" t="str">
        <f>IFERROR(INDEX(Liste_Ackerkulturen_Gemüse_DropDown[Ackerkulturen],_xlfn.AGGREGATE(15,6,(ROW(Liste_Ackerkulturen_Gemüse_DropDown[Ackerkulturen])-1)/(--(SEARCH(CE$2,Liste_Ackerkulturen_Gemüse_DropDown[Ackerkulturen])&gt;0)),ROW()-2),1),"")</f>
        <v>Ölkürbis</v>
      </c>
      <c r="CE30" s="2464"/>
      <c r="CF30" s="2464" t="str">
        <f>IFERROR(INDEX(Liste_Ackerkulturen_Gemüse_DropDown[Ackerkulturen],_xlfn.AGGREGATE(15,6,(ROW(Liste_Ackerkulturen_Gemüse_DropDown[Ackerkulturen])-1)/(--(SEARCH(CG$2,Liste_Ackerkulturen_Gemüse_DropDown[Ackerkulturen])&gt;0)),ROW()-2),1),"")</f>
        <v>Ölkürbis</v>
      </c>
      <c r="CG30" s="2464"/>
      <c r="CH30" s="2464" t="str">
        <f>IFERROR(INDEX(Liste_Ackerkulturen_Gemüse_DropDown[Ackerkulturen],_xlfn.AGGREGATE(15,6,(ROW(Liste_Ackerkulturen_Gemüse_DropDown[Ackerkulturen])-1)/(--(SEARCH(CI$2,Liste_Ackerkulturen_Gemüse_DropDown[Ackerkulturen])&gt;0)),ROW()-2),1),"")</f>
        <v>Ölkürbis</v>
      </c>
      <c r="CI30" s="2464"/>
      <c r="CJ30" s="2464" t="str">
        <f>IFERROR(INDEX(Liste_Ackerkulturen_Gemüse_DropDown[Ackerkulturen],_xlfn.AGGREGATE(15,6,(ROW(Liste_Ackerkulturen_Gemüse_DropDown[Ackerkulturen])-1)/(--(SEARCH(CK$2,Liste_Ackerkulturen_Gemüse_DropDown[Ackerkulturen])&gt;0)),ROW()-2),1),"")</f>
        <v>Ölkürbis</v>
      </c>
      <c r="CK30" s="2464"/>
      <c r="CL30" s="2464" t="str">
        <f>IFERROR(INDEX(Liste_Ackerkulturen_Gemüse_DropDown[Ackerkulturen],_xlfn.AGGREGATE(15,6,(ROW(Liste_Ackerkulturen_Gemüse_DropDown[Ackerkulturen])-1)/(--(SEARCH(CM$2,Liste_Ackerkulturen_Gemüse_DropDown[Ackerkulturen])&gt;0)),ROW()-2),1),"")</f>
        <v>Ölkürbis</v>
      </c>
      <c r="CM30" s="2464"/>
      <c r="CN30" s="2464" t="str">
        <f>IFERROR(INDEX(Liste_Ackerkulturen_Gemüse_DropDown[Ackerkulturen],_xlfn.AGGREGATE(15,6,(ROW(Liste_Ackerkulturen_Gemüse_DropDown[Ackerkulturen])-1)/(--(SEARCH(CO$2,Liste_Ackerkulturen_Gemüse_DropDown[Ackerkulturen])&gt;0)),ROW()-2),1),"")</f>
        <v>Ölkürbis</v>
      </c>
      <c r="CO30" s="2464"/>
      <c r="CP30" s="2464" t="str">
        <f>IFERROR(INDEX(Liste_Ackerkulturen_Gemüse_DropDown[Ackerkulturen],_xlfn.AGGREGATE(15,6,(ROW(Liste_Ackerkulturen_Gemüse_DropDown[Ackerkulturen])-1)/(--(SEARCH(CQ$2,Liste_Ackerkulturen_Gemüse_DropDown[Ackerkulturen])&gt;0)),ROW()-2),1),"")</f>
        <v>Ölkürbis</v>
      </c>
      <c r="CQ30" s="2464"/>
      <c r="CR30" s="2464" t="str">
        <f>IFERROR(INDEX(Liste_Ackerkulturen_Gemüse_DropDown[Ackerkulturen],_xlfn.AGGREGATE(15,6,(ROW(Liste_Ackerkulturen_Gemüse_DropDown[Ackerkulturen])-1)/(--(SEARCH(CS$2,Liste_Ackerkulturen_Gemüse_DropDown[Ackerkulturen])&gt;0)),ROW()-2),1),"")</f>
        <v>Ölkürbis</v>
      </c>
      <c r="CS30" s="2464"/>
      <c r="CT30"/>
      <c r="CU30"/>
      <c r="CV30"/>
      <c r="CW30"/>
      <c r="CX30"/>
      <c r="CY30"/>
      <c r="CZ30"/>
      <c r="DA30"/>
      <c r="DB30"/>
      <c r="DC30"/>
      <c r="DD30"/>
      <c r="DE30"/>
      <c r="DF30"/>
      <c r="DG30"/>
      <c r="DH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c r="IL30"/>
      <c r="IM30"/>
      <c r="IN30"/>
      <c r="IO30"/>
      <c r="IP30"/>
      <c r="IQ30"/>
      <c r="IR30"/>
      <c r="IS30"/>
      <c r="IT30"/>
      <c r="IU30"/>
    </row>
    <row r="31" spans="1:255" ht="18" customHeight="1" thickBot="1">
      <c r="A31" s="951"/>
      <c r="B31" s="951"/>
      <c r="C31" s="951"/>
      <c r="D31" s="951"/>
      <c r="E31" s="951"/>
      <c r="F31" s="951"/>
      <c r="G31" s="951"/>
      <c r="H31" s="951"/>
      <c r="I31" s="951"/>
      <c r="J31" s="951"/>
      <c r="K31" s="951"/>
      <c r="L31" s="951"/>
      <c r="M31" s="951"/>
      <c r="N31" s="951"/>
      <c r="O31" s="951"/>
      <c r="P31" s="951"/>
      <c r="Q31" s="951"/>
      <c r="R31" s="951"/>
      <c r="S31" s="951"/>
      <c r="T31" s="951"/>
      <c r="U31" s="951"/>
      <c r="V31" s="951"/>
      <c r="W31" s="951"/>
      <c r="X31" s="951"/>
      <c r="Y31" s="951"/>
      <c r="Z31" s="951"/>
      <c r="AA31" s="951"/>
      <c r="AB31" s="951"/>
      <c r="AC31" s="951"/>
      <c r="AD31" s="951"/>
      <c r="AE31" s="951"/>
      <c r="AF31" s="595"/>
      <c r="AG31" s="267"/>
      <c r="AH31" s="208"/>
      <c r="AI31" s="594"/>
      <c r="AJ31" s="592" t="s">
        <v>1091</v>
      </c>
      <c r="AK31" s="592" t="s">
        <v>1839</v>
      </c>
      <c r="AL31" s="592"/>
      <c r="AM31" s="2265" t="s">
        <v>1842</v>
      </c>
      <c r="AN31" s="2272">
        <v>65</v>
      </c>
      <c r="AO31" s="2275" t="s">
        <v>483</v>
      </c>
      <c r="AP31" s="2272">
        <v>90</v>
      </c>
      <c r="AQ31" s="2276" t="s">
        <v>479</v>
      </c>
      <c r="AR31" s="2272">
        <v>105</v>
      </c>
      <c r="AS31" s="2275" t="s">
        <v>484</v>
      </c>
      <c r="AT31" s="2272">
        <v>105</v>
      </c>
      <c r="AU31" s="2275" t="s">
        <v>484</v>
      </c>
      <c r="AV31" s="2272">
        <v>105</v>
      </c>
      <c r="AW31" s="2275" t="s">
        <v>484</v>
      </c>
      <c r="AX31" s="2277">
        <v>80</v>
      </c>
      <c r="AY31" s="2278" t="s">
        <v>479</v>
      </c>
      <c r="AZ31" s="2277">
        <v>100</v>
      </c>
      <c r="BA31" s="2278" t="s">
        <v>484</v>
      </c>
      <c r="BB31" s="583"/>
      <c r="BC31" s="520"/>
      <c r="BD31" s="511"/>
      <c r="BE31" s="2265" t="s">
        <v>1842</v>
      </c>
      <c r="BF31" s="575">
        <v>45</v>
      </c>
      <c r="BG31" s="575">
        <v>50</v>
      </c>
      <c r="BH31" s="575">
        <v>65</v>
      </c>
      <c r="BI31" s="511"/>
      <c r="BJ31" s="2265" t="s">
        <v>1842</v>
      </c>
      <c r="BK31" s="576">
        <v>160</v>
      </c>
      <c r="BL31" s="576">
        <v>180</v>
      </c>
      <c r="BM31" s="576">
        <v>205</v>
      </c>
      <c r="BN31" s="575"/>
      <c r="BO31" s="575"/>
      <c r="BP31" s="458"/>
      <c r="BQ31" s="458"/>
      <c r="BR31" s="458"/>
      <c r="BS31" s="2461" t="s">
        <v>894</v>
      </c>
      <c r="BT31" s="2463" t="str">
        <f>IFERROR(INDEX(Liste_Ackerkulturen_Gemüse_DropDown[Ackerkulturen],_xlfn.AGGREGATE(15,6,(ROW(Liste_Ackerkulturen_Gemüse_DropDown[Ackerkulturen])-1)/(--(SEARCH(BU$2,Liste_Ackerkulturen_Gemüse_DropDown[Ackerkulturen])&gt;0)),ROW()-2),1),"")</f>
        <v>Zwischenfrucht (futter) mit Leguminosen</v>
      </c>
      <c r="BU31" s="2463"/>
      <c r="BV31" s="2463" t="str">
        <f>IFERROR(INDEX(Liste_Ackerkulturen_Gemüse_DropDown[Ackerkulturen],_xlfn.AGGREGATE(15,6,(ROW(Liste_Ackerkulturen_Gemüse_DropDown[Ackerkulturen])-1)/(--(SEARCH(BW$2,Liste_Ackerkulturen_Gemüse_DropDown[Ackerkulturen])&gt;0)),ROW()-2),1),"")</f>
        <v>Zwischenfrucht (futter) mit Leguminosen</v>
      </c>
      <c r="BW31" s="2463"/>
      <c r="BX31" s="2463" t="str">
        <f>IFERROR(INDEX(Liste_Ackerkulturen_Gemüse_DropDown[Ackerkulturen],_xlfn.AGGREGATE(15,6,(ROW(Liste_Ackerkulturen_Gemüse_DropDown[Ackerkulturen])-1)/(--(SEARCH(BY$2,Liste_Ackerkulturen_Gemüse_DropDown[Ackerkulturen])&gt;0)),ROW()-2),1),"")</f>
        <v>Zwischenfrucht (futter) mit Leguminosen</v>
      </c>
      <c r="BY31" s="2463"/>
      <c r="BZ31" s="2463" t="str">
        <f>IFERROR(INDEX(Liste_Ackerkulturen_Gemüse_DropDown[Ackerkulturen],_xlfn.AGGREGATE(15,6,(ROW(Liste_Ackerkulturen_Gemüse_DropDown[Ackerkulturen])-1)/(--(SEARCH(CA$2,Liste_Ackerkulturen_Gemüse_DropDown[Ackerkulturen])&gt;0)),ROW()-2),1),"")</f>
        <v>Zwischenfrucht (futter) mit Leguminosen</v>
      </c>
      <c r="CA31" s="2463"/>
      <c r="CB31" s="2463" t="str">
        <f>IFERROR(INDEX(Liste_Ackerkulturen_Gemüse_DropDown[Ackerkulturen],_xlfn.AGGREGATE(15,6,(ROW(Liste_Ackerkulturen_Gemüse_DropDown[Ackerkulturen])-1)/(--(SEARCH(CC$2,Liste_Ackerkulturen_Gemüse_DropDown[Ackerkulturen])&gt;0)),ROW()-2),1),"")</f>
        <v>Zwischenfrucht (futter) mit Leguminosen</v>
      </c>
      <c r="CC31" s="2463"/>
      <c r="CD31" s="2464" t="str">
        <f>IFERROR(INDEX(Liste_Ackerkulturen_Gemüse_DropDown[Ackerkulturen],_xlfn.AGGREGATE(15,6,(ROW(Liste_Ackerkulturen_Gemüse_DropDown[Ackerkulturen])-1)/(--(SEARCH(CE$2,Liste_Ackerkulturen_Gemüse_DropDown[Ackerkulturen])&gt;0)),ROW()-2),1),"")</f>
        <v>Zwischenfrucht (futter) mit Leguminosen</v>
      </c>
      <c r="CE31" s="2464"/>
      <c r="CF31" s="2464" t="str">
        <f>IFERROR(INDEX(Liste_Ackerkulturen_Gemüse_DropDown[Ackerkulturen],_xlfn.AGGREGATE(15,6,(ROW(Liste_Ackerkulturen_Gemüse_DropDown[Ackerkulturen])-1)/(--(SEARCH(CG$2,Liste_Ackerkulturen_Gemüse_DropDown[Ackerkulturen])&gt;0)),ROW()-2),1),"")</f>
        <v>Zwischenfrucht (futter) mit Leguminosen</v>
      </c>
      <c r="CG31" s="2464"/>
      <c r="CH31" s="2464" t="str">
        <f>IFERROR(INDEX(Liste_Ackerkulturen_Gemüse_DropDown[Ackerkulturen],_xlfn.AGGREGATE(15,6,(ROW(Liste_Ackerkulturen_Gemüse_DropDown[Ackerkulturen])-1)/(--(SEARCH(CI$2,Liste_Ackerkulturen_Gemüse_DropDown[Ackerkulturen])&gt;0)),ROW()-2),1),"")</f>
        <v>Zwischenfrucht (futter) mit Leguminosen</v>
      </c>
      <c r="CI31" s="2464"/>
      <c r="CJ31" s="2464" t="str">
        <f>IFERROR(INDEX(Liste_Ackerkulturen_Gemüse_DropDown[Ackerkulturen],_xlfn.AGGREGATE(15,6,(ROW(Liste_Ackerkulturen_Gemüse_DropDown[Ackerkulturen])-1)/(--(SEARCH(CK$2,Liste_Ackerkulturen_Gemüse_DropDown[Ackerkulturen])&gt;0)),ROW()-2),1),"")</f>
        <v>Zwischenfrucht (futter) mit Leguminosen</v>
      </c>
      <c r="CK31" s="2464"/>
      <c r="CL31" s="2464" t="str">
        <f>IFERROR(INDEX(Liste_Ackerkulturen_Gemüse_DropDown[Ackerkulturen],_xlfn.AGGREGATE(15,6,(ROW(Liste_Ackerkulturen_Gemüse_DropDown[Ackerkulturen])-1)/(--(SEARCH(CM$2,Liste_Ackerkulturen_Gemüse_DropDown[Ackerkulturen])&gt;0)),ROW()-2),1),"")</f>
        <v>Zwischenfrucht (futter) mit Leguminosen</v>
      </c>
      <c r="CM31" s="2464"/>
      <c r="CN31" s="2464" t="str">
        <f>IFERROR(INDEX(Liste_Ackerkulturen_Gemüse_DropDown[Ackerkulturen],_xlfn.AGGREGATE(15,6,(ROW(Liste_Ackerkulturen_Gemüse_DropDown[Ackerkulturen])-1)/(--(SEARCH(CO$2,Liste_Ackerkulturen_Gemüse_DropDown[Ackerkulturen])&gt;0)),ROW()-2),1),"")</f>
        <v>Zwischenfrucht (futter) mit Leguminosen</v>
      </c>
      <c r="CO31" s="2464"/>
      <c r="CP31" s="2464" t="str">
        <f>IFERROR(INDEX(Liste_Ackerkulturen_Gemüse_DropDown[Ackerkulturen],_xlfn.AGGREGATE(15,6,(ROW(Liste_Ackerkulturen_Gemüse_DropDown[Ackerkulturen])-1)/(--(SEARCH(CQ$2,Liste_Ackerkulturen_Gemüse_DropDown[Ackerkulturen])&gt;0)),ROW()-2),1),"")</f>
        <v>Zwischenfrucht (futter) mit Leguminosen</v>
      </c>
      <c r="CQ31" s="2464"/>
      <c r="CR31" s="2464" t="str">
        <f>IFERROR(INDEX(Liste_Ackerkulturen_Gemüse_DropDown[Ackerkulturen],_xlfn.AGGREGATE(15,6,(ROW(Liste_Ackerkulturen_Gemüse_DropDown[Ackerkulturen])-1)/(--(SEARCH(CS$2,Liste_Ackerkulturen_Gemüse_DropDown[Ackerkulturen])&gt;0)),ROW()-2),1),"")</f>
        <v>Zwischenfrucht (futter) mit Leguminosen</v>
      </c>
      <c r="CS31" s="2464"/>
      <c r="CT31"/>
      <c r="CU31"/>
      <c r="CV31"/>
      <c r="CW31"/>
      <c r="CX31"/>
      <c r="CY31"/>
      <c r="CZ31"/>
      <c r="DA31"/>
      <c r="DB31"/>
      <c r="DC31"/>
      <c r="DD31"/>
      <c r="DE31"/>
      <c r="DF31"/>
      <c r="DG31"/>
      <c r="DH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c r="IL31"/>
      <c r="IM31"/>
      <c r="IN31"/>
      <c r="IO31"/>
      <c r="IP31"/>
      <c r="IQ31"/>
      <c r="IR31"/>
      <c r="IS31"/>
      <c r="IT31"/>
      <c r="IU31"/>
    </row>
    <row r="32" spans="1:255" ht="28.5" customHeight="1">
      <c r="A32" s="949"/>
      <c r="B32" s="949"/>
      <c r="C32" s="2597" t="s">
        <v>1933</v>
      </c>
      <c r="D32" s="2598"/>
      <c r="E32" s="2678" t="s">
        <v>1934</v>
      </c>
      <c r="F32" s="2679"/>
      <c r="G32" s="2679"/>
      <c r="H32" s="2679"/>
      <c r="I32" s="2679"/>
      <c r="J32" s="2679"/>
      <c r="K32" s="2679"/>
      <c r="L32" s="2679"/>
      <c r="M32" s="2679"/>
      <c r="N32" s="2680"/>
      <c r="O32" s="2687" t="s">
        <v>1935</v>
      </c>
      <c r="P32" s="2688"/>
      <c r="Q32" s="2691" t="s">
        <v>1936</v>
      </c>
      <c r="R32" s="2692"/>
      <c r="S32" s="2692"/>
      <c r="T32" s="2692"/>
      <c r="U32" s="2692"/>
      <c r="V32" s="2692"/>
      <c r="W32" s="2693"/>
      <c r="X32" s="2691" t="s">
        <v>1937</v>
      </c>
      <c r="Y32" s="2692"/>
      <c r="Z32" s="2692"/>
      <c r="AA32" s="2692"/>
      <c r="AB32" s="2692"/>
      <c r="AC32" s="2692"/>
      <c r="AD32" s="2693"/>
      <c r="AF32" s="1275"/>
      <c r="AJ32" s="592" t="s">
        <v>1787</v>
      </c>
      <c r="AK32" s="588"/>
      <c r="AL32" s="1993"/>
      <c r="AM32" s="2266" t="s">
        <v>893</v>
      </c>
      <c r="AN32" s="2273">
        <v>40</v>
      </c>
      <c r="AO32" s="2279" t="s">
        <v>462</v>
      </c>
      <c r="AP32" s="2273">
        <v>40</v>
      </c>
      <c r="AQ32" s="2279" t="s">
        <v>1057</v>
      </c>
      <c r="AR32" s="2273">
        <v>40</v>
      </c>
      <c r="AS32" s="2279" t="s">
        <v>1058</v>
      </c>
      <c r="AT32" s="2274">
        <v>40</v>
      </c>
      <c r="AU32" s="2280" t="s">
        <v>1058</v>
      </c>
      <c r="AV32" s="2274">
        <v>40</v>
      </c>
      <c r="AW32" s="2280" t="s">
        <v>1058</v>
      </c>
      <c r="AX32" s="2281">
        <v>35</v>
      </c>
      <c r="AY32" s="2282" t="s">
        <v>1057</v>
      </c>
      <c r="AZ32" s="2281">
        <v>35</v>
      </c>
      <c r="BA32" s="2282" t="s">
        <v>224</v>
      </c>
      <c r="BB32" s="518"/>
      <c r="BC32" s="1996"/>
      <c r="BD32" s="521"/>
      <c r="BE32" s="2266" t="s">
        <v>893</v>
      </c>
      <c r="BF32" s="577">
        <v>25</v>
      </c>
      <c r="BG32" s="577">
        <v>25</v>
      </c>
      <c r="BH32" s="577">
        <v>30</v>
      </c>
      <c r="BI32" s="521"/>
      <c r="BJ32" s="2266" t="s">
        <v>893</v>
      </c>
      <c r="BK32" s="577">
        <v>70</v>
      </c>
      <c r="BL32" s="577">
        <v>80</v>
      </c>
      <c r="BM32" s="577">
        <v>90</v>
      </c>
      <c r="BN32" s="575"/>
      <c r="BO32" s="575"/>
      <c r="BP32" s="458"/>
      <c r="BQ32" s="458"/>
      <c r="BR32" s="458"/>
      <c r="BS32" s="2461" t="s">
        <v>2393</v>
      </c>
      <c r="BT32" s="2463" t="str">
        <f>IFERROR(INDEX(Liste_Ackerkulturen_Gemüse_DropDown[Ackerkulturen],_xlfn.AGGREGATE(15,6,(ROW(Liste_Ackerkulturen_Gemüse_DropDown[Ackerkulturen])-1)/(--(SEARCH(BU$2,Liste_Ackerkulturen_Gemüse_DropDown[Ackerkulturen])&gt;0)),ROW()-2),1),"")</f>
        <v>Zwischenfrucht (futter) ohne Leguminosen</v>
      </c>
      <c r="BU32" s="2463"/>
      <c r="BV32" s="2463" t="str">
        <f>IFERROR(INDEX(Liste_Ackerkulturen_Gemüse_DropDown[Ackerkulturen],_xlfn.AGGREGATE(15,6,(ROW(Liste_Ackerkulturen_Gemüse_DropDown[Ackerkulturen])-1)/(--(SEARCH(BW$2,Liste_Ackerkulturen_Gemüse_DropDown[Ackerkulturen])&gt;0)),ROW()-2),1),"")</f>
        <v>Zwischenfrucht (futter) ohne Leguminosen</v>
      </c>
      <c r="BW32" s="2463"/>
      <c r="BX32" s="2463" t="str">
        <f>IFERROR(INDEX(Liste_Ackerkulturen_Gemüse_DropDown[Ackerkulturen],_xlfn.AGGREGATE(15,6,(ROW(Liste_Ackerkulturen_Gemüse_DropDown[Ackerkulturen])-1)/(--(SEARCH(BY$2,Liste_Ackerkulturen_Gemüse_DropDown[Ackerkulturen])&gt;0)),ROW()-2),1),"")</f>
        <v>Zwischenfrucht (futter) ohne Leguminosen</v>
      </c>
      <c r="BY32" s="2463"/>
      <c r="BZ32" s="2463" t="str">
        <f>IFERROR(INDEX(Liste_Ackerkulturen_Gemüse_DropDown[Ackerkulturen],_xlfn.AGGREGATE(15,6,(ROW(Liste_Ackerkulturen_Gemüse_DropDown[Ackerkulturen])-1)/(--(SEARCH(CA$2,Liste_Ackerkulturen_Gemüse_DropDown[Ackerkulturen])&gt;0)),ROW()-2),1),"")</f>
        <v>Zwischenfrucht (futter) ohne Leguminosen</v>
      </c>
      <c r="CA32" s="2463"/>
      <c r="CB32" s="2463" t="str">
        <f>IFERROR(INDEX(Liste_Ackerkulturen_Gemüse_DropDown[Ackerkulturen],_xlfn.AGGREGATE(15,6,(ROW(Liste_Ackerkulturen_Gemüse_DropDown[Ackerkulturen])-1)/(--(SEARCH(CC$2,Liste_Ackerkulturen_Gemüse_DropDown[Ackerkulturen])&gt;0)),ROW()-2),1),"")</f>
        <v>Zwischenfrucht (futter) ohne Leguminosen</v>
      </c>
      <c r="CC32" s="2463"/>
      <c r="CD32" s="2464" t="str">
        <f>IFERROR(INDEX(Liste_Ackerkulturen_Gemüse_DropDown[Ackerkulturen],_xlfn.AGGREGATE(15,6,(ROW(Liste_Ackerkulturen_Gemüse_DropDown[Ackerkulturen])-1)/(--(SEARCH(CE$2,Liste_Ackerkulturen_Gemüse_DropDown[Ackerkulturen])&gt;0)),ROW()-2),1),"")</f>
        <v>Zwischenfrucht (futter) ohne Leguminosen</v>
      </c>
      <c r="CE32" s="2464"/>
      <c r="CF32" s="2464" t="str">
        <f>IFERROR(INDEX(Liste_Ackerkulturen_Gemüse_DropDown[Ackerkulturen],_xlfn.AGGREGATE(15,6,(ROW(Liste_Ackerkulturen_Gemüse_DropDown[Ackerkulturen])-1)/(--(SEARCH(CG$2,Liste_Ackerkulturen_Gemüse_DropDown[Ackerkulturen])&gt;0)),ROW()-2),1),"")</f>
        <v>Zwischenfrucht (futter) ohne Leguminosen</v>
      </c>
      <c r="CG32" s="2464"/>
      <c r="CH32" s="2464" t="str">
        <f>IFERROR(INDEX(Liste_Ackerkulturen_Gemüse_DropDown[Ackerkulturen],_xlfn.AGGREGATE(15,6,(ROW(Liste_Ackerkulturen_Gemüse_DropDown[Ackerkulturen])-1)/(--(SEARCH(CI$2,Liste_Ackerkulturen_Gemüse_DropDown[Ackerkulturen])&gt;0)),ROW()-2),1),"")</f>
        <v>Zwischenfrucht (futter) ohne Leguminosen</v>
      </c>
      <c r="CI32" s="2464"/>
      <c r="CJ32" s="2464" t="str">
        <f>IFERROR(INDEX(Liste_Ackerkulturen_Gemüse_DropDown[Ackerkulturen],_xlfn.AGGREGATE(15,6,(ROW(Liste_Ackerkulturen_Gemüse_DropDown[Ackerkulturen])-1)/(--(SEARCH(CK$2,Liste_Ackerkulturen_Gemüse_DropDown[Ackerkulturen])&gt;0)),ROW()-2),1),"")</f>
        <v>Zwischenfrucht (futter) ohne Leguminosen</v>
      </c>
      <c r="CK32" s="2464"/>
      <c r="CL32" s="2464" t="str">
        <f>IFERROR(INDEX(Liste_Ackerkulturen_Gemüse_DropDown[Ackerkulturen],_xlfn.AGGREGATE(15,6,(ROW(Liste_Ackerkulturen_Gemüse_DropDown[Ackerkulturen])-1)/(--(SEARCH(CM$2,Liste_Ackerkulturen_Gemüse_DropDown[Ackerkulturen])&gt;0)),ROW()-2),1),"")</f>
        <v>Zwischenfrucht (futter) ohne Leguminosen</v>
      </c>
      <c r="CM32" s="2464"/>
      <c r="CN32" s="2464" t="str">
        <f>IFERROR(INDEX(Liste_Ackerkulturen_Gemüse_DropDown[Ackerkulturen],_xlfn.AGGREGATE(15,6,(ROW(Liste_Ackerkulturen_Gemüse_DropDown[Ackerkulturen])-1)/(--(SEARCH(CO$2,Liste_Ackerkulturen_Gemüse_DropDown[Ackerkulturen])&gt;0)),ROW()-2),1),"")</f>
        <v>Zwischenfrucht (futter) ohne Leguminosen</v>
      </c>
      <c r="CO32" s="2464"/>
      <c r="CP32" s="2464" t="str">
        <f>IFERROR(INDEX(Liste_Ackerkulturen_Gemüse_DropDown[Ackerkulturen],_xlfn.AGGREGATE(15,6,(ROW(Liste_Ackerkulturen_Gemüse_DropDown[Ackerkulturen])-1)/(--(SEARCH(CQ$2,Liste_Ackerkulturen_Gemüse_DropDown[Ackerkulturen])&gt;0)),ROW()-2),1),"")</f>
        <v>Zwischenfrucht (futter) ohne Leguminosen</v>
      </c>
      <c r="CQ32" s="2464"/>
      <c r="CR32" s="2464" t="str">
        <f>IFERROR(INDEX(Liste_Ackerkulturen_Gemüse_DropDown[Ackerkulturen],_xlfn.AGGREGATE(15,6,(ROW(Liste_Ackerkulturen_Gemüse_DropDown[Ackerkulturen])-1)/(--(SEARCH(CS$2,Liste_Ackerkulturen_Gemüse_DropDown[Ackerkulturen])&gt;0)),ROW()-2),1),"")</f>
        <v>Zwischenfrucht (futter) ohne Leguminosen</v>
      </c>
      <c r="CS32" s="2464"/>
      <c r="CT32"/>
      <c r="CU32"/>
      <c r="CV32"/>
      <c r="CW32"/>
      <c r="CX32"/>
      <c r="CY32"/>
      <c r="CZ32"/>
      <c r="DA32"/>
      <c r="DB32"/>
      <c r="DC32"/>
      <c r="DD32"/>
      <c r="DE32"/>
      <c r="DF32"/>
      <c r="DG32"/>
      <c r="DH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c r="IL32"/>
      <c r="IM32"/>
      <c r="IN32"/>
      <c r="IO32"/>
      <c r="IP32"/>
      <c r="IQ32"/>
      <c r="IR32"/>
      <c r="IS32"/>
      <c r="IT32"/>
      <c r="IU32"/>
    </row>
    <row r="33" spans="3:255" ht="15.75" customHeight="1" thickBot="1">
      <c r="C33" s="2676"/>
      <c r="D33" s="2677"/>
      <c r="E33" s="2681"/>
      <c r="F33" s="2682"/>
      <c r="G33" s="2682"/>
      <c r="H33" s="2682"/>
      <c r="I33" s="2682"/>
      <c r="J33" s="2682"/>
      <c r="K33" s="2682"/>
      <c r="L33" s="2682"/>
      <c r="M33" s="2682"/>
      <c r="N33" s="2683"/>
      <c r="O33" s="2648"/>
      <c r="P33" s="2689"/>
      <c r="Q33" s="2229" t="s">
        <v>1938</v>
      </c>
      <c r="R33" s="2230" t="s">
        <v>1939</v>
      </c>
      <c r="S33" s="2613" t="s">
        <v>1940</v>
      </c>
      <c r="T33" s="2690"/>
      <c r="U33" s="2593"/>
      <c r="V33" s="2230" t="s">
        <v>1941</v>
      </c>
      <c r="W33" s="2231" t="s">
        <v>1942</v>
      </c>
      <c r="X33" s="2229" t="s">
        <v>1938</v>
      </c>
      <c r="Y33" s="2230" t="s">
        <v>1939</v>
      </c>
      <c r="Z33" s="2613" t="s">
        <v>1940</v>
      </c>
      <c r="AA33" s="2690"/>
      <c r="AB33" s="2593"/>
      <c r="AC33" s="2230" t="s">
        <v>1941</v>
      </c>
      <c r="AD33" s="2231" t="s">
        <v>1942</v>
      </c>
      <c r="AF33" s="1279"/>
      <c r="AJ33" s="592" t="s">
        <v>1788</v>
      </c>
      <c r="AK33" s="587"/>
      <c r="AL33" s="1993"/>
      <c r="AM33" s="2267" t="s">
        <v>894</v>
      </c>
      <c r="AN33" s="2375">
        <v>80</v>
      </c>
      <c r="AO33" s="2372" t="s">
        <v>462</v>
      </c>
      <c r="AP33" s="2375">
        <v>80</v>
      </c>
      <c r="AQ33" s="2372" t="s">
        <v>1057</v>
      </c>
      <c r="AR33" s="2375">
        <v>80</v>
      </c>
      <c r="AS33" s="2372" t="s">
        <v>1058</v>
      </c>
      <c r="AT33" s="2376">
        <v>80</v>
      </c>
      <c r="AU33" s="2377" t="s">
        <v>1058</v>
      </c>
      <c r="AV33" s="2376">
        <v>80</v>
      </c>
      <c r="AW33" s="2377" t="s">
        <v>1058</v>
      </c>
      <c r="AX33" s="2378">
        <v>70</v>
      </c>
      <c r="AY33" s="2379" t="s">
        <v>1057</v>
      </c>
      <c r="AZ33" s="2378">
        <v>70</v>
      </c>
      <c r="BA33" s="2379" t="s">
        <v>224</v>
      </c>
      <c r="BB33" s="518"/>
      <c r="BC33" s="1996"/>
      <c r="BD33" s="521"/>
      <c r="BE33" s="2267" t="s">
        <v>894</v>
      </c>
      <c r="BF33" s="577">
        <v>25</v>
      </c>
      <c r="BG33" s="577">
        <v>25</v>
      </c>
      <c r="BH33" s="577">
        <v>30</v>
      </c>
      <c r="BI33" s="521"/>
      <c r="BJ33" s="2267" t="s">
        <v>894</v>
      </c>
      <c r="BK33" s="577">
        <v>70</v>
      </c>
      <c r="BL33" s="577">
        <v>80</v>
      </c>
      <c r="BM33" s="577">
        <v>90</v>
      </c>
      <c r="BN33" s="506"/>
      <c r="BO33" s="473"/>
      <c r="BP33" s="458"/>
      <c r="BQ33" s="458"/>
      <c r="BR33" s="458"/>
      <c r="BS33" s="2461" t="s">
        <v>2394</v>
      </c>
      <c r="BT33" s="2463" t="str">
        <f>IFERROR(INDEX(Liste_Ackerkulturen_Gemüse_DropDown[Ackerkulturen],_xlfn.AGGREGATE(15,6,(ROW(Liste_Ackerkulturen_Gemüse_DropDown[Ackerkulturen])-1)/(--(SEARCH(BU$2,Liste_Ackerkulturen_Gemüse_DropDown[Ackerkulturen])&gt;0)),ROW()-2),1),"")</f>
        <v>Futter/ Energiegras &gt; 90% Gras  1 Nutzung</v>
      </c>
      <c r="BU33" s="2463"/>
      <c r="BV33" s="2463" t="str">
        <f>IFERROR(INDEX(Liste_Ackerkulturen_Gemüse_DropDown[Ackerkulturen],_xlfn.AGGREGATE(15,6,(ROW(Liste_Ackerkulturen_Gemüse_DropDown[Ackerkulturen])-1)/(--(SEARCH(BW$2,Liste_Ackerkulturen_Gemüse_DropDown[Ackerkulturen])&gt;0)),ROW()-2),1),"")</f>
        <v>Futter/ Energiegras &gt; 90% Gras  1 Nutzung</v>
      </c>
      <c r="BW33" s="2463"/>
      <c r="BX33" s="2463" t="str">
        <f>IFERROR(INDEX(Liste_Ackerkulturen_Gemüse_DropDown[Ackerkulturen],_xlfn.AGGREGATE(15,6,(ROW(Liste_Ackerkulturen_Gemüse_DropDown[Ackerkulturen])-1)/(--(SEARCH(BY$2,Liste_Ackerkulturen_Gemüse_DropDown[Ackerkulturen])&gt;0)),ROW()-2),1),"")</f>
        <v>Futter/ Energiegras &gt; 90% Gras  1 Nutzung</v>
      </c>
      <c r="BY33" s="2463"/>
      <c r="BZ33" s="2463" t="str">
        <f>IFERROR(INDEX(Liste_Ackerkulturen_Gemüse_DropDown[Ackerkulturen],_xlfn.AGGREGATE(15,6,(ROW(Liste_Ackerkulturen_Gemüse_DropDown[Ackerkulturen])-1)/(--(SEARCH(CA$2,Liste_Ackerkulturen_Gemüse_DropDown[Ackerkulturen])&gt;0)),ROW()-2),1),"")</f>
        <v>Futter/ Energiegras &gt; 90% Gras  1 Nutzung</v>
      </c>
      <c r="CA33" s="2463"/>
      <c r="CB33" s="2463" t="str">
        <f>IFERROR(INDEX(Liste_Ackerkulturen_Gemüse_DropDown[Ackerkulturen],_xlfn.AGGREGATE(15,6,(ROW(Liste_Ackerkulturen_Gemüse_DropDown[Ackerkulturen])-1)/(--(SEARCH(CC$2,Liste_Ackerkulturen_Gemüse_DropDown[Ackerkulturen])&gt;0)),ROW()-2),1),"")</f>
        <v>Futter/ Energiegras &gt; 90% Gras  1 Nutzung</v>
      </c>
      <c r="CC33" s="2463"/>
      <c r="CD33" s="2464" t="str">
        <f>IFERROR(INDEX(Liste_Ackerkulturen_Gemüse_DropDown[Ackerkulturen],_xlfn.AGGREGATE(15,6,(ROW(Liste_Ackerkulturen_Gemüse_DropDown[Ackerkulturen])-1)/(--(SEARCH(CE$2,Liste_Ackerkulturen_Gemüse_DropDown[Ackerkulturen])&gt;0)),ROW()-2),1),"")</f>
        <v>Futter/ Energiegras &gt; 90% Gras  1 Nutzung</v>
      </c>
      <c r="CE33" s="2464"/>
      <c r="CF33" s="2464" t="str">
        <f>IFERROR(INDEX(Liste_Ackerkulturen_Gemüse_DropDown[Ackerkulturen],_xlfn.AGGREGATE(15,6,(ROW(Liste_Ackerkulturen_Gemüse_DropDown[Ackerkulturen])-1)/(--(SEARCH(CG$2,Liste_Ackerkulturen_Gemüse_DropDown[Ackerkulturen])&gt;0)),ROW()-2),1),"")</f>
        <v>Futter/ Energiegras &gt; 90% Gras  1 Nutzung</v>
      </c>
      <c r="CG33" s="2464"/>
      <c r="CH33" s="2464" t="str">
        <f>IFERROR(INDEX(Liste_Ackerkulturen_Gemüse_DropDown[Ackerkulturen],_xlfn.AGGREGATE(15,6,(ROW(Liste_Ackerkulturen_Gemüse_DropDown[Ackerkulturen])-1)/(--(SEARCH(CI$2,Liste_Ackerkulturen_Gemüse_DropDown[Ackerkulturen])&gt;0)),ROW()-2),1),"")</f>
        <v>Futter/ Energiegras &gt; 90% Gras  1 Nutzung</v>
      </c>
      <c r="CI33" s="2464"/>
      <c r="CJ33" s="2464" t="str">
        <f>IFERROR(INDEX(Liste_Ackerkulturen_Gemüse_DropDown[Ackerkulturen],_xlfn.AGGREGATE(15,6,(ROW(Liste_Ackerkulturen_Gemüse_DropDown[Ackerkulturen])-1)/(--(SEARCH(CK$2,Liste_Ackerkulturen_Gemüse_DropDown[Ackerkulturen])&gt;0)),ROW()-2),1),"")</f>
        <v>Futter/ Energiegras &gt; 90% Gras  1 Nutzung</v>
      </c>
      <c r="CK33" s="2464"/>
      <c r="CL33" s="2464" t="str">
        <f>IFERROR(INDEX(Liste_Ackerkulturen_Gemüse_DropDown[Ackerkulturen],_xlfn.AGGREGATE(15,6,(ROW(Liste_Ackerkulturen_Gemüse_DropDown[Ackerkulturen])-1)/(--(SEARCH(CM$2,Liste_Ackerkulturen_Gemüse_DropDown[Ackerkulturen])&gt;0)),ROW()-2),1),"")</f>
        <v>Futter/ Energiegras &gt; 90% Gras  1 Nutzung</v>
      </c>
      <c r="CM33" s="2464"/>
      <c r="CN33" s="2464" t="str">
        <f>IFERROR(INDEX(Liste_Ackerkulturen_Gemüse_DropDown[Ackerkulturen],_xlfn.AGGREGATE(15,6,(ROW(Liste_Ackerkulturen_Gemüse_DropDown[Ackerkulturen])-1)/(--(SEARCH(CO$2,Liste_Ackerkulturen_Gemüse_DropDown[Ackerkulturen])&gt;0)),ROW()-2),1),"")</f>
        <v>Futter/ Energiegras &gt; 90% Gras  1 Nutzung</v>
      </c>
      <c r="CO33" s="2464"/>
      <c r="CP33" s="2464" t="str">
        <f>IFERROR(INDEX(Liste_Ackerkulturen_Gemüse_DropDown[Ackerkulturen],_xlfn.AGGREGATE(15,6,(ROW(Liste_Ackerkulturen_Gemüse_DropDown[Ackerkulturen])-1)/(--(SEARCH(CQ$2,Liste_Ackerkulturen_Gemüse_DropDown[Ackerkulturen])&gt;0)),ROW()-2),1),"")</f>
        <v>Futter/ Energiegras &gt; 90% Gras  1 Nutzung</v>
      </c>
      <c r="CQ33" s="2464"/>
      <c r="CR33" s="2464" t="str">
        <f>IFERROR(INDEX(Liste_Ackerkulturen_Gemüse_DropDown[Ackerkulturen],_xlfn.AGGREGATE(15,6,(ROW(Liste_Ackerkulturen_Gemüse_DropDown[Ackerkulturen])-1)/(--(SEARCH(CS$2,Liste_Ackerkulturen_Gemüse_DropDown[Ackerkulturen])&gt;0)),ROW()-2),1),"")</f>
        <v>Futter/ Energiegras &gt; 90% Gras  1 Nutzung</v>
      </c>
      <c r="CS33" s="2464"/>
      <c r="CT33"/>
      <c r="CU33"/>
      <c r="CV33"/>
      <c r="CW33"/>
      <c r="CX33"/>
      <c r="CY33"/>
      <c r="CZ33"/>
      <c r="DA33"/>
      <c r="DB33"/>
      <c r="DC33"/>
      <c r="DD33"/>
      <c r="DE33"/>
      <c r="DF33"/>
      <c r="DG33"/>
      <c r="DH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c r="IL33"/>
      <c r="IM33"/>
      <c r="IN33"/>
      <c r="IO33"/>
      <c r="IP33"/>
      <c r="IQ33"/>
      <c r="IR33"/>
      <c r="IS33"/>
      <c r="IT33"/>
      <c r="IU33"/>
    </row>
    <row r="34" spans="3:255" ht="19.5" customHeight="1">
      <c r="C34" s="1741" t="s">
        <v>1778</v>
      </c>
      <c r="D34" s="1742"/>
      <c r="E34" s="2255" t="s">
        <v>1784</v>
      </c>
      <c r="F34" s="2256"/>
      <c r="G34" s="2230" t="s">
        <v>1095</v>
      </c>
      <c r="H34" s="2230"/>
      <c r="I34" s="2230" t="s">
        <v>1091</v>
      </c>
      <c r="J34" s="2230"/>
      <c r="K34" s="2230" t="s">
        <v>1787</v>
      </c>
      <c r="L34" s="2230"/>
      <c r="M34" s="2230" t="s">
        <v>1788</v>
      </c>
      <c r="N34" s="2230"/>
      <c r="O34" s="2228" t="s">
        <v>1095</v>
      </c>
      <c r="P34" s="1743" t="s">
        <v>1839</v>
      </c>
      <c r="Q34" s="1744"/>
      <c r="R34" s="2234"/>
      <c r="S34" s="2228" t="s">
        <v>1784</v>
      </c>
      <c r="T34" s="2228" t="s">
        <v>1095</v>
      </c>
      <c r="U34" s="2228" t="s">
        <v>1839</v>
      </c>
      <c r="V34" s="2230"/>
      <c r="W34" s="2231"/>
      <c r="X34" s="2233"/>
      <c r="Y34" s="2228"/>
      <c r="Z34" s="2228" t="s">
        <v>1784</v>
      </c>
      <c r="AA34" s="2228" t="s">
        <v>1095</v>
      </c>
      <c r="AB34" s="2228" t="s">
        <v>1839</v>
      </c>
      <c r="AC34" s="2230"/>
      <c r="AD34" s="2231"/>
      <c r="AF34" s="1280"/>
      <c r="AG34" s="456"/>
      <c r="AH34" s="457"/>
      <c r="AI34" s="475"/>
      <c r="AJ34" s="592" t="s">
        <v>1785</v>
      </c>
      <c r="AK34" s="208"/>
      <c r="AL34" s="208"/>
      <c r="AM34" s="2380" t="s">
        <v>2393</v>
      </c>
      <c r="AN34" s="2354">
        <v>0</v>
      </c>
      <c r="AO34" s="2381" t="s">
        <v>1997</v>
      </c>
      <c r="AP34" s="2354">
        <v>200</v>
      </c>
      <c r="AQ34" s="2381" t="s">
        <v>1060</v>
      </c>
      <c r="AR34" s="2354">
        <v>200</v>
      </c>
      <c r="AS34" s="2381" t="s">
        <v>1060</v>
      </c>
      <c r="AT34" s="2355">
        <v>200</v>
      </c>
      <c r="AU34" s="2382" t="s">
        <v>1060</v>
      </c>
      <c r="AV34" s="2355">
        <v>200</v>
      </c>
      <c r="AW34" s="2382" t="s">
        <v>1060</v>
      </c>
      <c r="AX34" s="2357">
        <v>30</v>
      </c>
      <c r="AY34" s="2383" t="s">
        <v>1060</v>
      </c>
      <c r="AZ34" s="2357">
        <v>30</v>
      </c>
      <c r="BA34" s="2383" t="s">
        <v>1060</v>
      </c>
      <c r="BC34" s="1996">
        <v>1</v>
      </c>
      <c r="BE34" s="2380" t="s">
        <v>2393</v>
      </c>
      <c r="BF34" s="577">
        <v>15</v>
      </c>
      <c r="BG34" s="577">
        <v>30</v>
      </c>
      <c r="BH34" s="577">
        <v>30</v>
      </c>
      <c r="BJ34" s="2380" t="s">
        <v>2393</v>
      </c>
      <c r="BK34" s="578">
        <v>45</v>
      </c>
      <c r="BL34" s="577">
        <v>80</v>
      </c>
      <c r="BM34" s="577">
        <v>80</v>
      </c>
      <c r="BN34" s="506"/>
      <c r="BO34" s="473"/>
      <c r="BP34" s="458"/>
      <c r="BQ34" s="458"/>
      <c r="BR34" s="458"/>
      <c r="BS34" s="2461" t="s">
        <v>2395</v>
      </c>
      <c r="BT34" s="2463" t="str">
        <f>IFERROR(INDEX(Liste_Ackerkulturen_Gemüse_DropDown[Ackerkulturen],_xlfn.AGGREGATE(15,6,(ROW(Liste_Ackerkulturen_Gemüse_DropDown[Ackerkulturen])-1)/(--(SEARCH(BU$2,Liste_Ackerkulturen_Gemüse_DropDown[Ackerkulturen])&gt;0)),ROW()-2),1),"")</f>
        <v>Futter/ Energiegras &gt; 90% Gras  2 Nutzungen</v>
      </c>
      <c r="BU34" s="2463"/>
      <c r="BV34" s="2463" t="str">
        <f>IFERROR(INDEX(Liste_Ackerkulturen_Gemüse_DropDown[Ackerkulturen],_xlfn.AGGREGATE(15,6,(ROW(Liste_Ackerkulturen_Gemüse_DropDown[Ackerkulturen])-1)/(--(SEARCH(BW$2,Liste_Ackerkulturen_Gemüse_DropDown[Ackerkulturen])&gt;0)),ROW()-2),1),"")</f>
        <v>Futter/ Energiegras &gt; 90% Gras  2 Nutzungen</v>
      </c>
      <c r="BW34" s="2463"/>
      <c r="BX34" s="2463" t="str">
        <f>IFERROR(INDEX(Liste_Ackerkulturen_Gemüse_DropDown[Ackerkulturen],_xlfn.AGGREGATE(15,6,(ROW(Liste_Ackerkulturen_Gemüse_DropDown[Ackerkulturen])-1)/(--(SEARCH(BY$2,Liste_Ackerkulturen_Gemüse_DropDown[Ackerkulturen])&gt;0)),ROW()-2),1),"")</f>
        <v>Futter/ Energiegras &gt; 90% Gras  2 Nutzungen</v>
      </c>
      <c r="BY34" s="2463"/>
      <c r="BZ34" s="2463" t="str">
        <f>IFERROR(INDEX(Liste_Ackerkulturen_Gemüse_DropDown[Ackerkulturen],_xlfn.AGGREGATE(15,6,(ROW(Liste_Ackerkulturen_Gemüse_DropDown[Ackerkulturen])-1)/(--(SEARCH(CA$2,Liste_Ackerkulturen_Gemüse_DropDown[Ackerkulturen])&gt;0)),ROW()-2),1),"")</f>
        <v>Futter/ Energiegras &gt; 90% Gras  2 Nutzungen</v>
      </c>
      <c r="CA34" s="2463"/>
      <c r="CB34" s="2463" t="str">
        <f>IFERROR(INDEX(Liste_Ackerkulturen_Gemüse_DropDown[Ackerkulturen],_xlfn.AGGREGATE(15,6,(ROW(Liste_Ackerkulturen_Gemüse_DropDown[Ackerkulturen])-1)/(--(SEARCH(CC$2,Liste_Ackerkulturen_Gemüse_DropDown[Ackerkulturen])&gt;0)),ROW()-2),1),"")</f>
        <v>Futter/ Energiegras &gt; 90% Gras  2 Nutzungen</v>
      </c>
      <c r="CC34" s="2463"/>
      <c r="CD34" s="2464" t="str">
        <f>IFERROR(INDEX(Liste_Ackerkulturen_Gemüse_DropDown[Ackerkulturen],_xlfn.AGGREGATE(15,6,(ROW(Liste_Ackerkulturen_Gemüse_DropDown[Ackerkulturen])-1)/(--(SEARCH(CE$2,Liste_Ackerkulturen_Gemüse_DropDown[Ackerkulturen])&gt;0)),ROW()-2),1),"")</f>
        <v>Futter/ Energiegras &gt; 90% Gras  2 Nutzungen</v>
      </c>
      <c r="CE34" s="2464"/>
      <c r="CF34" s="2464" t="str">
        <f>IFERROR(INDEX(Liste_Ackerkulturen_Gemüse_DropDown[Ackerkulturen],_xlfn.AGGREGATE(15,6,(ROW(Liste_Ackerkulturen_Gemüse_DropDown[Ackerkulturen])-1)/(--(SEARCH(CG$2,Liste_Ackerkulturen_Gemüse_DropDown[Ackerkulturen])&gt;0)),ROW()-2),1),"")</f>
        <v>Futter/ Energiegras &gt; 90% Gras  2 Nutzungen</v>
      </c>
      <c r="CG34" s="2464"/>
      <c r="CH34" s="2464" t="str">
        <f>IFERROR(INDEX(Liste_Ackerkulturen_Gemüse_DropDown[Ackerkulturen],_xlfn.AGGREGATE(15,6,(ROW(Liste_Ackerkulturen_Gemüse_DropDown[Ackerkulturen])-1)/(--(SEARCH(CI$2,Liste_Ackerkulturen_Gemüse_DropDown[Ackerkulturen])&gt;0)),ROW()-2),1),"")</f>
        <v>Futter/ Energiegras &gt; 90% Gras  2 Nutzungen</v>
      </c>
      <c r="CI34" s="2464"/>
      <c r="CJ34" s="2464" t="str">
        <f>IFERROR(INDEX(Liste_Ackerkulturen_Gemüse_DropDown[Ackerkulturen],_xlfn.AGGREGATE(15,6,(ROW(Liste_Ackerkulturen_Gemüse_DropDown[Ackerkulturen])-1)/(--(SEARCH(CK$2,Liste_Ackerkulturen_Gemüse_DropDown[Ackerkulturen])&gt;0)),ROW()-2),1),"")</f>
        <v>Futter/ Energiegras &gt; 90% Gras  2 Nutzungen</v>
      </c>
      <c r="CK34" s="2464"/>
      <c r="CL34" s="2464" t="str">
        <f>IFERROR(INDEX(Liste_Ackerkulturen_Gemüse_DropDown[Ackerkulturen],_xlfn.AGGREGATE(15,6,(ROW(Liste_Ackerkulturen_Gemüse_DropDown[Ackerkulturen])-1)/(--(SEARCH(CM$2,Liste_Ackerkulturen_Gemüse_DropDown[Ackerkulturen])&gt;0)),ROW()-2),1),"")</f>
        <v>Futter/ Energiegras &gt; 90% Gras  2 Nutzungen</v>
      </c>
      <c r="CM34" s="2464"/>
      <c r="CN34" s="2464" t="str">
        <f>IFERROR(INDEX(Liste_Ackerkulturen_Gemüse_DropDown[Ackerkulturen],_xlfn.AGGREGATE(15,6,(ROW(Liste_Ackerkulturen_Gemüse_DropDown[Ackerkulturen])-1)/(--(SEARCH(CO$2,Liste_Ackerkulturen_Gemüse_DropDown[Ackerkulturen])&gt;0)),ROW()-2),1),"")</f>
        <v>Futter/ Energiegras &gt; 90% Gras  2 Nutzungen</v>
      </c>
      <c r="CO34" s="2464"/>
      <c r="CP34" s="2464" t="str">
        <f>IFERROR(INDEX(Liste_Ackerkulturen_Gemüse_DropDown[Ackerkulturen],_xlfn.AGGREGATE(15,6,(ROW(Liste_Ackerkulturen_Gemüse_DropDown[Ackerkulturen])-1)/(--(SEARCH(CQ$2,Liste_Ackerkulturen_Gemüse_DropDown[Ackerkulturen])&gt;0)),ROW()-2),1),"")</f>
        <v>Futter/ Energiegras &gt; 90% Gras  2 Nutzungen</v>
      </c>
      <c r="CQ34" s="2464"/>
      <c r="CR34" s="2464" t="str">
        <f>IFERROR(INDEX(Liste_Ackerkulturen_Gemüse_DropDown[Ackerkulturen],_xlfn.AGGREGATE(15,6,(ROW(Liste_Ackerkulturen_Gemüse_DropDown[Ackerkulturen])-1)/(--(SEARCH(CS$2,Liste_Ackerkulturen_Gemüse_DropDown[Ackerkulturen])&gt;0)),ROW()-2),1),"")</f>
        <v>Futter/ Energiegras &gt; 90% Gras  2 Nutzungen</v>
      </c>
      <c r="CS34" s="2464"/>
      <c r="CT34"/>
      <c r="CU34"/>
      <c r="CV34"/>
      <c r="CW34"/>
      <c r="CX34"/>
      <c r="CY34"/>
      <c r="CZ34"/>
      <c r="DA34"/>
      <c r="DB34"/>
      <c r="DC34"/>
      <c r="DD34"/>
      <c r="DE34"/>
      <c r="DF34"/>
      <c r="DG34"/>
      <c r="DH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c r="IL34"/>
      <c r="IM34"/>
      <c r="IN34"/>
      <c r="IO34"/>
      <c r="IP34"/>
      <c r="IQ34"/>
      <c r="IR34"/>
      <c r="IS34"/>
      <c r="IT34"/>
      <c r="IU34"/>
    </row>
    <row r="35" spans="3:255" ht="24.75" customHeight="1">
      <c r="C35" s="1741" t="s">
        <v>1944</v>
      </c>
      <c r="D35" s="1742"/>
      <c r="E35" s="1746" t="s">
        <v>1945</v>
      </c>
      <c r="F35" s="2239" t="s">
        <v>1946</v>
      </c>
      <c r="G35" s="1748" t="s">
        <v>1945</v>
      </c>
      <c r="H35" s="1749" t="s">
        <v>1946</v>
      </c>
      <c r="I35" s="2236" t="s">
        <v>1945</v>
      </c>
      <c r="J35" s="2236" t="s">
        <v>1946</v>
      </c>
      <c r="K35" s="2236" t="s">
        <v>1945</v>
      </c>
      <c r="L35" s="2236" t="s">
        <v>1946</v>
      </c>
      <c r="M35" s="2236" t="s">
        <v>1945</v>
      </c>
      <c r="N35" s="2236" t="s">
        <v>1946</v>
      </c>
      <c r="O35" s="2227" t="s">
        <v>1946</v>
      </c>
      <c r="P35" s="2232"/>
      <c r="Q35" s="2229" t="s">
        <v>1947</v>
      </c>
      <c r="R35" s="2230"/>
      <c r="S35" s="2230"/>
      <c r="T35" s="2230"/>
      <c r="U35" s="2230"/>
      <c r="V35" s="2230"/>
      <c r="W35" s="2231"/>
      <c r="X35" s="2229" t="s">
        <v>1948</v>
      </c>
      <c r="Y35" s="2230"/>
      <c r="Z35" s="2230"/>
      <c r="AA35" s="2230"/>
      <c r="AB35" s="2230"/>
      <c r="AC35" s="2230"/>
      <c r="AD35" s="2231"/>
      <c r="AF35" s="1281"/>
      <c r="AG35" s="456"/>
      <c r="AH35" s="457"/>
      <c r="AI35" s="475"/>
      <c r="AJ35" s="593" t="s">
        <v>1786</v>
      </c>
      <c r="AK35" s="208"/>
      <c r="AL35" s="208"/>
      <c r="AM35" s="2268" t="s">
        <v>2394</v>
      </c>
      <c r="AN35" s="2272">
        <v>200</v>
      </c>
      <c r="AO35" s="2283" t="s">
        <v>1071</v>
      </c>
      <c r="AP35" s="2272">
        <v>200</v>
      </c>
      <c r="AQ35" s="2283" t="s">
        <v>1063</v>
      </c>
      <c r="AR35" s="2272">
        <v>200</v>
      </c>
      <c r="AS35" s="2283" t="s">
        <v>1063</v>
      </c>
      <c r="AT35" s="2284">
        <v>200</v>
      </c>
      <c r="AU35" s="2285" t="s">
        <v>1060</v>
      </c>
      <c r="AV35" s="2284">
        <v>200</v>
      </c>
      <c r="AW35" s="2285" t="s">
        <v>1063</v>
      </c>
      <c r="AX35" s="2277">
        <v>90</v>
      </c>
      <c r="AY35" s="2278" t="s">
        <v>1063</v>
      </c>
      <c r="AZ35" s="2277">
        <v>90</v>
      </c>
      <c r="BA35" s="2278" t="s">
        <v>1063</v>
      </c>
      <c r="BC35" s="1996">
        <v>1</v>
      </c>
      <c r="BE35" s="2268" t="s">
        <v>2394</v>
      </c>
      <c r="BF35" s="577">
        <v>30</v>
      </c>
      <c r="BG35" s="577">
        <v>45</v>
      </c>
      <c r="BH35" s="577">
        <v>45</v>
      </c>
      <c r="BJ35" s="2268" t="s">
        <v>2394</v>
      </c>
      <c r="BK35" s="578">
        <v>80</v>
      </c>
      <c r="BL35" s="577">
        <v>120</v>
      </c>
      <c r="BM35" s="577">
        <v>120</v>
      </c>
      <c r="BN35" s="506"/>
      <c r="BO35" s="473"/>
      <c r="BP35" s="458"/>
      <c r="BQ35" s="458"/>
      <c r="BR35" s="458"/>
      <c r="BS35" s="2461" t="s">
        <v>2396</v>
      </c>
      <c r="BT35" s="2463" t="str">
        <f>IFERROR(INDEX(Liste_Ackerkulturen_Gemüse_DropDown[Ackerkulturen],_xlfn.AGGREGATE(15,6,(ROW(Liste_Ackerkulturen_Gemüse_DropDown[Ackerkulturen])-1)/(--(SEARCH(BU$2,Liste_Ackerkulturen_Gemüse_DropDown[Ackerkulturen])&gt;0)),ROW()-2),1),"")</f>
        <v>Futter/ Energiegras &gt; 90% Gras  3 Nutzungen</v>
      </c>
      <c r="BU35" s="2463"/>
      <c r="BV35" s="2463" t="str">
        <f>IFERROR(INDEX(Liste_Ackerkulturen_Gemüse_DropDown[Ackerkulturen],_xlfn.AGGREGATE(15,6,(ROW(Liste_Ackerkulturen_Gemüse_DropDown[Ackerkulturen])-1)/(--(SEARCH(BW$2,Liste_Ackerkulturen_Gemüse_DropDown[Ackerkulturen])&gt;0)),ROW()-2),1),"")</f>
        <v>Futter/ Energiegras &gt; 90% Gras  3 Nutzungen</v>
      </c>
      <c r="BW35" s="2463"/>
      <c r="BX35" s="2463" t="str">
        <f>IFERROR(INDEX(Liste_Ackerkulturen_Gemüse_DropDown[Ackerkulturen],_xlfn.AGGREGATE(15,6,(ROW(Liste_Ackerkulturen_Gemüse_DropDown[Ackerkulturen])-1)/(--(SEARCH(BY$2,Liste_Ackerkulturen_Gemüse_DropDown[Ackerkulturen])&gt;0)),ROW()-2),1),"")</f>
        <v>Futter/ Energiegras &gt; 90% Gras  3 Nutzungen</v>
      </c>
      <c r="BY35" s="2463"/>
      <c r="BZ35" s="2463" t="str">
        <f>IFERROR(INDEX(Liste_Ackerkulturen_Gemüse_DropDown[Ackerkulturen],_xlfn.AGGREGATE(15,6,(ROW(Liste_Ackerkulturen_Gemüse_DropDown[Ackerkulturen])-1)/(--(SEARCH(CA$2,Liste_Ackerkulturen_Gemüse_DropDown[Ackerkulturen])&gt;0)),ROW()-2),1),"")</f>
        <v>Futter/ Energiegras &gt; 90% Gras  3 Nutzungen</v>
      </c>
      <c r="CA35" s="2463"/>
      <c r="CB35" s="2463" t="str">
        <f>IFERROR(INDEX(Liste_Ackerkulturen_Gemüse_DropDown[Ackerkulturen],_xlfn.AGGREGATE(15,6,(ROW(Liste_Ackerkulturen_Gemüse_DropDown[Ackerkulturen])-1)/(--(SEARCH(CC$2,Liste_Ackerkulturen_Gemüse_DropDown[Ackerkulturen])&gt;0)),ROW()-2),1),"")</f>
        <v>Futter/ Energiegras &gt; 90% Gras  3 Nutzungen</v>
      </c>
      <c r="CC35" s="2463"/>
      <c r="CD35" s="2464" t="str">
        <f>IFERROR(INDEX(Liste_Ackerkulturen_Gemüse_DropDown[Ackerkulturen],_xlfn.AGGREGATE(15,6,(ROW(Liste_Ackerkulturen_Gemüse_DropDown[Ackerkulturen])-1)/(--(SEARCH(CE$2,Liste_Ackerkulturen_Gemüse_DropDown[Ackerkulturen])&gt;0)),ROW()-2),1),"")</f>
        <v>Futter/ Energiegras &gt; 90% Gras  3 Nutzungen</v>
      </c>
      <c r="CE35" s="2464"/>
      <c r="CF35" s="2464" t="str">
        <f>IFERROR(INDEX(Liste_Ackerkulturen_Gemüse_DropDown[Ackerkulturen],_xlfn.AGGREGATE(15,6,(ROW(Liste_Ackerkulturen_Gemüse_DropDown[Ackerkulturen])-1)/(--(SEARCH(CG$2,Liste_Ackerkulturen_Gemüse_DropDown[Ackerkulturen])&gt;0)),ROW()-2),1),"")</f>
        <v>Futter/ Energiegras &gt; 90% Gras  3 Nutzungen</v>
      </c>
      <c r="CG35" s="2464"/>
      <c r="CH35" s="2464" t="str">
        <f>IFERROR(INDEX(Liste_Ackerkulturen_Gemüse_DropDown[Ackerkulturen],_xlfn.AGGREGATE(15,6,(ROW(Liste_Ackerkulturen_Gemüse_DropDown[Ackerkulturen])-1)/(--(SEARCH(CI$2,Liste_Ackerkulturen_Gemüse_DropDown[Ackerkulturen])&gt;0)),ROW()-2),1),"")</f>
        <v>Futter/ Energiegras &gt; 90% Gras  3 Nutzungen</v>
      </c>
      <c r="CI35" s="2464"/>
      <c r="CJ35" s="2464" t="str">
        <f>IFERROR(INDEX(Liste_Ackerkulturen_Gemüse_DropDown[Ackerkulturen],_xlfn.AGGREGATE(15,6,(ROW(Liste_Ackerkulturen_Gemüse_DropDown[Ackerkulturen])-1)/(--(SEARCH(CK$2,Liste_Ackerkulturen_Gemüse_DropDown[Ackerkulturen])&gt;0)),ROW()-2),1),"")</f>
        <v>Futter/ Energiegras &gt; 90% Gras  3 Nutzungen</v>
      </c>
      <c r="CK35" s="2464"/>
      <c r="CL35" s="2464" t="str">
        <f>IFERROR(INDEX(Liste_Ackerkulturen_Gemüse_DropDown[Ackerkulturen],_xlfn.AGGREGATE(15,6,(ROW(Liste_Ackerkulturen_Gemüse_DropDown[Ackerkulturen])-1)/(--(SEARCH(CM$2,Liste_Ackerkulturen_Gemüse_DropDown[Ackerkulturen])&gt;0)),ROW()-2),1),"")</f>
        <v>Futter/ Energiegras &gt; 90% Gras  3 Nutzungen</v>
      </c>
      <c r="CM35" s="2464"/>
      <c r="CN35" s="2464" t="str">
        <f>IFERROR(INDEX(Liste_Ackerkulturen_Gemüse_DropDown[Ackerkulturen],_xlfn.AGGREGATE(15,6,(ROW(Liste_Ackerkulturen_Gemüse_DropDown[Ackerkulturen])-1)/(--(SEARCH(CO$2,Liste_Ackerkulturen_Gemüse_DropDown[Ackerkulturen])&gt;0)),ROW()-2),1),"")</f>
        <v>Futter/ Energiegras &gt; 90% Gras  3 Nutzungen</v>
      </c>
      <c r="CO35" s="2464"/>
      <c r="CP35" s="2464" t="str">
        <f>IFERROR(INDEX(Liste_Ackerkulturen_Gemüse_DropDown[Ackerkulturen],_xlfn.AGGREGATE(15,6,(ROW(Liste_Ackerkulturen_Gemüse_DropDown[Ackerkulturen])-1)/(--(SEARCH(CQ$2,Liste_Ackerkulturen_Gemüse_DropDown[Ackerkulturen])&gt;0)),ROW()-2),1),"")</f>
        <v>Futter/ Energiegras &gt; 90% Gras  3 Nutzungen</v>
      </c>
      <c r="CQ35" s="2464"/>
      <c r="CR35" s="2464" t="str">
        <f>IFERROR(INDEX(Liste_Ackerkulturen_Gemüse_DropDown[Ackerkulturen],_xlfn.AGGREGATE(15,6,(ROW(Liste_Ackerkulturen_Gemüse_DropDown[Ackerkulturen])-1)/(--(SEARCH(CS$2,Liste_Ackerkulturen_Gemüse_DropDown[Ackerkulturen])&gt;0)),ROW()-2),1),"")</f>
        <v>Futter/ Energiegras &gt; 90% Gras  3 Nutzungen</v>
      </c>
      <c r="CS35" s="2464"/>
      <c r="CT35"/>
      <c r="CU35"/>
      <c r="CV35"/>
      <c r="CW35"/>
      <c r="CX35"/>
      <c r="CY35"/>
      <c r="CZ35"/>
      <c r="DA35"/>
      <c r="DB35"/>
      <c r="DC35"/>
      <c r="DD35"/>
      <c r="DE35"/>
      <c r="DF35"/>
      <c r="DG35"/>
      <c r="DH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c r="IL35"/>
      <c r="IM35"/>
      <c r="IN35"/>
      <c r="IO35"/>
      <c r="IP35"/>
      <c r="IQ35"/>
      <c r="IR35"/>
      <c r="IS35"/>
      <c r="IT35"/>
      <c r="IU35"/>
    </row>
    <row r="36" spans="3:255" ht="25.65" customHeight="1">
      <c r="C36" s="2672" t="s">
        <v>731</v>
      </c>
      <c r="D36" s="2673"/>
      <c r="E36" s="1526" t="s">
        <v>1949</v>
      </c>
      <c r="F36" s="2254">
        <v>105</v>
      </c>
      <c r="G36" s="1748" t="s">
        <v>1950</v>
      </c>
      <c r="H36" s="1749">
        <v>145</v>
      </c>
      <c r="I36" s="1446" t="s">
        <v>1951</v>
      </c>
      <c r="J36" s="1447">
        <v>170</v>
      </c>
      <c r="K36" s="1446" t="s">
        <v>1952</v>
      </c>
      <c r="L36" s="1447">
        <v>180</v>
      </c>
      <c r="M36" s="1446" t="s">
        <v>1953</v>
      </c>
      <c r="N36" s="1447">
        <v>195</v>
      </c>
      <c r="O36" s="1527">
        <v>130</v>
      </c>
      <c r="P36" s="1528">
        <v>150</v>
      </c>
      <c r="Q36" s="1529">
        <v>85</v>
      </c>
      <c r="R36" s="1448">
        <v>70</v>
      </c>
      <c r="S36" s="1447">
        <v>50</v>
      </c>
      <c r="T36" s="1749">
        <v>55</v>
      </c>
      <c r="U36" s="1447">
        <v>65</v>
      </c>
      <c r="V36" s="1449" t="s">
        <v>1954</v>
      </c>
      <c r="W36" s="1530" t="s">
        <v>1955</v>
      </c>
      <c r="X36" s="1529">
        <v>120</v>
      </c>
      <c r="Y36" s="1448">
        <v>70</v>
      </c>
      <c r="Z36" s="1447">
        <v>70</v>
      </c>
      <c r="AA36" s="1749">
        <v>80</v>
      </c>
      <c r="AB36" s="1447">
        <v>90</v>
      </c>
      <c r="AC36" s="1449" t="s">
        <v>1956</v>
      </c>
      <c r="AD36" s="1530" t="s">
        <v>1955</v>
      </c>
      <c r="AF36" s="1280"/>
      <c r="AG36" s="456"/>
      <c r="AH36" s="457"/>
      <c r="AI36" s="475"/>
      <c r="AM36" s="2268" t="s">
        <v>2395</v>
      </c>
      <c r="AN36" s="2272">
        <v>200</v>
      </c>
      <c r="AO36" s="2283" t="s">
        <v>1065</v>
      </c>
      <c r="AP36" s="2272">
        <v>200</v>
      </c>
      <c r="AQ36" s="2283" t="s">
        <v>1065</v>
      </c>
      <c r="AR36" s="2272">
        <v>210</v>
      </c>
      <c r="AS36" s="2283" t="s">
        <v>1066</v>
      </c>
      <c r="AT36" s="2284">
        <v>210</v>
      </c>
      <c r="AU36" s="2285" t="s">
        <v>1066</v>
      </c>
      <c r="AV36" s="2284">
        <v>210</v>
      </c>
      <c r="AW36" s="2285" t="s">
        <v>1066</v>
      </c>
      <c r="AX36" s="2277">
        <v>120</v>
      </c>
      <c r="AY36" s="2278" t="s">
        <v>1065</v>
      </c>
      <c r="AZ36" s="2277">
        <v>140</v>
      </c>
      <c r="BA36" s="2278" t="s">
        <v>1066</v>
      </c>
      <c r="BB36" s="518"/>
      <c r="BC36" s="1996">
        <v>1</v>
      </c>
      <c r="BD36" s="521"/>
      <c r="BE36" s="2268" t="s">
        <v>2395</v>
      </c>
      <c r="BF36" s="577">
        <v>45</v>
      </c>
      <c r="BG36" s="577">
        <v>65</v>
      </c>
      <c r="BH36" s="577">
        <v>80</v>
      </c>
      <c r="BI36" s="521"/>
      <c r="BJ36" s="2268" t="s">
        <v>2395</v>
      </c>
      <c r="BK36" s="578">
        <v>130</v>
      </c>
      <c r="BL36" s="577">
        <v>170</v>
      </c>
      <c r="BM36" s="577">
        <v>215</v>
      </c>
      <c r="BN36" s="506"/>
      <c r="BO36" s="473"/>
      <c r="BP36" s="458"/>
      <c r="BQ36" s="458"/>
      <c r="BR36" s="458"/>
      <c r="BS36" s="2461" t="s">
        <v>2397</v>
      </c>
      <c r="BT36" s="2463" t="str">
        <f>IFERROR(INDEX(Liste_Ackerkulturen_Gemüse_DropDown[Ackerkulturen],_xlfn.AGGREGATE(15,6,(ROW(Liste_Ackerkulturen_Gemüse_DropDown[Ackerkulturen])-1)/(--(SEARCH(BU$2,Liste_Ackerkulturen_Gemüse_DropDown[Ackerkulturen])&gt;0)),ROW()-2),1),"")</f>
        <v>Futter/ Energiegras &gt; 90% Gras  4 Nutzungen</v>
      </c>
      <c r="BU36" s="2463"/>
      <c r="BV36" s="2463" t="str">
        <f>IFERROR(INDEX(Liste_Ackerkulturen_Gemüse_DropDown[Ackerkulturen],_xlfn.AGGREGATE(15,6,(ROW(Liste_Ackerkulturen_Gemüse_DropDown[Ackerkulturen])-1)/(--(SEARCH(BW$2,Liste_Ackerkulturen_Gemüse_DropDown[Ackerkulturen])&gt;0)),ROW()-2),1),"")</f>
        <v>Futter/ Energiegras &gt; 90% Gras  4 Nutzungen</v>
      </c>
      <c r="BW36" s="2463"/>
      <c r="BX36" s="2463" t="str">
        <f>IFERROR(INDEX(Liste_Ackerkulturen_Gemüse_DropDown[Ackerkulturen],_xlfn.AGGREGATE(15,6,(ROW(Liste_Ackerkulturen_Gemüse_DropDown[Ackerkulturen])-1)/(--(SEARCH(BY$2,Liste_Ackerkulturen_Gemüse_DropDown[Ackerkulturen])&gt;0)),ROW()-2),1),"")</f>
        <v>Futter/ Energiegras &gt; 90% Gras  4 Nutzungen</v>
      </c>
      <c r="BY36" s="2463"/>
      <c r="BZ36" s="2463" t="str">
        <f>IFERROR(INDEX(Liste_Ackerkulturen_Gemüse_DropDown[Ackerkulturen],_xlfn.AGGREGATE(15,6,(ROW(Liste_Ackerkulturen_Gemüse_DropDown[Ackerkulturen])-1)/(--(SEARCH(CA$2,Liste_Ackerkulturen_Gemüse_DropDown[Ackerkulturen])&gt;0)),ROW()-2),1),"")</f>
        <v>Futter/ Energiegras &gt; 90% Gras  4 Nutzungen</v>
      </c>
      <c r="CA36" s="2463"/>
      <c r="CB36" s="2463" t="str">
        <f>IFERROR(INDEX(Liste_Ackerkulturen_Gemüse_DropDown[Ackerkulturen],_xlfn.AGGREGATE(15,6,(ROW(Liste_Ackerkulturen_Gemüse_DropDown[Ackerkulturen])-1)/(--(SEARCH(CC$2,Liste_Ackerkulturen_Gemüse_DropDown[Ackerkulturen])&gt;0)),ROW()-2),1),"")</f>
        <v>Futter/ Energiegras &gt; 90% Gras  4 Nutzungen</v>
      </c>
      <c r="CC36" s="2463"/>
      <c r="CD36" s="2464" t="str">
        <f>IFERROR(INDEX(Liste_Ackerkulturen_Gemüse_DropDown[Ackerkulturen],_xlfn.AGGREGATE(15,6,(ROW(Liste_Ackerkulturen_Gemüse_DropDown[Ackerkulturen])-1)/(--(SEARCH(CE$2,Liste_Ackerkulturen_Gemüse_DropDown[Ackerkulturen])&gt;0)),ROW()-2),1),"")</f>
        <v>Futter/ Energiegras &gt; 90% Gras  4 Nutzungen</v>
      </c>
      <c r="CE36" s="2464"/>
      <c r="CF36" s="2464" t="str">
        <f>IFERROR(INDEX(Liste_Ackerkulturen_Gemüse_DropDown[Ackerkulturen],_xlfn.AGGREGATE(15,6,(ROW(Liste_Ackerkulturen_Gemüse_DropDown[Ackerkulturen])-1)/(--(SEARCH(CG$2,Liste_Ackerkulturen_Gemüse_DropDown[Ackerkulturen])&gt;0)),ROW()-2),1),"")</f>
        <v>Futter/ Energiegras &gt; 90% Gras  4 Nutzungen</v>
      </c>
      <c r="CG36" s="2464"/>
      <c r="CH36" s="2464" t="str">
        <f>IFERROR(INDEX(Liste_Ackerkulturen_Gemüse_DropDown[Ackerkulturen],_xlfn.AGGREGATE(15,6,(ROW(Liste_Ackerkulturen_Gemüse_DropDown[Ackerkulturen])-1)/(--(SEARCH(CI$2,Liste_Ackerkulturen_Gemüse_DropDown[Ackerkulturen])&gt;0)),ROW()-2),1),"")</f>
        <v>Futter/ Energiegras &gt; 90% Gras  4 Nutzungen</v>
      </c>
      <c r="CI36" s="2464"/>
      <c r="CJ36" s="2464" t="str">
        <f>IFERROR(INDEX(Liste_Ackerkulturen_Gemüse_DropDown[Ackerkulturen],_xlfn.AGGREGATE(15,6,(ROW(Liste_Ackerkulturen_Gemüse_DropDown[Ackerkulturen])-1)/(--(SEARCH(CK$2,Liste_Ackerkulturen_Gemüse_DropDown[Ackerkulturen])&gt;0)),ROW()-2),1),"")</f>
        <v>Futter/ Energiegras &gt; 90% Gras  4 Nutzungen</v>
      </c>
      <c r="CK36" s="2464"/>
      <c r="CL36" s="2464" t="str">
        <f>IFERROR(INDEX(Liste_Ackerkulturen_Gemüse_DropDown[Ackerkulturen],_xlfn.AGGREGATE(15,6,(ROW(Liste_Ackerkulturen_Gemüse_DropDown[Ackerkulturen])-1)/(--(SEARCH(CM$2,Liste_Ackerkulturen_Gemüse_DropDown[Ackerkulturen])&gt;0)),ROW()-2),1),"")</f>
        <v>Futter/ Energiegras &gt; 90% Gras  4 Nutzungen</v>
      </c>
      <c r="CM36" s="2464"/>
      <c r="CN36" s="2464" t="str">
        <f>IFERROR(INDEX(Liste_Ackerkulturen_Gemüse_DropDown[Ackerkulturen],_xlfn.AGGREGATE(15,6,(ROW(Liste_Ackerkulturen_Gemüse_DropDown[Ackerkulturen])-1)/(--(SEARCH(CO$2,Liste_Ackerkulturen_Gemüse_DropDown[Ackerkulturen])&gt;0)),ROW()-2),1),"")</f>
        <v>Futter/ Energiegras &gt; 90% Gras  4 Nutzungen</v>
      </c>
      <c r="CO36" s="2464"/>
      <c r="CP36" s="2464" t="str">
        <f>IFERROR(INDEX(Liste_Ackerkulturen_Gemüse_DropDown[Ackerkulturen],_xlfn.AGGREGATE(15,6,(ROW(Liste_Ackerkulturen_Gemüse_DropDown[Ackerkulturen])-1)/(--(SEARCH(CQ$2,Liste_Ackerkulturen_Gemüse_DropDown[Ackerkulturen])&gt;0)),ROW()-2),1),"")</f>
        <v>Futter/ Energiegras &gt; 90% Gras  4 Nutzungen</v>
      </c>
      <c r="CQ36" s="2464"/>
      <c r="CR36" s="2464" t="str">
        <f>IFERROR(INDEX(Liste_Ackerkulturen_Gemüse_DropDown[Ackerkulturen],_xlfn.AGGREGATE(15,6,(ROW(Liste_Ackerkulturen_Gemüse_DropDown[Ackerkulturen])-1)/(--(SEARCH(CS$2,Liste_Ackerkulturen_Gemüse_DropDown[Ackerkulturen])&gt;0)),ROW()-2),1),"")</f>
        <v>Futter/ Energiegras &gt; 90% Gras  4 Nutzungen</v>
      </c>
      <c r="CS36" s="2464"/>
      <c r="CT36"/>
      <c r="CU36"/>
      <c r="CV36"/>
      <c r="CW36"/>
      <c r="CX36"/>
      <c r="CY36"/>
      <c r="CZ36"/>
      <c r="DA36"/>
      <c r="DB36"/>
      <c r="DC36"/>
      <c r="DD36"/>
      <c r="DE36"/>
      <c r="DF36"/>
      <c r="DG36"/>
      <c r="DH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c r="IL36"/>
      <c r="IM36"/>
      <c r="IN36"/>
      <c r="IO36"/>
      <c r="IP36"/>
      <c r="IQ36"/>
      <c r="IR36"/>
      <c r="IS36"/>
      <c r="IT36"/>
      <c r="IU36"/>
    </row>
    <row r="37" spans="3:255" ht="25.65" customHeight="1">
      <c r="C37" s="2672" t="s">
        <v>732</v>
      </c>
      <c r="D37" s="2673"/>
      <c r="E37" s="1526" t="s">
        <v>1957</v>
      </c>
      <c r="F37" s="2254">
        <v>105</v>
      </c>
      <c r="G37" s="1748" t="s">
        <v>1958</v>
      </c>
      <c r="H37" s="1749">
        <v>145</v>
      </c>
      <c r="I37" s="1446" t="s">
        <v>1959</v>
      </c>
      <c r="J37" s="1447">
        <v>170</v>
      </c>
      <c r="K37" s="1446" t="s">
        <v>1960</v>
      </c>
      <c r="L37" s="1447">
        <v>180</v>
      </c>
      <c r="M37" s="1446" t="s">
        <v>1961</v>
      </c>
      <c r="N37" s="1447">
        <v>195</v>
      </c>
      <c r="O37" s="1527">
        <v>130</v>
      </c>
      <c r="P37" s="1528">
        <v>150</v>
      </c>
      <c r="Q37" s="1529">
        <v>85</v>
      </c>
      <c r="R37" s="1448">
        <v>70</v>
      </c>
      <c r="S37" s="1447">
        <v>50</v>
      </c>
      <c r="T37" s="1749">
        <v>55</v>
      </c>
      <c r="U37" s="1447">
        <v>65</v>
      </c>
      <c r="V37" s="1449" t="s">
        <v>1954</v>
      </c>
      <c r="W37" s="1530" t="s">
        <v>1955</v>
      </c>
      <c r="X37" s="1529">
        <v>120</v>
      </c>
      <c r="Y37" s="1448">
        <v>70</v>
      </c>
      <c r="Z37" s="1447">
        <v>70</v>
      </c>
      <c r="AA37" s="1749">
        <v>80</v>
      </c>
      <c r="AB37" s="1447">
        <v>90</v>
      </c>
      <c r="AC37" s="1449" t="s">
        <v>1956</v>
      </c>
      <c r="AD37" s="1530" t="s">
        <v>1955</v>
      </c>
      <c r="AF37" s="1282"/>
      <c r="AG37" s="456"/>
      <c r="AH37" s="457"/>
      <c r="AI37" s="475"/>
      <c r="AM37" s="2268" t="s">
        <v>2396</v>
      </c>
      <c r="AN37" s="2272">
        <v>200</v>
      </c>
      <c r="AO37" s="2283" t="s">
        <v>1065</v>
      </c>
      <c r="AP37" s="2272">
        <v>200</v>
      </c>
      <c r="AQ37" s="2283" t="s">
        <v>1065</v>
      </c>
      <c r="AR37" s="2272">
        <v>210</v>
      </c>
      <c r="AS37" s="2283" t="s">
        <v>1066</v>
      </c>
      <c r="AT37" s="2284">
        <v>210</v>
      </c>
      <c r="AU37" s="2285" t="s">
        <v>1066</v>
      </c>
      <c r="AV37" s="2284">
        <v>210</v>
      </c>
      <c r="AW37" s="2285" t="s">
        <v>1066</v>
      </c>
      <c r="AX37" s="2277">
        <v>160</v>
      </c>
      <c r="AY37" s="2278" t="s">
        <v>1065</v>
      </c>
      <c r="AZ37" s="2277">
        <v>190</v>
      </c>
      <c r="BA37" s="2278" t="s">
        <v>1066</v>
      </c>
      <c r="BB37" s="518"/>
      <c r="BC37" s="1996">
        <v>1</v>
      </c>
      <c r="BD37" s="521"/>
      <c r="BE37" s="2268" t="s">
        <v>2396</v>
      </c>
      <c r="BF37" s="577">
        <v>80</v>
      </c>
      <c r="BG37" s="577">
        <v>80</v>
      </c>
      <c r="BH37" s="577">
        <v>90</v>
      </c>
      <c r="BI37" s="521"/>
      <c r="BJ37" s="2268" t="s">
        <v>2396</v>
      </c>
      <c r="BK37" s="577">
        <v>205</v>
      </c>
      <c r="BL37" s="577">
        <v>205</v>
      </c>
      <c r="BM37" s="577">
        <v>260</v>
      </c>
      <c r="BN37" s="506"/>
      <c r="BO37" s="473"/>
      <c r="BP37" s="458"/>
      <c r="BQ37" s="458"/>
      <c r="BR37" s="458"/>
      <c r="BS37" s="2461" t="s">
        <v>2398</v>
      </c>
      <c r="BT37" s="2463" t="str">
        <f>IFERROR(INDEX(Liste_Ackerkulturen_Gemüse_DropDown[Ackerkulturen],_xlfn.AGGREGATE(15,6,(ROW(Liste_Ackerkulturen_Gemüse_DropDown[Ackerkulturen])-1)/(--(SEARCH(BU$2,Liste_Ackerkulturen_Gemüse_DropDown[Ackerkulturen])&gt;0)),ROW()-2),1),"")</f>
        <v>Futter/ Energiegras &gt; 90% Gras  5 Nutzungen</v>
      </c>
      <c r="BU37" s="2463"/>
      <c r="BV37" s="2463" t="str">
        <f>IFERROR(INDEX(Liste_Ackerkulturen_Gemüse_DropDown[Ackerkulturen],_xlfn.AGGREGATE(15,6,(ROW(Liste_Ackerkulturen_Gemüse_DropDown[Ackerkulturen])-1)/(--(SEARCH(BW$2,Liste_Ackerkulturen_Gemüse_DropDown[Ackerkulturen])&gt;0)),ROW()-2),1),"")</f>
        <v>Futter/ Energiegras &gt; 90% Gras  5 Nutzungen</v>
      </c>
      <c r="BW37" s="2463"/>
      <c r="BX37" s="2463" t="str">
        <f>IFERROR(INDEX(Liste_Ackerkulturen_Gemüse_DropDown[Ackerkulturen],_xlfn.AGGREGATE(15,6,(ROW(Liste_Ackerkulturen_Gemüse_DropDown[Ackerkulturen])-1)/(--(SEARCH(BY$2,Liste_Ackerkulturen_Gemüse_DropDown[Ackerkulturen])&gt;0)),ROW()-2),1),"")</f>
        <v>Futter/ Energiegras &gt; 90% Gras  5 Nutzungen</v>
      </c>
      <c r="BY37" s="2463"/>
      <c r="BZ37" s="2463" t="str">
        <f>IFERROR(INDEX(Liste_Ackerkulturen_Gemüse_DropDown[Ackerkulturen],_xlfn.AGGREGATE(15,6,(ROW(Liste_Ackerkulturen_Gemüse_DropDown[Ackerkulturen])-1)/(--(SEARCH(CA$2,Liste_Ackerkulturen_Gemüse_DropDown[Ackerkulturen])&gt;0)),ROW()-2),1),"")</f>
        <v>Futter/ Energiegras &gt; 90% Gras  5 Nutzungen</v>
      </c>
      <c r="CA37" s="2463"/>
      <c r="CB37" s="2463" t="str">
        <f>IFERROR(INDEX(Liste_Ackerkulturen_Gemüse_DropDown[Ackerkulturen],_xlfn.AGGREGATE(15,6,(ROW(Liste_Ackerkulturen_Gemüse_DropDown[Ackerkulturen])-1)/(--(SEARCH(CC$2,Liste_Ackerkulturen_Gemüse_DropDown[Ackerkulturen])&gt;0)),ROW()-2),1),"")</f>
        <v>Futter/ Energiegras &gt; 90% Gras  5 Nutzungen</v>
      </c>
      <c r="CC37" s="2463"/>
      <c r="CD37" s="2464" t="str">
        <f>IFERROR(INDEX(Liste_Ackerkulturen_Gemüse_DropDown[Ackerkulturen],_xlfn.AGGREGATE(15,6,(ROW(Liste_Ackerkulturen_Gemüse_DropDown[Ackerkulturen])-1)/(--(SEARCH(CE$2,Liste_Ackerkulturen_Gemüse_DropDown[Ackerkulturen])&gt;0)),ROW()-2),1),"")</f>
        <v>Futter/ Energiegras &gt; 90% Gras  5 Nutzungen</v>
      </c>
      <c r="CE37" s="2464"/>
      <c r="CF37" s="2464" t="str">
        <f>IFERROR(INDEX(Liste_Ackerkulturen_Gemüse_DropDown[Ackerkulturen],_xlfn.AGGREGATE(15,6,(ROW(Liste_Ackerkulturen_Gemüse_DropDown[Ackerkulturen])-1)/(--(SEARCH(CG$2,Liste_Ackerkulturen_Gemüse_DropDown[Ackerkulturen])&gt;0)),ROW()-2),1),"")</f>
        <v>Futter/ Energiegras &gt; 90% Gras  5 Nutzungen</v>
      </c>
      <c r="CG37" s="2464"/>
      <c r="CH37" s="2464" t="str">
        <f>IFERROR(INDEX(Liste_Ackerkulturen_Gemüse_DropDown[Ackerkulturen],_xlfn.AGGREGATE(15,6,(ROW(Liste_Ackerkulturen_Gemüse_DropDown[Ackerkulturen])-1)/(--(SEARCH(CI$2,Liste_Ackerkulturen_Gemüse_DropDown[Ackerkulturen])&gt;0)),ROW()-2),1),"")</f>
        <v>Futter/ Energiegras &gt; 90% Gras  5 Nutzungen</v>
      </c>
      <c r="CI37" s="2464"/>
      <c r="CJ37" s="2464" t="str">
        <f>IFERROR(INDEX(Liste_Ackerkulturen_Gemüse_DropDown[Ackerkulturen],_xlfn.AGGREGATE(15,6,(ROW(Liste_Ackerkulturen_Gemüse_DropDown[Ackerkulturen])-1)/(--(SEARCH(CK$2,Liste_Ackerkulturen_Gemüse_DropDown[Ackerkulturen])&gt;0)),ROW()-2),1),"")</f>
        <v>Futter/ Energiegras &gt; 90% Gras  5 Nutzungen</v>
      </c>
      <c r="CK37" s="2464"/>
      <c r="CL37" s="2464" t="str">
        <f>IFERROR(INDEX(Liste_Ackerkulturen_Gemüse_DropDown[Ackerkulturen],_xlfn.AGGREGATE(15,6,(ROW(Liste_Ackerkulturen_Gemüse_DropDown[Ackerkulturen])-1)/(--(SEARCH(CM$2,Liste_Ackerkulturen_Gemüse_DropDown[Ackerkulturen])&gt;0)),ROW()-2),1),"")</f>
        <v>Futter/ Energiegras &gt; 90% Gras  5 Nutzungen</v>
      </c>
      <c r="CM37" s="2464"/>
      <c r="CN37" s="2464" t="str">
        <f>IFERROR(INDEX(Liste_Ackerkulturen_Gemüse_DropDown[Ackerkulturen],_xlfn.AGGREGATE(15,6,(ROW(Liste_Ackerkulturen_Gemüse_DropDown[Ackerkulturen])-1)/(--(SEARCH(CO$2,Liste_Ackerkulturen_Gemüse_DropDown[Ackerkulturen])&gt;0)),ROW()-2),1),"")</f>
        <v>Futter/ Energiegras &gt; 90% Gras  5 Nutzungen</v>
      </c>
      <c r="CO37" s="2464"/>
      <c r="CP37" s="2464" t="str">
        <f>IFERROR(INDEX(Liste_Ackerkulturen_Gemüse_DropDown[Ackerkulturen],_xlfn.AGGREGATE(15,6,(ROW(Liste_Ackerkulturen_Gemüse_DropDown[Ackerkulturen])-1)/(--(SEARCH(CQ$2,Liste_Ackerkulturen_Gemüse_DropDown[Ackerkulturen])&gt;0)),ROW()-2),1),"")</f>
        <v>Futter/ Energiegras &gt; 90% Gras  5 Nutzungen</v>
      </c>
      <c r="CQ37" s="2464"/>
      <c r="CR37" s="2464" t="str">
        <f>IFERROR(INDEX(Liste_Ackerkulturen_Gemüse_DropDown[Ackerkulturen],_xlfn.AGGREGATE(15,6,(ROW(Liste_Ackerkulturen_Gemüse_DropDown[Ackerkulturen])-1)/(--(SEARCH(CS$2,Liste_Ackerkulturen_Gemüse_DropDown[Ackerkulturen])&gt;0)),ROW()-2),1),"")</f>
        <v>Futter/ Energiegras &gt; 90% Gras  5 Nutzungen</v>
      </c>
      <c r="CS37" s="2464"/>
      <c r="CT37"/>
      <c r="CU37"/>
      <c r="CV37"/>
      <c r="CW37"/>
      <c r="CX37"/>
      <c r="CY37"/>
      <c r="CZ37"/>
      <c r="DA37"/>
      <c r="DB37"/>
      <c r="DC37"/>
      <c r="DD37"/>
      <c r="DE37"/>
      <c r="DF37"/>
      <c r="DG37"/>
      <c r="DH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c r="IL37"/>
      <c r="IM37"/>
      <c r="IN37"/>
      <c r="IO37"/>
      <c r="IP37"/>
      <c r="IQ37"/>
      <c r="IR37"/>
      <c r="IS37"/>
      <c r="IT37"/>
      <c r="IU37"/>
    </row>
    <row r="38" spans="3:255" ht="25.65" customHeight="1">
      <c r="C38" s="2672" t="s">
        <v>736</v>
      </c>
      <c r="D38" s="2673"/>
      <c r="E38" s="1526" t="s">
        <v>1962</v>
      </c>
      <c r="F38" s="2254">
        <v>105</v>
      </c>
      <c r="G38" s="1748" t="s">
        <v>1963</v>
      </c>
      <c r="H38" s="1749">
        <v>145</v>
      </c>
      <c r="I38" s="1446" t="s">
        <v>1964</v>
      </c>
      <c r="J38" s="1447">
        <v>170</v>
      </c>
      <c r="K38" s="1446" t="s">
        <v>1965</v>
      </c>
      <c r="L38" s="1447">
        <v>180</v>
      </c>
      <c r="M38" s="1446" t="s">
        <v>1966</v>
      </c>
      <c r="N38" s="1447">
        <v>195</v>
      </c>
      <c r="O38" s="1527">
        <v>130</v>
      </c>
      <c r="P38" s="1528">
        <v>150</v>
      </c>
      <c r="Q38" s="1529">
        <v>85</v>
      </c>
      <c r="R38" s="1448">
        <v>70</v>
      </c>
      <c r="S38" s="1447">
        <v>50</v>
      </c>
      <c r="T38" s="1749">
        <v>55</v>
      </c>
      <c r="U38" s="1447">
        <v>65</v>
      </c>
      <c r="V38" s="1449" t="s">
        <v>1954</v>
      </c>
      <c r="W38" s="1530" t="s">
        <v>1955</v>
      </c>
      <c r="X38" s="1529">
        <v>120</v>
      </c>
      <c r="Y38" s="1448">
        <v>100</v>
      </c>
      <c r="Z38" s="1447">
        <v>70</v>
      </c>
      <c r="AA38" s="1749">
        <v>80</v>
      </c>
      <c r="AB38" s="1447">
        <v>90</v>
      </c>
      <c r="AC38" s="1449" t="s">
        <v>1956</v>
      </c>
      <c r="AD38" s="1530" t="s">
        <v>1955</v>
      </c>
      <c r="AF38" s="1280"/>
      <c r="AG38" s="456"/>
      <c r="AH38" s="457"/>
      <c r="AI38" s="475"/>
      <c r="AM38" s="2268" t="s">
        <v>2397</v>
      </c>
      <c r="AN38" s="2272">
        <v>200</v>
      </c>
      <c r="AO38" s="2283" t="s">
        <v>1065</v>
      </c>
      <c r="AP38" s="2272">
        <v>200</v>
      </c>
      <c r="AQ38" s="2283" t="s">
        <v>1065</v>
      </c>
      <c r="AR38" s="2272">
        <v>280</v>
      </c>
      <c r="AS38" s="2283" t="s">
        <v>1066</v>
      </c>
      <c r="AT38" s="2284">
        <v>280</v>
      </c>
      <c r="AU38" s="2285" t="s">
        <v>1066</v>
      </c>
      <c r="AV38" s="2284">
        <v>280</v>
      </c>
      <c r="AW38" s="2285" t="s">
        <v>1066</v>
      </c>
      <c r="AX38" s="2277">
        <v>210</v>
      </c>
      <c r="AY38" s="2278" t="s">
        <v>1065</v>
      </c>
      <c r="AZ38" s="2277">
        <v>210</v>
      </c>
      <c r="BA38" s="2278" t="s">
        <v>1066</v>
      </c>
      <c r="BB38" s="518"/>
      <c r="BC38" s="1996">
        <v>1</v>
      </c>
      <c r="BD38" s="521"/>
      <c r="BE38" s="2268" t="s">
        <v>2397</v>
      </c>
      <c r="BF38" s="577">
        <v>85</v>
      </c>
      <c r="BG38" s="577">
        <v>85</v>
      </c>
      <c r="BH38" s="577">
        <v>125</v>
      </c>
      <c r="BI38" s="521"/>
      <c r="BJ38" s="2268" t="s">
        <v>2397</v>
      </c>
      <c r="BK38" s="577">
        <v>230</v>
      </c>
      <c r="BL38" s="577">
        <v>230</v>
      </c>
      <c r="BM38" s="577">
        <v>365</v>
      </c>
      <c r="BN38" s="506"/>
      <c r="BO38" s="473"/>
      <c r="BP38" s="458"/>
      <c r="BQ38" s="458"/>
      <c r="BR38" s="458"/>
      <c r="BS38" s="2461" t="s">
        <v>2388</v>
      </c>
      <c r="BT38" s="2463" t="str">
        <f>IFERROR(INDEX(Liste_Ackerkulturen_Gemüse_DropDown[Ackerkulturen],_xlfn.AGGREGATE(15,6,(ROW(Liste_Ackerkulturen_Gemüse_DropDown[Ackerkulturen])-1)/(--(SEARCH(BU$2,Liste_Ackerkulturen_Gemüse_DropDown[Ackerkulturen])&gt;0)),ROW()-2),1),"")</f>
        <v>Futter/ Energiegras &gt; 90% Gras  6 Nutzungen</v>
      </c>
      <c r="BU38" s="2463"/>
      <c r="BV38" s="2463" t="str">
        <f>IFERROR(INDEX(Liste_Ackerkulturen_Gemüse_DropDown[Ackerkulturen],_xlfn.AGGREGATE(15,6,(ROW(Liste_Ackerkulturen_Gemüse_DropDown[Ackerkulturen])-1)/(--(SEARCH(BW$2,Liste_Ackerkulturen_Gemüse_DropDown[Ackerkulturen])&gt;0)),ROW()-2),1),"")</f>
        <v>Futter/ Energiegras &gt; 90% Gras  6 Nutzungen</v>
      </c>
      <c r="BW38" s="2463"/>
      <c r="BX38" s="2463" t="str">
        <f>IFERROR(INDEX(Liste_Ackerkulturen_Gemüse_DropDown[Ackerkulturen],_xlfn.AGGREGATE(15,6,(ROW(Liste_Ackerkulturen_Gemüse_DropDown[Ackerkulturen])-1)/(--(SEARCH(BY$2,Liste_Ackerkulturen_Gemüse_DropDown[Ackerkulturen])&gt;0)),ROW()-2),1),"")</f>
        <v>Futter/ Energiegras &gt; 90% Gras  6 Nutzungen</v>
      </c>
      <c r="BY38" s="2463"/>
      <c r="BZ38" s="2463" t="str">
        <f>IFERROR(INDEX(Liste_Ackerkulturen_Gemüse_DropDown[Ackerkulturen],_xlfn.AGGREGATE(15,6,(ROW(Liste_Ackerkulturen_Gemüse_DropDown[Ackerkulturen])-1)/(--(SEARCH(CA$2,Liste_Ackerkulturen_Gemüse_DropDown[Ackerkulturen])&gt;0)),ROW()-2),1),"")</f>
        <v>Futter/ Energiegras &gt; 90% Gras  6 Nutzungen</v>
      </c>
      <c r="CA38" s="2463"/>
      <c r="CB38" s="2463" t="str">
        <f>IFERROR(INDEX(Liste_Ackerkulturen_Gemüse_DropDown[Ackerkulturen],_xlfn.AGGREGATE(15,6,(ROW(Liste_Ackerkulturen_Gemüse_DropDown[Ackerkulturen])-1)/(--(SEARCH(CC$2,Liste_Ackerkulturen_Gemüse_DropDown[Ackerkulturen])&gt;0)),ROW()-2),1),"")</f>
        <v>Futter/ Energiegras &gt; 90% Gras  6 Nutzungen</v>
      </c>
      <c r="CC38" s="2463"/>
      <c r="CD38" s="2464" t="str">
        <f>IFERROR(INDEX(Liste_Ackerkulturen_Gemüse_DropDown[Ackerkulturen],_xlfn.AGGREGATE(15,6,(ROW(Liste_Ackerkulturen_Gemüse_DropDown[Ackerkulturen])-1)/(--(SEARCH(CE$2,Liste_Ackerkulturen_Gemüse_DropDown[Ackerkulturen])&gt;0)),ROW()-2),1),"")</f>
        <v>Futter/ Energiegras &gt; 90% Gras  6 Nutzungen</v>
      </c>
      <c r="CE38" s="2464"/>
      <c r="CF38" s="2464" t="str">
        <f>IFERROR(INDEX(Liste_Ackerkulturen_Gemüse_DropDown[Ackerkulturen],_xlfn.AGGREGATE(15,6,(ROW(Liste_Ackerkulturen_Gemüse_DropDown[Ackerkulturen])-1)/(--(SEARCH(CG$2,Liste_Ackerkulturen_Gemüse_DropDown[Ackerkulturen])&gt;0)),ROW()-2),1),"")</f>
        <v>Futter/ Energiegras &gt; 90% Gras  6 Nutzungen</v>
      </c>
      <c r="CG38" s="2464"/>
      <c r="CH38" s="2464" t="str">
        <f>IFERROR(INDEX(Liste_Ackerkulturen_Gemüse_DropDown[Ackerkulturen],_xlfn.AGGREGATE(15,6,(ROW(Liste_Ackerkulturen_Gemüse_DropDown[Ackerkulturen])-1)/(--(SEARCH(CI$2,Liste_Ackerkulturen_Gemüse_DropDown[Ackerkulturen])&gt;0)),ROW()-2),1),"")</f>
        <v>Futter/ Energiegras &gt; 90% Gras  6 Nutzungen</v>
      </c>
      <c r="CI38" s="2464"/>
      <c r="CJ38" s="2464" t="str">
        <f>IFERROR(INDEX(Liste_Ackerkulturen_Gemüse_DropDown[Ackerkulturen],_xlfn.AGGREGATE(15,6,(ROW(Liste_Ackerkulturen_Gemüse_DropDown[Ackerkulturen])-1)/(--(SEARCH(CK$2,Liste_Ackerkulturen_Gemüse_DropDown[Ackerkulturen])&gt;0)),ROW()-2),1),"")</f>
        <v>Futter/ Energiegras &gt; 90% Gras  6 Nutzungen</v>
      </c>
      <c r="CK38" s="2464"/>
      <c r="CL38" s="2464" t="str">
        <f>IFERROR(INDEX(Liste_Ackerkulturen_Gemüse_DropDown[Ackerkulturen],_xlfn.AGGREGATE(15,6,(ROW(Liste_Ackerkulturen_Gemüse_DropDown[Ackerkulturen])-1)/(--(SEARCH(CM$2,Liste_Ackerkulturen_Gemüse_DropDown[Ackerkulturen])&gt;0)),ROW()-2),1),"")</f>
        <v>Futter/ Energiegras &gt; 90% Gras  6 Nutzungen</v>
      </c>
      <c r="CM38" s="2464"/>
      <c r="CN38" s="2464" t="str">
        <f>IFERROR(INDEX(Liste_Ackerkulturen_Gemüse_DropDown[Ackerkulturen],_xlfn.AGGREGATE(15,6,(ROW(Liste_Ackerkulturen_Gemüse_DropDown[Ackerkulturen])-1)/(--(SEARCH(CO$2,Liste_Ackerkulturen_Gemüse_DropDown[Ackerkulturen])&gt;0)),ROW()-2),1),"")</f>
        <v>Futter/ Energiegras &gt; 90% Gras  6 Nutzungen</v>
      </c>
      <c r="CO38" s="2464"/>
      <c r="CP38" s="2464" t="str">
        <f>IFERROR(INDEX(Liste_Ackerkulturen_Gemüse_DropDown[Ackerkulturen],_xlfn.AGGREGATE(15,6,(ROW(Liste_Ackerkulturen_Gemüse_DropDown[Ackerkulturen])-1)/(--(SEARCH(CQ$2,Liste_Ackerkulturen_Gemüse_DropDown[Ackerkulturen])&gt;0)),ROW()-2),1),"")</f>
        <v>Futter/ Energiegras &gt; 90% Gras  6 Nutzungen</v>
      </c>
      <c r="CQ38" s="2464"/>
      <c r="CR38" s="2464" t="str">
        <f>IFERROR(INDEX(Liste_Ackerkulturen_Gemüse_DropDown[Ackerkulturen],_xlfn.AGGREGATE(15,6,(ROW(Liste_Ackerkulturen_Gemüse_DropDown[Ackerkulturen])-1)/(--(SEARCH(CS$2,Liste_Ackerkulturen_Gemüse_DropDown[Ackerkulturen])&gt;0)),ROW()-2),1),"")</f>
        <v>Futter/ Energiegras &gt; 90% Gras  6 Nutzungen</v>
      </c>
      <c r="CS38" s="2464"/>
      <c r="CT38"/>
      <c r="CU38"/>
      <c r="CV38"/>
      <c r="CW38"/>
      <c r="CX38"/>
      <c r="CY38"/>
      <c r="CZ38"/>
      <c r="DA38"/>
      <c r="DB38"/>
      <c r="DC38"/>
      <c r="DD38"/>
      <c r="DE38"/>
      <c r="DF38"/>
      <c r="DG38"/>
      <c r="DH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c r="IL38"/>
      <c r="IM38"/>
      <c r="IN38"/>
      <c r="IO38"/>
      <c r="IP38"/>
      <c r="IQ38"/>
      <c r="IR38"/>
      <c r="IS38"/>
      <c r="IT38"/>
      <c r="IU38"/>
    </row>
    <row r="39" spans="3:255" ht="25.65" customHeight="1" thickBot="1">
      <c r="C39" s="2672" t="s">
        <v>886</v>
      </c>
      <c r="D39" s="2673"/>
      <c r="E39" s="1526" t="s">
        <v>1967</v>
      </c>
      <c r="F39" s="2254">
        <v>80</v>
      </c>
      <c r="G39" s="1748" t="s">
        <v>1968</v>
      </c>
      <c r="H39" s="1749">
        <v>110</v>
      </c>
      <c r="I39" s="1446" t="s">
        <v>1969</v>
      </c>
      <c r="J39" s="1447">
        <v>130</v>
      </c>
      <c r="K39" s="1446" t="s">
        <v>1970</v>
      </c>
      <c r="L39" s="1447">
        <v>140</v>
      </c>
      <c r="M39" s="1446" t="s">
        <v>1966</v>
      </c>
      <c r="N39" s="1447">
        <v>150</v>
      </c>
      <c r="O39" s="1527">
        <v>80</v>
      </c>
      <c r="P39" s="1528">
        <v>90</v>
      </c>
      <c r="Q39" s="1529">
        <v>85</v>
      </c>
      <c r="R39" s="1448">
        <v>70</v>
      </c>
      <c r="S39" s="1447">
        <v>50</v>
      </c>
      <c r="T39" s="1749">
        <v>55</v>
      </c>
      <c r="U39" s="1447">
        <v>65</v>
      </c>
      <c r="V39" s="1449" t="s">
        <v>1954</v>
      </c>
      <c r="W39" s="1530" t="s">
        <v>1955</v>
      </c>
      <c r="X39" s="1529">
        <v>120</v>
      </c>
      <c r="Y39" s="1448">
        <v>100</v>
      </c>
      <c r="Z39" s="1447">
        <v>70</v>
      </c>
      <c r="AA39" s="1749">
        <v>80</v>
      </c>
      <c r="AB39" s="1447">
        <v>90</v>
      </c>
      <c r="AC39" s="1449" t="s">
        <v>1956</v>
      </c>
      <c r="AD39" s="1530" t="s">
        <v>1955</v>
      </c>
      <c r="AF39" s="1282"/>
      <c r="AG39" s="456"/>
      <c r="AH39" s="457"/>
      <c r="AI39" s="475"/>
      <c r="AM39" s="2269" t="s">
        <v>2398</v>
      </c>
      <c r="AN39" s="2286">
        <v>280</v>
      </c>
      <c r="AO39" s="2308" t="s">
        <v>1066</v>
      </c>
      <c r="AP39" s="2286">
        <v>280</v>
      </c>
      <c r="AQ39" s="2308" t="s">
        <v>1066</v>
      </c>
      <c r="AR39" s="2286">
        <v>280</v>
      </c>
      <c r="AS39" s="2308" t="s">
        <v>1066</v>
      </c>
      <c r="AT39" s="2287">
        <v>280</v>
      </c>
      <c r="AU39" s="2309" t="s">
        <v>1066</v>
      </c>
      <c r="AV39" s="2287">
        <v>280</v>
      </c>
      <c r="AW39" s="2309" t="s">
        <v>1066</v>
      </c>
      <c r="AX39" s="2298">
        <v>210</v>
      </c>
      <c r="AY39" s="2299" t="s">
        <v>2289</v>
      </c>
      <c r="AZ39" s="2298">
        <v>210</v>
      </c>
      <c r="BA39" s="2299" t="s">
        <v>1066</v>
      </c>
      <c r="BB39" s="518"/>
      <c r="BC39" s="1996">
        <v>1</v>
      </c>
      <c r="BD39" s="521"/>
      <c r="BE39" s="2269" t="s">
        <v>2398</v>
      </c>
      <c r="BF39" s="577">
        <v>135</v>
      </c>
      <c r="BG39" s="577">
        <v>135</v>
      </c>
      <c r="BH39" s="577">
        <v>135</v>
      </c>
      <c r="BI39" s="521"/>
      <c r="BJ39" s="2269" t="s">
        <v>2398</v>
      </c>
      <c r="BK39" s="577">
        <v>390</v>
      </c>
      <c r="BL39" s="577">
        <v>390</v>
      </c>
      <c r="BM39" s="577">
        <v>390</v>
      </c>
      <c r="BN39" s="506"/>
      <c r="BO39" s="473"/>
      <c r="BP39" s="458"/>
      <c r="BQ39" s="458"/>
      <c r="BR39" s="458"/>
      <c r="BS39" s="2461" t="s">
        <v>2389</v>
      </c>
      <c r="BT39" s="2463" t="str">
        <f>IFERROR(INDEX(Liste_Ackerkulturen_Gemüse_DropDown[Ackerkulturen],_xlfn.AGGREGATE(15,6,(ROW(Liste_Ackerkulturen_Gemüse_DropDown[Ackerkulturen])-1)/(--(SEARCH(BU$2,Liste_Ackerkulturen_Gemüse_DropDown[Ackerkulturen])&gt;0)),ROW()-2),1),"")</f>
        <v>Sonstiges Feldfutter 1 Nutzung &lt; 40 % Leg.</v>
      </c>
      <c r="BU39" s="2463"/>
      <c r="BV39" s="2463" t="str">
        <f>IFERROR(INDEX(Liste_Ackerkulturen_Gemüse_DropDown[Ackerkulturen],_xlfn.AGGREGATE(15,6,(ROW(Liste_Ackerkulturen_Gemüse_DropDown[Ackerkulturen])-1)/(--(SEARCH(BW$2,Liste_Ackerkulturen_Gemüse_DropDown[Ackerkulturen])&gt;0)),ROW()-2),1),"")</f>
        <v>Sonstiges Feldfutter 1 Nutzung &lt; 40 % Leg.</v>
      </c>
      <c r="BW39" s="2463"/>
      <c r="BX39" s="2463" t="str">
        <f>IFERROR(INDEX(Liste_Ackerkulturen_Gemüse_DropDown[Ackerkulturen],_xlfn.AGGREGATE(15,6,(ROW(Liste_Ackerkulturen_Gemüse_DropDown[Ackerkulturen])-1)/(--(SEARCH(BY$2,Liste_Ackerkulturen_Gemüse_DropDown[Ackerkulturen])&gt;0)),ROW()-2),1),"")</f>
        <v>Sonstiges Feldfutter 1 Nutzung &lt; 40 % Leg.</v>
      </c>
      <c r="BY39" s="2463"/>
      <c r="BZ39" s="2463" t="str">
        <f>IFERROR(INDEX(Liste_Ackerkulturen_Gemüse_DropDown[Ackerkulturen],_xlfn.AGGREGATE(15,6,(ROW(Liste_Ackerkulturen_Gemüse_DropDown[Ackerkulturen])-1)/(--(SEARCH(CA$2,Liste_Ackerkulturen_Gemüse_DropDown[Ackerkulturen])&gt;0)),ROW()-2),1),"")</f>
        <v>Sonstiges Feldfutter 1 Nutzung &lt; 40 % Leg.</v>
      </c>
      <c r="CA39" s="2463"/>
      <c r="CB39" s="2463" t="str">
        <f>IFERROR(INDEX(Liste_Ackerkulturen_Gemüse_DropDown[Ackerkulturen],_xlfn.AGGREGATE(15,6,(ROW(Liste_Ackerkulturen_Gemüse_DropDown[Ackerkulturen])-1)/(--(SEARCH(CC$2,Liste_Ackerkulturen_Gemüse_DropDown[Ackerkulturen])&gt;0)),ROW()-2),1),"")</f>
        <v>Sonstiges Feldfutter 1 Nutzung &lt; 40 % Leg.</v>
      </c>
      <c r="CC39" s="2463"/>
      <c r="CD39" s="2464" t="str">
        <f>IFERROR(INDEX(Liste_Ackerkulturen_Gemüse_DropDown[Ackerkulturen],_xlfn.AGGREGATE(15,6,(ROW(Liste_Ackerkulturen_Gemüse_DropDown[Ackerkulturen])-1)/(--(SEARCH(CE$2,Liste_Ackerkulturen_Gemüse_DropDown[Ackerkulturen])&gt;0)),ROW()-2),1),"")</f>
        <v>Sonstiges Feldfutter 1 Nutzung &lt; 40 % Leg.</v>
      </c>
      <c r="CE39" s="2464"/>
      <c r="CF39" s="2464" t="str">
        <f>IFERROR(INDEX(Liste_Ackerkulturen_Gemüse_DropDown[Ackerkulturen],_xlfn.AGGREGATE(15,6,(ROW(Liste_Ackerkulturen_Gemüse_DropDown[Ackerkulturen])-1)/(--(SEARCH(CG$2,Liste_Ackerkulturen_Gemüse_DropDown[Ackerkulturen])&gt;0)),ROW()-2),1),"")</f>
        <v>Sonstiges Feldfutter 1 Nutzung &lt; 40 % Leg.</v>
      </c>
      <c r="CG39" s="2464"/>
      <c r="CH39" s="2464" t="str">
        <f>IFERROR(INDEX(Liste_Ackerkulturen_Gemüse_DropDown[Ackerkulturen],_xlfn.AGGREGATE(15,6,(ROW(Liste_Ackerkulturen_Gemüse_DropDown[Ackerkulturen])-1)/(--(SEARCH(CI$2,Liste_Ackerkulturen_Gemüse_DropDown[Ackerkulturen])&gt;0)),ROW()-2),1),"")</f>
        <v>Sonstiges Feldfutter 1 Nutzung &lt; 40 % Leg.</v>
      </c>
      <c r="CI39" s="2464"/>
      <c r="CJ39" s="2464" t="str">
        <f>IFERROR(INDEX(Liste_Ackerkulturen_Gemüse_DropDown[Ackerkulturen],_xlfn.AGGREGATE(15,6,(ROW(Liste_Ackerkulturen_Gemüse_DropDown[Ackerkulturen])-1)/(--(SEARCH(CK$2,Liste_Ackerkulturen_Gemüse_DropDown[Ackerkulturen])&gt;0)),ROW()-2),1),"")</f>
        <v>Sonstiges Feldfutter 1 Nutzung &lt; 40 % Leg.</v>
      </c>
      <c r="CK39" s="2464"/>
      <c r="CL39" s="2464" t="str">
        <f>IFERROR(INDEX(Liste_Ackerkulturen_Gemüse_DropDown[Ackerkulturen],_xlfn.AGGREGATE(15,6,(ROW(Liste_Ackerkulturen_Gemüse_DropDown[Ackerkulturen])-1)/(--(SEARCH(CM$2,Liste_Ackerkulturen_Gemüse_DropDown[Ackerkulturen])&gt;0)),ROW()-2),1),"")</f>
        <v>Sonstiges Feldfutter 1 Nutzung &lt; 40 % Leg.</v>
      </c>
      <c r="CM39" s="2464"/>
      <c r="CN39" s="2464" t="str">
        <f>IFERROR(INDEX(Liste_Ackerkulturen_Gemüse_DropDown[Ackerkulturen],_xlfn.AGGREGATE(15,6,(ROW(Liste_Ackerkulturen_Gemüse_DropDown[Ackerkulturen])-1)/(--(SEARCH(CO$2,Liste_Ackerkulturen_Gemüse_DropDown[Ackerkulturen])&gt;0)),ROW()-2),1),"")</f>
        <v>Sonstiges Feldfutter 1 Nutzung &lt; 40 % Leg.</v>
      </c>
      <c r="CO39" s="2464"/>
      <c r="CP39" s="2464" t="str">
        <f>IFERROR(INDEX(Liste_Ackerkulturen_Gemüse_DropDown[Ackerkulturen],_xlfn.AGGREGATE(15,6,(ROW(Liste_Ackerkulturen_Gemüse_DropDown[Ackerkulturen])-1)/(--(SEARCH(CQ$2,Liste_Ackerkulturen_Gemüse_DropDown[Ackerkulturen])&gt;0)),ROW()-2),1),"")</f>
        <v>Sonstiges Feldfutter 1 Nutzung &lt; 40 % Leg.</v>
      </c>
      <c r="CQ39" s="2464"/>
      <c r="CR39" s="2464" t="str">
        <f>IFERROR(INDEX(Liste_Ackerkulturen_Gemüse_DropDown[Ackerkulturen],_xlfn.AGGREGATE(15,6,(ROW(Liste_Ackerkulturen_Gemüse_DropDown[Ackerkulturen])-1)/(--(SEARCH(CS$2,Liste_Ackerkulturen_Gemüse_DropDown[Ackerkulturen])&gt;0)),ROW()-2),1),"")</f>
        <v>Sonstiges Feldfutter 1 Nutzung &lt; 40 % Leg.</v>
      </c>
      <c r="CS39" s="2464"/>
      <c r="CT39"/>
      <c r="CU39"/>
      <c r="CV39"/>
      <c r="CW39"/>
      <c r="CX39"/>
      <c r="CY39"/>
      <c r="CZ39"/>
      <c r="DA39"/>
      <c r="DB39"/>
      <c r="DC39"/>
      <c r="DD39"/>
      <c r="DE39"/>
      <c r="DF39"/>
      <c r="DG39"/>
      <c r="DH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c r="IL39"/>
      <c r="IM39"/>
      <c r="IN39"/>
      <c r="IO39"/>
      <c r="IP39"/>
      <c r="IQ39"/>
      <c r="IR39"/>
      <c r="IS39"/>
      <c r="IT39"/>
      <c r="IU39"/>
    </row>
    <row r="40" spans="3:255" ht="25.65" customHeight="1">
      <c r="C40" s="2672" t="s">
        <v>1802</v>
      </c>
      <c r="D40" s="2673"/>
      <c r="E40" s="1526" t="s">
        <v>1949</v>
      </c>
      <c r="F40" s="2254">
        <v>95</v>
      </c>
      <c r="G40" s="1748" t="s">
        <v>1950</v>
      </c>
      <c r="H40" s="1749">
        <v>130</v>
      </c>
      <c r="I40" s="1446" t="s">
        <v>1951</v>
      </c>
      <c r="J40" s="1447">
        <v>155</v>
      </c>
      <c r="K40" s="1446" t="s">
        <v>1952</v>
      </c>
      <c r="L40" s="1447">
        <v>170</v>
      </c>
      <c r="M40" s="1446" t="s">
        <v>1953</v>
      </c>
      <c r="N40" s="1447">
        <v>180</v>
      </c>
      <c r="O40" s="1527">
        <v>120</v>
      </c>
      <c r="P40" s="1528">
        <v>135</v>
      </c>
      <c r="Q40" s="1529">
        <v>85</v>
      </c>
      <c r="R40" s="1448">
        <v>70</v>
      </c>
      <c r="S40" s="1447">
        <v>50</v>
      </c>
      <c r="T40" s="1749">
        <v>55</v>
      </c>
      <c r="U40" s="1447">
        <v>65</v>
      </c>
      <c r="V40" s="1449" t="s">
        <v>1954</v>
      </c>
      <c r="W40" s="1530" t="s">
        <v>1955</v>
      </c>
      <c r="X40" s="1529">
        <v>120</v>
      </c>
      <c r="Y40" s="1448">
        <v>100</v>
      </c>
      <c r="Z40" s="1447">
        <v>70</v>
      </c>
      <c r="AA40" s="1749">
        <v>80</v>
      </c>
      <c r="AB40" s="1447">
        <v>90</v>
      </c>
      <c r="AC40" s="1449" t="s">
        <v>1956</v>
      </c>
      <c r="AD40" s="1530" t="s">
        <v>1955</v>
      </c>
      <c r="AF40" s="1282"/>
      <c r="AG40" s="456"/>
      <c r="AH40" s="457"/>
      <c r="AI40" s="475"/>
      <c r="AM40" s="2270" t="s">
        <v>2388</v>
      </c>
      <c r="AN40" s="2288">
        <v>100</v>
      </c>
      <c r="AO40" s="2289" t="s">
        <v>1997</v>
      </c>
      <c r="AP40" s="2288">
        <v>180</v>
      </c>
      <c r="AQ40" s="2290" t="s">
        <v>1060</v>
      </c>
      <c r="AR40" s="2288">
        <v>180</v>
      </c>
      <c r="AS40" s="2290" t="s">
        <v>1060</v>
      </c>
      <c r="AT40" s="2291">
        <v>180</v>
      </c>
      <c r="AU40" s="2292" t="s">
        <v>1060</v>
      </c>
      <c r="AV40" s="2291">
        <v>180</v>
      </c>
      <c r="AW40" s="2292" t="s">
        <v>1060</v>
      </c>
      <c r="AX40" s="2300">
        <v>30</v>
      </c>
      <c r="AY40" s="2301" t="s">
        <v>1060</v>
      </c>
      <c r="AZ40" s="2300">
        <v>30</v>
      </c>
      <c r="BA40" s="2302" t="s">
        <v>1060</v>
      </c>
      <c r="BC40" s="1996">
        <v>1</v>
      </c>
      <c r="BE40" s="2270" t="s">
        <v>2388</v>
      </c>
      <c r="BF40" s="577">
        <v>15</v>
      </c>
      <c r="BG40" s="577">
        <v>30</v>
      </c>
      <c r="BH40" s="570">
        <v>30</v>
      </c>
      <c r="BJ40" s="2270" t="s">
        <v>2388</v>
      </c>
      <c r="BK40" s="577">
        <v>45</v>
      </c>
      <c r="BL40" s="577">
        <v>80</v>
      </c>
      <c r="BM40" s="572">
        <v>80</v>
      </c>
      <c r="BN40" s="506"/>
      <c r="BO40" s="473"/>
      <c r="BP40" s="458"/>
      <c r="BQ40" s="458"/>
      <c r="BR40" s="458"/>
      <c r="BS40" s="2461" t="s">
        <v>2390</v>
      </c>
      <c r="BT40" s="2463" t="str">
        <f>IFERROR(INDEX(Liste_Ackerkulturen_Gemüse_DropDown[Ackerkulturen],_xlfn.AGGREGATE(15,6,(ROW(Liste_Ackerkulturen_Gemüse_DropDown[Ackerkulturen])-1)/(--(SEARCH(BU$2,Liste_Ackerkulturen_Gemüse_DropDown[Ackerkulturen])&gt;0)),ROW()-2),1),"")</f>
        <v>Sonstiges Feldfutter 2 Nutzungen &lt; 40 % Leg.</v>
      </c>
      <c r="BU40" s="2463"/>
      <c r="BV40" s="2463" t="str">
        <f>IFERROR(INDEX(Liste_Ackerkulturen_Gemüse_DropDown[Ackerkulturen],_xlfn.AGGREGATE(15,6,(ROW(Liste_Ackerkulturen_Gemüse_DropDown[Ackerkulturen])-1)/(--(SEARCH(BW$2,Liste_Ackerkulturen_Gemüse_DropDown[Ackerkulturen])&gt;0)),ROW()-2),1),"")</f>
        <v>Sonstiges Feldfutter 2 Nutzungen &lt; 40 % Leg.</v>
      </c>
      <c r="BW40" s="2463"/>
      <c r="BX40" s="2463" t="str">
        <f>IFERROR(INDEX(Liste_Ackerkulturen_Gemüse_DropDown[Ackerkulturen],_xlfn.AGGREGATE(15,6,(ROW(Liste_Ackerkulturen_Gemüse_DropDown[Ackerkulturen])-1)/(--(SEARCH(BY$2,Liste_Ackerkulturen_Gemüse_DropDown[Ackerkulturen])&gt;0)),ROW()-2),1),"")</f>
        <v>Sonstiges Feldfutter 2 Nutzungen &lt; 40 % Leg.</v>
      </c>
      <c r="BY40" s="2463"/>
      <c r="BZ40" s="2463" t="str">
        <f>IFERROR(INDEX(Liste_Ackerkulturen_Gemüse_DropDown[Ackerkulturen],_xlfn.AGGREGATE(15,6,(ROW(Liste_Ackerkulturen_Gemüse_DropDown[Ackerkulturen])-1)/(--(SEARCH(CA$2,Liste_Ackerkulturen_Gemüse_DropDown[Ackerkulturen])&gt;0)),ROW()-2),1),"")</f>
        <v>Sonstiges Feldfutter 2 Nutzungen &lt; 40 % Leg.</v>
      </c>
      <c r="CA40" s="2463"/>
      <c r="CB40" s="2463" t="str">
        <f>IFERROR(INDEX(Liste_Ackerkulturen_Gemüse_DropDown[Ackerkulturen],_xlfn.AGGREGATE(15,6,(ROW(Liste_Ackerkulturen_Gemüse_DropDown[Ackerkulturen])-1)/(--(SEARCH(CC$2,Liste_Ackerkulturen_Gemüse_DropDown[Ackerkulturen])&gt;0)),ROW()-2),1),"")</f>
        <v>Sonstiges Feldfutter 2 Nutzungen &lt; 40 % Leg.</v>
      </c>
      <c r="CC40" s="2463"/>
      <c r="CD40" s="2464" t="str">
        <f>IFERROR(INDEX(Liste_Ackerkulturen_Gemüse_DropDown[Ackerkulturen],_xlfn.AGGREGATE(15,6,(ROW(Liste_Ackerkulturen_Gemüse_DropDown[Ackerkulturen])-1)/(--(SEARCH(CE$2,Liste_Ackerkulturen_Gemüse_DropDown[Ackerkulturen])&gt;0)),ROW()-2),1),"")</f>
        <v>Sonstiges Feldfutter 2 Nutzungen &lt; 40 % Leg.</v>
      </c>
      <c r="CE40" s="2464"/>
      <c r="CF40" s="2464" t="str">
        <f>IFERROR(INDEX(Liste_Ackerkulturen_Gemüse_DropDown[Ackerkulturen],_xlfn.AGGREGATE(15,6,(ROW(Liste_Ackerkulturen_Gemüse_DropDown[Ackerkulturen])-1)/(--(SEARCH(CG$2,Liste_Ackerkulturen_Gemüse_DropDown[Ackerkulturen])&gt;0)),ROW()-2),1),"")</f>
        <v>Sonstiges Feldfutter 2 Nutzungen &lt; 40 % Leg.</v>
      </c>
      <c r="CG40" s="2464"/>
      <c r="CH40" s="2464" t="str">
        <f>IFERROR(INDEX(Liste_Ackerkulturen_Gemüse_DropDown[Ackerkulturen],_xlfn.AGGREGATE(15,6,(ROW(Liste_Ackerkulturen_Gemüse_DropDown[Ackerkulturen])-1)/(--(SEARCH(CI$2,Liste_Ackerkulturen_Gemüse_DropDown[Ackerkulturen])&gt;0)),ROW()-2),1),"")</f>
        <v>Sonstiges Feldfutter 2 Nutzungen &lt; 40 % Leg.</v>
      </c>
      <c r="CI40" s="2464"/>
      <c r="CJ40" s="2464" t="str">
        <f>IFERROR(INDEX(Liste_Ackerkulturen_Gemüse_DropDown[Ackerkulturen],_xlfn.AGGREGATE(15,6,(ROW(Liste_Ackerkulturen_Gemüse_DropDown[Ackerkulturen])-1)/(--(SEARCH(CK$2,Liste_Ackerkulturen_Gemüse_DropDown[Ackerkulturen])&gt;0)),ROW()-2),1),"")</f>
        <v>Sonstiges Feldfutter 2 Nutzungen &lt; 40 % Leg.</v>
      </c>
      <c r="CK40" s="2464"/>
      <c r="CL40" s="2464" t="str">
        <f>IFERROR(INDEX(Liste_Ackerkulturen_Gemüse_DropDown[Ackerkulturen],_xlfn.AGGREGATE(15,6,(ROW(Liste_Ackerkulturen_Gemüse_DropDown[Ackerkulturen])-1)/(--(SEARCH(CM$2,Liste_Ackerkulturen_Gemüse_DropDown[Ackerkulturen])&gt;0)),ROW()-2),1),"")</f>
        <v>Sonstiges Feldfutter 2 Nutzungen &lt; 40 % Leg.</v>
      </c>
      <c r="CM40" s="2464"/>
      <c r="CN40" s="2464" t="str">
        <f>IFERROR(INDEX(Liste_Ackerkulturen_Gemüse_DropDown[Ackerkulturen],_xlfn.AGGREGATE(15,6,(ROW(Liste_Ackerkulturen_Gemüse_DropDown[Ackerkulturen])-1)/(--(SEARCH(CO$2,Liste_Ackerkulturen_Gemüse_DropDown[Ackerkulturen])&gt;0)),ROW()-2),1),"")</f>
        <v>Sonstiges Feldfutter 2 Nutzungen &lt; 40 % Leg.</v>
      </c>
      <c r="CO40" s="2464"/>
      <c r="CP40" s="2464" t="str">
        <f>IFERROR(INDEX(Liste_Ackerkulturen_Gemüse_DropDown[Ackerkulturen],_xlfn.AGGREGATE(15,6,(ROW(Liste_Ackerkulturen_Gemüse_DropDown[Ackerkulturen])-1)/(--(SEARCH(CQ$2,Liste_Ackerkulturen_Gemüse_DropDown[Ackerkulturen])&gt;0)),ROW()-2),1),"")</f>
        <v>Sonstiges Feldfutter 2 Nutzungen &lt; 40 % Leg.</v>
      </c>
      <c r="CQ40" s="2464"/>
      <c r="CR40" s="2464" t="str">
        <f>IFERROR(INDEX(Liste_Ackerkulturen_Gemüse_DropDown[Ackerkulturen],_xlfn.AGGREGATE(15,6,(ROW(Liste_Ackerkulturen_Gemüse_DropDown[Ackerkulturen])-1)/(--(SEARCH(CS$2,Liste_Ackerkulturen_Gemüse_DropDown[Ackerkulturen])&gt;0)),ROW()-2),1),"")</f>
        <v>Sonstiges Feldfutter 2 Nutzungen &lt; 40 % Leg.</v>
      </c>
      <c r="CS40" s="2464"/>
      <c r="CT40"/>
      <c r="CU40"/>
      <c r="CV40"/>
      <c r="CW40"/>
      <c r="CX40"/>
      <c r="CY40"/>
      <c r="CZ40"/>
      <c r="DA40"/>
      <c r="DB40"/>
      <c r="DC40"/>
      <c r="DD40"/>
      <c r="DE40"/>
      <c r="DF40"/>
      <c r="DG40"/>
      <c r="DH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c r="IL40"/>
      <c r="IM40"/>
      <c r="IN40"/>
      <c r="IO40"/>
      <c r="IP40"/>
      <c r="IQ40"/>
      <c r="IR40"/>
      <c r="IS40"/>
      <c r="IT40"/>
      <c r="IU40"/>
    </row>
    <row r="41" spans="3:255" ht="25.65" customHeight="1">
      <c r="C41" s="2672" t="s">
        <v>738</v>
      </c>
      <c r="D41" s="2673"/>
      <c r="E41" s="1526" t="s">
        <v>1949</v>
      </c>
      <c r="F41" s="2254">
        <v>90</v>
      </c>
      <c r="G41" s="1748" t="s">
        <v>1950</v>
      </c>
      <c r="H41" s="1749">
        <v>120</v>
      </c>
      <c r="I41" s="1446" t="s">
        <v>1951</v>
      </c>
      <c r="J41" s="1447">
        <v>145</v>
      </c>
      <c r="K41" s="1446" t="s">
        <v>1952</v>
      </c>
      <c r="L41" s="1447">
        <v>155</v>
      </c>
      <c r="M41" s="1446" t="s">
        <v>1953</v>
      </c>
      <c r="N41" s="1447">
        <v>165</v>
      </c>
      <c r="O41" s="1527">
        <v>110</v>
      </c>
      <c r="P41" s="1528">
        <v>120</v>
      </c>
      <c r="Q41" s="1529">
        <v>85</v>
      </c>
      <c r="R41" s="1448">
        <v>70</v>
      </c>
      <c r="S41" s="1447">
        <v>50</v>
      </c>
      <c r="T41" s="1749">
        <v>55</v>
      </c>
      <c r="U41" s="1447">
        <v>65</v>
      </c>
      <c r="V41" s="1449" t="s">
        <v>1954</v>
      </c>
      <c r="W41" s="1530" t="s">
        <v>1955</v>
      </c>
      <c r="X41" s="1529">
        <v>120</v>
      </c>
      <c r="Y41" s="1448">
        <v>100</v>
      </c>
      <c r="Z41" s="1447">
        <v>70</v>
      </c>
      <c r="AA41" s="1749">
        <v>80</v>
      </c>
      <c r="AB41" s="1447">
        <v>90</v>
      </c>
      <c r="AC41" s="1449" t="s">
        <v>1956</v>
      </c>
      <c r="AD41" s="1530" t="s">
        <v>1955</v>
      </c>
      <c r="AF41" s="1282"/>
      <c r="AG41" s="456"/>
      <c r="AH41" s="457"/>
      <c r="AI41" s="475"/>
      <c r="AM41" s="2270" t="s">
        <v>2389</v>
      </c>
      <c r="AN41" s="2286">
        <v>100</v>
      </c>
      <c r="AO41" s="2372" t="s">
        <v>1071</v>
      </c>
      <c r="AP41" s="2286">
        <v>180</v>
      </c>
      <c r="AQ41" s="2308" t="s">
        <v>1063</v>
      </c>
      <c r="AR41" s="2286">
        <v>180</v>
      </c>
      <c r="AS41" s="2308" t="s">
        <v>1063</v>
      </c>
      <c r="AT41" s="2287">
        <v>180</v>
      </c>
      <c r="AU41" s="2309" t="s">
        <v>1063</v>
      </c>
      <c r="AV41" s="2287">
        <v>180</v>
      </c>
      <c r="AW41" s="2309" t="s">
        <v>1063</v>
      </c>
      <c r="AX41" s="2298">
        <v>90</v>
      </c>
      <c r="AY41" s="2299" t="s">
        <v>1063</v>
      </c>
      <c r="AZ41" s="2298">
        <v>90</v>
      </c>
      <c r="BA41" s="2373" t="s">
        <v>2309</v>
      </c>
      <c r="BC41" s="1996">
        <v>1</v>
      </c>
      <c r="BE41" s="2270" t="s">
        <v>2389</v>
      </c>
      <c r="BF41" s="577">
        <v>30</v>
      </c>
      <c r="BG41" s="577">
        <v>45</v>
      </c>
      <c r="BH41" s="570">
        <v>45</v>
      </c>
      <c r="BJ41" s="2270" t="s">
        <v>2389</v>
      </c>
      <c r="BK41" s="577">
        <v>80</v>
      </c>
      <c r="BL41" s="577">
        <v>120</v>
      </c>
      <c r="BM41" s="572">
        <v>120</v>
      </c>
      <c r="BN41" s="506"/>
      <c r="BO41" s="473"/>
      <c r="BP41" s="458"/>
      <c r="BQ41" s="458"/>
      <c r="BR41" s="458"/>
      <c r="BS41" s="2461" t="s">
        <v>2391</v>
      </c>
      <c r="BT41" s="2463" t="str">
        <f>IFERROR(INDEX(Liste_Ackerkulturen_Gemüse_DropDown[Ackerkulturen],_xlfn.AGGREGATE(15,6,(ROW(Liste_Ackerkulturen_Gemüse_DropDown[Ackerkulturen])-1)/(--(SEARCH(BU$2,Liste_Ackerkulturen_Gemüse_DropDown[Ackerkulturen])&gt;0)),ROW()-2),1),"")</f>
        <v>Sonstiges Feldfutter 3 Nutzungen &lt; 40 % Leg.</v>
      </c>
      <c r="BU41" s="2463"/>
      <c r="BV41" s="2463" t="str">
        <f>IFERROR(INDEX(Liste_Ackerkulturen_Gemüse_DropDown[Ackerkulturen],_xlfn.AGGREGATE(15,6,(ROW(Liste_Ackerkulturen_Gemüse_DropDown[Ackerkulturen])-1)/(--(SEARCH(BW$2,Liste_Ackerkulturen_Gemüse_DropDown[Ackerkulturen])&gt;0)),ROW()-2),1),"")</f>
        <v>Sonstiges Feldfutter 3 Nutzungen &lt; 40 % Leg.</v>
      </c>
      <c r="BW41" s="2463"/>
      <c r="BX41" s="2463" t="str">
        <f>IFERROR(INDEX(Liste_Ackerkulturen_Gemüse_DropDown[Ackerkulturen],_xlfn.AGGREGATE(15,6,(ROW(Liste_Ackerkulturen_Gemüse_DropDown[Ackerkulturen])-1)/(--(SEARCH(BY$2,Liste_Ackerkulturen_Gemüse_DropDown[Ackerkulturen])&gt;0)),ROW()-2),1),"")</f>
        <v>Sonstiges Feldfutter 3 Nutzungen &lt; 40 % Leg.</v>
      </c>
      <c r="BY41" s="2463"/>
      <c r="BZ41" s="2463" t="str">
        <f>IFERROR(INDEX(Liste_Ackerkulturen_Gemüse_DropDown[Ackerkulturen],_xlfn.AGGREGATE(15,6,(ROW(Liste_Ackerkulturen_Gemüse_DropDown[Ackerkulturen])-1)/(--(SEARCH(CA$2,Liste_Ackerkulturen_Gemüse_DropDown[Ackerkulturen])&gt;0)),ROW()-2),1),"")</f>
        <v>Sonstiges Feldfutter 3 Nutzungen &lt; 40 % Leg.</v>
      </c>
      <c r="CA41" s="2463"/>
      <c r="CB41" s="2463" t="str">
        <f>IFERROR(INDEX(Liste_Ackerkulturen_Gemüse_DropDown[Ackerkulturen],_xlfn.AGGREGATE(15,6,(ROW(Liste_Ackerkulturen_Gemüse_DropDown[Ackerkulturen])-1)/(--(SEARCH(CC$2,Liste_Ackerkulturen_Gemüse_DropDown[Ackerkulturen])&gt;0)),ROW()-2),1),"")</f>
        <v>Sonstiges Feldfutter 3 Nutzungen &lt; 40 % Leg.</v>
      </c>
      <c r="CC41" s="2463"/>
      <c r="CD41" s="2464" t="str">
        <f>IFERROR(INDEX(Liste_Ackerkulturen_Gemüse_DropDown[Ackerkulturen],_xlfn.AGGREGATE(15,6,(ROW(Liste_Ackerkulturen_Gemüse_DropDown[Ackerkulturen])-1)/(--(SEARCH(CE$2,Liste_Ackerkulturen_Gemüse_DropDown[Ackerkulturen])&gt;0)),ROW()-2),1),"")</f>
        <v>Sonstiges Feldfutter 3 Nutzungen &lt; 40 % Leg.</v>
      </c>
      <c r="CE41" s="2464"/>
      <c r="CF41" s="2464" t="str">
        <f>IFERROR(INDEX(Liste_Ackerkulturen_Gemüse_DropDown[Ackerkulturen],_xlfn.AGGREGATE(15,6,(ROW(Liste_Ackerkulturen_Gemüse_DropDown[Ackerkulturen])-1)/(--(SEARCH(CG$2,Liste_Ackerkulturen_Gemüse_DropDown[Ackerkulturen])&gt;0)),ROW()-2),1),"")</f>
        <v>Sonstiges Feldfutter 3 Nutzungen &lt; 40 % Leg.</v>
      </c>
      <c r="CG41" s="2464"/>
      <c r="CH41" s="2464" t="str">
        <f>IFERROR(INDEX(Liste_Ackerkulturen_Gemüse_DropDown[Ackerkulturen],_xlfn.AGGREGATE(15,6,(ROW(Liste_Ackerkulturen_Gemüse_DropDown[Ackerkulturen])-1)/(--(SEARCH(CI$2,Liste_Ackerkulturen_Gemüse_DropDown[Ackerkulturen])&gt;0)),ROW()-2),1),"")</f>
        <v>Sonstiges Feldfutter 3 Nutzungen &lt; 40 % Leg.</v>
      </c>
      <c r="CI41" s="2464"/>
      <c r="CJ41" s="2464" t="str">
        <f>IFERROR(INDEX(Liste_Ackerkulturen_Gemüse_DropDown[Ackerkulturen],_xlfn.AGGREGATE(15,6,(ROW(Liste_Ackerkulturen_Gemüse_DropDown[Ackerkulturen])-1)/(--(SEARCH(CK$2,Liste_Ackerkulturen_Gemüse_DropDown[Ackerkulturen])&gt;0)),ROW()-2),1),"")</f>
        <v>Sonstiges Feldfutter 3 Nutzungen &lt; 40 % Leg.</v>
      </c>
      <c r="CK41" s="2464"/>
      <c r="CL41" s="2464" t="str">
        <f>IFERROR(INDEX(Liste_Ackerkulturen_Gemüse_DropDown[Ackerkulturen],_xlfn.AGGREGATE(15,6,(ROW(Liste_Ackerkulturen_Gemüse_DropDown[Ackerkulturen])-1)/(--(SEARCH(CM$2,Liste_Ackerkulturen_Gemüse_DropDown[Ackerkulturen])&gt;0)),ROW()-2),1),"")</f>
        <v>Sonstiges Feldfutter 3 Nutzungen &lt; 40 % Leg.</v>
      </c>
      <c r="CM41" s="2464"/>
      <c r="CN41" s="2464" t="str">
        <f>IFERROR(INDEX(Liste_Ackerkulturen_Gemüse_DropDown[Ackerkulturen],_xlfn.AGGREGATE(15,6,(ROW(Liste_Ackerkulturen_Gemüse_DropDown[Ackerkulturen])-1)/(--(SEARCH(CO$2,Liste_Ackerkulturen_Gemüse_DropDown[Ackerkulturen])&gt;0)),ROW()-2),1),"")</f>
        <v>Sonstiges Feldfutter 3 Nutzungen &lt; 40 % Leg.</v>
      </c>
      <c r="CO41" s="2464"/>
      <c r="CP41" s="2464" t="str">
        <f>IFERROR(INDEX(Liste_Ackerkulturen_Gemüse_DropDown[Ackerkulturen],_xlfn.AGGREGATE(15,6,(ROW(Liste_Ackerkulturen_Gemüse_DropDown[Ackerkulturen])-1)/(--(SEARCH(CQ$2,Liste_Ackerkulturen_Gemüse_DropDown[Ackerkulturen])&gt;0)),ROW()-2),1),"")</f>
        <v>Sonstiges Feldfutter 3 Nutzungen &lt; 40 % Leg.</v>
      </c>
      <c r="CQ41" s="2464"/>
      <c r="CR41" s="2464" t="str">
        <f>IFERROR(INDEX(Liste_Ackerkulturen_Gemüse_DropDown[Ackerkulturen],_xlfn.AGGREGATE(15,6,(ROW(Liste_Ackerkulturen_Gemüse_DropDown[Ackerkulturen])-1)/(--(SEARCH(CS$2,Liste_Ackerkulturen_Gemüse_DropDown[Ackerkulturen])&gt;0)),ROW()-2),1),"")</f>
        <v>Sonstiges Feldfutter 3 Nutzungen &lt; 40 % Leg.</v>
      </c>
      <c r="CS41" s="2464"/>
      <c r="CT41"/>
      <c r="CU41"/>
      <c r="CV41"/>
      <c r="CW41"/>
      <c r="CX41"/>
      <c r="CY41"/>
      <c r="CZ41"/>
      <c r="DA41"/>
      <c r="DB41"/>
      <c r="DC41"/>
      <c r="DD41"/>
      <c r="DE41"/>
      <c r="DF41"/>
      <c r="DG41"/>
      <c r="DH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c r="IL41"/>
      <c r="IM41"/>
      <c r="IN41"/>
      <c r="IO41"/>
      <c r="IP41"/>
      <c r="IQ41"/>
      <c r="IR41"/>
      <c r="IS41"/>
      <c r="IT41"/>
      <c r="IU41"/>
    </row>
    <row r="42" spans="3:255" ht="25.65" customHeight="1">
      <c r="C42" s="2672" t="s">
        <v>1971</v>
      </c>
      <c r="D42" s="2673"/>
      <c r="E42" s="1526" t="s">
        <v>1967</v>
      </c>
      <c r="F42" s="2254">
        <v>80</v>
      </c>
      <c r="G42" s="1748" t="s">
        <v>1968</v>
      </c>
      <c r="H42" s="1749">
        <v>110</v>
      </c>
      <c r="I42" s="1446" t="s">
        <v>1972</v>
      </c>
      <c r="J42" s="1447">
        <v>130</v>
      </c>
      <c r="K42" s="1446" t="s">
        <v>1973</v>
      </c>
      <c r="L42" s="1447">
        <v>140</v>
      </c>
      <c r="M42" s="1446" t="s">
        <v>1974</v>
      </c>
      <c r="N42" s="1447">
        <v>150</v>
      </c>
      <c r="O42" s="1527">
        <v>100</v>
      </c>
      <c r="P42" s="1528">
        <v>110</v>
      </c>
      <c r="Q42" s="1529">
        <v>85</v>
      </c>
      <c r="R42" s="1448">
        <v>70</v>
      </c>
      <c r="S42" s="1447">
        <v>50</v>
      </c>
      <c r="T42" s="1749">
        <v>55</v>
      </c>
      <c r="U42" s="1447">
        <v>65</v>
      </c>
      <c r="V42" s="1449" t="s">
        <v>1954</v>
      </c>
      <c r="W42" s="1530" t="s">
        <v>1955</v>
      </c>
      <c r="X42" s="1529">
        <v>120</v>
      </c>
      <c r="Y42" s="1448">
        <v>100</v>
      </c>
      <c r="Z42" s="1447">
        <v>70</v>
      </c>
      <c r="AA42" s="1749">
        <v>80</v>
      </c>
      <c r="AB42" s="1447">
        <v>90</v>
      </c>
      <c r="AC42" s="1449" t="s">
        <v>1956</v>
      </c>
      <c r="AD42" s="1530" t="s">
        <v>1955</v>
      </c>
      <c r="AF42" s="1279"/>
      <c r="AM42" s="2270" t="s">
        <v>2390</v>
      </c>
      <c r="AN42" s="2352">
        <v>100</v>
      </c>
      <c r="AO42" s="2279" t="s">
        <v>1072</v>
      </c>
      <c r="AP42" s="2352">
        <v>180</v>
      </c>
      <c r="AQ42" s="2283" t="s">
        <v>1073</v>
      </c>
      <c r="AR42" s="2352">
        <v>210</v>
      </c>
      <c r="AS42" s="2283" t="s">
        <v>1977</v>
      </c>
      <c r="AT42" s="2348">
        <v>210</v>
      </c>
      <c r="AU42" s="2285" t="s">
        <v>1977</v>
      </c>
      <c r="AV42" s="2348">
        <v>210</v>
      </c>
      <c r="AW42" s="2285" t="s">
        <v>1977</v>
      </c>
      <c r="AX42" s="2350">
        <v>120</v>
      </c>
      <c r="AY42" s="2278" t="s">
        <v>1073</v>
      </c>
      <c r="AZ42" s="2350">
        <v>140</v>
      </c>
      <c r="BA42" s="2303" t="s">
        <v>1977</v>
      </c>
      <c r="BB42"/>
      <c r="BC42" s="1996">
        <v>1</v>
      </c>
      <c r="BD42" s="521"/>
      <c r="BE42" s="2270" t="s">
        <v>2390</v>
      </c>
      <c r="BF42" s="577">
        <v>45</v>
      </c>
      <c r="BG42" s="577">
        <v>65</v>
      </c>
      <c r="BH42" s="570">
        <v>80</v>
      </c>
      <c r="BJ42" s="2270" t="s">
        <v>2390</v>
      </c>
      <c r="BK42" s="577">
        <v>130</v>
      </c>
      <c r="BL42" s="577">
        <v>170</v>
      </c>
      <c r="BM42" s="572">
        <v>215</v>
      </c>
      <c r="BN42" s="506"/>
      <c r="BO42" s="473"/>
      <c r="BP42" s="458"/>
      <c r="BQ42" s="458"/>
      <c r="BR42" s="458"/>
      <c r="BS42" s="2461" t="s">
        <v>2392</v>
      </c>
      <c r="BT42" s="2463" t="str">
        <f>IFERROR(INDEX(Liste_Ackerkulturen_Gemüse_DropDown[Ackerkulturen],_xlfn.AGGREGATE(15,6,(ROW(Liste_Ackerkulturen_Gemüse_DropDown[Ackerkulturen])-1)/(--(SEARCH(BU$2,Liste_Ackerkulturen_Gemüse_DropDown[Ackerkulturen])&gt;0)),ROW()-2),1),"")</f>
        <v>Sonstiges Feldfutter 4 Nutzungen &lt; 40 % Leg.</v>
      </c>
      <c r="BU42" s="2463"/>
      <c r="BV42" s="2463" t="str">
        <f>IFERROR(INDEX(Liste_Ackerkulturen_Gemüse_DropDown[Ackerkulturen],_xlfn.AGGREGATE(15,6,(ROW(Liste_Ackerkulturen_Gemüse_DropDown[Ackerkulturen])-1)/(--(SEARCH(BW$2,Liste_Ackerkulturen_Gemüse_DropDown[Ackerkulturen])&gt;0)),ROW()-2),1),"")</f>
        <v>Sonstiges Feldfutter 4 Nutzungen &lt; 40 % Leg.</v>
      </c>
      <c r="BW42" s="2463"/>
      <c r="BX42" s="2463" t="str">
        <f>IFERROR(INDEX(Liste_Ackerkulturen_Gemüse_DropDown[Ackerkulturen],_xlfn.AGGREGATE(15,6,(ROW(Liste_Ackerkulturen_Gemüse_DropDown[Ackerkulturen])-1)/(--(SEARCH(BY$2,Liste_Ackerkulturen_Gemüse_DropDown[Ackerkulturen])&gt;0)),ROW()-2),1),"")</f>
        <v>Sonstiges Feldfutter 4 Nutzungen &lt; 40 % Leg.</v>
      </c>
      <c r="BY42" s="2463"/>
      <c r="BZ42" s="2463" t="str">
        <f>IFERROR(INDEX(Liste_Ackerkulturen_Gemüse_DropDown[Ackerkulturen],_xlfn.AGGREGATE(15,6,(ROW(Liste_Ackerkulturen_Gemüse_DropDown[Ackerkulturen])-1)/(--(SEARCH(CA$2,Liste_Ackerkulturen_Gemüse_DropDown[Ackerkulturen])&gt;0)),ROW()-2),1),"")</f>
        <v>Sonstiges Feldfutter 4 Nutzungen &lt; 40 % Leg.</v>
      </c>
      <c r="CA42" s="2463"/>
      <c r="CB42" s="2463" t="str">
        <f>IFERROR(INDEX(Liste_Ackerkulturen_Gemüse_DropDown[Ackerkulturen],_xlfn.AGGREGATE(15,6,(ROW(Liste_Ackerkulturen_Gemüse_DropDown[Ackerkulturen])-1)/(--(SEARCH(CC$2,Liste_Ackerkulturen_Gemüse_DropDown[Ackerkulturen])&gt;0)),ROW()-2),1),"")</f>
        <v>Sonstiges Feldfutter 4 Nutzungen &lt; 40 % Leg.</v>
      </c>
      <c r="CC42" s="2463"/>
      <c r="CD42" s="2464" t="str">
        <f>IFERROR(INDEX(Liste_Ackerkulturen_Gemüse_DropDown[Ackerkulturen],_xlfn.AGGREGATE(15,6,(ROW(Liste_Ackerkulturen_Gemüse_DropDown[Ackerkulturen])-1)/(--(SEARCH(CE$2,Liste_Ackerkulturen_Gemüse_DropDown[Ackerkulturen])&gt;0)),ROW()-2),1),"")</f>
        <v>Sonstiges Feldfutter 4 Nutzungen &lt; 40 % Leg.</v>
      </c>
      <c r="CE42" s="2464"/>
      <c r="CF42" s="2464" t="str">
        <f>IFERROR(INDEX(Liste_Ackerkulturen_Gemüse_DropDown[Ackerkulturen],_xlfn.AGGREGATE(15,6,(ROW(Liste_Ackerkulturen_Gemüse_DropDown[Ackerkulturen])-1)/(--(SEARCH(CG$2,Liste_Ackerkulturen_Gemüse_DropDown[Ackerkulturen])&gt;0)),ROW()-2),1),"")</f>
        <v>Sonstiges Feldfutter 4 Nutzungen &lt; 40 % Leg.</v>
      </c>
      <c r="CG42" s="2464"/>
      <c r="CH42" s="2464" t="str">
        <f>IFERROR(INDEX(Liste_Ackerkulturen_Gemüse_DropDown[Ackerkulturen],_xlfn.AGGREGATE(15,6,(ROW(Liste_Ackerkulturen_Gemüse_DropDown[Ackerkulturen])-1)/(--(SEARCH(CI$2,Liste_Ackerkulturen_Gemüse_DropDown[Ackerkulturen])&gt;0)),ROW()-2),1),"")</f>
        <v>Sonstiges Feldfutter 4 Nutzungen &lt; 40 % Leg.</v>
      </c>
      <c r="CI42" s="2464"/>
      <c r="CJ42" s="2464" t="str">
        <f>IFERROR(INDEX(Liste_Ackerkulturen_Gemüse_DropDown[Ackerkulturen],_xlfn.AGGREGATE(15,6,(ROW(Liste_Ackerkulturen_Gemüse_DropDown[Ackerkulturen])-1)/(--(SEARCH(CK$2,Liste_Ackerkulturen_Gemüse_DropDown[Ackerkulturen])&gt;0)),ROW()-2),1),"")</f>
        <v>Sonstiges Feldfutter 4 Nutzungen &lt; 40 % Leg.</v>
      </c>
      <c r="CK42" s="2464"/>
      <c r="CL42" s="2464" t="str">
        <f>IFERROR(INDEX(Liste_Ackerkulturen_Gemüse_DropDown[Ackerkulturen],_xlfn.AGGREGATE(15,6,(ROW(Liste_Ackerkulturen_Gemüse_DropDown[Ackerkulturen])-1)/(--(SEARCH(CM$2,Liste_Ackerkulturen_Gemüse_DropDown[Ackerkulturen])&gt;0)),ROW()-2),1),"")</f>
        <v>Sonstiges Feldfutter 4 Nutzungen &lt; 40 % Leg.</v>
      </c>
      <c r="CM42" s="2464"/>
      <c r="CN42" s="2464" t="str">
        <f>IFERROR(INDEX(Liste_Ackerkulturen_Gemüse_DropDown[Ackerkulturen],_xlfn.AGGREGATE(15,6,(ROW(Liste_Ackerkulturen_Gemüse_DropDown[Ackerkulturen])-1)/(--(SEARCH(CO$2,Liste_Ackerkulturen_Gemüse_DropDown[Ackerkulturen])&gt;0)),ROW()-2),1),"")</f>
        <v>Sonstiges Feldfutter 4 Nutzungen &lt; 40 % Leg.</v>
      </c>
      <c r="CO42" s="2464"/>
      <c r="CP42" s="2464" t="str">
        <f>IFERROR(INDEX(Liste_Ackerkulturen_Gemüse_DropDown[Ackerkulturen],_xlfn.AGGREGATE(15,6,(ROW(Liste_Ackerkulturen_Gemüse_DropDown[Ackerkulturen])-1)/(--(SEARCH(CQ$2,Liste_Ackerkulturen_Gemüse_DropDown[Ackerkulturen])&gt;0)),ROW()-2),1),"")</f>
        <v>Sonstiges Feldfutter 4 Nutzungen &lt; 40 % Leg.</v>
      </c>
      <c r="CQ42" s="2464"/>
      <c r="CR42" s="2464" t="str">
        <f>IFERROR(INDEX(Liste_Ackerkulturen_Gemüse_DropDown[Ackerkulturen],_xlfn.AGGREGATE(15,6,(ROW(Liste_Ackerkulturen_Gemüse_DropDown[Ackerkulturen])-1)/(--(SEARCH(CS$2,Liste_Ackerkulturen_Gemüse_DropDown[Ackerkulturen])&gt;0)),ROW()-2),1),"")</f>
        <v>Sonstiges Feldfutter 4 Nutzungen &lt; 40 % Leg.</v>
      </c>
      <c r="CS42" s="2464"/>
      <c r="CT42"/>
      <c r="CU42"/>
      <c r="CV42"/>
      <c r="CW42"/>
      <c r="CX42"/>
      <c r="CY42"/>
      <c r="CZ42"/>
      <c r="DA42"/>
      <c r="DB42"/>
      <c r="DC42"/>
      <c r="DD42"/>
      <c r="DE42"/>
      <c r="DF42"/>
      <c r="DG42"/>
      <c r="DH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c r="IL42"/>
      <c r="IM42"/>
      <c r="IN42"/>
      <c r="IO42"/>
      <c r="IP42"/>
      <c r="IQ42"/>
      <c r="IR42"/>
      <c r="IS42"/>
      <c r="IT42"/>
      <c r="IU42"/>
    </row>
    <row r="43" spans="3:255" ht="25.65" customHeight="1">
      <c r="C43" s="2672" t="s">
        <v>739</v>
      </c>
      <c r="D43" s="2673"/>
      <c r="E43" s="1526" t="s">
        <v>1967</v>
      </c>
      <c r="F43" s="2254">
        <v>70</v>
      </c>
      <c r="G43" s="1748" t="s">
        <v>1963</v>
      </c>
      <c r="H43" s="1749">
        <v>100</v>
      </c>
      <c r="I43" s="1446" t="s">
        <v>1975</v>
      </c>
      <c r="J43" s="1447">
        <v>115</v>
      </c>
      <c r="K43" s="1446" t="s">
        <v>1976</v>
      </c>
      <c r="L43" s="1447">
        <v>125</v>
      </c>
      <c r="M43" s="1446" t="s">
        <v>1977</v>
      </c>
      <c r="N43" s="1447">
        <v>135</v>
      </c>
      <c r="O43" s="1527">
        <v>90</v>
      </c>
      <c r="P43" s="1528">
        <v>100</v>
      </c>
      <c r="Q43" s="1529">
        <v>85</v>
      </c>
      <c r="R43" s="1448">
        <v>70</v>
      </c>
      <c r="S43" s="1447">
        <v>50</v>
      </c>
      <c r="T43" s="1749">
        <v>55</v>
      </c>
      <c r="U43" s="1447">
        <v>65</v>
      </c>
      <c r="V43" s="1449" t="s">
        <v>1954</v>
      </c>
      <c r="W43" s="1530" t="s">
        <v>1955</v>
      </c>
      <c r="X43" s="1529">
        <v>120</v>
      </c>
      <c r="Y43" s="1448">
        <v>100</v>
      </c>
      <c r="Z43" s="1447">
        <v>70</v>
      </c>
      <c r="AA43" s="1749">
        <v>80</v>
      </c>
      <c r="AB43" s="1447">
        <v>90</v>
      </c>
      <c r="AC43" s="1449" t="s">
        <v>1956</v>
      </c>
      <c r="AD43" s="1530" t="s">
        <v>1955</v>
      </c>
      <c r="AF43" s="1279"/>
      <c r="AM43" s="2270" t="s">
        <v>2391</v>
      </c>
      <c r="AN43" s="2272">
        <v>180</v>
      </c>
      <c r="AO43" s="2279" t="s">
        <v>1074</v>
      </c>
      <c r="AP43" s="2272">
        <v>180</v>
      </c>
      <c r="AQ43" s="2283" t="s">
        <v>1074</v>
      </c>
      <c r="AR43" s="2272">
        <v>210</v>
      </c>
      <c r="AS43" s="2283" t="s">
        <v>1075</v>
      </c>
      <c r="AT43" s="2284">
        <v>210</v>
      </c>
      <c r="AU43" s="2285" t="s">
        <v>1075</v>
      </c>
      <c r="AV43" s="2284">
        <v>210</v>
      </c>
      <c r="AW43" s="2285" t="s">
        <v>1075</v>
      </c>
      <c r="AX43" s="2277">
        <v>160</v>
      </c>
      <c r="AY43" s="2278" t="s">
        <v>1074</v>
      </c>
      <c r="AZ43" s="2277">
        <v>190</v>
      </c>
      <c r="BA43" s="2303" t="s">
        <v>1075</v>
      </c>
      <c r="BB43"/>
      <c r="BC43" s="1996">
        <v>1</v>
      </c>
      <c r="BD43" s="521"/>
      <c r="BE43" s="2270" t="s">
        <v>2391</v>
      </c>
      <c r="BF43" s="577">
        <v>80</v>
      </c>
      <c r="BG43" s="577">
        <v>80</v>
      </c>
      <c r="BH43" s="570">
        <v>90</v>
      </c>
      <c r="BJ43" s="2270" t="s">
        <v>2391</v>
      </c>
      <c r="BK43" s="577">
        <v>205</v>
      </c>
      <c r="BL43" s="577">
        <v>205</v>
      </c>
      <c r="BM43" s="572">
        <v>260</v>
      </c>
      <c r="BN43" s="506"/>
      <c r="BO43" s="473"/>
      <c r="BP43" s="458"/>
      <c r="BQ43" s="458"/>
      <c r="BR43" s="458"/>
      <c r="BS43" s="2461" t="s">
        <v>2308</v>
      </c>
      <c r="BT43" s="2463" t="str">
        <f>IFERROR(INDEX(Liste_Ackerkulturen_Gemüse_DropDown[Ackerkulturen],_xlfn.AGGREGATE(15,6,(ROW(Liste_Ackerkulturen_Gemüse_DropDown[Ackerkulturen])-1)/(--(SEARCH(BU$2,Liste_Ackerkulturen_Gemüse_DropDown[Ackerkulturen])&gt;0)),ROW()-2),1),"")</f>
        <v>Sonstiges Feldfutter 5 Nutzungen &lt; 40 % Leg.</v>
      </c>
      <c r="BU43" s="2463"/>
      <c r="BV43" s="2463" t="str">
        <f>IFERROR(INDEX(Liste_Ackerkulturen_Gemüse_DropDown[Ackerkulturen],_xlfn.AGGREGATE(15,6,(ROW(Liste_Ackerkulturen_Gemüse_DropDown[Ackerkulturen])-1)/(--(SEARCH(BW$2,Liste_Ackerkulturen_Gemüse_DropDown[Ackerkulturen])&gt;0)),ROW()-2),1),"")</f>
        <v>Sonstiges Feldfutter 5 Nutzungen &lt; 40 % Leg.</v>
      </c>
      <c r="BW43" s="2463"/>
      <c r="BX43" s="2463" t="str">
        <f>IFERROR(INDEX(Liste_Ackerkulturen_Gemüse_DropDown[Ackerkulturen],_xlfn.AGGREGATE(15,6,(ROW(Liste_Ackerkulturen_Gemüse_DropDown[Ackerkulturen])-1)/(--(SEARCH(BY$2,Liste_Ackerkulturen_Gemüse_DropDown[Ackerkulturen])&gt;0)),ROW()-2),1),"")</f>
        <v>Sonstiges Feldfutter 5 Nutzungen &lt; 40 % Leg.</v>
      </c>
      <c r="BY43" s="2463"/>
      <c r="BZ43" s="2463" t="str">
        <f>IFERROR(INDEX(Liste_Ackerkulturen_Gemüse_DropDown[Ackerkulturen],_xlfn.AGGREGATE(15,6,(ROW(Liste_Ackerkulturen_Gemüse_DropDown[Ackerkulturen])-1)/(--(SEARCH(CA$2,Liste_Ackerkulturen_Gemüse_DropDown[Ackerkulturen])&gt;0)),ROW()-2),1),"")</f>
        <v>Sonstiges Feldfutter 5 Nutzungen &lt; 40 % Leg.</v>
      </c>
      <c r="CA43" s="2463"/>
      <c r="CB43" s="2463" t="str">
        <f>IFERROR(INDEX(Liste_Ackerkulturen_Gemüse_DropDown[Ackerkulturen],_xlfn.AGGREGATE(15,6,(ROW(Liste_Ackerkulturen_Gemüse_DropDown[Ackerkulturen])-1)/(--(SEARCH(CC$2,Liste_Ackerkulturen_Gemüse_DropDown[Ackerkulturen])&gt;0)),ROW()-2),1),"")</f>
        <v>Sonstiges Feldfutter 5 Nutzungen &lt; 40 % Leg.</v>
      </c>
      <c r="CC43" s="2463"/>
      <c r="CD43" s="2464" t="str">
        <f>IFERROR(INDEX(Liste_Ackerkulturen_Gemüse_DropDown[Ackerkulturen],_xlfn.AGGREGATE(15,6,(ROW(Liste_Ackerkulturen_Gemüse_DropDown[Ackerkulturen])-1)/(--(SEARCH(CE$2,Liste_Ackerkulturen_Gemüse_DropDown[Ackerkulturen])&gt;0)),ROW()-2),1),"")</f>
        <v>Sonstiges Feldfutter 5 Nutzungen &lt; 40 % Leg.</v>
      </c>
      <c r="CE43" s="2464"/>
      <c r="CF43" s="2464" t="str">
        <f>IFERROR(INDEX(Liste_Ackerkulturen_Gemüse_DropDown[Ackerkulturen],_xlfn.AGGREGATE(15,6,(ROW(Liste_Ackerkulturen_Gemüse_DropDown[Ackerkulturen])-1)/(--(SEARCH(CG$2,Liste_Ackerkulturen_Gemüse_DropDown[Ackerkulturen])&gt;0)),ROW()-2),1),"")</f>
        <v>Sonstiges Feldfutter 5 Nutzungen &lt; 40 % Leg.</v>
      </c>
      <c r="CG43" s="2464"/>
      <c r="CH43" s="2464" t="str">
        <f>IFERROR(INDEX(Liste_Ackerkulturen_Gemüse_DropDown[Ackerkulturen],_xlfn.AGGREGATE(15,6,(ROW(Liste_Ackerkulturen_Gemüse_DropDown[Ackerkulturen])-1)/(--(SEARCH(CI$2,Liste_Ackerkulturen_Gemüse_DropDown[Ackerkulturen])&gt;0)),ROW()-2),1),"")</f>
        <v>Sonstiges Feldfutter 5 Nutzungen &lt; 40 % Leg.</v>
      </c>
      <c r="CI43" s="2464"/>
      <c r="CJ43" s="2464" t="str">
        <f>IFERROR(INDEX(Liste_Ackerkulturen_Gemüse_DropDown[Ackerkulturen],_xlfn.AGGREGATE(15,6,(ROW(Liste_Ackerkulturen_Gemüse_DropDown[Ackerkulturen])-1)/(--(SEARCH(CK$2,Liste_Ackerkulturen_Gemüse_DropDown[Ackerkulturen])&gt;0)),ROW()-2),1),"")</f>
        <v>Sonstiges Feldfutter 5 Nutzungen &lt; 40 % Leg.</v>
      </c>
      <c r="CK43" s="2464"/>
      <c r="CL43" s="2464" t="str">
        <f>IFERROR(INDEX(Liste_Ackerkulturen_Gemüse_DropDown[Ackerkulturen],_xlfn.AGGREGATE(15,6,(ROW(Liste_Ackerkulturen_Gemüse_DropDown[Ackerkulturen])-1)/(--(SEARCH(CM$2,Liste_Ackerkulturen_Gemüse_DropDown[Ackerkulturen])&gt;0)),ROW()-2),1),"")</f>
        <v>Sonstiges Feldfutter 5 Nutzungen &lt; 40 % Leg.</v>
      </c>
      <c r="CM43" s="2464"/>
      <c r="CN43" s="2464" t="str">
        <f>IFERROR(INDEX(Liste_Ackerkulturen_Gemüse_DropDown[Ackerkulturen],_xlfn.AGGREGATE(15,6,(ROW(Liste_Ackerkulturen_Gemüse_DropDown[Ackerkulturen])-1)/(--(SEARCH(CO$2,Liste_Ackerkulturen_Gemüse_DropDown[Ackerkulturen])&gt;0)),ROW()-2),1),"")</f>
        <v>Sonstiges Feldfutter 5 Nutzungen &lt; 40 % Leg.</v>
      </c>
      <c r="CO43" s="2464"/>
      <c r="CP43" s="2464" t="str">
        <f>IFERROR(INDEX(Liste_Ackerkulturen_Gemüse_DropDown[Ackerkulturen],_xlfn.AGGREGATE(15,6,(ROW(Liste_Ackerkulturen_Gemüse_DropDown[Ackerkulturen])-1)/(--(SEARCH(CQ$2,Liste_Ackerkulturen_Gemüse_DropDown[Ackerkulturen])&gt;0)),ROW()-2),1),"")</f>
        <v>Sonstiges Feldfutter 5 Nutzungen &lt; 40 % Leg.</v>
      </c>
      <c r="CQ43" s="2464"/>
      <c r="CR43" s="2464" t="str">
        <f>IFERROR(INDEX(Liste_Ackerkulturen_Gemüse_DropDown[Ackerkulturen],_xlfn.AGGREGATE(15,6,(ROW(Liste_Ackerkulturen_Gemüse_DropDown[Ackerkulturen])-1)/(--(SEARCH(CS$2,Liste_Ackerkulturen_Gemüse_DropDown[Ackerkulturen])&gt;0)),ROW()-2),1),"")</f>
        <v>Sonstiges Feldfutter 5 Nutzungen &lt; 40 % Leg.</v>
      </c>
      <c r="CS43" s="2464"/>
      <c r="CT43"/>
      <c r="CU43"/>
      <c r="CV43"/>
      <c r="CW43"/>
      <c r="CX43"/>
      <c r="CY43"/>
      <c r="CZ43"/>
      <c r="DA43"/>
      <c r="DB43"/>
      <c r="DC43"/>
      <c r="DD43"/>
      <c r="DE43"/>
      <c r="DF43"/>
      <c r="DG43"/>
      <c r="DH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c r="IL43"/>
      <c r="IM43"/>
      <c r="IN43"/>
      <c r="IO43"/>
      <c r="IP43"/>
      <c r="IQ43"/>
      <c r="IR43"/>
      <c r="IS43"/>
      <c r="IT43"/>
      <c r="IU43"/>
    </row>
    <row r="44" spans="3:255" ht="25.65" customHeight="1" thickBot="1">
      <c r="C44" s="2672" t="s">
        <v>888</v>
      </c>
      <c r="D44" s="2673"/>
      <c r="E44" s="1526" t="s">
        <v>1967</v>
      </c>
      <c r="F44" s="2254">
        <v>65</v>
      </c>
      <c r="G44" s="1748" t="s">
        <v>1963</v>
      </c>
      <c r="H44" s="1749">
        <v>80</v>
      </c>
      <c r="I44" s="1446" t="s">
        <v>1975</v>
      </c>
      <c r="J44" s="1447">
        <v>95</v>
      </c>
      <c r="K44" s="1446" t="s">
        <v>1976</v>
      </c>
      <c r="L44" s="1447">
        <v>105</v>
      </c>
      <c r="M44" s="1446" t="s">
        <v>1977</v>
      </c>
      <c r="N44" s="1447">
        <v>110</v>
      </c>
      <c r="O44" s="1527">
        <v>70</v>
      </c>
      <c r="P44" s="1528">
        <v>80</v>
      </c>
      <c r="Q44" s="1529">
        <v>85</v>
      </c>
      <c r="R44" s="1448">
        <v>70</v>
      </c>
      <c r="S44" s="1447">
        <v>50</v>
      </c>
      <c r="T44" s="1749">
        <v>55</v>
      </c>
      <c r="U44" s="1447">
        <v>65</v>
      </c>
      <c r="V44" s="1449" t="s">
        <v>1954</v>
      </c>
      <c r="W44" s="1530" t="s">
        <v>1955</v>
      </c>
      <c r="X44" s="1529">
        <v>120</v>
      </c>
      <c r="Y44" s="1448">
        <v>100</v>
      </c>
      <c r="Z44" s="1447">
        <v>70</v>
      </c>
      <c r="AA44" s="1749">
        <v>80</v>
      </c>
      <c r="AB44" s="1447">
        <v>90</v>
      </c>
      <c r="AC44" s="1449" t="s">
        <v>1956</v>
      </c>
      <c r="AD44" s="1530" t="s">
        <v>1955</v>
      </c>
      <c r="AF44" s="1279"/>
      <c r="AM44" s="2371" t="s">
        <v>2392</v>
      </c>
      <c r="AN44" s="2272">
        <v>180</v>
      </c>
      <c r="AO44" s="2279" t="s">
        <v>1076</v>
      </c>
      <c r="AP44" s="2272">
        <v>180</v>
      </c>
      <c r="AQ44" s="2283" t="s">
        <v>1076</v>
      </c>
      <c r="AR44" s="2272">
        <v>280</v>
      </c>
      <c r="AS44" s="2283" t="s">
        <v>1077</v>
      </c>
      <c r="AT44" s="2284">
        <v>280</v>
      </c>
      <c r="AU44" s="2285" t="s">
        <v>1077</v>
      </c>
      <c r="AV44" s="2284">
        <v>280</v>
      </c>
      <c r="AW44" s="2285" t="s">
        <v>1077</v>
      </c>
      <c r="AX44" s="2277">
        <v>210</v>
      </c>
      <c r="AY44" s="2278" t="s">
        <v>1076</v>
      </c>
      <c r="AZ44" s="2277">
        <v>210</v>
      </c>
      <c r="BA44" s="2303" t="s">
        <v>1077</v>
      </c>
      <c r="BB44"/>
      <c r="BC44" s="1996">
        <v>1</v>
      </c>
      <c r="BD44" s="521"/>
      <c r="BE44" s="2371" t="s">
        <v>2392</v>
      </c>
      <c r="BF44" s="577">
        <v>85</v>
      </c>
      <c r="BG44" s="577">
        <v>85</v>
      </c>
      <c r="BH44" s="570">
        <v>105</v>
      </c>
      <c r="BJ44" s="2371" t="s">
        <v>2392</v>
      </c>
      <c r="BK44" s="577">
        <v>230</v>
      </c>
      <c r="BL44" s="577">
        <v>230</v>
      </c>
      <c r="BM44" s="572">
        <v>300</v>
      </c>
      <c r="BN44" s="506"/>
      <c r="BO44" s="473"/>
      <c r="BP44" s="458"/>
      <c r="BQ44" s="458"/>
      <c r="BR44" s="458"/>
      <c r="BS44" s="2461" t="s">
        <v>2307</v>
      </c>
      <c r="BT44" s="2463" t="str">
        <f>IFERROR(INDEX(Liste_Ackerkulturen_Gemüse_DropDown[Ackerkulturen],_xlfn.AGGREGATE(15,6,(ROW(Liste_Ackerkulturen_Gemüse_DropDown[Ackerkulturen])-1)/(--(SEARCH(BU$2,Liste_Ackerkulturen_Gemüse_DropDown[Ackerkulturen])&gt;0)),ROW()-2),1),"")</f>
        <v>Sonst. Feldfutter 1 Nutzung &gt;40 % Leg.</v>
      </c>
      <c r="BU44" s="2463"/>
      <c r="BV44" s="2463" t="str">
        <f>IFERROR(INDEX(Liste_Ackerkulturen_Gemüse_DropDown[Ackerkulturen],_xlfn.AGGREGATE(15,6,(ROW(Liste_Ackerkulturen_Gemüse_DropDown[Ackerkulturen])-1)/(--(SEARCH(BW$2,Liste_Ackerkulturen_Gemüse_DropDown[Ackerkulturen])&gt;0)),ROW()-2),1),"")</f>
        <v>Sonst. Feldfutter 1 Nutzung &gt;40 % Leg.</v>
      </c>
      <c r="BW44" s="2463"/>
      <c r="BX44" s="2463" t="str">
        <f>IFERROR(INDEX(Liste_Ackerkulturen_Gemüse_DropDown[Ackerkulturen],_xlfn.AGGREGATE(15,6,(ROW(Liste_Ackerkulturen_Gemüse_DropDown[Ackerkulturen])-1)/(--(SEARCH(BY$2,Liste_Ackerkulturen_Gemüse_DropDown[Ackerkulturen])&gt;0)),ROW()-2),1),"")</f>
        <v>Sonst. Feldfutter 1 Nutzung &gt;40 % Leg.</v>
      </c>
      <c r="BY44" s="2463"/>
      <c r="BZ44" s="2463" t="str">
        <f>IFERROR(INDEX(Liste_Ackerkulturen_Gemüse_DropDown[Ackerkulturen],_xlfn.AGGREGATE(15,6,(ROW(Liste_Ackerkulturen_Gemüse_DropDown[Ackerkulturen])-1)/(--(SEARCH(CA$2,Liste_Ackerkulturen_Gemüse_DropDown[Ackerkulturen])&gt;0)),ROW()-2),1),"")</f>
        <v>Sonst. Feldfutter 1 Nutzung &gt;40 % Leg.</v>
      </c>
      <c r="CA44" s="2463"/>
      <c r="CB44" s="2463" t="str">
        <f>IFERROR(INDEX(Liste_Ackerkulturen_Gemüse_DropDown[Ackerkulturen],_xlfn.AGGREGATE(15,6,(ROW(Liste_Ackerkulturen_Gemüse_DropDown[Ackerkulturen])-1)/(--(SEARCH(CC$2,Liste_Ackerkulturen_Gemüse_DropDown[Ackerkulturen])&gt;0)),ROW()-2),1),"")</f>
        <v>Sonst. Feldfutter 1 Nutzung &gt;40 % Leg.</v>
      </c>
      <c r="CC44" s="2463"/>
      <c r="CD44" s="2464" t="str">
        <f>IFERROR(INDEX(Liste_Ackerkulturen_Gemüse_DropDown[Ackerkulturen],_xlfn.AGGREGATE(15,6,(ROW(Liste_Ackerkulturen_Gemüse_DropDown[Ackerkulturen])-1)/(--(SEARCH(CE$2,Liste_Ackerkulturen_Gemüse_DropDown[Ackerkulturen])&gt;0)),ROW()-2),1),"")</f>
        <v>Sonst. Feldfutter 1 Nutzung &gt;40 % Leg.</v>
      </c>
      <c r="CE44" s="2464"/>
      <c r="CF44" s="2464" t="str">
        <f>IFERROR(INDEX(Liste_Ackerkulturen_Gemüse_DropDown[Ackerkulturen],_xlfn.AGGREGATE(15,6,(ROW(Liste_Ackerkulturen_Gemüse_DropDown[Ackerkulturen])-1)/(--(SEARCH(CG$2,Liste_Ackerkulturen_Gemüse_DropDown[Ackerkulturen])&gt;0)),ROW()-2),1),"")</f>
        <v>Sonst. Feldfutter 1 Nutzung &gt;40 % Leg.</v>
      </c>
      <c r="CG44" s="2464"/>
      <c r="CH44" s="2464" t="str">
        <f>IFERROR(INDEX(Liste_Ackerkulturen_Gemüse_DropDown[Ackerkulturen],_xlfn.AGGREGATE(15,6,(ROW(Liste_Ackerkulturen_Gemüse_DropDown[Ackerkulturen])-1)/(--(SEARCH(CI$2,Liste_Ackerkulturen_Gemüse_DropDown[Ackerkulturen])&gt;0)),ROW()-2),1),"")</f>
        <v>Sonst. Feldfutter 1 Nutzung &gt;40 % Leg.</v>
      </c>
      <c r="CI44" s="2464"/>
      <c r="CJ44" s="2464" t="str">
        <f>IFERROR(INDEX(Liste_Ackerkulturen_Gemüse_DropDown[Ackerkulturen],_xlfn.AGGREGATE(15,6,(ROW(Liste_Ackerkulturen_Gemüse_DropDown[Ackerkulturen])-1)/(--(SEARCH(CK$2,Liste_Ackerkulturen_Gemüse_DropDown[Ackerkulturen])&gt;0)),ROW()-2),1),"")</f>
        <v>Sonst. Feldfutter 1 Nutzung &gt;40 % Leg.</v>
      </c>
      <c r="CK44" s="2464"/>
      <c r="CL44" s="2464" t="str">
        <f>IFERROR(INDEX(Liste_Ackerkulturen_Gemüse_DropDown[Ackerkulturen],_xlfn.AGGREGATE(15,6,(ROW(Liste_Ackerkulturen_Gemüse_DropDown[Ackerkulturen])-1)/(--(SEARCH(CM$2,Liste_Ackerkulturen_Gemüse_DropDown[Ackerkulturen])&gt;0)),ROW()-2),1),"")</f>
        <v>Sonst. Feldfutter 1 Nutzung &gt;40 % Leg.</v>
      </c>
      <c r="CM44" s="2464"/>
      <c r="CN44" s="2464" t="str">
        <f>IFERROR(INDEX(Liste_Ackerkulturen_Gemüse_DropDown[Ackerkulturen],_xlfn.AGGREGATE(15,6,(ROW(Liste_Ackerkulturen_Gemüse_DropDown[Ackerkulturen])-1)/(--(SEARCH(CO$2,Liste_Ackerkulturen_Gemüse_DropDown[Ackerkulturen])&gt;0)),ROW()-2),1),"")</f>
        <v>Sonst. Feldfutter 1 Nutzung &gt;40 % Leg.</v>
      </c>
      <c r="CO44" s="2464"/>
      <c r="CP44" s="2464" t="str">
        <f>IFERROR(INDEX(Liste_Ackerkulturen_Gemüse_DropDown[Ackerkulturen],_xlfn.AGGREGATE(15,6,(ROW(Liste_Ackerkulturen_Gemüse_DropDown[Ackerkulturen])-1)/(--(SEARCH(CQ$2,Liste_Ackerkulturen_Gemüse_DropDown[Ackerkulturen])&gt;0)),ROW()-2),1),"")</f>
        <v>Sonst. Feldfutter 1 Nutzung &gt;40 % Leg.</v>
      </c>
      <c r="CQ44" s="2464"/>
      <c r="CR44" s="2464" t="str">
        <f>IFERROR(INDEX(Liste_Ackerkulturen_Gemüse_DropDown[Ackerkulturen],_xlfn.AGGREGATE(15,6,(ROW(Liste_Ackerkulturen_Gemüse_DropDown[Ackerkulturen])-1)/(--(SEARCH(CS$2,Liste_Ackerkulturen_Gemüse_DropDown[Ackerkulturen])&gt;0)),ROW()-2),1),"")</f>
        <v>Sonst. Feldfutter 1 Nutzung &gt;40 % Leg.</v>
      </c>
      <c r="CS44" s="2464"/>
      <c r="CT44"/>
      <c r="CU44"/>
      <c r="CV44"/>
      <c r="CW44"/>
      <c r="CX44"/>
      <c r="CY44"/>
      <c r="CZ44"/>
      <c r="DA44"/>
      <c r="DB44"/>
      <c r="DC44"/>
      <c r="DD44"/>
      <c r="DE44"/>
      <c r="DF44"/>
      <c r="DG44"/>
      <c r="DH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c r="IL44"/>
      <c r="IM44"/>
      <c r="IN44"/>
      <c r="IO44"/>
      <c r="IP44"/>
      <c r="IQ44"/>
      <c r="IR44"/>
      <c r="IS44"/>
      <c r="IT44"/>
      <c r="IU44"/>
    </row>
    <row r="45" spans="3:255" ht="25.65" customHeight="1">
      <c r="C45" s="2672" t="s">
        <v>1809</v>
      </c>
      <c r="D45" s="2673"/>
      <c r="E45" s="1526" t="s">
        <v>1967</v>
      </c>
      <c r="F45" s="2254">
        <v>80</v>
      </c>
      <c r="G45" s="1748" t="s">
        <v>1968</v>
      </c>
      <c r="H45" s="1749">
        <v>110</v>
      </c>
      <c r="I45" s="1446" t="s">
        <v>1972</v>
      </c>
      <c r="J45" s="1447">
        <v>130</v>
      </c>
      <c r="K45" s="1446" t="s">
        <v>1973</v>
      </c>
      <c r="L45" s="1447">
        <v>140</v>
      </c>
      <c r="M45" s="1446" t="s">
        <v>1974</v>
      </c>
      <c r="N45" s="1447">
        <v>150</v>
      </c>
      <c r="O45" s="1527">
        <v>100</v>
      </c>
      <c r="P45" s="1528">
        <v>110</v>
      </c>
      <c r="Q45" s="1529">
        <v>85</v>
      </c>
      <c r="R45" s="1448">
        <v>70</v>
      </c>
      <c r="S45" s="1447">
        <v>50</v>
      </c>
      <c r="T45" s="1749">
        <v>55</v>
      </c>
      <c r="U45" s="1447">
        <v>65</v>
      </c>
      <c r="V45" s="1449" t="s">
        <v>1954</v>
      </c>
      <c r="W45" s="1530" t="s">
        <v>1955</v>
      </c>
      <c r="X45" s="1529">
        <v>120</v>
      </c>
      <c r="Y45" s="1448">
        <v>100</v>
      </c>
      <c r="Z45" s="1447">
        <v>70</v>
      </c>
      <c r="AA45" s="1749">
        <v>80</v>
      </c>
      <c r="AB45" s="1447">
        <v>90</v>
      </c>
      <c r="AC45" s="1449" t="s">
        <v>1956</v>
      </c>
      <c r="AD45" s="1530" t="s">
        <v>1955</v>
      </c>
      <c r="AF45" s="1279"/>
      <c r="AM45" s="2374" t="s">
        <v>2308</v>
      </c>
      <c r="AN45" s="2368">
        <v>0</v>
      </c>
      <c r="AO45" s="2369" t="s">
        <v>1997</v>
      </c>
      <c r="AP45" s="2368">
        <v>40</v>
      </c>
      <c r="AQ45" s="2369" t="s">
        <v>1060</v>
      </c>
      <c r="AR45" s="2368">
        <v>40</v>
      </c>
      <c r="AS45" s="2369" t="s">
        <v>1060</v>
      </c>
      <c r="AT45" s="2355">
        <v>40</v>
      </c>
      <c r="AU45" s="2356" t="s">
        <v>1060</v>
      </c>
      <c r="AV45" s="2355">
        <v>40</v>
      </c>
      <c r="AW45" s="2356" t="s">
        <v>1060</v>
      </c>
      <c r="AX45" s="2370">
        <v>25</v>
      </c>
      <c r="AY45" s="2358" t="s">
        <v>1060</v>
      </c>
      <c r="AZ45" s="2370">
        <v>25</v>
      </c>
      <c r="BA45" s="2359" t="s">
        <v>1060</v>
      </c>
      <c r="BC45" s="1996">
        <v>1</v>
      </c>
      <c r="BE45" s="2374" t="s">
        <v>2308</v>
      </c>
      <c r="BF45" s="577">
        <v>15</v>
      </c>
      <c r="BG45" s="577">
        <v>30</v>
      </c>
      <c r="BH45" s="570">
        <v>30</v>
      </c>
      <c r="BJ45" s="2374" t="s">
        <v>2308</v>
      </c>
      <c r="BK45" s="577">
        <v>45</v>
      </c>
      <c r="BL45" s="577">
        <v>80</v>
      </c>
      <c r="BM45" s="572">
        <v>80</v>
      </c>
      <c r="BN45" s="506"/>
      <c r="BO45" s="473"/>
      <c r="BP45" s="458"/>
      <c r="BQ45" s="458"/>
      <c r="BR45" s="458"/>
      <c r="BS45" s="2461" t="s">
        <v>895</v>
      </c>
      <c r="BT45" s="2463" t="str">
        <f>IFERROR(INDEX(Liste_Ackerkulturen_Gemüse_DropDown[Ackerkulturen],_xlfn.AGGREGATE(15,6,(ROW(Liste_Ackerkulturen_Gemüse_DropDown[Ackerkulturen])-1)/(--(SEARCH(BU$2,Liste_Ackerkulturen_Gemüse_DropDown[Ackerkulturen])&gt;0)),ROW()-2),1),"")</f>
        <v>Sonst. Feldfutter 2 Nutzungen &gt;40 % Leg.</v>
      </c>
      <c r="BU45" s="2463"/>
      <c r="BV45" s="2463" t="str">
        <f>IFERROR(INDEX(Liste_Ackerkulturen_Gemüse_DropDown[Ackerkulturen],_xlfn.AGGREGATE(15,6,(ROW(Liste_Ackerkulturen_Gemüse_DropDown[Ackerkulturen])-1)/(--(SEARCH(BW$2,Liste_Ackerkulturen_Gemüse_DropDown[Ackerkulturen])&gt;0)),ROW()-2),1),"")</f>
        <v>Sonst. Feldfutter 2 Nutzungen &gt;40 % Leg.</v>
      </c>
      <c r="BW45" s="2463"/>
      <c r="BX45" s="2463" t="str">
        <f>IFERROR(INDEX(Liste_Ackerkulturen_Gemüse_DropDown[Ackerkulturen],_xlfn.AGGREGATE(15,6,(ROW(Liste_Ackerkulturen_Gemüse_DropDown[Ackerkulturen])-1)/(--(SEARCH(BY$2,Liste_Ackerkulturen_Gemüse_DropDown[Ackerkulturen])&gt;0)),ROW()-2),1),"")</f>
        <v>Sonst. Feldfutter 2 Nutzungen &gt;40 % Leg.</v>
      </c>
      <c r="BY45" s="2463"/>
      <c r="BZ45" s="2463" t="str">
        <f>IFERROR(INDEX(Liste_Ackerkulturen_Gemüse_DropDown[Ackerkulturen],_xlfn.AGGREGATE(15,6,(ROW(Liste_Ackerkulturen_Gemüse_DropDown[Ackerkulturen])-1)/(--(SEARCH(CA$2,Liste_Ackerkulturen_Gemüse_DropDown[Ackerkulturen])&gt;0)),ROW()-2),1),"")</f>
        <v>Sonst. Feldfutter 2 Nutzungen &gt;40 % Leg.</v>
      </c>
      <c r="CA45" s="2463"/>
      <c r="CB45" s="2463" t="str">
        <f>IFERROR(INDEX(Liste_Ackerkulturen_Gemüse_DropDown[Ackerkulturen],_xlfn.AGGREGATE(15,6,(ROW(Liste_Ackerkulturen_Gemüse_DropDown[Ackerkulturen])-1)/(--(SEARCH(CC$2,Liste_Ackerkulturen_Gemüse_DropDown[Ackerkulturen])&gt;0)),ROW()-2),1),"")</f>
        <v>Sonst. Feldfutter 2 Nutzungen &gt;40 % Leg.</v>
      </c>
      <c r="CC45" s="2463"/>
      <c r="CD45" s="2464" t="str">
        <f>IFERROR(INDEX(Liste_Ackerkulturen_Gemüse_DropDown[Ackerkulturen],_xlfn.AGGREGATE(15,6,(ROW(Liste_Ackerkulturen_Gemüse_DropDown[Ackerkulturen])-1)/(--(SEARCH(CE$2,Liste_Ackerkulturen_Gemüse_DropDown[Ackerkulturen])&gt;0)),ROW()-2),1),"")</f>
        <v>Sonst. Feldfutter 2 Nutzungen &gt;40 % Leg.</v>
      </c>
      <c r="CE45" s="2464"/>
      <c r="CF45" s="2464" t="str">
        <f>IFERROR(INDEX(Liste_Ackerkulturen_Gemüse_DropDown[Ackerkulturen],_xlfn.AGGREGATE(15,6,(ROW(Liste_Ackerkulturen_Gemüse_DropDown[Ackerkulturen])-1)/(--(SEARCH(CG$2,Liste_Ackerkulturen_Gemüse_DropDown[Ackerkulturen])&gt;0)),ROW()-2),1),"")</f>
        <v>Sonst. Feldfutter 2 Nutzungen &gt;40 % Leg.</v>
      </c>
      <c r="CG45" s="2464"/>
      <c r="CH45" s="2464" t="str">
        <f>IFERROR(INDEX(Liste_Ackerkulturen_Gemüse_DropDown[Ackerkulturen],_xlfn.AGGREGATE(15,6,(ROW(Liste_Ackerkulturen_Gemüse_DropDown[Ackerkulturen])-1)/(--(SEARCH(CI$2,Liste_Ackerkulturen_Gemüse_DropDown[Ackerkulturen])&gt;0)),ROW()-2),1),"")</f>
        <v>Sonst. Feldfutter 2 Nutzungen &gt;40 % Leg.</v>
      </c>
      <c r="CI45" s="2464"/>
      <c r="CJ45" s="2464" t="str">
        <f>IFERROR(INDEX(Liste_Ackerkulturen_Gemüse_DropDown[Ackerkulturen],_xlfn.AGGREGATE(15,6,(ROW(Liste_Ackerkulturen_Gemüse_DropDown[Ackerkulturen])-1)/(--(SEARCH(CK$2,Liste_Ackerkulturen_Gemüse_DropDown[Ackerkulturen])&gt;0)),ROW()-2),1),"")</f>
        <v>Sonst. Feldfutter 2 Nutzungen &gt;40 % Leg.</v>
      </c>
      <c r="CK45" s="2464"/>
      <c r="CL45" s="2464" t="str">
        <f>IFERROR(INDEX(Liste_Ackerkulturen_Gemüse_DropDown[Ackerkulturen],_xlfn.AGGREGATE(15,6,(ROW(Liste_Ackerkulturen_Gemüse_DropDown[Ackerkulturen])-1)/(--(SEARCH(CM$2,Liste_Ackerkulturen_Gemüse_DropDown[Ackerkulturen])&gt;0)),ROW()-2),1),"")</f>
        <v>Sonst. Feldfutter 2 Nutzungen &gt;40 % Leg.</v>
      </c>
      <c r="CM45" s="2464"/>
      <c r="CN45" s="2464" t="str">
        <f>IFERROR(INDEX(Liste_Ackerkulturen_Gemüse_DropDown[Ackerkulturen],_xlfn.AGGREGATE(15,6,(ROW(Liste_Ackerkulturen_Gemüse_DropDown[Ackerkulturen])-1)/(--(SEARCH(CO$2,Liste_Ackerkulturen_Gemüse_DropDown[Ackerkulturen])&gt;0)),ROW()-2),1),"")</f>
        <v>Sonst. Feldfutter 2 Nutzungen &gt;40 % Leg.</v>
      </c>
      <c r="CO45" s="2464"/>
      <c r="CP45" s="2464" t="str">
        <f>IFERROR(INDEX(Liste_Ackerkulturen_Gemüse_DropDown[Ackerkulturen],_xlfn.AGGREGATE(15,6,(ROW(Liste_Ackerkulturen_Gemüse_DropDown[Ackerkulturen])-1)/(--(SEARCH(CQ$2,Liste_Ackerkulturen_Gemüse_DropDown[Ackerkulturen])&gt;0)),ROW()-2),1),"")</f>
        <v>Sonst. Feldfutter 2 Nutzungen &gt;40 % Leg.</v>
      </c>
      <c r="CQ45" s="2464"/>
      <c r="CR45" s="2464" t="str">
        <f>IFERROR(INDEX(Liste_Ackerkulturen_Gemüse_DropDown[Ackerkulturen],_xlfn.AGGREGATE(15,6,(ROW(Liste_Ackerkulturen_Gemüse_DropDown[Ackerkulturen])-1)/(--(SEARCH(CS$2,Liste_Ackerkulturen_Gemüse_DropDown[Ackerkulturen])&gt;0)),ROW()-2),1),"")</f>
        <v>Sonst. Feldfutter 2 Nutzungen &gt;40 % Leg.</v>
      </c>
      <c r="CS45" s="2464"/>
      <c r="CT45"/>
      <c r="CU45"/>
      <c r="CV45"/>
      <c r="CW45"/>
      <c r="CX45"/>
      <c r="CY45"/>
      <c r="CZ45"/>
      <c r="DA45"/>
      <c r="DB45"/>
      <c r="DC45"/>
      <c r="DD45"/>
      <c r="DE45"/>
      <c r="DF45"/>
      <c r="DG45"/>
      <c r="DH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c r="IL45"/>
      <c r="IM45"/>
      <c r="IN45"/>
      <c r="IO45"/>
      <c r="IP45"/>
      <c r="IQ45"/>
      <c r="IR45"/>
      <c r="IS45"/>
      <c r="IT45"/>
      <c r="IU45"/>
    </row>
    <row r="46" spans="3:255" ht="25.65" customHeight="1">
      <c r="C46" s="2672" t="s">
        <v>1804</v>
      </c>
      <c r="D46" s="2673"/>
      <c r="E46" s="1526" t="s">
        <v>1978</v>
      </c>
      <c r="F46" s="2254">
        <v>110</v>
      </c>
      <c r="G46" s="1748" t="s">
        <v>1979</v>
      </c>
      <c r="H46" s="1749">
        <v>155</v>
      </c>
      <c r="I46" s="1446" t="s">
        <v>1980</v>
      </c>
      <c r="J46" s="1447">
        <v>180</v>
      </c>
      <c r="K46" s="1446" t="s">
        <v>1981</v>
      </c>
      <c r="L46" s="1447">
        <v>195</v>
      </c>
      <c r="M46" s="1446" t="s">
        <v>1982</v>
      </c>
      <c r="N46" s="1447">
        <v>210</v>
      </c>
      <c r="O46" s="1527">
        <v>140</v>
      </c>
      <c r="P46" s="1528">
        <v>160</v>
      </c>
      <c r="Q46" s="1529">
        <v>130</v>
      </c>
      <c r="R46" s="1448">
        <v>105</v>
      </c>
      <c r="S46" s="1447">
        <v>75</v>
      </c>
      <c r="T46" s="1749">
        <v>85</v>
      </c>
      <c r="U46" s="1447">
        <v>100</v>
      </c>
      <c r="V46" s="1449" t="s">
        <v>1954</v>
      </c>
      <c r="W46" s="1530" t="s">
        <v>1955</v>
      </c>
      <c r="X46" s="1529">
        <v>300</v>
      </c>
      <c r="Y46" s="1448">
        <v>250</v>
      </c>
      <c r="Z46" s="1447">
        <v>180</v>
      </c>
      <c r="AA46" s="1749">
        <v>200</v>
      </c>
      <c r="AB46" s="1447">
        <v>230</v>
      </c>
      <c r="AC46" s="1449" t="s">
        <v>1956</v>
      </c>
      <c r="AD46" s="1530" t="s">
        <v>1955</v>
      </c>
      <c r="AF46" s="1279"/>
      <c r="AM46" s="2270" t="s">
        <v>2307</v>
      </c>
      <c r="AN46" s="2272">
        <v>40</v>
      </c>
      <c r="AO46" s="2279" t="s">
        <v>1071</v>
      </c>
      <c r="AP46" s="2272">
        <v>40</v>
      </c>
      <c r="AQ46" s="2283" t="s">
        <v>1063</v>
      </c>
      <c r="AR46" s="2272">
        <v>40</v>
      </c>
      <c r="AS46" s="2283" t="s">
        <v>1063</v>
      </c>
      <c r="AT46" s="2284">
        <v>40</v>
      </c>
      <c r="AU46" s="2285" t="s">
        <v>1063</v>
      </c>
      <c r="AV46" s="2284">
        <v>40</v>
      </c>
      <c r="AW46" s="2285" t="s">
        <v>1063</v>
      </c>
      <c r="AX46" s="2277">
        <v>40</v>
      </c>
      <c r="AY46" s="2278" t="s">
        <v>1063</v>
      </c>
      <c r="AZ46" s="2277">
        <v>40</v>
      </c>
      <c r="BA46" s="2303" t="s">
        <v>1063</v>
      </c>
      <c r="BC46" s="1996">
        <v>1</v>
      </c>
      <c r="BE46" s="2270" t="s">
        <v>2307</v>
      </c>
      <c r="BF46" s="577">
        <v>30</v>
      </c>
      <c r="BG46" s="577">
        <v>45</v>
      </c>
      <c r="BH46" s="570">
        <v>45</v>
      </c>
      <c r="BJ46" s="2270" t="s">
        <v>2307</v>
      </c>
      <c r="BK46" s="577">
        <v>80</v>
      </c>
      <c r="BL46" s="577">
        <v>120</v>
      </c>
      <c r="BM46" s="572">
        <v>120</v>
      </c>
      <c r="BN46" s="506"/>
      <c r="BO46" s="473"/>
      <c r="BP46" s="458"/>
      <c r="BQ46" s="458"/>
      <c r="BR46" s="458"/>
      <c r="BS46" s="2461" t="s">
        <v>896</v>
      </c>
      <c r="BT46" s="2463" t="str">
        <f>IFERROR(INDEX(Liste_Ackerkulturen_Gemüse_DropDown[Ackerkulturen],_xlfn.AGGREGATE(15,6,(ROW(Liste_Ackerkulturen_Gemüse_DropDown[Ackerkulturen])-1)/(--(SEARCH(BU$2,Liste_Ackerkulturen_Gemüse_DropDown[Ackerkulturen])&gt;0)),ROW()-2),1),"")</f>
        <v>Sonst. Feldfutter 3 Nutzungen &gt;40 % Leg.</v>
      </c>
      <c r="BU46" s="2463"/>
      <c r="BV46" s="2463" t="str">
        <f>IFERROR(INDEX(Liste_Ackerkulturen_Gemüse_DropDown[Ackerkulturen],_xlfn.AGGREGATE(15,6,(ROW(Liste_Ackerkulturen_Gemüse_DropDown[Ackerkulturen])-1)/(--(SEARCH(BW$2,Liste_Ackerkulturen_Gemüse_DropDown[Ackerkulturen])&gt;0)),ROW()-2),1),"")</f>
        <v>Sonst. Feldfutter 3 Nutzungen &gt;40 % Leg.</v>
      </c>
      <c r="BW46" s="2463"/>
      <c r="BX46" s="2463" t="str">
        <f>IFERROR(INDEX(Liste_Ackerkulturen_Gemüse_DropDown[Ackerkulturen],_xlfn.AGGREGATE(15,6,(ROW(Liste_Ackerkulturen_Gemüse_DropDown[Ackerkulturen])-1)/(--(SEARCH(BY$2,Liste_Ackerkulturen_Gemüse_DropDown[Ackerkulturen])&gt;0)),ROW()-2),1),"")</f>
        <v>Sonst. Feldfutter 3 Nutzungen &gt;40 % Leg.</v>
      </c>
      <c r="BY46" s="2463"/>
      <c r="BZ46" s="2463" t="str">
        <f>IFERROR(INDEX(Liste_Ackerkulturen_Gemüse_DropDown[Ackerkulturen],_xlfn.AGGREGATE(15,6,(ROW(Liste_Ackerkulturen_Gemüse_DropDown[Ackerkulturen])-1)/(--(SEARCH(CA$2,Liste_Ackerkulturen_Gemüse_DropDown[Ackerkulturen])&gt;0)),ROW()-2),1),"")</f>
        <v>Sonst. Feldfutter 3 Nutzungen &gt;40 % Leg.</v>
      </c>
      <c r="CA46" s="2463"/>
      <c r="CB46" s="2463" t="str">
        <f>IFERROR(INDEX(Liste_Ackerkulturen_Gemüse_DropDown[Ackerkulturen],_xlfn.AGGREGATE(15,6,(ROW(Liste_Ackerkulturen_Gemüse_DropDown[Ackerkulturen])-1)/(--(SEARCH(CC$2,Liste_Ackerkulturen_Gemüse_DropDown[Ackerkulturen])&gt;0)),ROW()-2),1),"")</f>
        <v>Sonst. Feldfutter 3 Nutzungen &gt;40 % Leg.</v>
      </c>
      <c r="CC46" s="2463"/>
      <c r="CD46" s="2464" t="str">
        <f>IFERROR(INDEX(Liste_Ackerkulturen_Gemüse_DropDown[Ackerkulturen],_xlfn.AGGREGATE(15,6,(ROW(Liste_Ackerkulturen_Gemüse_DropDown[Ackerkulturen])-1)/(--(SEARCH(CE$2,Liste_Ackerkulturen_Gemüse_DropDown[Ackerkulturen])&gt;0)),ROW()-2),1),"")</f>
        <v>Sonst. Feldfutter 3 Nutzungen &gt;40 % Leg.</v>
      </c>
      <c r="CE46" s="2464"/>
      <c r="CF46" s="2464" t="str">
        <f>IFERROR(INDEX(Liste_Ackerkulturen_Gemüse_DropDown[Ackerkulturen],_xlfn.AGGREGATE(15,6,(ROW(Liste_Ackerkulturen_Gemüse_DropDown[Ackerkulturen])-1)/(--(SEARCH(CG$2,Liste_Ackerkulturen_Gemüse_DropDown[Ackerkulturen])&gt;0)),ROW()-2),1),"")</f>
        <v>Sonst. Feldfutter 3 Nutzungen &gt;40 % Leg.</v>
      </c>
      <c r="CG46" s="2464"/>
      <c r="CH46" s="2464" t="str">
        <f>IFERROR(INDEX(Liste_Ackerkulturen_Gemüse_DropDown[Ackerkulturen],_xlfn.AGGREGATE(15,6,(ROW(Liste_Ackerkulturen_Gemüse_DropDown[Ackerkulturen])-1)/(--(SEARCH(CI$2,Liste_Ackerkulturen_Gemüse_DropDown[Ackerkulturen])&gt;0)),ROW()-2),1),"")</f>
        <v>Sonst. Feldfutter 3 Nutzungen &gt;40 % Leg.</v>
      </c>
      <c r="CI46" s="2464"/>
      <c r="CJ46" s="2464" t="str">
        <f>IFERROR(INDEX(Liste_Ackerkulturen_Gemüse_DropDown[Ackerkulturen],_xlfn.AGGREGATE(15,6,(ROW(Liste_Ackerkulturen_Gemüse_DropDown[Ackerkulturen])-1)/(--(SEARCH(CK$2,Liste_Ackerkulturen_Gemüse_DropDown[Ackerkulturen])&gt;0)),ROW()-2),1),"")</f>
        <v>Sonst. Feldfutter 3 Nutzungen &gt;40 % Leg.</v>
      </c>
      <c r="CK46" s="2464"/>
      <c r="CL46" s="2464" t="str">
        <f>IFERROR(INDEX(Liste_Ackerkulturen_Gemüse_DropDown[Ackerkulturen],_xlfn.AGGREGATE(15,6,(ROW(Liste_Ackerkulturen_Gemüse_DropDown[Ackerkulturen])-1)/(--(SEARCH(CM$2,Liste_Ackerkulturen_Gemüse_DropDown[Ackerkulturen])&gt;0)),ROW()-2),1),"")</f>
        <v>Sonst. Feldfutter 3 Nutzungen &gt;40 % Leg.</v>
      </c>
      <c r="CM46" s="2464"/>
      <c r="CN46" s="2464" t="str">
        <f>IFERROR(INDEX(Liste_Ackerkulturen_Gemüse_DropDown[Ackerkulturen],_xlfn.AGGREGATE(15,6,(ROW(Liste_Ackerkulturen_Gemüse_DropDown[Ackerkulturen])-1)/(--(SEARCH(CO$2,Liste_Ackerkulturen_Gemüse_DropDown[Ackerkulturen])&gt;0)),ROW()-2),1),"")</f>
        <v>Sonst. Feldfutter 3 Nutzungen &gt;40 % Leg.</v>
      </c>
      <c r="CO46" s="2464"/>
      <c r="CP46" s="2464" t="str">
        <f>IFERROR(INDEX(Liste_Ackerkulturen_Gemüse_DropDown[Ackerkulturen],_xlfn.AGGREGATE(15,6,(ROW(Liste_Ackerkulturen_Gemüse_DropDown[Ackerkulturen])-1)/(--(SEARCH(CQ$2,Liste_Ackerkulturen_Gemüse_DropDown[Ackerkulturen])&gt;0)),ROW()-2),1),"")</f>
        <v>Sonst. Feldfutter 3 Nutzungen &gt;40 % Leg.</v>
      </c>
      <c r="CQ46" s="2464"/>
      <c r="CR46" s="2464" t="str">
        <f>IFERROR(INDEX(Liste_Ackerkulturen_Gemüse_DropDown[Ackerkulturen],_xlfn.AGGREGATE(15,6,(ROW(Liste_Ackerkulturen_Gemüse_DropDown[Ackerkulturen])-1)/(--(SEARCH(CS$2,Liste_Ackerkulturen_Gemüse_DropDown[Ackerkulturen])&gt;0)),ROW()-2),1),"")</f>
        <v>Sonst. Feldfutter 3 Nutzungen &gt;40 % Leg.</v>
      </c>
      <c r="CS46" s="2464"/>
      <c r="CT46"/>
      <c r="CU46"/>
      <c r="CV46"/>
      <c r="CW46"/>
      <c r="CX46"/>
      <c r="CY46"/>
      <c r="CZ46"/>
      <c r="DA46"/>
      <c r="DB46"/>
      <c r="DC46"/>
      <c r="DD46"/>
      <c r="DE46"/>
      <c r="DF46"/>
      <c r="DG46"/>
      <c r="DH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c r="IL46"/>
      <c r="IM46"/>
      <c r="IN46"/>
      <c r="IO46"/>
      <c r="IP46"/>
      <c r="IQ46"/>
      <c r="IR46"/>
      <c r="IS46"/>
      <c r="IT46"/>
      <c r="IU46"/>
    </row>
    <row r="47" spans="3:255" ht="25.65" customHeight="1">
      <c r="C47" s="2672" t="s">
        <v>737</v>
      </c>
      <c r="D47" s="2673"/>
      <c r="E47" s="1526" t="s">
        <v>1983</v>
      </c>
      <c r="F47" s="2254">
        <v>130</v>
      </c>
      <c r="G47" s="1748" t="s">
        <v>1984</v>
      </c>
      <c r="H47" s="1749">
        <v>175</v>
      </c>
      <c r="I47" s="1446" t="s">
        <v>1985</v>
      </c>
      <c r="J47" s="1447">
        <v>210</v>
      </c>
      <c r="K47" s="1446" t="s">
        <v>1986</v>
      </c>
      <c r="L47" s="1447">
        <v>225</v>
      </c>
      <c r="M47" s="1446" t="s">
        <v>1987</v>
      </c>
      <c r="N47" s="1447">
        <v>240</v>
      </c>
      <c r="O47" s="1527">
        <v>160</v>
      </c>
      <c r="P47" s="1528">
        <v>180</v>
      </c>
      <c r="Q47" s="1529">
        <v>135</v>
      </c>
      <c r="R47" s="1448">
        <v>115</v>
      </c>
      <c r="S47" s="1447">
        <v>80</v>
      </c>
      <c r="T47" s="1749">
        <v>90</v>
      </c>
      <c r="U47" s="1447">
        <v>105</v>
      </c>
      <c r="V47" s="1449" t="s">
        <v>1954</v>
      </c>
      <c r="W47" s="1530" t="s">
        <v>1955</v>
      </c>
      <c r="X47" s="1529">
        <v>340</v>
      </c>
      <c r="Y47" s="1448">
        <v>280</v>
      </c>
      <c r="Z47" s="1447">
        <v>205</v>
      </c>
      <c r="AA47" s="1749">
        <v>225</v>
      </c>
      <c r="AB47" s="1447">
        <v>260</v>
      </c>
      <c r="AC47" s="1449" t="s">
        <v>1956</v>
      </c>
      <c r="AD47" s="1530" t="s">
        <v>1955</v>
      </c>
      <c r="AF47" s="1279"/>
      <c r="AM47" s="2270" t="s">
        <v>895</v>
      </c>
      <c r="AN47" s="2272">
        <v>40</v>
      </c>
      <c r="AO47" s="2279" t="s">
        <v>1072</v>
      </c>
      <c r="AP47" s="2272">
        <v>40</v>
      </c>
      <c r="AQ47" s="2283" t="s">
        <v>1073</v>
      </c>
      <c r="AR47" s="2272">
        <v>40</v>
      </c>
      <c r="AS47" s="2283" t="s">
        <v>1977</v>
      </c>
      <c r="AT47" s="2284">
        <v>40</v>
      </c>
      <c r="AU47" s="2285" t="s">
        <v>1977</v>
      </c>
      <c r="AV47" s="2284">
        <v>40</v>
      </c>
      <c r="AW47" s="2285" t="s">
        <v>1977</v>
      </c>
      <c r="AX47" s="2277">
        <v>40</v>
      </c>
      <c r="AY47" s="2278" t="s">
        <v>1073</v>
      </c>
      <c r="AZ47" s="2277">
        <v>40</v>
      </c>
      <c r="BA47" s="2303" t="s">
        <v>1977</v>
      </c>
      <c r="BB47"/>
      <c r="BC47" s="1996">
        <v>1</v>
      </c>
      <c r="BD47"/>
      <c r="BE47" s="2270" t="s">
        <v>895</v>
      </c>
      <c r="BF47" s="577">
        <v>45</v>
      </c>
      <c r="BG47" s="577">
        <v>65</v>
      </c>
      <c r="BH47" s="570">
        <v>80</v>
      </c>
      <c r="BI47"/>
      <c r="BJ47" s="2270" t="s">
        <v>895</v>
      </c>
      <c r="BK47" s="577">
        <v>130</v>
      </c>
      <c r="BL47" s="577">
        <v>170</v>
      </c>
      <c r="BM47" s="572">
        <v>215</v>
      </c>
      <c r="BN47" s="506"/>
      <c r="BO47" s="473"/>
      <c r="BP47" s="458"/>
      <c r="BQ47" s="458"/>
      <c r="BR47" s="458"/>
      <c r="BS47" s="2461" t="s">
        <v>897</v>
      </c>
      <c r="BT47" s="2463" t="str">
        <f>IFERROR(INDEX(Liste_Ackerkulturen_Gemüse_DropDown[Ackerkulturen],_xlfn.AGGREGATE(15,6,(ROW(Liste_Ackerkulturen_Gemüse_DropDown[Ackerkulturen])-1)/(--(SEARCH(BU$2,Liste_Ackerkulturen_Gemüse_DropDown[Ackerkulturen])&gt;0)),ROW()-2),1),"")</f>
        <v>Sonst. Feldfutter 4 Nutzungen &gt;40 % Leg.</v>
      </c>
      <c r="BU47" s="2463"/>
      <c r="BV47" s="2463" t="str">
        <f>IFERROR(INDEX(Liste_Ackerkulturen_Gemüse_DropDown[Ackerkulturen],_xlfn.AGGREGATE(15,6,(ROW(Liste_Ackerkulturen_Gemüse_DropDown[Ackerkulturen])-1)/(--(SEARCH(BW$2,Liste_Ackerkulturen_Gemüse_DropDown[Ackerkulturen])&gt;0)),ROW()-2),1),"")</f>
        <v>Sonst. Feldfutter 4 Nutzungen &gt;40 % Leg.</v>
      </c>
      <c r="BW47" s="2463"/>
      <c r="BX47" s="2463" t="str">
        <f>IFERROR(INDEX(Liste_Ackerkulturen_Gemüse_DropDown[Ackerkulturen],_xlfn.AGGREGATE(15,6,(ROW(Liste_Ackerkulturen_Gemüse_DropDown[Ackerkulturen])-1)/(--(SEARCH(BY$2,Liste_Ackerkulturen_Gemüse_DropDown[Ackerkulturen])&gt;0)),ROW()-2),1),"")</f>
        <v>Sonst. Feldfutter 4 Nutzungen &gt;40 % Leg.</v>
      </c>
      <c r="BY47" s="2463"/>
      <c r="BZ47" s="2463" t="str">
        <f>IFERROR(INDEX(Liste_Ackerkulturen_Gemüse_DropDown[Ackerkulturen],_xlfn.AGGREGATE(15,6,(ROW(Liste_Ackerkulturen_Gemüse_DropDown[Ackerkulturen])-1)/(--(SEARCH(CA$2,Liste_Ackerkulturen_Gemüse_DropDown[Ackerkulturen])&gt;0)),ROW()-2),1),"")</f>
        <v>Sonst. Feldfutter 4 Nutzungen &gt;40 % Leg.</v>
      </c>
      <c r="CA47" s="2463"/>
      <c r="CB47" s="2463" t="str">
        <f>IFERROR(INDEX(Liste_Ackerkulturen_Gemüse_DropDown[Ackerkulturen],_xlfn.AGGREGATE(15,6,(ROW(Liste_Ackerkulturen_Gemüse_DropDown[Ackerkulturen])-1)/(--(SEARCH(CC$2,Liste_Ackerkulturen_Gemüse_DropDown[Ackerkulturen])&gt;0)),ROW()-2),1),"")</f>
        <v>Sonst. Feldfutter 4 Nutzungen &gt;40 % Leg.</v>
      </c>
      <c r="CC47" s="2463"/>
      <c r="CD47" s="2464" t="str">
        <f>IFERROR(INDEX(Liste_Ackerkulturen_Gemüse_DropDown[Ackerkulturen],_xlfn.AGGREGATE(15,6,(ROW(Liste_Ackerkulturen_Gemüse_DropDown[Ackerkulturen])-1)/(--(SEARCH(CE$2,Liste_Ackerkulturen_Gemüse_DropDown[Ackerkulturen])&gt;0)),ROW()-2),1),"")</f>
        <v>Sonst. Feldfutter 4 Nutzungen &gt;40 % Leg.</v>
      </c>
      <c r="CE47" s="2464"/>
      <c r="CF47" s="2464" t="str">
        <f>IFERROR(INDEX(Liste_Ackerkulturen_Gemüse_DropDown[Ackerkulturen],_xlfn.AGGREGATE(15,6,(ROW(Liste_Ackerkulturen_Gemüse_DropDown[Ackerkulturen])-1)/(--(SEARCH(CG$2,Liste_Ackerkulturen_Gemüse_DropDown[Ackerkulturen])&gt;0)),ROW()-2),1),"")</f>
        <v>Sonst. Feldfutter 4 Nutzungen &gt;40 % Leg.</v>
      </c>
      <c r="CG47" s="2464"/>
      <c r="CH47" s="2464" t="str">
        <f>IFERROR(INDEX(Liste_Ackerkulturen_Gemüse_DropDown[Ackerkulturen],_xlfn.AGGREGATE(15,6,(ROW(Liste_Ackerkulturen_Gemüse_DropDown[Ackerkulturen])-1)/(--(SEARCH(CI$2,Liste_Ackerkulturen_Gemüse_DropDown[Ackerkulturen])&gt;0)),ROW()-2),1),"")</f>
        <v>Sonst. Feldfutter 4 Nutzungen &gt;40 % Leg.</v>
      </c>
      <c r="CI47" s="2464"/>
      <c r="CJ47" s="2464" t="str">
        <f>IFERROR(INDEX(Liste_Ackerkulturen_Gemüse_DropDown[Ackerkulturen],_xlfn.AGGREGATE(15,6,(ROW(Liste_Ackerkulturen_Gemüse_DropDown[Ackerkulturen])-1)/(--(SEARCH(CK$2,Liste_Ackerkulturen_Gemüse_DropDown[Ackerkulturen])&gt;0)),ROW()-2),1),"")</f>
        <v>Sonst. Feldfutter 4 Nutzungen &gt;40 % Leg.</v>
      </c>
      <c r="CK47" s="2464"/>
      <c r="CL47" s="2464" t="str">
        <f>IFERROR(INDEX(Liste_Ackerkulturen_Gemüse_DropDown[Ackerkulturen],_xlfn.AGGREGATE(15,6,(ROW(Liste_Ackerkulturen_Gemüse_DropDown[Ackerkulturen])-1)/(--(SEARCH(CM$2,Liste_Ackerkulturen_Gemüse_DropDown[Ackerkulturen])&gt;0)),ROW()-2),1),"")</f>
        <v>Sonst. Feldfutter 4 Nutzungen &gt;40 % Leg.</v>
      </c>
      <c r="CM47" s="2464"/>
      <c r="CN47" s="2464" t="str">
        <f>IFERROR(INDEX(Liste_Ackerkulturen_Gemüse_DropDown[Ackerkulturen],_xlfn.AGGREGATE(15,6,(ROW(Liste_Ackerkulturen_Gemüse_DropDown[Ackerkulturen])-1)/(--(SEARCH(CO$2,Liste_Ackerkulturen_Gemüse_DropDown[Ackerkulturen])&gt;0)),ROW()-2),1),"")</f>
        <v>Sonst. Feldfutter 4 Nutzungen &gt;40 % Leg.</v>
      </c>
      <c r="CO47" s="2464"/>
      <c r="CP47" s="2464" t="str">
        <f>IFERROR(INDEX(Liste_Ackerkulturen_Gemüse_DropDown[Ackerkulturen],_xlfn.AGGREGATE(15,6,(ROW(Liste_Ackerkulturen_Gemüse_DropDown[Ackerkulturen])-1)/(--(SEARCH(CQ$2,Liste_Ackerkulturen_Gemüse_DropDown[Ackerkulturen])&gt;0)),ROW()-2),1),"")</f>
        <v>Sonst. Feldfutter 4 Nutzungen &gt;40 % Leg.</v>
      </c>
      <c r="CQ47" s="2464"/>
      <c r="CR47" s="2464" t="str">
        <f>IFERROR(INDEX(Liste_Ackerkulturen_Gemüse_DropDown[Ackerkulturen],_xlfn.AGGREGATE(15,6,(ROW(Liste_Ackerkulturen_Gemüse_DropDown[Ackerkulturen])-1)/(--(SEARCH(CS$2,Liste_Ackerkulturen_Gemüse_DropDown[Ackerkulturen])&gt;0)),ROW()-2),1),"")</f>
        <v>Sonst. Feldfutter 4 Nutzungen &gt;40 % Leg.</v>
      </c>
      <c r="CS47" s="2464"/>
      <c r="CT47"/>
      <c r="CU47"/>
      <c r="CV47"/>
      <c r="CW47"/>
      <c r="CX47"/>
      <c r="CY47"/>
      <c r="CZ47"/>
      <c r="DA47"/>
      <c r="DB47"/>
      <c r="DC47"/>
      <c r="DD47"/>
      <c r="DE47"/>
      <c r="DF47"/>
      <c r="DG47"/>
      <c r="DH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c r="IL47"/>
      <c r="IM47"/>
      <c r="IN47"/>
      <c r="IO47"/>
      <c r="IP47"/>
      <c r="IQ47"/>
      <c r="IR47"/>
      <c r="IS47"/>
      <c r="IT47"/>
      <c r="IU47"/>
    </row>
    <row r="48" spans="3:255" ht="25.65" customHeight="1">
      <c r="C48" s="2672" t="s">
        <v>720</v>
      </c>
      <c r="D48" s="2673"/>
      <c r="E48" s="1526" t="s">
        <v>1988</v>
      </c>
      <c r="F48" s="2254">
        <v>110</v>
      </c>
      <c r="G48" s="1748" t="s">
        <v>1976</v>
      </c>
      <c r="H48" s="1749">
        <v>155</v>
      </c>
      <c r="I48" s="1446" t="s">
        <v>1989</v>
      </c>
      <c r="J48" s="1447">
        <v>180</v>
      </c>
      <c r="K48" s="1446" t="s">
        <v>1990</v>
      </c>
      <c r="L48" s="1447">
        <v>195</v>
      </c>
      <c r="M48" s="1446" t="s">
        <v>1991</v>
      </c>
      <c r="N48" s="1447">
        <v>210</v>
      </c>
      <c r="O48" s="1527">
        <v>140</v>
      </c>
      <c r="P48" s="1528">
        <v>160</v>
      </c>
      <c r="Q48" s="1529">
        <v>130</v>
      </c>
      <c r="R48" s="1448">
        <v>105</v>
      </c>
      <c r="S48" s="1447">
        <v>75</v>
      </c>
      <c r="T48" s="1749">
        <v>85</v>
      </c>
      <c r="U48" s="1447">
        <v>100</v>
      </c>
      <c r="V48" s="1449" t="s">
        <v>1954</v>
      </c>
      <c r="W48" s="1530" t="s">
        <v>1955</v>
      </c>
      <c r="X48" s="1529">
        <v>315</v>
      </c>
      <c r="Y48" s="1448">
        <v>265</v>
      </c>
      <c r="Z48" s="1447">
        <v>190</v>
      </c>
      <c r="AA48" s="1749">
        <v>210</v>
      </c>
      <c r="AB48" s="1447">
        <v>240</v>
      </c>
      <c r="AC48" s="1449" t="s">
        <v>1956</v>
      </c>
      <c r="AD48" s="1530" t="s">
        <v>1955</v>
      </c>
      <c r="AF48" s="1279"/>
      <c r="AM48" s="2270" t="s">
        <v>896</v>
      </c>
      <c r="AN48" s="2272">
        <v>40</v>
      </c>
      <c r="AO48" s="2279" t="s">
        <v>1074</v>
      </c>
      <c r="AP48" s="2272">
        <v>40</v>
      </c>
      <c r="AQ48" s="2283" t="s">
        <v>1074</v>
      </c>
      <c r="AR48" s="2272">
        <v>40</v>
      </c>
      <c r="AS48" s="2283" t="s">
        <v>1075</v>
      </c>
      <c r="AT48" s="2284">
        <v>40</v>
      </c>
      <c r="AU48" s="2285" t="s">
        <v>1075</v>
      </c>
      <c r="AV48" s="2284">
        <v>40</v>
      </c>
      <c r="AW48" s="2285" t="s">
        <v>1075</v>
      </c>
      <c r="AX48" s="2277">
        <v>40</v>
      </c>
      <c r="AY48" s="2278" t="s">
        <v>1074</v>
      </c>
      <c r="AZ48" s="2277">
        <v>40</v>
      </c>
      <c r="BA48" s="2303" t="s">
        <v>1075</v>
      </c>
      <c r="BB48"/>
      <c r="BC48" s="1996">
        <v>1</v>
      </c>
      <c r="BD48"/>
      <c r="BE48" s="2270" t="s">
        <v>896</v>
      </c>
      <c r="BF48" s="577">
        <v>80</v>
      </c>
      <c r="BG48" s="577">
        <v>80</v>
      </c>
      <c r="BH48" s="570">
        <v>90</v>
      </c>
      <c r="BI48"/>
      <c r="BJ48" s="2270" t="s">
        <v>896</v>
      </c>
      <c r="BK48" s="577">
        <v>205</v>
      </c>
      <c r="BL48" s="577">
        <v>205</v>
      </c>
      <c r="BM48" s="572">
        <v>260</v>
      </c>
      <c r="BN48" s="506"/>
      <c r="BO48" s="1033"/>
      <c r="BP48" s="458"/>
      <c r="BQ48" s="458"/>
      <c r="BR48" s="458"/>
      <c r="BS48" s="2461" t="s">
        <v>2370</v>
      </c>
      <c r="BT48" s="2463" t="str">
        <f>IFERROR(INDEX(Liste_Ackerkulturen_Gemüse_DropDown[Ackerkulturen],_xlfn.AGGREGATE(15,6,(ROW(Liste_Ackerkulturen_Gemüse_DropDown[Ackerkulturen])-1)/(--(SEARCH(BU$2,Liste_Ackerkulturen_Gemüse_DropDown[Ackerkulturen])&gt;0)),ROW()-2),1),"")</f>
        <v>Sonst. Feldfutter 5 Nutzungen &gt;40 % Leg.</v>
      </c>
      <c r="BU48" s="2463"/>
      <c r="BV48" s="2463" t="str">
        <f>IFERROR(INDEX(Liste_Ackerkulturen_Gemüse_DropDown[Ackerkulturen],_xlfn.AGGREGATE(15,6,(ROW(Liste_Ackerkulturen_Gemüse_DropDown[Ackerkulturen])-1)/(--(SEARCH(BW$2,Liste_Ackerkulturen_Gemüse_DropDown[Ackerkulturen])&gt;0)),ROW()-2),1),"")</f>
        <v>Sonst. Feldfutter 5 Nutzungen &gt;40 % Leg.</v>
      </c>
      <c r="BW48" s="2463"/>
      <c r="BX48" s="2463" t="str">
        <f>IFERROR(INDEX(Liste_Ackerkulturen_Gemüse_DropDown[Ackerkulturen],_xlfn.AGGREGATE(15,6,(ROW(Liste_Ackerkulturen_Gemüse_DropDown[Ackerkulturen])-1)/(--(SEARCH(BY$2,Liste_Ackerkulturen_Gemüse_DropDown[Ackerkulturen])&gt;0)),ROW()-2),1),"")</f>
        <v>Sonst. Feldfutter 5 Nutzungen &gt;40 % Leg.</v>
      </c>
      <c r="BY48" s="2463"/>
      <c r="BZ48" s="2463" t="str">
        <f>IFERROR(INDEX(Liste_Ackerkulturen_Gemüse_DropDown[Ackerkulturen],_xlfn.AGGREGATE(15,6,(ROW(Liste_Ackerkulturen_Gemüse_DropDown[Ackerkulturen])-1)/(--(SEARCH(CA$2,Liste_Ackerkulturen_Gemüse_DropDown[Ackerkulturen])&gt;0)),ROW()-2),1),"")</f>
        <v>Sonst. Feldfutter 5 Nutzungen &gt;40 % Leg.</v>
      </c>
      <c r="CA48" s="2463"/>
      <c r="CB48" s="2463" t="str">
        <f>IFERROR(INDEX(Liste_Ackerkulturen_Gemüse_DropDown[Ackerkulturen],_xlfn.AGGREGATE(15,6,(ROW(Liste_Ackerkulturen_Gemüse_DropDown[Ackerkulturen])-1)/(--(SEARCH(CC$2,Liste_Ackerkulturen_Gemüse_DropDown[Ackerkulturen])&gt;0)),ROW()-2),1),"")</f>
        <v>Sonst. Feldfutter 5 Nutzungen &gt;40 % Leg.</v>
      </c>
      <c r="CC48" s="2463"/>
      <c r="CD48" s="2464" t="str">
        <f>IFERROR(INDEX(Liste_Ackerkulturen_Gemüse_DropDown[Ackerkulturen],_xlfn.AGGREGATE(15,6,(ROW(Liste_Ackerkulturen_Gemüse_DropDown[Ackerkulturen])-1)/(--(SEARCH(CE$2,Liste_Ackerkulturen_Gemüse_DropDown[Ackerkulturen])&gt;0)),ROW()-2),1),"")</f>
        <v>Sonst. Feldfutter 5 Nutzungen &gt;40 % Leg.</v>
      </c>
      <c r="CE48" s="2464"/>
      <c r="CF48" s="2464" t="str">
        <f>IFERROR(INDEX(Liste_Ackerkulturen_Gemüse_DropDown[Ackerkulturen],_xlfn.AGGREGATE(15,6,(ROW(Liste_Ackerkulturen_Gemüse_DropDown[Ackerkulturen])-1)/(--(SEARCH(CG$2,Liste_Ackerkulturen_Gemüse_DropDown[Ackerkulturen])&gt;0)),ROW()-2),1),"")</f>
        <v>Sonst. Feldfutter 5 Nutzungen &gt;40 % Leg.</v>
      </c>
      <c r="CG48" s="2464"/>
      <c r="CH48" s="2464" t="str">
        <f>IFERROR(INDEX(Liste_Ackerkulturen_Gemüse_DropDown[Ackerkulturen],_xlfn.AGGREGATE(15,6,(ROW(Liste_Ackerkulturen_Gemüse_DropDown[Ackerkulturen])-1)/(--(SEARCH(CI$2,Liste_Ackerkulturen_Gemüse_DropDown[Ackerkulturen])&gt;0)),ROW()-2),1),"")</f>
        <v>Sonst. Feldfutter 5 Nutzungen &gt;40 % Leg.</v>
      </c>
      <c r="CI48" s="2464"/>
      <c r="CJ48" s="2464" t="str">
        <f>IFERROR(INDEX(Liste_Ackerkulturen_Gemüse_DropDown[Ackerkulturen],_xlfn.AGGREGATE(15,6,(ROW(Liste_Ackerkulturen_Gemüse_DropDown[Ackerkulturen])-1)/(--(SEARCH(CK$2,Liste_Ackerkulturen_Gemüse_DropDown[Ackerkulturen])&gt;0)),ROW()-2),1),"")</f>
        <v>Sonst. Feldfutter 5 Nutzungen &gt;40 % Leg.</v>
      </c>
      <c r="CK48" s="2464"/>
      <c r="CL48" s="2464" t="str">
        <f>IFERROR(INDEX(Liste_Ackerkulturen_Gemüse_DropDown[Ackerkulturen],_xlfn.AGGREGATE(15,6,(ROW(Liste_Ackerkulturen_Gemüse_DropDown[Ackerkulturen])-1)/(--(SEARCH(CM$2,Liste_Ackerkulturen_Gemüse_DropDown[Ackerkulturen])&gt;0)),ROW()-2),1),"")</f>
        <v>Sonst. Feldfutter 5 Nutzungen &gt;40 % Leg.</v>
      </c>
      <c r="CM48" s="2464"/>
      <c r="CN48" s="2464" t="str">
        <f>IFERROR(INDEX(Liste_Ackerkulturen_Gemüse_DropDown[Ackerkulturen],_xlfn.AGGREGATE(15,6,(ROW(Liste_Ackerkulturen_Gemüse_DropDown[Ackerkulturen])-1)/(--(SEARCH(CO$2,Liste_Ackerkulturen_Gemüse_DropDown[Ackerkulturen])&gt;0)),ROW()-2),1),"")</f>
        <v>Sonst. Feldfutter 5 Nutzungen &gt;40 % Leg.</v>
      </c>
      <c r="CO48" s="2464"/>
      <c r="CP48" s="2464" t="str">
        <f>IFERROR(INDEX(Liste_Ackerkulturen_Gemüse_DropDown[Ackerkulturen],_xlfn.AGGREGATE(15,6,(ROW(Liste_Ackerkulturen_Gemüse_DropDown[Ackerkulturen])-1)/(--(SEARCH(CQ$2,Liste_Ackerkulturen_Gemüse_DropDown[Ackerkulturen])&gt;0)),ROW()-2),1),"")</f>
        <v>Sonst. Feldfutter 5 Nutzungen &gt;40 % Leg.</v>
      </c>
      <c r="CQ48" s="2464"/>
      <c r="CR48" s="2464" t="str">
        <f>IFERROR(INDEX(Liste_Ackerkulturen_Gemüse_DropDown[Ackerkulturen],_xlfn.AGGREGATE(15,6,(ROW(Liste_Ackerkulturen_Gemüse_DropDown[Ackerkulturen])-1)/(--(SEARCH(CS$2,Liste_Ackerkulturen_Gemüse_DropDown[Ackerkulturen])&gt;0)),ROW()-2),1),"")</f>
        <v>Sonst. Feldfutter 5 Nutzungen &gt;40 % Leg.</v>
      </c>
      <c r="CS48" s="2464"/>
      <c r="CT48"/>
      <c r="CU48"/>
      <c r="CV48"/>
      <c r="CW48"/>
      <c r="CX48"/>
      <c r="CY48"/>
      <c r="CZ48"/>
      <c r="DA48"/>
      <c r="DB48"/>
      <c r="DC48"/>
      <c r="DD48"/>
      <c r="DE48"/>
      <c r="DF48"/>
      <c r="DG48"/>
      <c r="DH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c r="IL48"/>
      <c r="IM48"/>
      <c r="IN48"/>
      <c r="IO48"/>
      <c r="IP48"/>
      <c r="IQ48"/>
      <c r="IR48"/>
      <c r="IS48"/>
      <c r="IT48"/>
      <c r="IU48"/>
    </row>
    <row r="49" spans="3:255" ht="25.65" customHeight="1" thickBot="1">
      <c r="C49" s="2672" t="s">
        <v>721</v>
      </c>
      <c r="D49" s="2673"/>
      <c r="E49" s="1526" t="s">
        <v>1992</v>
      </c>
      <c r="F49" s="2254">
        <v>130</v>
      </c>
      <c r="G49" s="1748" t="s">
        <v>1993</v>
      </c>
      <c r="H49" s="1749">
        <v>175</v>
      </c>
      <c r="I49" s="1446" t="s">
        <v>1994</v>
      </c>
      <c r="J49" s="1447">
        <v>210</v>
      </c>
      <c r="K49" s="1446" t="s">
        <v>1995</v>
      </c>
      <c r="L49" s="1447">
        <v>225</v>
      </c>
      <c r="M49" s="1446" t="s">
        <v>1996</v>
      </c>
      <c r="N49" s="1447">
        <v>240</v>
      </c>
      <c r="O49" s="1527">
        <v>140</v>
      </c>
      <c r="P49" s="1528">
        <v>160</v>
      </c>
      <c r="Q49" s="1529">
        <v>145</v>
      </c>
      <c r="R49" s="1448">
        <v>120</v>
      </c>
      <c r="S49" s="1447">
        <v>85</v>
      </c>
      <c r="T49" s="1749">
        <v>95</v>
      </c>
      <c r="U49" s="1447">
        <v>110</v>
      </c>
      <c r="V49" s="1449" t="s">
        <v>1954</v>
      </c>
      <c r="W49" s="1530" t="s">
        <v>1955</v>
      </c>
      <c r="X49" s="1529">
        <v>565</v>
      </c>
      <c r="Y49" s="1448">
        <v>470</v>
      </c>
      <c r="Z49" s="1447">
        <v>340</v>
      </c>
      <c r="AA49" s="1749">
        <v>375</v>
      </c>
      <c r="AB49" s="1447">
        <v>430</v>
      </c>
      <c r="AC49" s="1449" t="s">
        <v>1956</v>
      </c>
      <c r="AD49" s="1530" t="s">
        <v>1955</v>
      </c>
      <c r="AF49" s="1279"/>
      <c r="AM49" s="2371" t="s">
        <v>897</v>
      </c>
      <c r="AN49" s="2272">
        <v>40</v>
      </c>
      <c r="AO49" s="2279" t="s">
        <v>1076</v>
      </c>
      <c r="AP49" s="2272">
        <v>40</v>
      </c>
      <c r="AQ49" s="2283" t="s">
        <v>1076</v>
      </c>
      <c r="AR49" s="2272">
        <v>40</v>
      </c>
      <c r="AS49" s="2283" t="s">
        <v>1077</v>
      </c>
      <c r="AT49" s="2284">
        <v>40</v>
      </c>
      <c r="AU49" s="2285" t="s">
        <v>1077</v>
      </c>
      <c r="AV49" s="2284">
        <v>40</v>
      </c>
      <c r="AW49" s="2285" t="s">
        <v>1077</v>
      </c>
      <c r="AX49" s="2277">
        <v>40</v>
      </c>
      <c r="AY49" s="2278" t="s">
        <v>1076</v>
      </c>
      <c r="AZ49" s="2277">
        <v>40</v>
      </c>
      <c r="BA49" s="2303" t="s">
        <v>1077</v>
      </c>
      <c r="BB49"/>
      <c r="BC49" s="1996">
        <v>1</v>
      </c>
      <c r="BD49"/>
      <c r="BE49" s="2371" t="s">
        <v>897</v>
      </c>
      <c r="BF49" s="577">
        <v>85</v>
      </c>
      <c r="BG49" s="577">
        <v>85</v>
      </c>
      <c r="BH49" s="570">
        <v>105</v>
      </c>
      <c r="BI49"/>
      <c r="BJ49" s="2371" t="s">
        <v>897</v>
      </c>
      <c r="BK49" s="577">
        <v>230</v>
      </c>
      <c r="BL49" s="577">
        <v>230</v>
      </c>
      <c r="BM49" s="572">
        <v>300</v>
      </c>
      <c r="BN49" s="506"/>
      <c r="BO49" s="1033"/>
      <c r="BP49" s="458"/>
      <c r="BQ49" s="458"/>
      <c r="BR49" s="458"/>
      <c r="BS49" s="2461" t="s">
        <v>2371</v>
      </c>
      <c r="BT49" s="2463" t="str">
        <f>IFERROR(INDEX(Liste_Ackerkulturen_Gemüse_DropDown[Ackerkulturen],_xlfn.AGGREGATE(15,6,(ROW(Liste_Ackerkulturen_Gemüse_DropDown[Ackerkulturen])-1)/(--(SEARCH(BU$2,Liste_Ackerkulturen_Gemüse_DropDown[Ackerkulturen])&gt;0)),ROW()-2),1),"")</f>
        <v>Wechselwiese &lt; 40% Leg. 1 Nutzung</v>
      </c>
      <c r="BU49" s="2463"/>
      <c r="BV49" s="2463" t="str">
        <f>IFERROR(INDEX(Liste_Ackerkulturen_Gemüse_DropDown[Ackerkulturen],_xlfn.AGGREGATE(15,6,(ROW(Liste_Ackerkulturen_Gemüse_DropDown[Ackerkulturen])-1)/(--(SEARCH(BW$2,Liste_Ackerkulturen_Gemüse_DropDown[Ackerkulturen])&gt;0)),ROW()-2),1),"")</f>
        <v>Wechselwiese &lt; 40% Leg. 1 Nutzung</v>
      </c>
      <c r="BW49" s="2463"/>
      <c r="BX49" s="2463" t="str">
        <f>IFERROR(INDEX(Liste_Ackerkulturen_Gemüse_DropDown[Ackerkulturen],_xlfn.AGGREGATE(15,6,(ROW(Liste_Ackerkulturen_Gemüse_DropDown[Ackerkulturen])-1)/(--(SEARCH(BY$2,Liste_Ackerkulturen_Gemüse_DropDown[Ackerkulturen])&gt;0)),ROW()-2),1),"")</f>
        <v>Wechselwiese &lt; 40% Leg. 1 Nutzung</v>
      </c>
      <c r="BY49" s="2463"/>
      <c r="BZ49" s="2463" t="str">
        <f>IFERROR(INDEX(Liste_Ackerkulturen_Gemüse_DropDown[Ackerkulturen],_xlfn.AGGREGATE(15,6,(ROW(Liste_Ackerkulturen_Gemüse_DropDown[Ackerkulturen])-1)/(--(SEARCH(CA$2,Liste_Ackerkulturen_Gemüse_DropDown[Ackerkulturen])&gt;0)),ROW()-2),1),"")</f>
        <v>Wechselwiese &lt; 40% Leg. 1 Nutzung</v>
      </c>
      <c r="CA49" s="2463"/>
      <c r="CB49" s="2463" t="str">
        <f>IFERROR(INDEX(Liste_Ackerkulturen_Gemüse_DropDown[Ackerkulturen],_xlfn.AGGREGATE(15,6,(ROW(Liste_Ackerkulturen_Gemüse_DropDown[Ackerkulturen])-1)/(--(SEARCH(CC$2,Liste_Ackerkulturen_Gemüse_DropDown[Ackerkulturen])&gt;0)),ROW()-2),1),"")</f>
        <v>Wechselwiese &lt; 40% Leg. 1 Nutzung</v>
      </c>
      <c r="CC49" s="2463"/>
      <c r="CD49" s="2464" t="str">
        <f>IFERROR(INDEX(Liste_Ackerkulturen_Gemüse_DropDown[Ackerkulturen],_xlfn.AGGREGATE(15,6,(ROW(Liste_Ackerkulturen_Gemüse_DropDown[Ackerkulturen])-1)/(--(SEARCH(CE$2,Liste_Ackerkulturen_Gemüse_DropDown[Ackerkulturen])&gt;0)),ROW()-2),1),"")</f>
        <v>Wechselwiese &lt; 40% Leg. 1 Nutzung</v>
      </c>
      <c r="CE49" s="2464"/>
      <c r="CF49" s="2464" t="str">
        <f>IFERROR(INDEX(Liste_Ackerkulturen_Gemüse_DropDown[Ackerkulturen],_xlfn.AGGREGATE(15,6,(ROW(Liste_Ackerkulturen_Gemüse_DropDown[Ackerkulturen])-1)/(--(SEARCH(CG$2,Liste_Ackerkulturen_Gemüse_DropDown[Ackerkulturen])&gt;0)),ROW()-2),1),"")</f>
        <v>Wechselwiese &lt; 40% Leg. 1 Nutzung</v>
      </c>
      <c r="CG49" s="2464"/>
      <c r="CH49" s="2464" t="str">
        <f>IFERROR(INDEX(Liste_Ackerkulturen_Gemüse_DropDown[Ackerkulturen],_xlfn.AGGREGATE(15,6,(ROW(Liste_Ackerkulturen_Gemüse_DropDown[Ackerkulturen])-1)/(--(SEARCH(CI$2,Liste_Ackerkulturen_Gemüse_DropDown[Ackerkulturen])&gt;0)),ROW()-2),1),"")</f>
        <v>Wechselwiese &lt; 40% Leg. 1 Nutzung</v>
      </c>
      <c r="CI49" s="2464"/>
      <c r="CJ49" s="2464" t="str">
        <f>IFERROR(INDEX(Liste_Ackerkulturen_Gemüse_DropDown[Ackerkulturen],_xlfn.AGGREGATE(15,6,(ROW(Liste_Ackerkulturen_Gemüse_DropDown[Ackerkulturen])-1)/(--(SEARCH(CK$2,Liste_Ackerkulturen_Gemüse_DropDown[Ackerkulturen])&gt;0)),ROW()-2),1),"")</f>
        <v>Wechselwiese &lt; 40% Leg. 1 Nutzung</v>
      </c>
      <c r="CK49" s="2464"/>
      <c r="CL49" s="2464" t="str">
        <f>IFERROR(INDEX(Liste_Ackerkulturen_Gemüse_DropDown[Ackerkulturen],_xlfn.AGGREGATE(15,6,(ROW(Liste_Ackerkulturen_Gemüse_DropDown[Ackerkulturen])-1)/(--(SEARCH(CM$2,Liste_Ackerkulturen_Gemüse_DropDown[Ackerkulturen])&gt;0)),ROW()-2),1),"")</f>
        <v>Wechselwiese &lt; 40% Leg. 1 Nutzung</v>
      </c>
      <c r="CM49" s="2464"/>
      <c r="CN49" s="2464" t="str">
        <f>IFERROR(INDEX(Liste_Ackerkulturen_Gemüse_DropDown[Ackerkulturen],_xlfn.AGGREGATE(15,6,(ROW(Liste_Ackerkulturen_Gemüse_DropDown[Ackerkulturen])-1)/(--(SEARCH(CO$2,Liste_Ackerkulturen_Gemüse_DropDown[Ackerkulturen])&gt;0)),ROW()-2),1),"")</f>
        <v>Wechselwiese &lt; 40% Leg. 1 Nutzung</v>
      </c>
      <c r="CO49" s="2464"/>
      <c r="CP49" s="2464" t="str">
        <f>IFERROR(INDEX(Liste_Ackerkulturen_Gemüse_DropDown[Ackerkulturen],_xlfn.AGGREGATE(15,6,(ROW(Liste_Ackerkulturen_Gemüse_DropDown[Ackerkulturen])-1)/(--(SEARCH(CQ$2,Liste_Ackerkulturen_Gemüse_DropDown[Ackerkulturen])&gt;0)),ROW()-2),1),"")</f>
        <v>Wechselwiese &lt; 40% Leg. 1 Nutzung</v>
      </c>
      <c r="CQ49" s="2464"/>
      <c r="CR49" s="2464" t="str">
        <f>IFERROR(INDEX(Liste_Ackerkulturen_Gemüse_DropDown[Ackerkulturen],_xlfn.AGGREGATE(15,6,(ROW(Liste_Ackerkulturen_Gemüse_DropDown[Ackerkulturen])-1)/(--(SEARCH(CS$2,Liste_Ackerkulturen_Gemüse_DropDown[Ackerkulturen])&gt;0)),ROW()-2),1),"")</f>
        <v>Wechselwiese &lt; 40% Leg. 1 Nutzung</v>
      </c>
      <c r="CS49" s="2464"/>
      <c r="CT49"/>
      <c r="CU49"/>
      <c r="CV49"/>
      <c r="CW49"/>
      <c r="CX49"/>
      <c r="CY49"/>
      <c r="CZ49"/>
      <c r="DA49"/>
      <c r="DB49"/>
      <c r="DC49"/>
      <c r="DD49"/>
      <c r="DE49"/>
      <c r="DF49"/>
      <c r="DG49"/>
      <c r="DH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c r="IL49"/>
      <c r="IM49"/>
      <c r="IN49"/>
      <c r="IO49"/>
      <c r="IP49"/>
      <c r="IQ49"/>
      <c r="IR49"/>
      <c r="IS49"/>
      <c r="IT49"/>
      <c r="IU49"/>
    </row>
    <row r="50" spans="3:255" ht="25.65" customHeight="1">
      <c r="C50" s="2672" t="s">
        <v>889</v>
      </c>
      <c r="D50" s="2673"/>
      <c r="E50" s="1526" t="s">
        <v>1997</v>
      </c>
      <c r="F50" s="2254">
        <v>110</v>
      </c>
      <c r="G50" s="1748" t="s">
        <v>1998</v>
      </c>
      <c r="H50" s="1749">
        <v>155</v>
      </c>
      <c r="I50" s="1446" t="s">
        <v>1999</v>
      </c>
      <c r="J50" s="1447">
        <v>180</v>
      </c>
      <c r="K50" s="1446" t="s">
        <v>2000</v>
      </c>
      <c r="L50" s="1447">
        <v>195</v>
      </c>
      <c r="M50" s="1446" t="s">
        <v>2001</v>
      </c>
      <c r="N50" s="1447">
        <v>210</v>
      </c>
      <c r="O50" s="1527">
        <v>140</v>
      </c>
      <c r="P50" s="1528">
        <v>160</v>
      </c>
      <c r="Q50" s="1529">
        <v>115</v>
      </c>
      <c r="R50" s="1448">
        <v>95</v>
      </c>
      <c r="S50" s="1447">
        <v>70</v>
      </c>
      <c r="T50" s="1749">
        <v>75</v>
      </c>
      <c r="U50" s="1447">
        <v>85</v>
      </c>
      <c r="V50" s="1449" t="s">
        <v>1954</v>
      </c>
      <c r="W50" s="1530" t="s">
        <v>1955</v>
      </c>
      <c r="X50" s="1529">
        <v>300</v>
      </c>
      <c r="Y50" s="1448">
        <v>250</v>
      </c>
      <c r="Z50" s="1447">
        <v>180</v>
      </c>
      <c r="AA50" s="1749">
        <v>200</v>
      </c>
      <c r="AB50" s="1447">
        <v>230</v>
      </c>
      <c r="AC50" s="1449" t="s">
        <v>1956</v>
      </c>
      <c r="AD50" s="1530" t="s">
        <v>1955</v>
      </c>
      <c r="AF50" s="1279"/>
      <c r="AM50" s="2371" t="s">
        <v>2370</v>
      </c>
      <c r="AN50" s="2368">
        <v>20</v>
      </c>
      <c r="AO50" s="2369" t="s">
        <v>1997</v>
      </c>
      <c r="AP50" s="2368">
        <v>30</v>
      </c>
      <c r="AQ50" s="2369" t="s">
        <v>1060</v>
      </c>
      <c r="AR50" s="2368">
        <v>30</v>
      </c>
      <c r="AS50" s="2369" t="s">
        <v>1060</v>
      </c>
      <c r="AT50" s="2355">
        <v>30</v>
      </c>
      <c r="AU50" s="2356" t="s">
        <v>1060</v>
      </c>
      <c r="AV50" s="2355">
        <v>30</v>
      </c>
      <c r="AW50" s="2356" t="s">
        <v>1060</v>
      </c>
      <c r="AX50" s="2370">
        <v>30</v>
      </c>
      <c r="AY50" s="2358" t="s">
        <v>1060</v>
      </c>
      <c r="AZ50" s="2370">
        <v>30</v>
      </c>
      <c r="BA50" s="2359" t="s">
        <v>1060</v>
      </c>
      <c r="BB50" s="518"/>
      <c r="BC50" s="1996">
        <v>1</v>
      </c>
      <c r="BD50" s="521"/>
      <c r="BE50" s="2371" t="s">
        <v>2370</v>
      </c>
      <c r="BF50" s="577">
        <v>15</v>
      </c>
      <c r="BG50" s="577">
        <v>30</v>
      </c>
      <c r="BH50" s="572">
        <v>30</v>
      </c>
      <c r="BJ50" s="2371" t="s">
        <v>2370</v>
      </c>
      <c r="BK50" s="577">
        <v>45</v>
      </c>
      <c r="BL50" s="577">
        <v>80</v>
      </c>
      <c r="BM50" s="572">
        <v>80</v>
      </c>
      <c r="BN50" s="506"/>
      <c r="BO50" s="1033"/>
      <c r="BP50" s="458"/>
      <c r="BQ50" s="458"/>
      <c r="BR50" s="458"/>
      <c r="BS50" s="2461" t="s">
        <v>2372</v>
      </c>
      <c r="BT50" s="2463" t="str">
        <f>IFERROR(INDEX(Liste_Ackerkulturen_Gemüse_DropDown[Ackerkulturen],_xlfn.AGGREGATE(15,6,(ROW(Liste_Ackerkulturen_Gemüse_DropDown[Ackerkulturen])-1)/(--(SEARCH(BU$2,Liste_Ackerkulturen_Gemüse_DropDown[Ackerkulturen])&gt;0)),ROW()-2),1),"")</f>
        <v>Wechselwiese &lt; 40% Leg. 2 Nutzungen</v>
      </c>
      <c r="BU50" s="2463"/>
      <c r="BV50" s="2463" t="str">
        <f>IFERROR(INDEX(Liste_Ackerkulturen_Gemüse_DropDown[Ackerkulturen],_xlfn.AGGREGATE(15,6,(ROW(Liste_Ackerkulturen_Gemüse_DropDown[Ackerkulturen])-1)/(--(SEARCH(BW$2,Liste_Ackerkulturen_Gemüse_DropDown[Ackerkulturen])&gt;0)),ROW()-2),1),"")</f>
        <v>Wechselwiese &lt; 40% Leg. 2 Nutzungen</v>
      </c>
      <c r="BW50" s="2463"/>
      <c r="BX50" s="2463" t="str">
        <f>IFERROR(INDEX(Liste_Ackerkulturen_Gemüse_DropDown[Ackerkulturen],_xlfn.AGGREGATE(15,6,(ROW(Liste_Ackerkulturen_Gemüse_DropDown[Ackerkulturen])-1)/(--(SEARCH(BY$2,Liste_Ackerkulturen_Gemüse_DropDown[Ackerkulturen])&gt;0)),ROW()-2),1),"")</f>
        <v>Wechselwiese &lt; 40% Leg. 2 Nutzungen</v>
      </c>
      <c r="BY50" s="2463"/>
      <c r="BZ50" s="2463" t="str">
        <f>IFERROR(INDEX(Liste_Ackerkulturen_Gemüse_DropDown[Ackerkulturen],_xlfn.AGGREGATE(15,6,(ROW(Liste_Ackerkulturen_Gemüse_DropDown[Ackerkulturen])-1)/(--(SEARCH(CA$2,Liste_Ackerkulturen_Gemüse_DropDown[Ackerkulturen])&gt;0)),ROW()-2),1),"")</f>
        <v>Wechselwiese &lt; 40% Leg. 2 Nutzungen</v>
      </c>
      <c r="CA50" s="2463"/>
      <c r="CB50" s="2463" t="str">
        <f>IFERROR(INDEX(Liste_Ackerkulturen_Gemüse_DropDown[Ackerkulturen],_xlfn.AGGREGATE(15,6,(ROW(Liste_Ackerkulturen_Gemüse_DropDown[Ackerkulturen])-1)/(--(SEARCH(CC$2,Liste_Ackerkulturen_Gemüse_DropDown[Ackerkulturen])&gt;0)),ROW()-2),1),"")</f>
        <v>Wechselwiese &lt; 40% Leg. 2 Nutzungen</v>
      </c>
      <c r="CC50" s="2463"/>
      <c r="CD50" s="2464" t="str">
        <f>IFERROR(INDEX(Liste_Ackerkulturen_Gemüse_DropDown[Ackerkulturen],_xlfn.AGGREGATE(15,6,(ROW(Liste_Ackerkulturen_Gemüse_DropDown[Ackerkulturen])-1)/(--(SEARCH(CE$2,Liste_Ackerkulturen_Gemüse_DropDown[Ackerkulturen])&gt;0)),ROW()-2),1),"")</f>
        <v>Wechselwiese &lt; 40% Leg. 2 Nutzungen</v>
      </c>
      <c r="CE50" s="2464"/>
      <c r="CF50" s="2464" t="str">
        <f>IFERROR(INDEX(Liste_Ackerkulturen_Gemüse_DropDown[Ackerkulturen],_xlfn.AGGREGATE(15,6,(ROW(Liste_Ackerkulturen_Gemüse_DropDown[Ackerkulturen])-1)/(--(SEARCH(CG$2,Liste_Ackerkulturen_Gemüse_DropDown[Ackerkulturen])&gt;0)),ROW()-2),1),"")</f>
        <v>Wechselwiese &lt; 40% Leg. 2 Nutzungen</v>
      </c>
      <c r="CG50" s="2464"/>
      <c r="CH50" s="2464" t="str">
        <f>IFERROR(INDEX(Liste_Ackerkulturen_Gemüse_DropDown[Ackerkulturen],_xlfn.AGGREGATE(15,6,(ROW(Liste_Ackerkulturen_Gemüse_DropDown[Ackerkulturen])-1)/(--(SEARCH(CI$2,Liste_Ackerkulturen_Gemüse_DropDown[Ackerkulturen])&gt;0)),ROW()-2),1),"")</f>
        <v>Wechselwiese &lt; 40% Leg. 2 Nutzungen</v>
      </c>
      <c r="CI50" s="2464"/>
      <c r="CJ50" s="2464" t="str">
        <f>IFERROR(INDEX(Liste_Ackerkulturen_Gemüse_DropDown[Ackerkulturen],_xlfn.AGGREGATE(15,6,(ROW(Liste_Ackerkulturen_Gemüse_DropDown[Ackerkulturen])-1)/(--(SEARCH(CK$2,Liste_Ackerkulturen_Gemüse_DropDown[Ackerkulturen])&gt;0)),ROW()-2),1),"")</f>
        <v>Wechselwiese &lt; 40% Leg. 2 Nutzungen</v>
      </c>
      <c r="CK50" s="2464"/>
      <c r="CL50" s="2464" t="str">
        <f>IFERROR(INDEX(Liste_Ackerkulturen_Gemüse_DropDown[Ackerkulturen],_xlfn.AGGREGATE(15,6,(ROW(Liste_Ackerkulturen_Gemüse_DropDown[Ackerkulturen])-1)/(--(SEARCH(CM$2,Liste_Ackerkulturen_Gemüse_DropDown[Ackerkulturen])&gt;0)),ROW()-2),1),"")</f>
        <v>Wechselwiese &lt; 40% Leg. 2 Nutzungen</v>
      </c>
      <c r="CM50" s="2464"/>
      <c r="CN50" s="2464" t="str">
        <f>IFERROR(INDEX(Liste_Ackerkulturen_Gemüse_DropDown[Ackerkulturen],_xlfn.AGGREGATE(15,6,(ROW(Liste_Ackerkulturen_Gemüse_DropDown[Ackerkulturen])-1)/(--(SEARCH(CO$2,Liste_Ackerkulturen_Gemüse_DropDown[Ackerkulturen])&gt;0)),ROW()-2),1),"")</f>
        <v>Wechselwiese &lt; 40% Leg. 2 Nutzungen</v>
      </c>
      <c r="CO50" s="2464"/>
      <c r="CP50" s="2464" t="str">
        <f>IFERROR(INDEX(Liste_Ackerkulturen_Gemüse_DropDown[Ackerkulturen],_xlfn.AGGREGATE(15,6,(ROW(Liste_Ackerkulturen_Gemüse_DropDown[Ackerkulturen])-1)/(--(SEARCH(CQ$2,Liste_Ackerkulturen_Gemüse_DropDown[Ackerkulturen])&gt;0)),ROW()-2),1),"")</f>
        <v>Wechselwiese &lt; 40% Leg. 2 Nutzungen</v>
      </c>
      <c r="CQ50" s="2464"/>
      <c r="CR50" s="2464" t="str">
        <f>IFERROR(INDEX(Liste_Ackerkulturen_Gemüse_DropDown[Ackerkulturen],_xlfn.AGGREGATE(15,6,(ROW(Liste_Ackerkulturen_Gemüse_DropDown[Ackerkulturen])-1)/(--(SEARCH(CS$2,Liste_Ackerkulturen_Gemüse_DropDown[Ackerkulturen])&gt;0)),ROW()-2),1),"")</f>
        <v>Wechselwiese &lt; 40% Leg. 2 Nutzungen</v>
      </c>
      <c r="CS50" s="2464"/>
      <c r="CT50"/>
      <c r="CU50"/>
      <c r="CV50"/>
      <c r="CW50"/>
      <c r="CX50"/>
      <c r="CY50"/>
      <c r="CZ50"/>
      <c r="DA50"/>
      <c r="DB50"/>
      <c r="DC50"/>
      <c r="DD50"/>
      <c r="DE50"/>
      <c r="DF50"/>
      <c r="DG50"/>
      <c r="DH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c r="HR50"/>
      <c r="HS50"/>
      <c r="HT50"/>
      <c r="HU50"/>
      <c r="HV50"/>
      <c r="HW50"/>
      <c r="HX50"/>
      <c r="HY50"/>
      <c r="HZ50"/>
      <c r="IA50"/>
      <c r="IB50"/>
      <c r="IC50"/>
      <c r="ID50"/>
      <c r="IE50"/>
      <c r="IF50"/>
      <c r="IG50"/>
      <c r="IH50"/>
      <c r="II50"/>
      <c r="IJ50"/>
      <c r="IK50"/>
      <c r="IL50"/>
      <c r="IM50"/>
      <c r="IN50"/>
      <c r="IO50"/>
      <c r="IP50"/>
      <c r="IQ50"/>
      <c r="IR50"/>
      <c r="IS50"/>
      <c r="IT50"/>
      <c r="IU50"/>
    </row>
    <row r="51" spans="3:255" ht="25.65" customHeight="1">
      <c r="C51" s="2672" t="s">
        <v>740</v>
      </c>
      <c r="D51" s="2673"/>
      <c r="E51" s="1526" t="s">
        <v>2002</v>
      </c>
      <c r="F51" s="2254">
        <v>60</v>
      </c>
      <c r="G51" s="1748" t="s">
        <v>2003</v>
      </c>
      <c r="H51" s="1749">
        <v>60</v>
      </c>
      <c r="I51" s="1446" t="s">
        <v>447</v>
      </c>
      <c r="J51" s="1447">
        <v>60</v>
      </c>
      <c r="K51" s="1446" t="s">
        <v>447</v>
      </c>
      <c r="L51" s="1447">
        <v>60</v>
      </c>
      <c r="M51" s="1446" t="s">
        <v>447</v>
      </c>
      <c r="N51" s="1447">
        <v>60</v>
      </c>
      <c r="O51" s="1531">
        <v>0</v>
      </c>
      <c r="P51" s="1528">
        <v>0</v>
      </c>
      <c r="Q51" s="1529">
        <v>100</v>
      </c>
      <c r="R51" s="1448">
        <v>80</v>
      </c>
      <c r="S51" s="1447">
        <v>60</v>
      </c>
      <c r="T51" s="1749">
        <v>65</v>
      </c>
      <c r="U51" s="1447">
        <v>75</v>
      </c>
      <c r="V51" s="1449" t="s">
        <v>1954</v>
      </c>
      <c r="W51" s="1530" t="s">
        <v>1955</v>
      </c>
      <c r="X51" s="1529">
        <v>180</v>
      </c>
      <c r="Y51" s="1448">
        <v>150</v>
      </c>
      <c r="Z51" s="1447">
        <v>110</v>
      </c>
      <c r="AA51" s="1749">
        <v>120</v>
      </c>
      <c r="AB51" s="1447">
        <v>140</v>
      </c>
      <c r="AC51" s="1449" t="s">
        <v>1956</v>
      </c>
      <c r="AD51" s="1530" t="s">
        <v>1955</v>
      </c>
      <c r="AF51" s="1279"/>
      <c r="AM51" s="2371" t="s">
        <v>2371</v>
      </c>
      <c r="AN51" s="2272">
        <v>60</v>
      </c>
      <c r="AO51" s="2279" t="s">
        <v>1071</v>
      </c>
      <c r="AP51" s="2272">
        <v>90</v>
      </c>
      <c r="AQ51" s="2283" t="s">
        <v>1063</v>
      </c>
      <c r="AR51" s="2272">
        <v>90</v>
      </c>
      <c r="AS51" s="2283" t="s">
        <v>1063</v>
      </c>
      <c r="AT51" s="2284">
        <v>90</v>
      </c>
      <c r="AU51" s="2285" t="s">
        <v>1063</v>
      </c>
      <c r="AV51" s="2284">
        <v>90</v>
      </c>
      <c r="AW51" s="2285" t="s">
        <v>1063</v>
      </c>
      <c r="AX51" s="2277">
        <v>90</v>
      </c>
      <c r="AY51" s="2278" t="s">
        <v>1063</v>
      </c>
      <c r="AZ51" s="2277">
        <v>90</v>
      </c>
      <c r="BA51" s="2303" t="s">
        <v>1063</v>
      </c>
      <c r="BB51" s="518"/>
      <c r="BC51" s="1996">
        <v>1</v>
      </c>
      <c r="BD51" s="521"/>
      <c r="BE51" s="2371" t="s">
        <v>2371</v>
      </c>
      <c r="BF51" s="577">
        <v>30</v>
      </c>
      <c r="BG51" s="577">
        <v>45</v>
      </c>
      <c r="BH51" s="577">
        <v>45</v>
      </c>
      <c r="BJ51" s="2371" t="s">
        <v>2371</v>
      </c>
      <c r="BK51" s="578">
        <v>80</v>
      </c>
      <c r="BL51" s="577">
        <v>120</v>
      </c>
      <c r="BM51" s="577">
        <v>120</v>
      </c>
      <c r="BN51" s="506"/>
      <c r="BO51" s="1033"/>
      <c r="BP51" s="458"/>
      <c r="BQ51" s="458"/>
      <c r="BR51" s="458"/>
      <c r="BS51" s="2461" t="s">
        <v>2373</v>
      </c>
      <c r="BT51" s="2463" t="str">
        <f>IFERROR(INDEX(Liste_Ackerkulturen_Gemüse_DropDown[Ackerkulturen],_xlfn.AGGREGATE(15,6,(ROW(Liste_Ackerkulturen_Gemüse_DropDown[Ackerkulturen])-1)/(--(SEARCH(BU$2,Liste_Ackerkulturen_Gemüse_DropDown[Ackerkulturen])&gt;0)),ROW()-2),1),"")</f>
        <v>Wechselwiese &lt; 40% Leg. 3 Nutzungen</v>
      </c>
      <c r="BU51" s="2463"/>
      <c r="BV51" s="2463" t="str">
        <f>IFERROR(INDEX(Liste_Ackerkulturen_Gemüse_DropDown[Ackerkulturen],_xlfn.AGGREGATE(15,6,(ROW(Liste_Ackerkulturen_Gemüse_DropDown[Ackerkulturen])-1)/(--(SEARCH(BW$2,Liste_Ackerkulturen_Gemüse_DropDown[Ackerkulturen])&gt;0)),ROW()-2),1),"")</f>
        <v>Wechselwiese &lt; 40% Leg. 3 Nutzungen</v>
      </c>
      <c r="BW51" s="2463"/>
      <c r="BX51" s="2463" t="str">
        <f>IFERROR(INDEX(Liste_Ackerkulturen_Gemüse_DropDown[Ackerkulturen],_xlfn.AGGREGATE(15,6,(ROW(Liste_Ackerkulturen_Gemüse_DropDown[Ackerkulturen])-1)/(--(SEARCH(BY$2,Liste_Ackerkulturen_Gemüse_DropDown[Ackerkulturen])&gt;0)),ROW()-2),1),"")</f>
        <v>Wechselwiese &lt; 40% Leg. 3 Nutzungen</v>
      </c>
      <c r="BY51" s="2463"/>
      <c r="BZ51" s="2463" t="str">
        <f>IFERROR(INDEX(Liste_Ackerkulturen_Gemüse_DropDown[Ackerkulturen],_xlfn.AGGREGATE(15,6,(ROW(Liste_Ackerkulturen_Gemüse_DropDown[Ackerkulturen])-1)/(--(SEARCH(CA$2,Liste_Ackerkulturen_Gemüse_DropDown[Ackerkulturen])&gt;0)),ROW()-2),1),"")</f>
        <v>Wechselwiese &lt; 40% Leg. 3 Nutzungen</v>
      </c>
      <c r="CA51" s="2463"/>
      <c r="CB51" s="2463" t="str">
        <f>IFERROR(INDEX(Liste_Ackerkulturen_Gemüse_DropDown[Ackerkulturen],_xlfn.AGGREGATE(15,6,(ROW(Liste_Ackerkulturen_Gemüse_DropDown[Ackerkulturen])-1)/(--(SEARCH(CC$2,Liste_Ackerkulturen_Gemüse_DropDown[Ackerkulturen])&gt;0)),ROW()-2),1),"")</f>
        <v>Wechselwiese &lt; 40% Leg. 3 Nutzungen</v>
      </c>
      <c r="CC51" s="2463"/>
      <c r="CD51" s="2464" t="str">
        <f>IFERROR(INDEX(Liste_Ackerkulturen_Gemüse_DropDown[Ackerkulturen],_xlfn.AGGREGATE(15,6,(ROW(Liste_Ackerkulturen_Gemüse_DropDown[Ackerkulturen])-1)/(--(SEARCH(CE$2,Liste_Ackerkulturen_Gemüse_DropDown[Ackerkulturen])&gt;0)),ROW()-2),1),"")</f>
        <v>Wechselwiese &lt; 40% Leg. 3 Nutzungen</v>
      </c>
      <c r="CE51" s="2464"/>
      <c r="CF51" s="2464" t="str">
        <f>IFERROR(INDEX(Liste_Ackerkulturen_Gemüse_DropDown[Ackerkulturen],_xlfn.AGGREGATE(15,6,(ROW(Liste_Ackerkulturen_Gemüse_DropDown[Ackerkulturen])-1)/(--(SEARCH(CG$2,Liste_Ackerkulturen_Gemüse_DropDown[Ackerkulturen])&gt;0)),ROW()-2),1),"")</f>
        <v>Wechselwiese &lt; 40% Leg. 3 Nutzungen</v>
      </c>
      <c r="CG51" s="2464"/>
      <c r="CH51" s="2464" t="str">
        <f>IFERROR(INDEX(Liste_Ackerkulturen_Gemüse_DropDown[Ackerkulturen],_xlfn.AGGREGATE(15,6,(ROW(Liste_Ackerkulturen_Gemüse_DropDown[Ackerkulturen])-1)/(--(SEARCH(CI$2,Liste_Ackerkulturen_Gemüse_DropDown[Ackerkulturen])&gt;0)),ROW()-2),1),"")</f>
        <v>Wechselwiese &lt; 40% Leg. 3 Nutzungen</v>
      </c>
      <c r="CI51" s="2464"/>
      <c r="CJ51" s="2464" t="str">
        <f>IFERROR(INDEX(Liste_Ackerkulturen_Gemüse_DropDown[Ackerkulturen],_xlfn.AGGREGATE(15,6,(ROW(Liste_Ackerkulturen_Gemüse_DropDown[Ackerkulturen])-1)/(--(SEARCH(CK$2,Liste_Ackerkulturen_Gemüse_DropDown[Ackerkulturen])&gt;0)),ROW()-2),1),"")</f>
        <v>Wechselwiese &lt; 40% Leg. 3 Nutzungen</v>
      </c>
      <c r="CK51" s="2464"/>
      <c r="CL51" s="2464" t="str">
        <f>IFERROR(INDEX(Liste_Ackerkulturen_Gemüse_DropDown[Ackerkulturen],_xlfn.AGGREGATE(15,6,(ROW(Liste_Ackerkulturen_Gemüse_DropDown[Ackerkulturen])-1)/(--(SEARCH(CM$2,Liste_Ackerkulturen_Gemüse_DropDown[Ackerkulturen])&gt;0)),ROW()-2),1),"")</f>
        <v>Wechselwiese &lt; 40% Leg. 3 Nutzungen</v>
      </c>
      <c r="CM51" s="2464"/>
      <c r="CN51" s="2464" t="str">
        <f>IFERROR(INDEX(Liste_Ackerkulturen_Gemüse_DropDown[Ackerkulturen],_xlfn.AGGREGATE(15,6,(ROW(Liste_Ackerkulturen_Gemüse_DropDown[Ackerkulturen])-1)/(--(SEARCH(CO$2,Liste_Ackerkulturen_Gemüse_DropDown[Ackerkulturen])&gt;0)),ROW()-2),1),"")</f>
        <v>Wechselwiese &lt; 40% Leg. 3 Nutzungen</v>
      </c>
      <c r="CO51" s="2464"/>
      <c r="CP51" s="2464" t="str">
        <f>IFERROR(INDEX(Liste_Ackerkulturen_Gemüse_DropDown[Ackerkulturen],_xlfn.AGGREGATE(15,6,(ROW(Liste_Ackerkulturen_Gemüse_DropDown[Ackerkulturen])-1)/(--(SEARCH(CQ$2,Liste_Ackerkulturen_Gemüse_DropDown[Ackerkulturen])&gt;0)),ROW()-2),1),"")</f>
        <v>Wechselwiese &lt; 40% Leg. 3 Nutzungen</v>
      </c>
      <c r="CQ51" s="2464"/>
      <c r="CR51" s="2464" t="str">
        <f>IFERROR(INDEX(Liste_Ackerkulturen_Gemüse_DropDown[Ackerkulturen],_xlfn.AGGREGATE(15,6,(ROW(Liste_Ackerkulturen_Gemüse_DropDown[Ackerkulturen])-1)/(--(SEARCH(CS$2,Liste_Ackerkulturen_Gemüse_DropDown[Ackerkulturen])&gt;0)),ROW()-2),1),"")</f>
        <v>Wechselwiese &lt; 40% Leg. 3 Nutzungen</v>
      </c>
      <c r="CS51" s="2464"/>
      <c r="CT51"/>
      <c r="CU51"/>
      <c r="CV51"/>
      <c r="CW51"/>
      <c r="CX51"/>
      <c r="CY51"/>
      <c r="CZ51"/>
      <c r="DA51"/>
      <c r="DB51"/>
      <c r="DC51"/>
      <c r="DD51"/>
      <c r="DE51"/>
      <c r="DF51"/>
      <c r="DG51"/>
      <c r="DH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c r="II51"/>
      <c r="IJ51"/>
      <c r="IK51"/>
      <c r="IL51"/>
      <c r="IM51"/>
      <c r="IN51"/>
      <c r="IO51"/>
      <c r="IP51"/>
      <c r="IQ51"/>
      <c r="IR51"/>
      <c r="IS51"/>
      <c r="IT51"/>
      <c r="IU51"/>
    </row>
    <row r="52" spans="3:255" ht="25.65" customHeight="1">
      <c r="C52" s="2672" t="s">
        <v>722</v>
      </c>
      <c r="D52" s="2673"/>
      <c r="E52" s="1526" t="s">
        <v>448</v>
      </c>
      <c r="F52" s="2254">
        <v>60</v>
      </c>
      <c r="G52" s="1748" t="s">
        <v>449</v>
      </c>
      <c r="H52" s="1749">
        <v>60</v>
      </c>
      <c r="I52" s="1446" t="s">
        <v>450</v>
      </c>
      <c r="J52" s="1447">
        <v>60</v>
      </c>
      <c r="K52" s="1446" t="s">
        <v>450</v>
      </c>
      <c r="L52" s="1447">
        <v>60</v>
      </c>
      <c r="M52" s="1446" t="s">
        <v>450</v>
      </c>
      <c r="N52" s="1447">
        <v>60</v>
      </c>
      <c r="O52" s="1531">
        <v>0</v>
      </c>
      <c r="P52" s="1528">
        <v>0</v>
      </c>
      <c r="Q52" s="1529">
        <v>100</v>
      </c>
      <c r="R52" s="1448">
        <v>80</v>
      </c>
      <c r="S52" s="1447">
        <v>60</v>
      </c>
      <c r="T52" s="1749">
        <v>65</v>
      </c>
      <c r="U52" s="1447">
        <v>75</v>
      </c>
      <c r="V52" s="1449" t="s">
        <v>1954</v>
      </c>
      <c r="W52" s="1530" t="s">
        <v>1955</v>
      </c>
      <c r="X52" s="1529">
        <v>150</v>
      </c>
      <c r="Y52" s="1448">
        <v>125</v>
      </c>
      <c r="Z52" s="1447">
        <v>90</v>
      </c>
      <c r="AA52" s="1749">
        <v>100</v>
      </c>
      <c r="AB52" s="1447">
        <v>115</v>
      </c>
      <c r="AC52" s="1449" t="s">
        <v>1956</v>
      </c>
      <c r="AD52" s="1530" t="s">
        <v>1955</v>
      </c>
      <c r="AF52" s="1279"/>
      <c r="AM52" s="2371" t="s">
        <v>2372</v>
      </c>
      <c r="AN52" s="2272">
        <v>105</v>
      </c>
      <c r="AO52" s="2279" t="s">
        <v>1072</v>
      </c>
      <c r="AP52" s="2272">
        <v>120</v>
      </c>
      <c r="AQ52" s="2283" t="s">
        <v>1073</v>
      </c>
      <c r="AR52" s="2272">
        <v>150</v>
      </c>
      <c r="AS52" s="2283" t="s">
        <v>1977</v>
      </c>
      <c r="AT52" s="2284">
        <v>150</v>
      </c>
      <c r="AU52" s="2285" t="s">
        <v>1977</v>
      </c>
      <c r="AV52" s="2284">
        <v>150</v>
      </c>
      <c r="AW52" s="2285" t="s">
        <v>1977</v>
      </c>
      <c r="AX52" s="2277">
        <v>120</v>
      </c>
      <c r="AY52" s="2278" t="s">
        <v>1073</v>
      </c>
      <c r="AZ52" s="2277">
        <v>140</v>
      </c>
      <c r="BA52" s="2303" t="s">
        <v>1977</v>
      </c>
      <c r="BB52" s="518"/>
      <c r="BC52" s="1996">
        <v>1</v>
      </c>
      <c r="BD52" s="521"/>
      <c r="BE52" s="2371" t="s">
        <v>2372</v>
      </c>
      <c r="BF52" s="577">
        <v>45</v>
      </c>
      <c r="BG52" s="577">
        <v>65</v>
      </c>
      <c r="BH52" s="577">
        <v>80</v>
      </c>
      <c r="BI52" s="521"/>
      <c r="BJ52" s="2371" t="s">
        <v>2372</v>
      </c>
      <c r="BK52" s="578">
        <v>130</v>
      </c>
      <c r="BL52" s="577">
        <v>170</v>
      </c>
      <c r="BM52" s="577">
        <v>215</v>
      </c>
      <c r="BN52" s="506"/>
      <c r="BO52" s="1033"/>
      <c r="BP52" s="458"/>
      <c r="BQ52" s="458"/>
      <c r="BR52" s="458"/>
      <c r="BS52" s="2461" t="s">
        <v>2374</v>
      </c>
      <c r="BT52" s="2463" t="str">
        <f>IFERROR(INDEX(Liste_Ackerkulturen_Gemüse_DropDown[Ackerkulturen],_xlfn.AGGREGATE(15,6,(ROW(Liste_Ackerkulturen_Gemüse_DropDown[Ackerkulturen])-1)/(--(SEARCH(BU$2,Liste_Ackerkulturen_Gemüse_DropDown[Ackerkulturen])&gt;0)),ROW()-2),1),"")</f>
        <v>Wechselwiese &lt; 40% Leg. 4 Nutzungen</v>
      </c>
      <c r="BU52" s="2463"/>
      <c r="BV52" s="2463" t="str">
        <f>IFERROR(INDEX(Liste_Ackerkulturen_Gemüse_DropDown[Ackerkulturen],_xlfn.AGGREGATE(15,6,(ROW(Liste_Ackerkulturen_Gemüse_DropDown[Ackerkulturen])-1)/(--(SEARCH(BW$2,Liste_Ackerkulturen_Gemüse_DropDown[Ackerkulturen])&gt;0)),ROW()-2),1),"")</f>
        <v>Wechselwiese &lt; 40% Leg. 4 Nutzungen</v>
      </c>
      <c r="BW52" s="2463"/>
      <c r="BX52" s="2463" t="str">
        <f>IFERROR(INDEX(Liste_Ackerkulturen_Gemüse_DropDown[Ackerkulturen],_xlfn.AGGREGATE(15,6,(ROW(Liste_Ackerkulturen_Gemüse_DropDown[Ackerkulturen])-1)/(--(SEARCH(BY$2,Liste_Ackerkulturen_Gemüse_DropDown[Ackerkulturen])&gt;0)),ROW()-2),1),"")</f>
        <v>Wechselwiese &lt; 40% Leg. 4 Nutzungen</v>
      </c>
      <c r="BY52" s="2463"/>
      <c r="BZ52" s="2463" t="str">
        <f>IFERROR(INDEX(Liste_Ackerkulturen_Gemüse_DropDown[Ackerkulturen],_xlfn.AGGREGATE(15,6,(ROW(Liste_Ackerkulturen_Gemüse_DropDown[Ackerkulturen])-1)/(--(SEARCH(CA$2,Liste_Ackerkulturen_Gemüse_DropDown[Ackerkulturen])&gt;0)),ROW()-2),1),"")</f>
        <v>Wechselwiese &lt; 40% Leg. 4 Nutzungen</v>
      </c>
      <c r="CA52" s="2463"/>
      <c r="CB52" s="2463" t="str">
        <f>IFERROR(INDEX(Liste_Ackerkulturen_Gemüse_DropDown[Ackerkulturen],_xlfn.AGGREGATE(15,6,(ROW(Liste_Ackerkulturen_Gemüse_DropDown[Ackerkulturen])-1)/(--(SEARCH(CC$2,Liste_Ackerkulturen_Gemüse_DropDown[Ackerkulturen])&gt;0)),ROW()-2),1),"")</f>
        <v>Wechselwiese &lt; 40% Leg. 4 Nutzungen</v>
      </c>
      <c r="CC52" s="2463"/>
      <c r="CD52" s="2464" t="str">
        <f>IFERROR(INDEX(Liste_Ackerkulturen_Gemüse_DropDown[Ackerkulturen],_xlfn.AGGREGATE(15,6,(ROW(Liste_Ackerkulturen_Gemüse_DropDown[Ackerkulturen])-1)/(--(SEARCH(CE$2,Liste_Ackerkulturen_Gemüse_DropDown[Ackerkulturen])&gt;0)),ROW()-2),1),"")</f>
        <v>Wechselwiese &lt; 40% Leg. 4 Nutzungen</v>
      </c>
      <c r="CE52" s="2464"/>
      <c r="CF52" s="2464" t="str">
        <f>IFERROR(INDEX(Liste_Ackerkulturen_Gemüse_DropDown[Ackerkulturen],_xlfn.AGGREGATE(15,6,(ROW(Liste_Ackerkulturen_Gemüse_DropDown[Ackerkulturen])-1)/(--(SEARCH(CG$2,Liste_Ackerkulturen_Gemüse_DropDown[Ackerkulturen])&gt;0)),ROW()-2),1),"")</f>
        <v>Wechselwiese &lt; 40% Leg. 4 Nutzungen</v>
      </c>
      <c r="CG52" s="2464"/>
      <c r="CH52" s="2464" t="str">
        <f>IFERROR(INDEX(Liste_Ackerkulturen_Gemüse_DropDown[Ackerkulturen],_xlfn.AGGREGATE(15,6,(ROW(Liste_Ackerkulturen_Gemüse_DropDown[Ackerkulturen])-1)/(--(SEARCH(CI$2,Liste_Ackerkulturen_Gemüse_DropDown[Ackerkulturen])&gt;0)),ROW()-2),1),"")</f>
        <v>Wechselwiese &lt; 40% Leg. 4 Nutzungen</v>
      </c>
      <c r="CI52" s="2464"/>
      <c r="CJ52" s="2464" t="str">
        <f>IFERROR(INDEX(Liste_Ackerkulturen_Gemüse_DropDown[Ackerkulturen],_xlfn.AGGREGATE(15,6,(ROW(Liste_Ackerkulturen_Gemüse_DropDown[Ackerkulturen])-1)/(--(SEARCH(CK$2,Liste_Ackerkulturen_Gemüse_DropDown[Ackerkulturen])&gt;0)),ROW()-2),1),"")</f>
        <v>Wechselwiese &lt; 40% Leg. 4 Nutzungen</v>
      </c>
      <c r="CK52" s="2464"/>
      <c r="CL52" s="2464" t="str">
        <f>IFERROR(INDEX(Liste_Ackerkulturen_Gemüse_DropDown[Ackerkulturen],_xlfn.AGGREGATE(15,6,(ROW(Liste_Ackerkulturen_Gemüse_DropDown[Ackerkulturen])-1)/(--(SEARCH(CM$2,Liste_Ackerkulturen_Gemüse_DropDown[Ackerkulturen])&gt;0)),ROW()-2),1),"")</f>
        <v>Wechselwiese &lt; 40% Leg. 4 Nutzungen</v>
      </c>
      <c r="CM52" s="2464"/>
      <c r="CN52" s="2464" t="str">
        <f>IFERROR(INDEX(Liste_Ackerkulturen_Gemüse_DropDown[Ackerkulturen],_xlfn.AGGREGATE(15,6,(ROW(Liste_Ackerkulturen_Gemüse_DropDown[Ackerkulturen])-1)/(--(SEARCH(CO$2,Liste_Ackerkulturen_Gemüse_DropDown[Ackerkulturen])&gt;0)),ROW()-2),1),"")</f>
        <v>Wechselwiese &lt; 40% Leg. 4 Nutzungen</v>
      </c>
      <c r="CO52" s="2464"/>
      <c r="CP52" s="2464" t="str">
        <f>IFERROR(INDEX(Liste_Ackerkulturen_Gemüse_DropDown[Ackerkulturen],_xlfn.AGGREGATE(15,6,(ROW(Liste_Ackerkulturen_Gemüse_DropDown[Ackerkulturen])-1)/(--(SEARCH(CQ$2,Liste_Ackerkulturen_Gemüse_DropDown[Ackerkulturen])&gt;0)),ROW()-2),1),"")</f>
        <v>Wechselwiese &lt; 40% Leg. 4 Nutzungen</v>
      </c>
      <c r="CQ52" s="2464"/>
      <c r="CR52" s="2464" t="str">
        <f>IFERROR(INDEX(Liste_Ackerkulturen_Gemüse_DropDown[Ackerkulturen],_xlfn.AGGREGATE(15,6,(ROW(Liste_Ackerkulturen_Gemüse_DropDown[Ackerkulturen])-1)/(--(SEARCH(CS$2,Liste_Ackerkulturen_Gemüse_DropDown[Ackerkulturen])&gt;0)),ROW()-2),1),"")</f>
        <v>Wechselwiese &lt; 40% Leg. 4 Nutzungen</v>
      </c>
      <c r="CS52" s="2464"/>
      <c r="CT52"/>
      <c r="CU52"/>
      <c r="CV52"/>
      <c r="CW52"/>
      <c r="CX52"/>
      <c r="CY52"/>
      <c r="CZ52"/>
      <c r="DA52"/>
      <c r="DB52"/>
      <c r="DC52"/>
      <c r="DD52"/>
      <c r="DE52"/>
      <c r="DF52"/>
      <c r="DG52"/>
      <c r="DH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c r="IL52"/>
      <c r="IM52"/>
      <c r="IN52"/>
      <c r="IO52"/>
      <c r="IP52"/>
      <c r="IQ52"/>
      <c r="IR52"/>
      <c r="IS52"/>
      <c r="IT52"/>
      <c r="IU52"/>
    </row>
    <row r="53" spans="3:255" ht="21.75" customHeight="1">
      <c r="C53" s="2672" t="s">
        <v>723</v>
      </c>
      <c r="D53" s="2673"/>
      <c r="E53" s="1526" t="s">
        <v>448</v>
      </c>
      <c r="F53" s="2254">
        <v>60</v>
      </c>
      <c r="G53" s="1748" t="s">
        <v>451</v>
      </c>
      <c r="H53" s="1749">
        <v>60</v>
      </c>
      <c r="I53" s="1446" t="s">
        <v>452</v>
      </c>
      <c r="J53" s="1447">
        <v>60</v>
      </c>
      <c r="K53" s="1446" t="s">
        <v>452</v>
      </c>
      <c r="L53" s="1447">
        <v>60</v>
      </c>
      <c r="M53" s="1446" t="s">
        <v>452</v>
      </c>
      <c r="N53" s="1447">
        <v>60</v>
      </c>
      <c r="O53" s="1531">
        <v>0</v>
      </c>
      <c r="P53" s="1528">
        <v>0</v>
      </c>
      <c r="Q53" s="1529">
        <v>100</v>
      </c>
      <c r="R53" s="1448">
        <v>80</v>
      </c>
      <c r="S53" s="1447">
        <v>60</v>
      </c>
      <c r="T53" s="1749">
        <v>65</v>
      </c>
      <c r="U53" s="1447">
        <v>75</v>
      </c>
      <c r="V53" s="1449" t="s">
        <v>1954</v>
      </c>
      <c r="W53" s="1530" t="s">
        <v>1955</v>
      </c>
      <c r="X53" s="1529">
        <v>135</v>
      </c>
      <c r="Y53" s="1448">
        <v>115</v>
      </c>
      <c r="Z53" s="1447">
        <v>80</v>
      </c>
      <c r="AA53" s="1749">
        <v>90</v>
      </c>
      <c r="AB53" s="1447">
        <v>105</v>
      </c>
      <c r="AC53" s="1449" t="s">
        <v>1956</v>
      </c>
      <c r="AD53" s="1530" t="s">
        <v>1955</v>
      </c>
      <c r="AF53" s="1279"/>
      <c r="AM53" s="2371" t="s">
        <v>2373</v>
      </c>
      <c r="AN53" s="2272">
        <v>160</v>
      </c>
      <c r="AO53" s="2279" t="s">
        <v>1074</v>
      </c>
      <c r="AP53" s="2272">
        <v>160</v>
      </c>
      <c r="AQ53" s="2283" t="s">
        <v>1074</v>
      </c>
      <c r="AR53" s="2272">
        <v>200</v>
      </c>
      <c r="AS53" s="2283" t="s">
        <v>1075</v>
      </c>
      <c r="AT53" s="2284">
        <v>200</v>
      </c>
      <c r="AU53" s="2285" t="s">
        <v>1075</v>
      </c>
      <c r="AV53" s="2284">
        <v>200</v>
      </c>
      <c r="AW53" s="2285" t="s">
        <v>1075</v>
      </c>
      <c r="AX53" s="2277">
        <v>160</v>
      </c>
      <c r="AY53" s="2278" t="s">
        <v>1074</v>
      </c>
      <c r="AZ53" s="2277">
        <v>190</v>
      </c>
      <c r="BA53" s="2303" t="s">
        <v>1075</v>
      </c>
      <c r="BB53" s="518"/>
      <c r="BC53" s="1996">
        <v>1</v>
      </c>
      <c r="BD53" s="521"/>
      <c r="BE53" s="2371" t="s">
        <v>2373</v>
      </c>
      <c r="BF53" s="577">
        <v>80</v>
      </c>
      <c r="BG53" s="577">
        <v>80</v>
      </c>
      <c r="BH53" s="577">
        <v>90</v>
      </c>
      <c r="BI53" s="521"/>
      <c r="BJ53" s="2371" t="s">
        <v>2373</v>
      </c>
      <c r="BK53" s="577">
        <v>205</v>
      </c>
      <c r="BL53" s="577">
        <v>205</v>
      </c>
      <c r="BM53" s="577">
        <v>260</v>
      </c>
      <c r="BN53" s="506"/>
      <c r="BO53" s="1033"/>
      <c r="BP53" s="458"/>
      <c r="BQ53" s="458"/>
      <c r="BR53" s="458"/>
      <c r="BS53" s="2461" t="s">
        <v>2375</v>
      </c>
      <c r="BT53" s="2463" t="str">
        <f>IFERROR(INDEX(Liste_Ackerkulturen_Gemüse_DropDown[Ackerkulturen],_xlfn.AGGREGATE(15,6,(ROW(Liste_Ackerkulturen_Gemüse_DropDown[Ackerkulturen])-1)/(--(SEARCH(BU$2,Liste_Ackerkulturen_Gemüse_DropDown[Ackerkulturen])&gt;0)),ROW()-2),1),"")</f>
        <v>Wechselwiese &lt; 40% Leg. 5 Nutzungen</v>
      </c>
      <c r="BU53" s="2463"/>
      <c r="BV53" s="2463" t="str">
        <f>IFERROR(INDEX(Liste_Ackerkulturen_Gemüse_DropDown[Ackerkulturen],_xlfn.AGGREGATE(15,6,(ROW(Liste_Ackerkulturen_Gemüse_DropDown[Ackerkulturen])-1)/(--(SEARCH(BW$2,Liste_Ackerkulturen_Gemüse_DropDown[Ackerkulturen])&gt;0)),ROW()-2),1),"")</f>
        <v>Wechselwiese &lt; 40% Leg. 5 Nutzungen</v>
      </c>
      <c r="BW53" s="2463"/>
      <c r="BX53" s="2463" t="str">
        <f>IFERROR(INDEX(Liste_Ackerkulturen_Gemüse_DropDown[Ackerkulturen],_xlfn.AGGREGATE(15,6,(ROW(Liste_Ackerkulturen_Gemüse_DropDown[Ackerkulturen])-1)/(--(SEARCH(BY$2,Liste_Ackerkulturen_Gemüse_DropDown[Ackerkulturen])&gt;0)),ROW()-2),1),"")</f>
        <v>Wechselwiese &lt; 40% Leg. 5 Nutzungen</v>
      </c>
      <c r="BY53" s="2463"/>
      <c r="BZ53" s="2463" t="str">
        <f>IFERROR(INDEX(Liste_Ackerkulturen_Gemüse_DropDown[Ackerkulturen],_xlfn.AGGREGATE(15,6,(ROW(Liste_Ackerkulturen_Gemüse_DropDown[Ackerkulturen])-1)/(--(SEARCH(CA$2,Liste_Ackerkulturen_Gemüse_DropDown[Ackerkulturen])&gt;0)),ROW()-2),1),"")</f>
        <v>Wechselwiese &lt; 40% Leg. 5 Nutzungen</v>
      </c>
      <c r="CA53" s="2463"/>
      <c r="CB53" s="2463" t="str">
        <f>IFERROR(INDEX(Liste_Ackerkulturen_Gemüse_DropDown[Ackerkulturen],_xlfn.AGGREGATE(15,6,(ROW(Liste_Ackerkulturen_Gemüse_DropDown[Ackerkulturen])-1)/(--(SEARCH(CC$2,Liste_Ackerkulturen_Gemüse_DropDown[Ackerkulturen])&gt;0)),ROW()-2),1),"")</f>
        <v>Wechselwiese &lt; 40% Leg. 5 Nutzungen</v>
      </c>
      <c r="CC53" s="2463"/>
      <c r="CD53" s="2464" t="str">
        <f>IFERROR(INDEX(Liste_Ackerkulturen_Gemüse_DropDown[Ackerkulturen],_xlfn.AGGREGATE(15,6,(ROW(Liste_Ackerkulturen_Gemüse_DropDown[Ackerkulturen])-1)/(--(SEARCH(CE$2,Liste_Ackerkulturen_Gemüse_DropDown[Ackerkulturen])&gt;0)),ROW()-2),1),"")</f>
        <v>Wechselwiese &lt; 40% Leg. 5 Nutzungen</v>
      </c>
      <c r="CE53" s="2464"/>
      <c r="CF53" s="2464" t="str">
        <f>IFERROR(INDEX(Liste_Ackerkulturen_Gemüse_DropDown[Ackerkulturen],_xlfn.AGGREGATE(15,6,(ROW(Liste_Ackerkulturen_Gemüse_DropDown[Ackerkulturen])-1)/(--(SEARCH(CG$2,Liste_Ackerkulturen_Gemüse_DropDown[Ackerkulturen])&gt;0)),ROW()-2),1),"")</f>
        <v>Wechselwiese &lt; 40% Leg. 5 Nutzungen</v>
      </c>
      <c r="CG53" s="2464"/>
      <c r="CH53" s="2464" t="str">
        <f>IFERROR(INDEX(Liste_Ackerkulturen_Gemüse_DropDown[Ackerkulturen],_xlfn.AGGREGATE(15,6,(ROW(Liste_Ackerkulturen_Gemüse_DropDown[Ackerkulturen])-1)/(--(SEARCH(CI$2,Liste_Ackerkulturen_Gemüse_DropDown[Ackerkulturen])&gt;0)),ROW()-2),1),"")</f>
        <v>Wechselwiese &lt; 40% Leg. 5 Nutzungen</v>
      </c>
      <c r="CI53" s="2464"/>
      <c r="CJ53" s="2464" t="str">
        <f>IFERROR(INDEX(Liste_Ackerkulturen_Gemüse_DropDown[Ackerkulturen],_xlfn.AGGREGATE(15,6,(ROW(Liste_Ackerkulturen_Gemüse_DropDown[Ackerkulturen])-1)/(--(SEARCH(CK$2,Liste_Ackerkulturen_Gemüse_DropDown[Ackerkulturen])&gt;0)),ROW()-2),1),"")</f>
        <v>Wechselwiese &lt; 40% Leg. 5 Nutzungen</v>
      </c>
      <c r="CK53" s="2464"/>
      <c r="CL53" s="2464" t="str">
        <f>IFERROR(INDEX(Liste_Ackerkulturen_Gemüse_DropDown[Ackerkulturen],_xlfn.AGGREGATE(15,6,(ROW(Liste_Ackerkulturen_Gemüse_DropDown[Ackerkulturen])-1)/(--(SEARCH(CM$2,Liste_Ackerkulturen_Gemüse_DropDown[Ackerkulturen])&gt;0)),ROW()-2),1),"")</f>
        <v>Wechselwiese &lt; 40% Leg. 5 Nutzungen</v>
      </c>
      <c r="CM53" s="2464"/>
      <c r="CN53" s="2464" t="str">
        <f>IFERROR(INDEX(Liste_Ackerkulturen_Gemüse_DropDown[Ackerkulturen],_xlfn.AGGREGATE(15,6,(ROW(Liste_Ackerkulturen_Gemüse_DropDown[Ackerkulturen])-1)/(--(SEARCH(CO$2,Liste_Ackerkulturen_Gemüse_DropDown[Ackerkulturen])&gt;0)),ROW()-2),1),"")</f>
        <v>Wechselwiese &lt; 40% Leg. 5 Nutzungen</v>
      </c>
      <c r="CO53" s="2464"/>
      <c r="CP53" s="2464" t="str">
        <f>IFERROR(INDEX(Liste_Ackerkulturen_Gemüse_DropDown[Ackerkulturen],_xlfn.AGGREGATE(15,6,(ROW(Liste_Ackerkulturen_Gemüse_DropDown[Ackerkulturen])-1)/(--(SEARCH(CQ$2,Liste_Ackerkulturen_Gemüse_DropDown[Ackerkulturen])&gt;0)),ROW()-2),1),"")</f>
        <v>Wechselwiese &lt; 40% Leg. 5 Nutzungen</v>
      </c>
      <c r="CQ53" s="2464"/>
      <c r="CR53" s="2464" t="str">
        <f>IFERROR(INDEX(Liste_Ackerkulturen_Gemüse_DropDown[Ackerkulturen],_xlfn.AGGREGATE(15,6,(ROW(Liste_Ackerkulturen_Gemüse_DropDown[Ackerkulturen])-1)/(--(SEARCH(CS$2,Liste_Ackerkulturen_Gemüse_DropDown[Ackerkulturen])&gt;0)),ROW()-2),1),"")</f>
        <v>Wechselwiese &lt; 40% Leg. 5 Nutzungen</v>
      </c>
      <c r="CS53" s="2464"/>
      <c r="CT53"/>
      <c r="CU53"/>
      <c r="CV53"/>
      <c r="CW53"/>
      <c r="CX53"/>
      <c r="CY53"/>
      <c r="CZ53"/>
      <c r="DA53"/>
      <c r="DB53"/>
      <c r="DC53"/>
      <c r="DD53"/>
      <c r="DE53"/>
      <c r="DF53"/>
      <c r="DG53"/>
      <c r="DH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c r="IH53"/>
      <c r="II53"/>
      <c r="IJ53"/>
      <c r="IK53"/>
      <c r="IL53"/>
      <c r="IM53"/>
      <c r="IN53"/>
      <c r="IO53"/>
      <c r="IP53"/>
      <c r="IQ53"/>
      <c r="IR53"/>
      <c r="IS53"/>
      <c r="IT53"/>
      <c r="IU53"/>
    </row>
    <row r="54" spans="3:255" ht="18.75" customHeight="1">
      <c r="C54" s="2672" t="s">
        <v>724</v>
      </c>
      <c r="D54" s="2673"/>
      <c r="E54" s="1526" t="s">
        <v>2002</v>
      </c>
      <c r="F54" s="2254">
        <v>50</v>
      </c>
      <c r="G54" s="1748" t="s">
        <v>449</v>
      </c>
      <c r="H54" s="1749">
        <v>65</v>
      </c>
      <c r="I54" s="1446" t="s">
        <v>453</v>
      </c>
      <c r="J54" s="1447">
        <v>80</v>
      </c>
      <c r="K54" s="1446" t="s">
        <v>454</v>
      </c>
      <c r="L54" s="1447">
        <v>85</v>
      </c>
      <c r="M54" s="1446" t="s">
        <v>2001</v>
      </c>
      <c r="N54" s="1447">
        <v>90</v>
      </c>
      <c r="O54" s="1527">
        <v>60</v>
      </c>
      <c r="P54" s="1528">
        <v>70</v>
      </c>
      <c r="Q54" s="1529">
        <v>100</v>
      </c>
      <c r="R54" s="1448">
        <v>80</v>
      </c>
      <c r="S54" s="1447">
        <v>60</v>
      </c>
      <c r="T54" s="1749">
        <v>65</v>
      </c>
      <c r="U54" s="1447">
        <v>75</v>
      </c>
      <c r="V54" s="1449" t="s">
        <v>1954</v>
      </c>
      <c r="W54" s="1530" t="s">
        <v>1955</v>
      </c>
      <c r="X54" s="1529">
        <v>300</v>
      </c>
      <c r="Y54" s="1448">
        <v>250</v>
      </c>
      <c r="Z54" s="1447">
        <v>180</v>
      </c>
      <c r="AA54" s="1749">
        <v>200</v>
      </c>
      <c r="AB54" s="1447">
        <v>230</v>
      </c>
      <c r="AC54" s="1449" t="s">
        <v>1956</v>
      </c>
      <c r="AD54" s="1530" t="s">
        <v>1955</v>
      </c>
      <c r="AF54" s="1279"/>
      <c r="AM54" s="2371" t="s">
        <v>2374</v>
      </c>
      <c r="AN54" s="2272">
        <v>200</v>
      </c>
      <c r="AO54" s="2279" t="s">
        <v>1076</v>
      </c>
      <c r="AP54" s="2272">
        <v>200</v>
      </c>
      <c r="AQ54" s="2283" t="s">
        <v>1076</v>
      </c>
      <c r="AR54" s="2272">
        <v>240</v>
      </c>
      <c r="AS54" s="2283" t="s">
        <v>1077</v>
      </c>
      <c r="AT54" s="2284">
        <v>240</v>
      </c>
      <c r="AU54" s="2285" t="s">
        <v>1077</v>
      </c>
      <c r="AV54" s="2284">
        <v>240</v>
      </c>
      <c r="AW54" s="2285" t="s">
        <v>1077</v>
      </c>
      <c r="AX54" s="2277">
        <v>210</v>
      </c>
      <c r="AY54" s="2278" t="s">
        <v>1076</v>
      </c>
      <c r="AZ54" s="2277">
        <v>210</v>
      </c>
      <c r="BA54" s="2303" t="s">
        <v>1077</v>
      </c>
      <c r="BB54" s="518"/>
      <c r="BC54" s="1996">
        <v>1</v>
      </c>
      <c r="BD54" s="521"/>
      <c r="BE54" s="2371" t="s">
        <v>2374</v>
      </c>
      <c r="BF54" s="577">
        <v>85</v>
      </c>
      <c r="BG54" s="577">
        <v>85</v>
      </c>
      <c r="BH54" s="577">
        <v>105</v>
      </c>
      <c r="BI54" s="521"/>
      <c r="BJ54" s="2371" t="s">
        <v>2374</v>
      </c>
      <c r="BK54" s="577">
        <v>230</v>
      </c>
      <c r="BL54" s="577">
        <v>230</v>
      </c>
      <c r="BM54" s="577">
        <v>300</v>
      </c>
      <c r="BN54" s="506"/>
      <c r="BO54" s="1033"/>
      <c r="BP54" s="458"/>
      <c r="BQ54" s="458"/>
      <c r="BR54" s="458"/>
      <c r="BS54" s="2461" t="s">
        <v>2376</v>
      </c>
      <c r="BT54" s="2463" t="str">
        <f>IFERROR(INDEX(Liste_Ackerkulturen_Gemüse_DropDown[Ackerkulturen],_xlfn.AGGREGATE(15,6,(ROW(Liste_Ackerkulturen_Gemüse_DropDown[Ackerkulturen])-1)/(--(SEARCH(BU$2,Liste_Ackerkulturen_Gemüse_DropDown[Ackerkulturen])&gt;0)),ROW()-2),1),"")</f>
        <v>Wechselwiese &lt; 40% Leg. 6 Nutzungen</v>
      </c>
      <c r="BU54" s="2463"/>
      <c r="BV54" s="2463" t="str">
        <f>IFERROR(INDEX(Liste_Ackerkulturen_Gemüse_DropDown[Ackerkulturen],_xlfn.AGGREGATE(15,6,(ROW(Liste_Ackerkulturen_Gemüse_DropDown[Ackerkulturen])-1)/(--(SEARCH(BW$2,Liste_Ackerkulturen_Gemüse_DropDown[Ackerkulturen])&gt;0)),ROW()-2),1),"")</f>
        <v>Wechselwiese &lt; 40% Leg. 6 Nutzungen</v>
      </c>
      <c r="BW54" s="2463"/>
      <c r="BX54" s="2463" t="str">
        <f>IFERROR(INDEX(Liste_Ackerkulturen_Gemüse_DropDown[Ackerkulturen],_xlfn.AGGREGATE(15,6,(ROW(Liste_Ackerkulturen_Gemüse_DropDown[Ackerkulturen])-1)/(--(SEARCH(BY$2,Liste_Ackerkulturen_Gemüse_DropDown[Ackerkulturen])&gt;0)),ROW()-2),1),"")</f>
        <v>Wechselwiese &lt; 40% Leg. 6 Nutzungen</v>
      </c>
      <c r="BY54" s="2463"/>
      <c r="BZ54" s="2463" t="str">
        <f>IFERROR(INDEX(Liste_Ackerkulturen_Gemüse_DropDown[Ackerkulturen],_xlfn.AGGREGATE(15,6,(ROW(Liste_Ackerkulturen_Gemüse_DropDown[Ackerkulturen])-1)/(--(SEARCH(CA$2,Liste_Ackerkulturen_Gemüse_DropDown[Ackerkulturen])&gt;0)),ROW()-2),1),"")</f>
        <v>Wechselwiese &lt; 40% Leg. 6 Nutzungen</v>
      </c>
      <c r="CA54" s="2463"/>
      <c r="CB54" s="2463" t="str">
        <f>IFERROR(INDEX(Liste_Ackerkulturen_Gemüse_DropDown[Ackerkulturen],_xlfn.AGGREGATE(15,6,(ROW(Liste_Ackerkulturen_Gemüse_DropDown[Ackerkulturen])-1)/(--(SEARCH(CC$2,Liste_Ackerkulturen_Gemüse_DropDown[Ackerkulturen])&gt;0)),ROW()-2),1),"")</f>
        <v>Wechselwiese &lt; 40% Leg. 6 Nutzungen</v>
      </c>
      <c r="CC54" s="2463"/>
      <c r="CD54" s="2464" t="str">
        <f>IFERROR(INDEX(Liste_Ackerkulturen_Gemüse_DropDown[Ackerkulturen],_xlfn.AGGREGATE(15,6,(ROW(Liste_Ackerkulturen_Gemüse_DropDown[Ackerkulturen])-1)/(--(SEARCH(CE$2,Liste_Ackerkulturen_Gemüse_DropDown[Ackerkulturen])&gt;0)),ROW()-2),1),"")</f>
        <v>Wechselwiese &lt; 40% Leg. 6 Nutzungen</v>
      </c>
      <c r="CE54" s="2464"/>
      <c r="CF54" s="2464" t="str">
        <f>IFERROR(INDEX(Liste_Ackerkulturen_Gemüse_DropDown[Ackerkulturen],_xlfn.AGGREGATE(15,6,(ROW(Liste_Ackerkulturen_Gemüse_DropDown[Ackerkulturen])-1)/(--(SEARCH(CG$2,Liste_Ackerkulturen_Gemüse_DropDown[Ackerkulturen])&gt;0)),ROW()-2),1),"")</f>
        <v>Wechselwiese &lt; 40% Leg. 6 Nutzungen</v>
      </c>
      <c r="CG54" s="2464"/>
      <c r="CH54" s="2464" t="str">
        <f>IFERROR(INDEX(Liste_Ackerkulturen_Gemüse_DropDown[Ackerkulturen],_xlfn.AGGREGATE(15,6,(ROW(Liste_Ackerkulturen_Gemüse_DropDown[Ackerkulturen])-1)/(--(SEARCH(CI$2,Liste_Ackerkulturen_Gemüse_DropDown[Ackerkulturen])&gt;0)),ROW()-2),1),"")</f>
        <v>Wechselwiese &lt; 40% Leg. 6 Nutzungen</v>
      </c>
      <c r="CI54" s="2464"/>
      <c r="CJ54" s="2464" t="str">
        <f>IFERROR(INDEX(Liste_Ackerkulturen_Gemüse_DropDown[Ackerkulturen],_xlfn.AGGREGATE(15,6,(ROW(Liste_Ackerkulturen_Gemüse_DropDown[Ackerkulturen])-1)/(--(SEARCH(CK$2,Liste_Ackerkulturen_Gemüse_DropDown[Ackerkulturen])&gt;0)),ROW()-2),1),"")</f>
        <v>Wechselwiese &lt; 40% Leg. 6 Nutzungen</v>
      </c>
      <c r="CK54" s="2464"/>
      <c r="CL54" s="2464" t="str">
        <f>IFERROR(INDEX(Liste_Ackerkulturen_Gemüse_DropDown[Ackerkulturen],_xlfn.AGGREGATE(15,6,(ROW(Liste_Ackerkulturen_Gemüse_DropDown[Ackerkulturen])-1)/(--(SEARCH(CM$2,Liste_Ackerkulturen_Gemüse_DropDown[Ackerkulturen])&gt;0)),ROW()-2),1),"")</f>
        <v>Wechselwiese &lt; 40% Leg. 6 Nutzungen</v>
      </c>
      <c r="CM54" s="2464"/>
      <c r="CN54" s="2464" t="str">
        <f>IFERROR(INDEX(Liste_Ackerkulturen_Gemüse_DropDown[Ackerkulturen],_xlfn.AGGREGATE(15,6,(ROW(Liste_Ackerkulturen_Gemüse_DropDown[Ackerkulturen])-1)/(--(SEARCH(CO$2,Liste_Ackerkulturen_Gemüse_DropDown[Ackerkulturen])&gt;0)),ROW()-2),1),"")</f>
        <v>Wechselwiese &lt; 40% Leg. 6 Nutzungen</v>
      </c>
      <c r="CO54" s="2464"/>
      <c r="CP54" s="2464" t="str">
        <f>IFERROR(INDEX(Liste_Ackerkulturen_Gemüse_DropDown[Ackerkulturen],_xlfn.AGGREGATE(15,6,(ROW(Liste_Ackerkulturen_Gemüse_DropDown[Ackerkulturen])-1)/(--(SEARCH(CQ$2,Liste_Ackerkulturen_Gemüse_DropDown[Ackerkulturen])&gt;0)),ROW()-2),1),"")</f>
        <v>Wechselwiese &lt; 40% Leg. 6 Nutzungen</v>
      </c>
      <c r="CQ54" s="2464"/>
      <c r="CR54" s="2464" t="str">
        <f>IFERROR(INDEX(Liste_Ackerkulturen_Gemüse_DropDown[Ackerkulturen],_xlfn.AGGREGATE(15,6,(ROW(Liste_Ackerkulturen_Gemüse_DropDown[Ackerkulturen])-1)/(--(SEARCH(CS$2,Liste_Ackerkulturen_Gemüse_DropDown[Ackerkulturen])&gt;0)),ROW()-2),1),"")</f>
        <v>Wechselwiese &lt; 40% Leg. 6 Nutzungen</v>
      </c>
      <c r="CS54" s="2464"/>
      <c r="CT54"/>
      <c r="CU54"/>
      <c r="CV54"/>
      <c r="CW54"/>
      <c r="CX54"/>
      <c r="CY54"/>
      <c r="CZ54"/>
      <c r="DA54"/>
      <c r="DB54"/>
      <c r="DC54"/>
      <c r="DD54"/>
      <c r="DE54"/>
      <c r="DF54"/>
      <c r="DG54"/>
      <c r="DH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c r="GP54"/>
      <c r="GQ54"/>
      <c r="GR54"/>
      <c r="GS54"/>
      <c r="GT54"/>
      <c r="GU54"/>
      <c r="GV54"/>
      <c r="GW54"/>
      <c r="GX54"/>
      <c r="GY54"/>
      <c r="GZ54"/>
      <c r="HA54"/>
      <c r="HB54"/>
      <c r="HC54"/>
      <c r="HD54"/>
      <c r="HE54"/>
      <c r="HF54"/>
      <c r="HG54"/>
      <c r="HH54"/>
      <c r="HI54"/>
      <c r="HJ54"/>
      <c r="HK54"/>
      <c r="HL54"/>
      <c r="HM54"/>
      <c r="HN54"/>
      <c r="HO54"/>
      <c r="HP54"/>
      <c r="HQ54"/>
      <c r="HR54"/>
      <c r="HS54"/>
      <c r="HT54"/>
      <c r="HU54"/>
      <c r="HV54"/>
      <c r="HW54"/>
      <c r="HX54"/>
      <c r="HY54"/>
      <c r="HZ54"/>
      <c r="IA54"/>
      <c r="IB54"/>
      <c r="IC54"/>
      <c r="ID54"/>
      <c r="IE54"/>
      <c r="IF54"/>
      <c r="IG54"/>
      <c r="IH54"/>
      <c r="II54"/>
      <c r="IJ54"/>
      <c r="IK54"/>
      <c r="IL54"/>
      <c r="IM54"/>
      <c r="IN54"/>
      <c r="IO54"/>
      <c r="IP54"/>
      <c r="IQ54"/>
      <c r="IR54"/>
      <c r="IS54"/>
      <c r="IT54"/>
      <c r="IU54"/>
    </row>
    <row r="55" spans="3:255" ht="24" customHeight="1" thickBot="1">
      <c r="C55" s="2672" t="s">
        <v>741</v>
      </c>
      <c r="D55" s="2673"/>
      <c r="E55" s="1526" t="s">
        <v>455</v>
      </c>
      <c r="F55" s="2254">
        <v>110</v>
      </c>
      <c r="G55" s="1748" t="s">
        <v>456</v>
      </c>
      <c r="H55" s="1749">
        <v>155</v>
      </c>
      <c r="I55" s="1446" t="s">
        <v>457</v>
      </c>
      <c r="J55" s="1447">
        <v>180</v>
      </c>
      <c r="K55" s="1446"/>
      <c r="L55" s="1447">
        <v>180</v>
      </c>
      <c r="M55" s="1446"/>
      <c r="N55" s="1447">
        <v>180</v>
      </c>
      <c r="O55" s="1527">
        <v>140</v>
      </c>
      <c r="P55" s="1528">
        <v>150</v>
      </c>
      <c r="Q55" s="1529">
        <v>130</v>
      </c>
      <c r="R55" s="1448">
        <v>105</v>
      </c>
      <c r="S55" s="1447">
        <v>75</v>
      </c>
      <c r="T55" s="1749">
        <v>85</v>
      </c>
      <c r="U55" s="1447">
        <v>100</v>
      </c>
      <c r="V55" s="1449" t="s">
        <v>1954</v>
      </c>
      <c r="W55" s="1530" t="s">
        <v>1955</v>
      </c>
      <c r="X55" s="1529">
        <v>480</v>
      </c>
      <c r="Y55" s="1448">
        <v>400</v>
      </c>
      <c r="Z55" s="1447">
        <v>290</v>
      </c>
      <c r="AA55" s="1749">
        <v>320</v>
      </c>
      <c r="AB55" s="1447">
        <v>370</v>
      </c>
      <c r="AC55" s="1449" t="s">
        <v>1956</v>
      </c>
      <c r="AD55" s="1530" t="s">
        <v>1955</v>
      </c>
      <c r="AF55" s="1279"/>
      <c r="AM55" s="2371" t="s">
        <v>2375</v>
      </c>
      <c r="AN55" s="2293">
        <v>270</v>
      </c>
      <c r="AO55" s="2294" t="s">
        <v>2268</v>
      </c>
      <c r="AP55" s="2293">
        <v>270</v>
      </c>
      <c r="AQ55" s="2294" t="s">
        <v>2268</v>
      </c>
      <c r="AR55" s="2293">
        <v>270</v>
      </c>
      <c r="AS55" s="2294" t="s">
        <v>2268</v>
      </c>
      <c r="AT55" s="2296">
        <v>270</v>
      </c>
      <c r="AU55" s="2307" t="s">
        <v>2268</v>
      </c>
      <c r="AV55" s="2296">
        <v>270</v>
      </c>
      <c r="AW55" s="2307" t="s">
        <v>2268</v>
      </c>
      <c r="AX55" s="2304">
        <v>210</v>
      </c>
      <c r="AY55" s="2305" t="s">
        <v>1066</v>
      </c>
      <c r="AZ55" s="2304">
        <v>210</v>
      </c>
      <c r="BA55" s="2306" t="s">
        <v>1066</v>
      </c>
      <c r="BB55" s="518"/>
      <c r="BC55" s="1996">
        <v>1</v>
      </c>
      <c r="BD55" s="521"/>
      <c r="BE55" s="2371" t="s">
        <v>2375</v>
      </c>
      <c r="BF55" s="577">
        <v>120</v>
      </c>
      <c r="BG55" s="577">
        <v>120</v>
      </c>
      <c r="BH55" s="577">
        <v>120</v>
      </c>
      <c r="BI55" s="521"/>
      <c r="BJ55" s="2371" t="s">
        <v>2375</v>
      </c>
      <c r="BK55" s="577">
        <v>340</v>
      </c>
      <c r="BL55" s="577">
        <v>340</v>
      </c>
      <c r="BM55" s="577">
        <v>340</v>
      </c>
      <c r="BN55" s="506"/>
      <c r="BO55" s="1033"/>
      <c r="BP55" s="458"/>
      <c r="BQ55" s="458"/>
      <c r="BR55" s="458"/>
      <c r="BS55" s="2461" t="s">
        <v>2377</v>
      </c>
      <c r="BT55" s="2463" t="str">
        <f>IFERROR(INDEX(Liste_Ackerkulturen_Gemüse_DropDown[Ackerkulturen],_xlfn.AGGREGATE(15,6,(ROW(Liste_Ackerkulturen_Gemüse_DropDown[Ackerkulturen])-1)/(--(SEARCH(BU$2,Liste_Ackerkulturen_Gemüse_DropDown[Ackerkulturen])&gt;0)),ROW()-2),1),"")</f>
        <v>Wechselwiese  40 - 60% Leg. 1 Nutzung</v>
      </c>
      <c r="BU55" s="2463"/>
      <c r="BV55" s="2463" t="str">
        <f>IFERROR(INDEX(Liste_Ackerkulturen_Gemüse_DropDown[Ackerkulturen],_xlfn.AGGREGATE(15,6,(ROW(Liste_Ackerkulturen_Gemüse_DropDown[Ackerkulturen])-1)/(--(SEARCH(BW$2,Liste_Ackerkulturen_Gemüse_DropDown[Ackerkulturen])&gt;0)),ROW()-2),1),"")</f>
        <v>Wechselwiese  40 - 60% Leg. 1 Nutzung</v>
      </c>
      <c r="BW55" s="2463"/>
      <c r="BX55" s="2463" t="str">
        <f>IFERROR(INDEX(Liste_Ackerkulturen_Gemüse_DropDown[Ackerkulturen],_xlfn.AGGREGATE(15,6,(ROW(Liste_Ackerkulturen_Gemüse_DropDown[Ackerkulturen])-1)/(--(SEARCH(BY$2,Liste_Ackerkulturen_Gemüse_DropDown[Ackerkulturen])&gt;0)),ROW()-2),1),"")</f>
        <v>Wechselwiese  40 - 60% Leg. 1 Nutzung</v>
      </c>
      <c r="BY55" s="2463"/>
      <c r="BZ55" s="2463" t="str">
        <f>IFERROR(INDEX(Liste_Ackerkulturen_Gemüse_DropDown[Ackerkulturen],_xlfn.AGGREGATE(15,6,(ROW(Liste_Ackerkulturen_Gemüse_DropDown[Ackerkulturen])-1)/(--(SEARCH(CA$2,Liste_Ackerkulturen_Gemüse_DropDown[Ackerkulturen])&gt;0)),ROW()-2),1),"")</f>
        <v>Wechselwiese  40 - 60% Leg. 1 Nutzung</v>
      </c>
      <c r="CA55" s="2463"/>
      <c r="CB55" s="2463" t="str">
        <f>IFERROR(INDEX(Liste_Ackerkulturen_Gemüse_DropDown[Ackerkulturen],_xlfn.AGGREGATE(15,6,(ROW(Liste_Ackerkulturen_Gemüse_DropDown[Ackerkulturen])-1)/(--(SEARCH(CC$2,Liste_Ackerkulturen_Gemüse_DropDown[Ackerkulturen])&gt;0)),ROW()-2),1),"")</f>
        <v>Wechselwiese  40 - 60% Leg. 1 Nutzung</v>
      </c>
      <c r="CC55" s="2463"/>
      <c r="CD55" s="2464" t="str">
        <f>IFERROR(INDEX(Liste_Ackerkulturen_Gemüse_DropDown[Ackerkulturen],_xlfn.AGGREGATE(15,6,(ROW(Liste_Ackerkulturen_Gemüse_DropDown[Ackerkulturen])-1)/(--(SEARCH(CE$2,Liste_Ackerkulturen_Gemüse_DropDown[Ackerkulturen])&gt;0)),ROW()-2),1),"")</f>
        <v>Wechselwiese  40 - 60% Leg. 1 Nutzung</v>
      </c>
      <c r="CE55" s="2464"/>
      <c r="CF55" s="2464" t="str">
        <f>IFERROR(INDEX(Liste_Ackerkulturen_Gemüse_DropDown[Ackerkulturen],_xlfn.AGGREGATE(15,6,(ROW(Liste_Ackerkulturen_Gemüse_DropDown[Ackerkulturen])-1)/(--(SEARCH(CG$2,Liste_Ackerkulturen_Gemüse_DropDown[Ackerkulturen])&gt;0)),ROW()-2),1),"")</f>
        <v>Wechselwiese  40 - 60% Leg. 1 Nutzung</v>
      </c>
      <c r="CG55" s="2464"/>
      <c r="CH55" s="2464" t="str">
        <f>IFERROR(INDEX(Liste_Ackerkulturen_Gemüse_DropDown[Ackerkulturen],_xlfn.AGGREGATE(15,6,(ROW(Liste_Ackerkulturen_Gemüse_DropDown[Ackerkulturen])-1)/(--(SEARCH(CI$2,Liste_Ackerkulturen_Gemüse_DropDown[Ackerkulturen])&gt;0)),ROW()-2),1),"")</f>
        <v>Wechselwiese  40 - 60% Leg. 1 Nutzung</v>
      </c>
      <c r="CI55" s="2464"/>
      <c r="CJ55" s="2464" t="str">
        <f>IFERROR(INDEX(Liste_Ackerkulturen_Gemüse_DropDown[Ackerkulturen],_xlfn.AGGREGATE(15,6,(ROW(Liste_Ackerkulturen_Gemüse_DropDown[Ackerkulturen])-1)/(--(SEARCH(CK$2,Liste_Ackerkulturen_Gemüse_DropDown[Ackerkulturen])&gt;0)),ROW()-2),1),"")</f>
        <v>Wechselwiese  40 - 60% Leg. 1 Nutzung</v>
      </c>
      <c r="CK55" s="2464"/>
      <c r="CL55" s="2464" t="str">
        <f>IFERROR(INDEX(Liste_Ackerkulturen_Gemüse_DropDown[Ackerkulturen],_xlfn.AGGREGATE(15,6,(ROW(Liste_Ackerkulturen_Gemüse_DropDown[Ackerkulturen])-1)/(--(SEARCH(CM$2,Liste_Ackerkulturen_Gemüse_DropDown[Ackerkulturen])&gt;0)),ROW()-2),1),"")</f>
        <v>Wechselwiese  40 - 60% Leg. 1 Nutzung</v>
      </c>
      <c r="CM55" s="2464"/>
      <c r="CN55" s="2464" t="str">
        <f>IFERROR(INDEX(Liste_Ackerkulturen_Gemüse_DropDown[Ackerkulturen],_xlfn.AGGREGATE(15,6,(ROW(Liste_Ackerkulturen_Gemüse_DropDown[Ackerkulturen])-1)/(--(SEARCH(CO$2,Liste_Ackerkulturen_Gemüse_DropDown[Ackerkulturen])&gt;0)),ROW()-2),1),"")</f>
        <v>Wechselwiese  40 - 60% Leg. 1 Nutzung</v>
      </c>
      <c r="CO55" s="2464"/>
      <c r="CP55" s="2464" t="str">
        <f>IFERROR(INDEX(Liste_Ackerkulturen_Gemüse_DropDown[Ackerkulturen],_xlfn.AGGREGATE(15,6,(ROW(Liste_Ackerkulturen_Gemüse_DropDown[Ackerkulturen])-1)/(--(SEARCH(CQ$2,Liste_Ackerkulturen_Gemüse_DropDown[Ackerkulturen])&gt;0)),ROW()-2),1),"")</f>
        <v>Wechselwiese  40 - 60% Leg. 1 Nutzung</v>
      </c>
      <c r="CQ55" s="2464"/>
      <c r="CR55" s="2464" t="str">
        <f>IFERROR(INDEX(Liste_Ackerkulturen_Gemüse_DropDown[Ackerkulturen],_xlfn.AGGREGATE(15,6,(ROW(Liste_Ackerkulturen_Gemüse_DropDown[Ackerkulturen])-1)/(--(SEARCH(CS$2,Liste_Ackerkulturen_Gemüse_DropDown[Ackerkulturen])&gt;0)),ROW()-2),1),"")</f>
        <v>Wechselwiese  40 - 60% Leg. 1 Nutzung</v>
      </c>
      <c r="CS55" s="2464"/>
      <c r="CT55"/>
      <c r="CU55"/>
      <c r="CV55"/>
      <c r="CW55"/>
      <c r="CX55"/>
      <c r="CY55"/>
      <c r="CZ55"/>
      <c r="DA55"/>
      <c r="DB55"/>
      <c r="DC55"/>
      <c r="DD55"/>
      <c r="DE55"/>
      <c r="DF55"/>
      <c r="DG55"/>
      <c r="DH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c r="GX55"/>
      <c r="GY55"/>
      <c r="GZ55"/>
      <c r="HA55"/>
      <c r="HB55"/>
      <c r="HC55"/>
      <c r="HD55"/>
      <c r="HE55"/>
      <c r="HF55"/>
      <c r="HG55"/>
      <c r="HH55"/>
      <c r="HI55"/>
      <c r="HJ55"/>
      <c r="HK55"/>
      <c r="HL55"/>
      <c r="HM55"/>
      <c r="HN55"/>
      <c r="HO55"/>
      <c r="HP55"/>
      <c r="HQ55"/>
      <c r="HR55"/>
      <c r="HS55"/>
      <c r="HT55"/>
      <c r="HU55"/>
      <c r="HV55"/>
      <c r="HW55"/>
      <c r="HX55"/>
      <c r="HY55"/>
      <c r="HZ55"/>
      <c r="IA55"/>
      <c r="IB55"/>
      <c r="IC55"/>
      <c r="ID55"/>
      <c r="IE55"/>
      <c r="IF55"/>
      <c r="IG55"/>
      <c r="IH55"/>
      <c r="II55"/>
      <c r="IJ55"/>
      <c r="IK55"/>
      <c r="IL55"/>
      <c r="IM55"/>
      <c r="IN55"/>
      <c r="IO55"/>
      <c r="IP55"/>
      <c r="IQ55"/>
      <c r="IR55"/>
      <c r="IS55"/>
      <c r="IT55"/>
      <c r="IU55"/>
    </row>
    <row r="56" spans="3:255" ht="24.75" customHeight="1">
      <c r="C56" s="2672" t="s">
        <v>890</v>
      </c>
      <c r="D56" s="2673"/>
      <c r="E56" s="1526" t="s">
        <v>1992</v>
      </c>
      <c r="F56" s="2254">
        <v>110</v>
      </c>
      <c r="G56" s="1748" t="s">
        <v>458</v>
      </c>
      <c r="H56" s="1749">
        <v>155</v>
      </c>
      <c r="I56" s="1446" t="s">
        <v>459</v>
      </c>
      <c r="J56" s="1447">
        <v>180</v>
      </c>
      <c r="K56" s="1446" t="s">
        <v>460</v>
      </c>
      <c r="L56" s="1447">
        <v>195</v>
      </c>
      <c r="M56" s="1446" t="s">
        <v>461</v>
      </c>
      <c r="N56" s="1447">
        <v>210</v>
      </c>
      <c r="O56" s="1527">
        <v>110</v>
      </c>
      <c r="P56" s="1528">
        <v>130</v>
      </c>
      <c r="Q56" s="1529">
        <v>130</v>
      </c>
      <c r="R56" s="1448">
        <v>105</v>
      </c>
      <c r="S56" s="1447">
        <v>75</v>
      </c>
      <c r="T56" s="1749">
        <v>85</v>
      </c>
      <c r="U56" s="1447">
        <v>100</v>
      </c>
      <c r="V56" s="1449" t="s">
        <v>1954</v>
      </c>
      <c r="W56" s="1530" t="s">
        <v>1955</v>
      </c>
      <c r="X56" s="1529">
        <v>480</v>
      </c>
      <c r="Y56" s="1448">
        <v>400</v>
      </c>
      <c r="Z56" s="1447">
        <v>290</v>
      </c>
      <c r="AA56" s="1749">
        <v>320</v>
      </c>
      <c r="AB56" s="1447">
        <v>370</v>
      </c>
      <c r="AC56" s="1449" t="s">
        <v>1956</v>
      </c>
      <c r="AD56" s="1530" t="s">
        <v>1955</v>
      </c>
      <c r="AF56" s="1279"/>
      <c r="AM56" s="2371" t="s">
        <v>2376</v>
      </c>
      <c r="AN56" s="2368">
        <v>20</v>
      </c>
      <c r="AO56" s="2369" t="s">
        <v>1997</v>
      </c>
      <c r="AP56" s="2368">
        <v>30</v>
      </c>
      <c r="AQ56" s="2369" t="s">
        <v>1060</v>
      </c>
      <c r="AR56" s="2368">
        <v>30</v>
      </c>
      <c r="AS56" s="2369" t="s">
        <v>1060</v>
      </c>
      <c r="AT56" s="2355">
        <v>30</v>
      </c>
      <c r="AU56" s="2356" t="s">
        <v>1060</v>
      </c>
      <c r="AV56" s="2355">
        <v>30</v>
      </c>
      <c r="AW56" s="2356" t="s">
        <v>1060</v>
      </c>
      <c r="AX56" s="2370">
        <v>25</v>
      </c>
      <c r="AY56" s="2358" t="s">
        <v>1060</v>
      </c>
      <c r="AZ56" s="2370">
        <v>25</v>
      </c>
      <c r="BA56" s="2359" t="s">
        <v>1060</v>
      </c>
      <c r="BB56" s="518"/>
      <c r="BC56" s="1996">
        <v>1</v>
      </c>
      <c r="BD56" s="521"/>
      <c r="BE56" s="2371" t="s">
        <v>2376</v>
      </c>
      <c r="BF56" s="577">
        <v>15</v>
      </c>
      <c r="BG56" s="577">
        <v>30</v>
      </c>
      <c r="BH56" s="572">
        <v>30</v>
      </c>
      <c r="BJ56" s="2371" t="s">
        <v>2376</v>
      </c>
      <c r="BK56" s="577">
        <v>45</v>
      </c>
      <c r="BL56" s="577">
        <v>80</v>
      </c>
      <c r="BM56" s="572">
        <v>80</v>
      </c>
      <c r="BN56" s="506"/>
      <c r="BO56" s="1033"/>
      <c r="BP56" s="458"/>
      <c r="BQ56" s="458"/>
      <c r="BR56" s="458"/>
      <c r="BS56" s="2461" t="s">
        <v>2378</v>
      </c>
      <c r="BT56" s="2463" t="str">
        <f>IFERROR(INDEX(Liste_Ackerkulturen_Gemüse_DropDown[Ackerkulturen],_xlfn.AGGREGATE(15,6,(ROW(Liste_Ackerkulturen_Gemüse_DropDown[Ackerkulturen])-1)/(--(SEARCH(BU$2,Liste_Ackerkulturen_Gemüse_DropDown[Ackerkulturen])&gt;0)),ROW()-2),1),"")</f>
        <v>Wechselwiese  40 - 60% Leg. 2 Nutzungen</v>
      </c>
      <c r="BU56" s="2463"/>
      <c r="BV56" s="2463" t="str">
        <f>IFERROR(INDEX(Liste_Ackerkulturen_Gemüse_DropDown[Ackerkulturen],_xlfn.AGGREGATE(15,6,(ROW(Liste_Ackerkulturen_Gemüse_DropDown[Ackerkulturen])-1)/(--(SEARCH(BW$2,Liste_Ackerkulturen_Gemüse_DropDown[Ackerkulturen])&gt;0)),ROW()-2),1),"")</f>
        <v>Wechselwiese  40 - 60% Leg. 2 Nutzungen</v>
      </c>
      <c r="BW56" s="2463"/>
      <c r="BX56" s="2463" t="str">
        <f>IFERROR(INDEX(Liste_Ackerkulturen_Gemüse_DropDown[Ackerkulturen],_xlfn.AGGREGATE(15,6,(ROW(Liste_Ackerkulturen_Gemüse_DropDown[Ackerkulturen])-1)/(--(SEARCH(BY$2,Liste_Ackerkulturen_Gemüse_DropDown[Ackerkulturen])&gt;0)),ROW()-2),1),"")</f>
        <v>Wechselwiese  40 - 60% Leg. 2 Nutzungen</v>
      </c>
      <c r="BY56" s="2463"/>
      <c r="BZ56" s="2463" t="str">
        <f>IFERROR(INDEX(Liste_Ackerkulturen_Gemüse_DropDown[Ackerkulturen],_xlfn.AGGREGATE(15,6,(ROW(Liste_Ackerkulturen_Gemüse_DropDown[Ackerkulturen])-1)/(--(SEARCH(CA$2,Liste_Ackerkulturen_Gemüse_DropDown[Ackerkulturen])&gt;0)),ROW()-2),1),"")</f>
        <v>Wechselwiese  40 - 60% Leg. 2 Nutzungen</v>
      </c>
      <c r="CA56" s="2463"/>
      <c r="CB56" s="2463" t="str">
        <f>IFERROR(INDEX(Liste_Ackerkulturen_Gemüse_DropDown[Ackerkulturen],_xlfn.AGGREGATE(15,6,(ROW(Liste_Ackerkulturen_Gemüse_DropDown[Ackerkulturen])-1)/(--(SEARCH(CC$2,Liste_Ackerkulturen_Gemüse_DropDown[Ackerkulturen])&gt;0)),ROW()-2),1),"")</f>
        <v>Wechselwiese  40 - 60% Leg. 2 Nutzungen</v>
      </c>
      <c r="CC56" s="2463"/>
      <c r="CD56" s="2464" t="str">
        <f>IFERROR(INDEX(Liste_Ackerkulturen_Gemüse_DropDown[Ackerkulturen],_xlfn.AGGREGATE(15,6,(ROW(Liste_Ackerkulturen_Gemüse_DropDown[Ackerkulturen])-1)/(--(SEARCH(CE$2,Liste_Ackerkulturen_Gemüse_DropDown[Ackerkulturen])&gt;0)),ROW()-2),1),"")</f>
        <v>Wechselwiese  40 - 60% Leg. 2 Nutzungen</v>
      </c>
      <c r="CE56" s="2464"/>
      <c r="CF56" s="2464" t="str">
        <f>IFERROR(INDEX(Liste_Ackerkulturen_Gemüse_DropDown[Ackerkulturen],_xlfn.AGGREGATE(15,6,(ROW(Liste_Ackerkulturen_Gemüse_DropDown[Ackerkulturen])-1)/(--(SEARCH(CG$2,Liste_Ackerkulturen_Gemüse_DropDown[Ackerkulturen])&gt;0)),ROW()-2),1),"")</f>
        <v>Wechselwiese  40 - 60% Leg. 2 Nutzungen</v>
      </c>
      <c r="CG56" s="2464"/>
      <c r="CH56" s="2464" t="str">
        <f>IFERROR(INDEX(Liste_Ackerkulturen_Gemüse_DropDown[Ackerkulturen],_xlfn.AGGREGATE(15,6,(ROW(Liste_Ackerkulturen_Gemüse_DropDown[Ackerkulturen])-1)/(--(SEARCH(CI$2,Liste_Ackerkulturen_Gemüse_DropDown[Ackerkulturen])&gt;0)),ROW()-2),1),"")</f>
        <v>Wechselwiese  40 - 60% Leg. 2 Nutzungen</v>
      </c>
      <c r="CI56" s="2464"/>
      <c r="CJ56" s="2464" t="str">
        <f>IFERROR(INDEX(Liste_Ackerkulturen_Gemüse_DropDown[Ackerkulturen],_xlfn.AGGREGATE(15,6,(ROW(Liste_Ackerkulturen_Gemüse_DropDown[Ackerkulturen])-1)/(--(SEARCH(CK$2,Liste_Ackerkulturen_Gemüse_DropDown[Ackerkulturen])&gt;0)),ROW()-2),1),"")</f>
        <v>Wechselwiese  40 - 60% Leg. 2 Nutzungen</v>
      </c>
      <c r="CK56" s="2464"/>
      <c r="CL56" s="2464" t="str">
        <f>IFERROR(INDEX(Liste_Ackerkulturen_Gemüse_DropDown[Ackerkulturen],_xlfn.AGGREGATE(15,6,(ROW(Liste_Ackerkulturen_Gemüse_DropDown[Ackerkulturen])-1)/(--(SEARCH(CM$2,Liste_Ackerkulturen_Gemüse_DropDown[Ackerkulturen])&gt;0)),ROW()-2),1),"")</f>
        <v>Wechselwiese  40 - 60% Leg. 2 Nutzungen</v>
      </c>
      <c r="CM56" s="2464"/>
      <c r="CN56" s="2464" t="str">
        <f>IFERROR(INDEX(Liste_Ackerkulturen_Gemüse_DropDown[Ackerkulturen],_xlfn.AGGREGATE(15,6,(ROW(Liste_Ackerkulturen_Gemüse_DropDown[Ackerkulturen])-1)/(--(SEARCH(CO$2,Liste_Ackerkulturen_Gemüse_DropDown[Ackerkulturen])&gt;0)),ROW()-2),1),"")</f>
        <v>Wechselwiese  40 - 60% Leg. 2 Nutzungen</v>
      </c>
      <c r="CO56" s="2464"/>
      <c r="CP56" s="2464" t="str">
        <f>IFERROR(INDEX(Liste_Ackerkulturen_Gemüse_DropDown[Ackerkulturen],_xlfn.AGGREGATE(15,6,(ROW(Liste_Ackerkulturen_Gemüse_DropDown[Ackerkulturen])-1)/(--(SEARCH(CQ$2,Liste_Ackerkulturen_Gemüse_DropDown[Ackerkulturen])&gt;0)),ROW()-2),1),"")</f>
        <v>Wechselwiese  40 - 60% Leg. 2 Nutzungen</v>
      </c>
      <c r="CQ56" s="2464"/>
      <c r="CR56" s="2464" t="str">
        <f>IFERROR(INDEX(Liste_Ackerkulturen_Gemüse_DropDown[Ackerkulturen],_xlfn.AGGREGATE(15,6,(ROW(Liste_Ackerkulturen_Gemüse_DropDown[Ackerkulturen])-1)/(--(SEARCH(CS$2,Liste_Ackerkulturen_Gemüse_DropDown[Ackerkulturen])&gt;0)),ROW()-2),1),"")</f>
        <v>Wechselwiese  40 - 60% Leg. 2 Nutzungen</v>
      </c>
      <c r="CS56" s="2464"/>
      <c r="CT56"/>
      <c r="CU56"/>
      <c r="CV56"/>
      <c r="CW56"/>
      <c r="CX56"/>
      <c r="CY56"/>
      <c r="CZ56"/>
      <c r="DA56"/>
      <c r="DB56"/>
      <c r="DC56"/>
      <c r="DD56"/>
      <c r="DE56"/>
      <c r="DF56"/>
      <c r="DG56"/>
      <c r="DH56"/>
      <c r="DN56"/>
      <c r="DO56"/>
      <c r="DP56"/>
      <c r="DQ56"/>
      <c r="DR56"/>
      <c r="DS56"/>
      <c r="DT56"/>
      <c r="DU56"/>
      <c r="DV56"/>
      <c r="DW56"/>
      <c r="DX56"/>
      <c r="DY56"/>
      <c r="DZ56"/>
      <c r="EA56"/>
      <c r="EB56"/>
      <c r="EC56"/>
      <c r="ED56"/>
      <c r="EE56"/>
      <c r="EF56"/>
      <c r="EG56"/>
      <c r="EH56"/>
      <c r="EI56"/>
      <c r="EJ56"/>
      <c r="EK56"/>
      <c r="EL56"/>
      <c r="EM56"/>
      <c r="EN56"/>
      <c r="EO56"/>
      <c r="EP56"/>
      <c r="EQ56"/>
      <c r="ER56"/>
      <c r="ES56"/>
      <c r="ET56"/>
      <c r="EU56"/>
      <c r="EV56"/>
      <c r="EW56"/>
      <c r="EX56"/>
      <c r="EY56"/>
      <c r="EZ56"/>
      <c r="FA56"/>
      <c r="FB56"/>
      <c r="FC56"/>
      <c r="FD56"/>
      <c r="FE56"/>
      <c r="FF56"/>
      <c r="FG56"/>
      <c r="FH56"/>
      <c r="FI56"/>
      <c r="FJ56"/>
      <c r="FK56"/>
      <c r="FL56"/>
      <c r="FM56"/>
      <c r="FN56"/>
      <c r="FO56"/>
      <c r="FP56"/>
      <c r="FQ56"/>
      <c r="FR56"/>
      <c r="FS56"/>
      <c r="FT56"/>
      <c r="FU56"/>
      <c r="FV56"/>
      <c r="FW56"/>
      <c r="FX56"/>
      <c r="FY56"/>
      <c r="FZ56"/>
      <c r="GA56"/>
      <c r="GB56"/>
      <c r="GC56"/>
      <c r="GD56"/>
      <c r="GE56"/>
      <c r="GF56"/>
      <c r="GG56"/>
      <c r="GH56"/>
      <c r="GI56"/>
      <c r="GJ56"/>
      <c r="GK56"/>
      <c r="GL56"/>
      <c r="GM56"/>
      <c r="GN56"/>
      <c r="GO56"/>
      <c r="GP56"/>
      <c r="GQ56"/>
      <c r="GR56"/>
      <c r="GS56"/>
      <c r="GT56"/>
      <c r="GU56"/>
      <c r="GV56"/>
      <c r="GW56"/>
      <c r="GX56"/>
      <c r="GY56"/>
      <c r="GZ56"/>
      <c r="HA56"/>
      <c r="HB56"/>
      <c r="HC56"/>
      <c r="HD56"/>
      <c r="HE56"/>
      <c r="HF56"/>
      <c r="HG56"/>
      <c r="HH56"/>
      <c r="HI56"/>
      <c r="HJ56"/>
      <c r="HK56"/>
      <c r="HL56"/>
      <c r="HM56"/>
      <c r="HN56"/>
      <c r="HO56"/>
      <c r="HP56"/>
      <c r="HQ56"/>
      <c r="HR56"/>
      <c r="HS56"/>
      <c r="HT56"/>
      <c r="HU56"/>
      <c r="HV56"/>
      <c r="HW56"/>
      <c r="HX56"/>
      <c r="HY56"/>
      <c r="HZ56"/>
      <c r="IA56"/>
      <c r="IB56"/>
      <c r="IC56"/>
      <c r="ID56"/>
      <c r="IE56"/>
      <c r="IF56"/>
      <c r="IG56"/>
      <c r="IH56"/>
      <c r="II56"/>
      <c r="IJ56"/>
      <c r="IK56"/>
      <c r="IL56"/>
      <c r="IM56"/>
      <c r="IN56"/>
      <c r="IO56"/>
      <c r="IP56"/>
      <c r="IQ56"/>
      <c r="IR56"/>
      <c r="IS56"/>
      <c r="IT56"/>
      <c r="IU56"/>
    </row>
    <row r="57" spans="3:255" ht="18.75" customHeight="1">
      <c r="C57" s="2672" t="s">
        <v>891</v>
      </c>
      <c r="D57" s="2673"/>
      <c r="E57" s="1526" t="s">
        <v>462</v>
      </c>
      <c r="F57" s="2254">
        <v>90</v>
      </c>
      <c r="G57" s="1748" t="s">
        <v>463</v>
      </c>
      <c r="H57" s="1749">
        <v>120</v>
      </c>
      <c r="I57" s="1446" t="s">
        <v>464</v>
      </c>
      <c r="J57" s="1447">
        <v>145</v>
      </c>
      <c r="K57" s="1446" t="s">
        <v>1201</v>
      </c>
      <c r="L57" s="1447">
        <v>145</v>
      </c>
      <c r="M57" s="1446" t="s">
        <v>1201</v>
      </c>
      <c r="N57" s="1447">
        <v>145</v>
      </c>
      <c r="O57" s="1527">
        <v>110</v>
      </c>
      <c r="P57" s="1528">
        <v>125</v>
      </c>
      <c r="Q57" s="1529">
        <v>90</v>
      </c>
      <c r="R57" s="1448">
        <v>75</v>
      </c>
      <c r="S57" s="1447">
        <v>55</v>
      </c>
      <c r="T57" s="1749">
        <v>60</v>
      </c>
      <c r="U57" s="1447">
        <v>70</v>
      </c>
      <c r="V57" s="1449" t="s">
        <v>1954</v>
      </c>
      <c r="W57" s="1530" t="s">
        <v>1955</v>
      </c>
      <c r="X57" s="1529">
        <v>270</v>
      </c>
      <c r="Y57" s="1448">
        <v>225</v>
      </c>
      <c r="Z57" s="1447">
        <v>160</v>
      </c>
      <c r="AA57" s="1749">
        <v>180</v>
      </c>
      <c r="AB57" s="1447">
        <v>205</v>
      </c>
      <c r="AC57" s="1449" t="s">
        <v>1956</v>
      </c>
      <c r="AD57" s="1530" t="s">
        <v>1955</v>
      </c>
      <c r="AF57" s="1279"/>
      <c r="AM57" s="2371" t="s">
        <v>2377</v>
      </c>
      <c r="AN57" s="2272">
        <v>60</v>
      </c>
      <c r="AO57" s="2279" t="s">
        <v>1071</v>
      </c>
      <c r="AP57" s="2272">
        <v>70</v>
      </c>
      <c r="AQ57" s="2283" t="s">
        <v>1063</v>
      </c>
      <c r="AR57" s="2272">
        <v>70</v>
      </c>
      <c r="AS57" s="2283" t="s">
        <v>1063</v>
      </c>
      <c r="AT57" s="2284">
        <v>70</v>
      </c>
      <c r="AU57" s="2285" t="s">
        <v>1063</v>
      </c>
      <c r="AV57" s="2284">
        <v>70</v>
      </c>
      <c r="AW57" s="2285" t="s">
        <v>1063</v>
      </c>
      <c r="AX57" s="2277">
        <v>70</v>
      </c>
      <c r="AY57" s="2278" t="s">
        <v>1063</v>
      </c>
      <c r="AZ57" s="2277">
        <v>70</v>
      </c>
      <c r="BA57" s="2303" t="s">
        <v>1063</v>
      </c>
      <c r="BB57" s="518"/>
      <c r="BC57" s="1996">
        <v>1</v>
      </c>
      <c r="BD57" s="521"/>
      <c r="BE57" s="2371" t="s">
        <v>2377</v>
      </c>
      <c r="BF57" s="577">
        <v>30</v>
      </c>
      <c r="BG57" s="577">
        <v>45</v>
      </c>
      <c r="BH57" s="577">
        <v>45</v>
      </c>
      <c r="BJ57" s="2371" t="s">
        <v>2377</v>
      </c>
      <c r="BK57" s="578">
        <v>80</v>
      </c>
      <c r="BL57" s="577">
        <v>120</v>
      </c>
      <c r="BM57" s="577">
        <v>120</v>
      </c>
      <c r="BN57" s="506"/>
      <c r="BO57" s="1033"/>
      <c r="BP57" s="458"/>
      <c r="BQ57" s="458"/>
      <c r="BR57" s="458"/>
      <c r="BS57" s="2461" t="s">
        <v>2379</v>
      </c>
      <c r="BT57" s="2463" t="str">
        <f>IFERROR(INDEX(Liste_Ackerkulturen_Gemüse_DropDown[Ackerkulturen],_xlfn.AGGREGATE(15,6,(ROW(Liste_Ackerkulturen_Gemüse_DropDown[Ackerkulturen])-1)/(--(SEARCH(BU$2,Liste_Ackerkulturen_Gemüse_DropDown[Ackerkulturen])&gt;0)),ROW()-2),1),"")</f>
        <v>Wechselwiese  40 - 60% Leg. 3 Nutzungen</v>
      </c>
      <c r="BU57" s="2463"/>
      <c r="BV57" s="2463" t="str">
        <f>IFERROR(INDEX(Liste_Ackerkulturen_Gemüse_DropDown[Ackerkulturen],_xlfn.AGGREGATE(15,6,(ROW(Liste_Ackerkulturen_Gemüse_DropDown[Ackerkulturen])-1)/(--(SEARCH(BW$2,Liste_Ackerkulturen_Gemüse_DropDown[Ackerkulturen])&gt;0)),ROW()-2),1),"")</f>
        <v>Wechselwiese  40 - 60% Leg. 3 Nutzungen</v>
      </c>
      <c r="BW57" s="2463"/>
      <c r="BX57" s="2463" t="str">
        <f>IFERROR(INDEX(Liste_Ackerkulturen_Gemüse_DropDown[Ackerkulturen],_xlfn.AGGREGATE(15,6,(ROW(Liste_Ackerkulturen_Gemüse_DropDown[Ackerkulturen])-1)/(--(SEARCH(BY$2,Liste_Ackerkulturen_Gemüse_DropDown[Ackerkulturen])&gt;0)),ROW()-2),1),"")</f>
        <v>Wechselwiese  40 - 60% Leg. 3 Nutzungen</v>
      </c>
      <c r="BY57" s="2463"/>
      <c r="BZ57" s="2463" t="str">
        <f>IFERROR(INDEX(Liste_Ackerkulturen_Gemüse_DropDown[Ackerkulturen],_xlfn.AGGREGATE(15,6,(ROW(Liste_Ackerkulturen_Gemüse_DropDown[Ackerkulturen])-1)/(--(SEARCH(CA$2,Liste_Ackerkulturen_Gemüse_DropDown[Ackerkulturen])&gt;0)),ROW()-2),1),"")</f>
        <v>Wechselwiese  40 - 60% Leg. 3 Nutzungen</v>
      </c>
      <c r="CA57" s="2463"/>
      <c r="CB57" s="2463" t="str">
        <f>IFERROR(INDEX(Liste_Ackerkulturen_Gemüse_DropDown[Ackerkulturen],_xlfn.AGGREGATE(15,6,(ROW(Liste_Ackerkulturen_Gemüse_DropDown[Ackerkulturen])-1)/(--(SEARCH(CC$2,Liste_Ackerkulturen_Gemüse_DropDown[Ackerkulturen])&gt;0)),ROW()-2),1),"")</f>
        <v>Wechselwiese  40 - 60% Leg. 3 Nutzungen</v>
      </c>
      <c r="CC57" s="2463"/>
      <c r="CD57" s="2464" t="str">
        <f>IFERROR(INDEX(Liste_Ackerkulturen_Gemüse_DropDown[Ackerkulturen],_xlfn.AGGREGATE(15,6,(ROW(Liste_Ackerkulturen_Gemüse_DropDown[Ackerkulturen])-1)/(--(SEARCH(CE$2,Liste_Ackerkulturen_Gemüse_DropDown[Ackerkulturen])&gt;0)),ROW()-2),1),"")</f>
        <v>Wechselwiese  40 - 60% Leg. 3 Nutzungen</v>
      </c>
      <c r="CE57" s="2464"/>
      <c r="CF57" s="2464" t="str">
        <f>IFERROR(INDEX(Liste_Ackerkulturen_Gemüse_DropDown[Ackerkulturen],_xlfn.AGGREGATE(15,6,(ROW(Liste_Ackerkulturen_Gemüse_DropDown[Ackerkulturen])-1)/(--(SEARCH(CG$2,Liste_Ackerkulturen_Gemüse_DropDown[Ackerkulturen])&gt;0)),ROW()-2),1),"")</f>
        <v>Wechselwiese  40 - 60% Leg. 3 Nutzungen</v>
      </c>
      <c r="CG57" s="2464"/>
      <c r="CH57" s="2464" t="str">
        <f>IFERROR(INDEX(Liste_Ackerkulturen_Gemüse_DropDown[Ackerkulturen],_xlfn.AGGREGATE(15,6,(ROW(Liste_Ackerkulturen_Gemüse_DropDown[Ackerkulturen])-1)/(--(SEARCH(CI$2,Liste_Ackerkulturen_Gemüse_DropDown[Ackerkulturen])&gt;0)),ROW()-2),1),"")</f>
        <v>Wechselwiese  40 - 60% Leg. 3 Nutzungen</v>
      </c>
      <c r="CI57" s="2464"/>
      <c r="CJ57" s="2464" t="str">
        <f>IFERROR(INDEX(Liste_Ackerkulturen_Gemüse_DropDown[Ackerkulturen],_xlfn.AGGREGATE(15,6,(ROW(Liste_Ackerkulturen_Gemüse_DropDown[Ackerkulturen])-1)/(--(SEARCH(CK$2,Liste_Ackerkulturen_Gemüse_DropDown[Ackerkulturen])&gt;0)),ROW()-2),1),"")</f>
        <v>Wechselwiese  40 - 60% Leg. 3 Nutzungen</v>
      </c>
      <c r="CK57" s="2464"/>
      <c r="CL57" s="2464" t="str">
        <f>IFERROR(INDEX(Liste_Ackerkulturen_Gemüse_DropDown[Ackerkulturen],_xlfn.AGGREGATE(15,6,(ROW(Liste_Ackerkulturen_Gemüse_DropDown[Ackerkulturen])-1)/(--(SEARCH(CM$2,Liste_Ackerkulturen_Gemüse_DropDown[Ackerkulturen])&gt;0)),ROW()-2),1),"")</f>
        <v>Wechselwiese  40 - 60% Leg. 3 Nutzungen</v>
      </c>
      <c r="CM57" s="2464"/>
      <c r="CN57" s="2464" t="str">
        <f>IFERROR(INDEX(Liste_Ackerkulturen_Gemüse_DropDown[Ackerkulturen],_xlfn.AGGREGATE(15,6,(ROW(Liste_Ackerkulturen_Gemüse_DropDown[Ackerkulturen])-1)/(--(SEARCH(CO$2,Liste_Ackerkulturen_Gemüse_DropDown[Ackerkulturen])&gt;0)),ROW()-2),1),"")</f>
        <v>Wechselwiese  40 - 60% Leg. 3 Nutzungen</v>
      </c>
      <c r="CO57" s="2464"/>
      <c r="CP57" s="2464" t="str">
        <f>IFERROR(INDEX(Liste_Ackerkulturen_Gemüse_DropDown[Ackerkulturen],_xlfn.AGGREGATE(15,6,(ROW(Liste_Ackerkulturen_Gemüse_DropDown[Ackerkulturen])-1)/(--(SEARCH(CQ$2,Liste_Ackerkulturen_Gemüse_DropDown[Ackerkulturen])&gt;0)),ROW()-2),1),"")</f>
        <v>Wechselwiese  40 - 60% Leg. 3 Nutzungen</v>
      </c>
      <c r="CQ57" s="2464"/>
      <c r="CR57" s="2464" t="str">
        <f>IFERROR(INDEX(Liste_Ackerkulturen_Gemüse_DropDown[Ackerkulturen],_xlfn.AGGREGATE(15,6,(ROW(Liste_Ackerkulturen_Gemüse_DropDown[Ackerkulturen])-1)/(--(SEARCH(CS$2,Liste_Ackerkulturen_Gemüse_DropDown[Ackerkulturen])&gt;0)),ROW()-2),1),"")</f>
        <v>Wechselwiese  40 - 60% Leg. 3 Nutzungen</v>
      </c>
      <c r="CS57" s="2464"/>
      <c r="CT57"/>
      <c r="CU57"/>
      <c r="CV57"/>
      <c r="CW57"/>
      <c r="CX57"/>
      <c r="CY57"/>
      <c r="CZ57"/>
      <c r="DA57"/>
      <c r="DB57"/>
      <c r="DC57"/>
      <c r="DD57"/>
      <c r="DE57"/>
      <c r="DF57"/>
      <c r="DG57"/>
      <c r="DH57"/>
      <c r="DN57"/>
      <c r="DO57"/>
      <c r="DP57"/>
      <c r="DQ57"/>
      <c r="DR57"/>
      <c r="DS57"/>
      <c r="DT57"/>
      <c r="DU57"/>
      <c r="DV57"/>
      <c r="DW57"/>
      <c r="DX57"/>
      <c r="DY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c r="GK57"/>
      <c r="GL57"/>
      <c r="GM57"/>
      <c r="GN57"/>
      <c r="GO57"/>
      <c r="GP57"/>
      <c r="GQ57"/>
      <c r="GR57"/>
      <c r="GS57"/>
      <c r="GT57"/>
      <c r="GU57"/>
      <c r="GV57"/>
      <c r="GW57"/>
      <c r="GX57"/>
      <c r="GY57"/>
      <c r="GZ57"/>
      <c r="HA57"/>
      <c r="HB57"/>
      <c r="HC57"/>
      <c r="HD57"/>
      <c r="HE57"/>
      <c r="HF57"/>
      <c r="HG57"/>
      <c r="HH57"/>
      <c r="HI57"/>
      <c r="HJ57"/>
      <c r="HK57"/>
      <c r="HL57"/>
      <c r="HM57"/>
      <c r="HN57"/>
      <c r="HO57"/>
      <c r="HP57"/>
      <c r="HQ57"/>
      <c r="HR57"/>
      <c r="HS57"/>
      <c r="HT57"/>
      <c r="HU57"/>
      <c r="HV57"/>
      <c r="HW57"/>
      <c r="HX57"/>
      <c r="HY57"/>
      <c r="HZ57"/>
      <c r="IA57"/>
      <c r="IB57"/>
      <c r="IC57"/>
      <c r="ID57"/>
      <c r="IE57"/>
      <c r="IF57"/>
      <c r="IG57"/>
      <c r="IH57"/>
      <c r="II57"/>
      <c r="IJ57"/>
      <c r="IK57"/>
      <c r="IL57"/>
      <c r="IM57"/>
      <c r="IN57"/>
      <c r="IO57"/>
      <c r="IP57"/>
      <c r="IQ57"/>
      <c r="IR57"/>
      <c r="IS57"/>
      <c r="IT57"/>
      <c r="IU57"/>
    </row>
    <row r="58" spans="3:255" ht="18.75" customHeight="1">
      <c r="C58" s="2672" t="s">
        <v>892</v>
      </c>
      <c r="D58" s="2673"/>
      <c r="E58" s="1526" t="s">
        <v>465</v>
      </c>
      <c r="F58" s="2254">
        <v>120</v>
      </c>
      <c r="G58" s="1748" t="s">
        <v>466</v>
      </c>
      <c r="H58" s="1749">
        <v>165</v>
      </c>
      <c r="I58" s="1446" t="s">
        <v>467</v>
      </c>
      <c r="J58" s="1447">
        <v>195</v>
      </c>
      <c r="K58" s="1446" t="s">
        <v>468</v>
      </c>
      <c r="L58" s="1447">
        <v>210</v>
      </c>
      <c r="M58" s="1446" t="s">
        <v>469</v>
      </c>
      <c r="N58" s="1447">
        <v>225</v>
      </c>
      <c r="O58" s="1527">
        <v>130</v>
      </c>
      <c r="P58" s="1528">
        <v>150</v>
      </c>
      <c r="Q58" s="1529">
        <v>100</v>
      </c>
      <c r="R58" s="1448">
        <v>80</v>
      </c>
      <c r="S58" s="1447">
        <v>60</v>
      </c>
      <c r="T58" s="1749">
        <v>65</v>
      </c>
      <c r="U58" s="1447">
        <v>75</v>
      </c>
      <c r="V58" s="1449" t="s">
        <v>1954</v>
      </c>
      <c r="W58" s="1530" t="s">
        <v>1955</v>
      </c>
      <c r="X58" s="1529">
        <v>300</v>
      </c>
      <c r="Y58" s="1448">
        <v>250</v>
      </c>
      <c r="Z58" s="1447">
        <v>180</v>
      </c>
      <c r="AA58" s="1749">
        <v>200</v>
      </c>
      <c r="AB58" s="1447">
        <v>230</v>
      </c>
      <c r="AC58" s="1449" t="s">
        <v>1956</v>
      </c>
      <c r="AD58" s="1530" t="s">
        <v>1955</v>
      </c>
      <c r="AF58" s="1279"/>
      <c r="AM58" s="2371" t="s">
        <v>2378</v>
      </c>
      <c r="AN58" s="2272">
        <v>80</v>
      </c>
      <c r="AO58" s="2279" t="s">
        <v>1072</v>
      </c>
      <c r="AP58" s="2272">
        <v>100</v>
      </c>
      <c r="AQ58" s="2283" t="s">
        <v>1073</v>
      </c>
      <c r="AR58" s="2272">
        <v>120</v>
      </c>
      <c r="AS58" s="2283" t="s">
        <v>1977</v>
      </c>
      <c r="AT58" s="2284">
        <v>120</v>
      </c>
      <c r="AU58" s="2285" t="s">
        <v>1977</v>
      </c>
      <c r="AV58" s="2284">
        <v>120</v>
      </c>
      <c r="AW58" s="2285" t="s">
        <v>1977</v>
      </c>
      <c r="AX58" s="2277">
        <v>90</v>
      </c>
      <c r="AY58" s="2278" t="s">
        <v>1073</v>
      </c>
      <c r="AZ58" s="2277">
        <v>105</v>
      </c>
      <c r="BA58" s="2303" t="s">
        <v>1977</v>
      </c>
      <c r="BB58" s="518"/>
      <c r="BC58" s="1996">
        <v>1</v>
      </c>
      <c r="BD58" s="521"/>
      <c r="BE58" s="2371" t="s">
        <v>2378</v>
      </c>
      <c r="BF58" s="577">
        <v>45</v>
      </c>
      <c r="BG58" s="577">
        <v>65</v>
      </c>
      <c r="BH58" s="577">
        <v>80</v>
      </c>
      <c r="BI58" s="521"/>
      <c r="BJ58" s="2371" t="s">
        <v>2378</v>
      </c>
      <c r="BK58" s="578">
        <v>130</v>
      </c>
      <c r="BL58" s="577">
        <v>170</v>
      </c>
      <c r="BM58" s="577">
        <v>215</v>
      </c>
      <c r="BN58" s="506"/>
      <c r="BO58" s="1033"/>
      <c r="BP58" s="458"/>
      <c r="BQ58" s="458"/>
      <c r="BR58" s="458"/>
      <c r="BS58" s="2461" t="s">
        <v>2380</v>
      </c>
      <c r="BT58" s="2463" t="str">
        <f>IFERROR(INDEX(Liste_Ackerkulturen_Gemüse_DropDown[Ackerkulturen],_xlfn.AGGREGATE(15,6,(ROW(Liste_Ackerkulturen_Gemüse_DropDown[Ackerkulturen])-1)/(--(SEARCH(BU$2,Liste_Ackerkulturen_Gemüse_DropDown[Ackerkulturen])&gt;0)),ROW()-2),1),"")</f>
        <v>Wechselwiese  40 - 60% Leg. 4 Nutzungen</v>
      </c>
      <c r="BU58" s="2463"/>
      <c r="BV58" s="2463" t="str">
        <f>IFERROR(INDEX(Liste_Ackerkulturen_Gemüse_DropDown[Ackerkulturen],_xlfn.AGGREGATE(15,6,(ROW(Liste_Ackerkulturen_Gemüse_DropDown[Ackerkulturen])-1)/(--(SEARCH(BW$2,Liste_Ackerkulturen_Gemüse_DropDown[Ackerkulturen])&gt;0)),ROW()-2),1),"")</f>
        <v>Wechselwiese  40 - 60% Leg. 4 Nutzungen</v>
      </c>
      <c r="BW58" s="2463"/>
      <c r="BX58" s="2463" t="str">
        <f>IFERROR(INDEX(Liste_Ackerkulturen_Gemüse_DropDown[Ackerkulturen],_xlfn.AGGREGATE(15,6,(ROW(Liste_Ackerkulturen_Gemüse_DropDown[Ackerkulturen])-1)/(--(SEARCH(BY$2,Liste_Ackerkulturen_Gemüse_DropDown[Ackerkulturen])&gt;0)),ROW()-2),1),"")</f>
        <v>Wechselwiese  40 - 60% Leg. 4 Nutzungen</v>
      </c>
      <c r="BY58" s="2463"/>
      <c r="BZ58" s="2463" t="str">
        <f>IFERROR(INDEX(Liste_Ackerkulturen_Gemüse_DropDown[Ackerkulturen],_xlfn.AGGREGATE(15,6,(ROW(Liste_Ackerkulturen_Gemüse_DropDown[Ackerkulturen])-1)/(--(SEARCH(CA$2,Liste_Ackerkulturen_Gemüse_DropDown[Ackerkulturen])&gt;0)),ROW()-2),1),"")</f>
        <v>Wechselwiese  40 - 60% Leg. 4 Nutzungen</v>
      </c>
      <c r="CA58" s="2463"/>
      <c r="CB58" s="2463" t="str">
        <f>IFERROR(INDEX(Liste_Ackerkulturen_Gemüse_DropDown[Ackerkulturen],_xlfn.AGGREGATE(15,6,(ROW(Liste_Ackerkulturen_Gemüse_DropDown[Ackerkulturen])-1)/(--(SEARCH(CC$2,Liste_Ackerkulturen_Gemüse_DropDown[Ackerkulturen])&gt;0)),ROW()-2),1),"")</f>
        <v>Wechselwiese  40 - 60% Leg. 4 Nutzungen</v>
      </c>
      <c r="CC58" s="2463"/>
      <c r="CD58" s="2464" t="str">
        <f>IFERROR(INDEX(Liste_Ackerkulturen_Gemüse_DropDown[Ackerkulturen],_xlfn.AGGREGATE(15,6,(ROW(Liste_Ackerkulturen_Gemüse_DropDown[Ackerkulturen])-1)/(--(SEARCH(CE$2,Liste_Ackerkulturen_Gemüse_DropDown[Ackerkulturen])&gt;0)),ROW()-2),1),"")</f>
        <v>Wechselwiese  40 - 60% Leg. 4 Nutzungen</v>
      </c>
      <c r="CE58" s="2464"/>
      <c r="CF58" s="2464" t="str">
        <f>IFERROR(INDEX(Liste_Ackerkulturen_Gemüse_DropDown[Ackerkulturen],_xlfn.AGGREGATE(15,6,(ROW(Liste_Ackerkulturen_Gemüse_DropDown[Ackerkulturen])-1)/(--(SEARCH(CG$2,Liste_Ackerkulturen_Gemüse_DropDown[Ackerkulturen])&gt;0)),ROW()-2),1),"")</f>
        <v>Wechselwiese  40 - 60% Leg. 4 Nutzungen</v>
      </c>
      <c r="CG58" s="2464"/>
      <c r="CH58" s="2464" t="str">
        <f>IFERROR(INDEX(Liste_Ackerkulturen_Gemüse_DropDown[Ackerkulturen],_xlfn.AGGREGATE(15,6,(ROW(Liste_Ackerkulturen_Gemüse_DropDown[Ackerkulturen])-1)/(--(SEARCH(CI$2,Liste_Ackerkulturen_Gemüse_DropDown[Ackerkulturen])&gt;0)),ROW()-2),1),"")</f>
        <v>Wechselwiese  40 - 60% Leg. 4 Nutzungen</v>
      </c>
      <c r="CI58" s="2464"/>
      <c r="CJ58" s="2464" t="str">
        <f>IFERROR(INDEX(Liste_Ackerkulturen_Gemüse_DropDown[Ackerkulturen],_xlfn.AGGREGATE(15,6,(ROW(Liste_Ackerkulturen_Gemüse_DropDown[Ackerkulturen])-1)/(--(SEARCH(CK$2,Liste_Ackerkulturen_Gemüse_DropDown[Ackerkulturen])&gt;0)),ROW()-2),1),"")</f>
        <v>Wechselwiese  40 - 60% Leg. 4 Nutzungen</v>
      </c>
      <c r="CK58" s="2464"/>
      <c r="CL58" s="2464" t="str">
        <f>IFERROR(INDEX(Liste_Ackerkulturen_Gemüse_DropDown[Ackerkulturen],_xlfn.AGGREGATE(15,6,(ROW(Liste_Ackerkulturen_Gemüse_DropDown[Ackerkulturen])-1)/(--(SEARCH(CM$2,Liste_Ackerkulturen_Gemüse_DropDown[Ackerkulturen])&gt;0)),ROW()-2),1),"")</f>
        <v>Wechselwiese  40 - 60% Leg. 4 Nutzungen</v>
      </c>
      <c r="CM58" s="2464"/>
      <c r="CN58" s="2464" t="str">
        <f>IFERROR(INDEX(Liste_Ackerkulturen_Gemüse_DropDown[Ackerkulturen],_xlfn.AGGREGATE(15,6,(ROW(Liste_Ackerkulturen_Gemüse_DropDown[Ackerkulturen])-1)/(--(SEARCH(CO$2,Liste_Ackerkulturen_Gemüse_DropDown[Ackerkulturen])&gt;0)),ROW()-2),1),"")</f>
        <v>Wechselwiese  40 - 60% Leg. 4 Nutzungen</v>
      </c>
      <c r="CO58" s="2464"/>
      <c r="CP58" s="2464" t="str">
        <f>IFERROR(INDEX(Liste_Ackerkulturen_Gemüse_DropDown[Ackerkulturen],_xlfn.AGGREGATE(15,6,(ROW(Liste_Ackerkulturen_Gemüse_DropDown[Ackerkulturen])-1)/(--(SEARCH(CQ$2,Liste_Ackerkulturen_Gemüse_DropDown[Ackerkulturen])&gt;0)),ROW()-2),1),"")</f>
        <v>Wechselwiese  40 - 60% Leg. 4 Nutzungen</v>
      </c>
      <c r="CQ58" s="2464"/>
      <c r="CR58" s="2464" t="str">
        <f>IFERROR(INDEX(Liste_Ackerkulturen_Gemüse_DropDown[Ackerkulturen],_xlfn.AGGREGATE(15,6,(ROW(Liste_Ackerkulturen_Gemüse_DropDown[Ackerkulturen])-1)/(--(SEARCH(CS$2,Liste_Ackerkulturen_Gemüse_DropDown[Ackerkulturen])&gt;0)),ROW()-2),1),"")</f>
        <v>Wechselwiese  40 - 60% Leg. 4 Nutzungen</v>
      </c>
      <c r="CS58" s="2464"/>
      <c r="CT58"/>
      <c r="CU58"/>
      <c r="CV58"/>
      <c r="CW58"/>
      <c r="CX58"/>
      <c r="CY58"/>
      <c r="CZ58"/>
      <c r="DA58"/>
      <c r="DB58"/>
      <c r="DC58"/>
      <c r="DD58"/>
      <c r="DE58"/>
      <c r="DF58"/>
      <c r="DG58"/>
      <c r="DH58"/>
      <c r="DN58"/>
      <c r="DO58"/>
      <c r="DP58"/>
      <c r="DQ58"/>
      <c r="DR58"/>
      <c r="DS58"/>
      <c r="DT58"/>
      <c r="DU58"/>
      <c r="DV58"/>
      <c r="DW58"/>
      <c r="DX58"/>
      <c r="DY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c r="GK58"/>
      <c r="GL58"/>
      <c r="GM58"/>
      <c r="GN58"/>
      <c r="GO58"/>
      <c r="GP58"/>
      <c r="GQ58"/>
      <c r="GR58"/>
      <c r="GS58"/>
      <c r="GT58"/>
      <c r="GU58"/>
      <c r="GV58"/>
      <c r="GW58"/>
      <c r="GX58"/>
      <c r="GY58"/>
      <c r="GZ58"/>
      <c r="HA58"/>
      <c r="HB58"/>
      <c r="HC58"/>
      <c r="HD58"/>
      <c r="HE58"/>
      <c r="HF58"/>
      <c r="HG58"/>
      <c r="HH58"/>
      <c r="HI58"/>
      <c r="HJ58"/>
      <c r="HK58"/>
      <c r="HL58"/>
      <c r="HM58"/>
      <c r="HN58"/>
      <c r="HO58"/>
      <c r="HP58"/>
      <c r="HQ58"/>
      <c r="HR58"/>
      <c r="HS58"/>
      <c r="HT58"/>
      <c r="HU58"/>
      <c r="HV58"/>
      <c r="HW58"/>
      <c r="HX58"/>
      <c r="HY58"/>
      <c r="HZ58"/>
      <c r="IA58"/>
      <c r="IB58"/>
      <c r="IC58"/>
      <c r="ID58"/>
      <c r="IE58"/>
      <c r="IF58"/>
      <c r="IG58"/>
      <c r="IH58"/>
      <c r="II58"/>
      <c r="IJ58"/>
      <c r="IK58"/>
      <c r="IL58"/>
      <c r="IM58"/>
      <c r="IN58"/>
      <c r="IO58"/>
      <c r="IP58"/>
      <c r="IQ58"/>
      <c r="IR58"/>
      <c r="IS58"/>
      <c r="IT58"/>
      <c r="IU58"/>
    </row>
    <row r="59" spans="3:255" ht="18.75" customHeight="1">
      <c r="C59" s="2672" t="s">
        <v>725</v>
      </c>
      <c r="D59" s="2673"/>
      <c r="E59" s="1526" t="s">
        <v>470</v>
      </c>
      <c r="F59" s="2254">
        <v>100</v>
      </c>
      <c r="G59" s="1748" t="s">
        <v>471</v>
      </c>
      <c r="H59" s="1749">
        <v>100</v>
      </c>
      <c r="I59" s="1446" t="s">
        <v>472</v>
      </c>
      <c r="J59" s="1447">
        <v>120</v>
      </c>
      <c r="K59" s="1446"/>
      <c r="L59" s="1447">
        <v>120</v>
      </c>
      <c r="M59" s="1446"/>
      <c r="N59" s="1447">
        <v>120</v>
      </c>
      <c r="O59" s="1527">
        <v>100</v>
      </c>
      <c r="P59" s="1528">
        <v>120</v>
      </c>
      <c r="Q59" s="1529">
        <v>70</v>
      </c>
      <c r="R59" s="1448">
        <v>55</v>
      </c>
      <c r="S59" s="1447">
        <v>35</v>
      </c>
      <c r="T59" s="1749">
        <v>35</v>
      </c>
      <c r="U59" s="1447">
        <v>45</v>
      </c>
      <c r="V59" s="1449">
        <v>20</v>
      </c>
      <c r="W59" s="1530" t="s">
        <v>1201</v>
      </c>
      <c r="X59" s="1529">
        <v>260</v>
      </c>
      <c r="Y59" s="1448">
        <v>195</v>
      </c>
      <c r="Z59" s="1447">
        <v>130</v>
      </c>
      <c r="AA59" s="1749">
        <v>130</v>
      </c>
      <c r="AB59" s="1447">
        <v>170</v>
      </c>
      <c r="AC59" s="1449" t="s">
        <v>1956</v>
      </c>
      <c r="AD59" s="1530" t="s">
        <v>1201</v>
      </c>
      <c r="AF59" s="1279"/>
      <c r="AM59" s="2371" t="s">
        <v>2379</v>
      </c>
      <c r="AN59" s="2272">
        <v>120</v>
      </c>
      <c r="AO59" s="2279" t="s">
        <v>1074</v>
      </c>
      <c r="AP59" s="2272">
        <v>120</v>
      </c>
      <c r="AQ59" s="2283" t="s">
        <v>1074</v>
      </c>
      <c r="AR59" s="2272">
        <v>150</v>
      </c>
      <c r="AS59" s="2283" t="s">
        <v>1075</v>
      </c>
      <c r="AT59" s="2284">
        <v>150</v>
      </c>
      <c r="AU59" s="2285" t="s">
        <v>1075</v>
      </c>
      <c r="AV59" s="2284">
        <v>150</v>
      </c>
      <c r="AW59" s="2285" t="s">
        <v>1075</v>
      </c>
      <c r="AX59" s="2277">
        <v>120</v>
      </c>
      <c r="AY59" s="2278" t="s">
        <v>1074</v>
      </c>
      <c r="AZ59" s="2277">
        <v>145</v>
      </c>
      <c r="BA59" s="2303" t="s">
        <v>1075</v>
      </c>
      <c r="BB59" s="518"/>
      <c r="BC59" s="1996">
        <v>1</v>
      </c>
      <c r="BD59" s="521"/>
      <c r="BE59" s="2371" t="s">
        <v>2379</v>
      </c>
      <c r="BF59" s="577">
        <v>80</v>
      </c>
      <c r="BG59" s="577">
        <v>80</v>
      </c>
      <c r="BH59" s="577">
        <v>90</v>
      </c>
      <c r="BI59" s="521"/>
      <c r="BJ59" s="2371" t="s">
        <v>2379</v>
      </c>
      <c r="BK59" s="577">
        <v>205</v>
      </c>
      <c r="BL59" s="577">
        <v>205</v>
      </c>
      <c r="BM59" s="577">
        <v>260</v>
      </c>
      <c r="BN59" s="506"/>
      <c r="BO59" s="1033"/>
      <c r="BP59" s="458"/>
      <c r="BQ59" s="458"/>
      <c r="BR59" s="458"/>
      <c r="BS59" s="2461" t="s">
        <v>2381</v>
      </c>
      <c r="BT59" s="2463" t="str">
        <f>IFERROR(INDEX(Liste_Ackerkulturen_Gemüse_DropDown[Ackerkulturen],_xlfn.AGGREGATE(15,6,(ROW(Liste_Ackerkulturen_Gemüse_DropDown[Ackerkulturen])-1)/(--(SEARCH(BU$2,Liste_Ackerkulturen_Gemüse_DropDown[Ackerkulturen])&gt;0)),ROW()-2),1),"")</f>
        <v>Wechselwiese  40 - 60% Leg. 5 Nutzungen</v>
      </c>
      <c r="BU59" s="2463"/>
      <c r="BV59" s="2463" t="str">
        <f>IFERROR(INDEX(Liste_Ackerkulturen_Gemüse_DropDown[Ackerkulturen],_xlfn.AGGREGATE(15,6,(ROW(Liste_Ackerkulturen_Gemüse_DropDown[Ackerkulturen])-1)/(--(SEARCH(BW$2,Liste_Ackerkulturen_Gemüse_DropDown[Ackerkulturen])&gt;0)),ROW()-2),1),"")</f>
        <v>Wechselwiese  40 - 60% Leg. 5 Nutzungen</v>
      </c>
      <c r="BW59" s="2463"/>
      <c r="BX59" s="2463" t="str">
        <f>IFERROR(INDEX(Liste_Ackerkulturen_Gemüse_DropDown[Ackerkulturen],_xlfn.AGGREGATE(15,6,(ROW(Liste_Ackerkulturen_Gemüse_DropDown[Ackerkulturen])-1)/(--(SEARCH(BY$2,Liste_Ackerkulturen_Gemüse_DropDown[Ackerkulturen])&gt;0)),ROW()-2),1),"")</f>
        <v>Wechselwiese  40 - 60% Leg. 5 Nutzungen</v>
      </c>
      <c r="BY59" s="2463"/>
      <c r="BZ59" s="2463" t="str">
        <f>IFERROR(INDEX(Liste_Ackerkulturen_Gemüse_DropDown[Ackerkulturen],_xlfn.AGGREGATE(15,6,(ROW(Liste_Ackerkulturen_Gemüse_DropDown[Ackerkulturen])-1)/(--(SEARCH(CA$2,Liste_Ackerkulturen_Gemüse_DropDown[Ackerkulturen])&gt;0)),ROW()-2),1),"")</f>
        <v>Wechselwiese  40 - 60% Leg. 5 Nutzungen</v>
      </c>
      <c r="CA59" s="2463"/>
      <c r="CB59" s="2463" t="str">
        <f>IFERROR(INDEX(Liste_Ackerkulturen_Gemüse_DropDown[Ackerkulturen],_xlfn.AGGREGATE(15,6,(ROW(Liste_Ackerkulturen_Gemüse_DropDown[Ackerkulturen])-1)/(--(SEARCH(CC$2,Liste_Ackerkulturen_Gemüse_DropDown[Ackerkulturen])&gt;0)),ROW()-2),1),"")</f>
        <v>Wechselwiese  40 - 60% Leg. 5 Nutzungen</v>
      </c>
      <c r="CC59" s="2463"/>
      <c r="CD59" s="2464" t="str">
        <f>IFERROR(INDEX(Liste_Ackerkulturen_Gemüse_DropDown[Ackerkulturen],_xlfn.AGGREGATE(15,6,(ROW(Liste_Ackerkulturen_Gemüse_DropDown[Ackerkulturen])-1)/(--(SEARCH(CE$2,Liste_Ackerkulturen_Gemüse_DropDown[Ackerkulturen])&gt;0)),ROW()-2),1),"")</f>
        <v>Wechselwiese  40 - 60% Leg. 5 Nutzungen</v>
      </c>
      <c r="CE59" s="2464"/>
      <c r="CF59" s="2464" t="str">
        <f>IFERROR(INDEX(Liste_Ackerkulturen_Gemüse_DropDown[Ackerkulturen],_xlfn.AGGREGATE(15,6,(ROW(Liste_Ackerkulturen_Gemüse_DropDown[Ackerkulturen])-1)/(--(SEARCH(CG$2,Liste_Ackerkulturen_Gemüse_DropDown[Ackerkulturen])&gt;0)),ROW()-2),1),"")</f>
        <v>Wechselwiese  40 - 60% Leg. 5 Nutzungen</v>
      </c>
      <c r="CG59" s="2464"/>
      <c r="CH59" s="2464" t="str">
        <f>IFERROR(INDEX(Liste_Ackerkulturen_Gemüse_DropDown[Ackerkulturen],_xlfn.AGGREGATE(15,6,(ROW(Liste_Ackerkulturen_Gemüse_DropDown[Ackerkulturen])-1)/(--(SEARCH(CI$2,Liste_Ackerkulturen_Gemüse_DropDown[Ackerkulturen])&gt;0)),ROW()-2),1),"")</f>
        <v>Wechselwiese  40 - 60% Leg. 5 Nutzungen</v>
      </c>
      <c r="CI59" s="2464"/>
      <c r="CJ59" s="2464" t="str">
        <f>IFERROR(INDEX(Liste_Ackerkulturen_Gemüse_DropDown[Ackerkulturen],_xlfn.AGGREGATE(15,6,(ROW(Liste_Ackerkulturen_Gemüse_DropDown[Ackerkulturen])-1)/(--(SEARCH(CK$2,Liste_Ackerkulturen_Gemüse_DropDown[Ackerkulturen])&gt;0)),ROW()-2),1),"")</f>
        <v>Wechselwiese  40 - 60% Leg. 5 Nutzungen</v>
      </c>
      <c r="CK59" s="2464"/>
      <c r="CL59" s="2464" t="str">
        <f>IFERROR(INDEX(Liste_Ackerkulturen_Gemüse_DropDown[Ackerkulturen],_xlfn.AGGREGATE(15,6,(ROW(Liste_Ackerkulturen_Gemüse_DropDown[Ackerkulturen])-1)/(--(SEARCH(CM$2,Liste_Ackerkulturen_Gemüse_DropDown[Ackerkulturen])&gt;0)),ROW()-2),1),"")</f>
        <v>Wechselwiese  40 - 60% Leg. 5 Nutzungen</v>
      </c>
      <c r="CM59" s="2464"/>
      <c r="CN59" s="2464" t="str">
        <f>IFERROR(INDEX(Liste_Ackerkulturen_Gemüse_DropDown[Ackerkulturen],_xlfn.AGGREGATE(15,6,(ROW(Liste_Ackerkulturen_Gemüse_DropDown[Ackerkulturen])-1)/(--(SEARCH(CO$2,Liste_Ackerkulturen_Gemüse_DropDown[Ackerkulturen])&gt;0)),ROW()-2),1),"")</f>
        <v>Wechselwiese  40 - 60% Leg. 5 Nutzungen</v>
      </c>
      <c r="CO59" s="2464"/>
      <c r="CP59" s="2464" t="str">
        <f>IFERROR(INDEX(Liste_Ackerkulturen_Gemüse_DropDown[Ackerkulturen],_xlfn.AGGREGATE(15,6,(ROW(Liste_Ackerkulturen_Gemüse_DropDown[Ackerkulturen])-1)/(--(SEARCH(CQ$2,Liste_Ackerkulturen_Gemüse_DropDown[Ackerkulturen])&gt;0)),ROW()-2),1),"")</f>
        <v>Wechselwiese  40 - 60% Leg. 5 Nutzungen</v>
      </c>
      <c r="CQ59" s="2464"/>
      <c r="CR59" s="2464" t="str">
        <f>IFERROR(INDEX(Liste_Ackerkulturen_Gemüse_DropDown[Ackerkulturen],_xlfn.AGGREGATE(15,6,(ROW(Liste_Ackerkulturen_Gemüse_DropDown[Ackerkulturen])-1)/(--(SEARCH(CS$2,Liste_Ackerkulturen_Gemüse_DropDown[Ackerkulturen])&gt;0)),ROW()-2),1),"")</f>
        <v>Wechselwiese  40 - 60% Leg. 5 Nutzungen</v>
      </c>
      <c r="CS59" s="2464"/>
      <c r="CT59"/>
      <c r="CU59"/>
      <c r="CV59"/>
      <c r="CW59"/>
      <c r="CX59"/>
      <c r="CY59"/>
      <c r="CZ59"/>
      <c r="DA59"/>
      <c r="DB59"/>
      <c r="DC59"/>
      <c r="DD59"/>
      <c r="DE59"/>
      <c r="DF59"/>
      <c r="DG59"/>
      <c r="DH59"/>
      <c r="DN59"/>
      <c r="DO59"/>
      <c r="DP59"/>
      <c r="DQ59"/>
      <c r="DR59"/>
      <c r="DS59"/>
      <c r="DT59"/>
      <c r="DU59"/>
      <c r="DV59"/>
      <c r="DW59"/>
      <c r="DX59"/>
      <c r="DY59"/>
      <c r="DZ59"/>
      <c r="EA59"/>
      <c r="EB59"/>
      <c r="EC59"/>
      <c r="ED59"/>
      <c r="EE59"/>
      <c r="EF59"/>
      <c r="EG59"/>
      <c r="EH59"/>
      <c r="EI59"/>
      <c r="EJ59"/>
      <c r="EK59"/>
      <c r="EL59"/>
      <c r="EM59"/>
      <c r="EN59"/>
      <c r="EO59"/>
      <c r="EP59"/>
      <c r="EQ59"/>
      <c r="ER59"/>
      <c r="ES59"/>
      <c r="ET59"/>
      <c r="EU59"/>
      <c r="EV59"/>
      <c r="EW59"/>
      <c r="EX59"/>
      <c r="EY59"/>
      <c r="EZ59"/>
      <c r="FA59"/>
      <c r="FB59"/>
      <c r="FC59"/>
      <c r="FD59"/>
      <c r="FE59"/>
      <c r="FF59"/>
      <c r="FG59"/>
      <c r="FH59"/>
      <c r="FI59"/>
      <c r="FJ59"/>
      <c r="FK59"/>
      <c r="FL59"/>
      <c r="FM59"/>
      <c r="FN59"/>
      <c r="FO59"/>
      <c r="FP59"/>
      <c r="FQ59"/>
      <c r="FR59"/>
      <c r="FS59"/>
      <c r="FT59"/>
      <c r="FU59"/>
      <c r="FV59"/>
      <c r="FW59"/>
      <c r="FX59"/>
      <c r="FY59"/>
      <c r="FZ59"/>
      <c r="GA59"/>
      <c r="GB59"/>
      <c r="GC59"/>
      <c r="GD59"/>
      <c r="GE59"/>
      <c r="GF59"/>
      <c r="GG59"/>
      <c r="GH59"/>
      <c r="GI59"/>
      <c r="GJ59"/>
      <c r="GK59"/>
      <c r="GL59"/>
      <c r="GM59"/>
      <c r="GN59"/>
      <c r="GO59"/>
      <c r="GP59"/>
      <c r="GQ59"/>
      <c r="GR59"/>
      <c r="GS59"/>
      <c r="GT59"/>
      <c r="GU59"/>
      <c r="GV59"/>
      <c r="GW59"/>
      <c r="GX59"/>
      <c r="GY59"/>
      <c r="GZ59"/>
      <c r="HA59"/>
      <c r="HB59"/>
      <c r="HC59"/>
      <c r="HD59"/>
      <c r="HE59"/>
      <c r="HF59"/>
      <c r="HG59"/>
      <c r="HH59"/>
      <c r="HI59"/>
      <c r="HJ59"/>
      <c r="HK59"/>
      <c r="HL59"/>
      <c r="HM59"/>
      <c r="HN59"/>
      <c r="HO59"/>
      <c r="HP59"/>
      <c r="HQ59"/>
      <c r="HR59"/>
      <c r="HS59"/>
      <c r="HT59"/>
      <c r="HU59"/>
      <c r="HV59"/>
      <c r="HW59"/>
      <c r="HX59"/>
      <c r="HY59"/>
      <c r="HZ59"/>
      <c r="IA59"/>
      <c r="IB59"/>
      <c r="IC59"/>
      <c r="ID59"/>
      <c r="IE59"/>
      <c r="IF59"/>
      <c r="IG59"/>
      <c r="IH59"/>
      <c r="II59"/>
      <c r="IJ59"/>
      <c r="IK59"/>
      <c r="IL59"/>
      <c r="IM59"/>
      <c r="IN59"/>
      <c r="IO59"/>
      <c r="IP59"/>
      <c r="IQ59"/>
      <c r="IR59"/>
      <c r="IS59"/>
      <c r="IT59"/>
      <c r="IU59"/>
    </row>
    <row r="60" spans="3:255" ht="18.75" customHeight="1">
      <c r="C60" s="2672" t="s">
        <v>1840</v>
      </c>
      <c r="D60" s="2673"/>
      <c r="E60" s="1526" t="s">
        <v>473</v>
      </c>
      <c r="F60" s="2254">
        <v>95</v>
      </c>
      <c r="G60" s="1748" t="s">
        <v>474</v>
      </c>
      <c r="H60" s="1749">
        <v>130</v>
      </c>
      <c r="I60" s="1446" t="s">
        <v>475</v>
      </c>
      <c r="J60" s="1447">
        <v>155</v>
      </c>
      <c r="K60" s="1446" t="s">
        <v>476</v>
      </c>
      <c r="L60" s="1447">
        <v>170</v>
      </c>
      <c r="M60" s="1446" t="s">
        <v>477</v>
      </c>
      <c r="N60" s="1447">
        <v>180</v>
      </c>
      <c r="O60" s="1527">
        <v>110</v>
      </c>
      <c r="P60" s="1528">
        <v>110</v>
      </c>
      <c r="Q60" s="1529">
        <v>90</v>
      </c>
      <c r="R60" s="1448">
        <v>75</v>
      </c>
      <c r="S60" s="1447">
        <v>55</v>
      </c>
      <c r="T60" s="1749">
        <v>60</v>
      </c>
      <c r="U60" s="1447">
        <v>70</v>
      </c>
      <c r="V60" s="1449" t="s">
        <v>1954</v>
      </c>
      <c r="W60" s="1530" t="s">
        <v>1955</v>
      </c>
      <c r="X60" s="1529">
        <v>120</v>
      </c>
      <c r="Y60" s="1448">
        <v>100</v>
      </c>
      <c r="Z60" s="1447">
        <v>70</v>
      </c>
      <c r="AA60" s="1749">
        <v>80</v>
      </c>
      <c r="AB60" s="1447">
        <v>90</v>
      </c>
      <c r="AC60" s="1449" t="s">
        <v>1956</v>
      </c>
      <c r="AD60" s="1530" t="s">
        <v>1955</v>
      </c>
      <c r="AF60" s="1279"/>
      <c r="AM60" s="2371" t="s">
        <v>2380</v>
      </c>
      <c r="AN60" s="2272">
        <v>200</v>
      </c>
      <c r="AO60" s="2279" t="s">
        <v>1076</v>
      </c>
      <c r="AP60" s="2272">
        <v>200</v>
      </c>
      <c r="AQ60" s="2283" t="s">
        <v>1076</v>
      </c>
      <c r="AR60" s="2272">
        <v>240</v>
      </c>
      <c r="AS60" s="2283" t="s">
        <v>1077</v>
      </c>
      <c r="AT60" s="2284">
        <v>240</v>
      </c>
      <c r="AU60" s="2285" t="s">
        <v>1077</v>
      </c>
      <c r="AV60" s="2284">
        <v>240</v>
      </c>
      <c r="AW60" s="2285" t="s">
        <v>1077</v>
      </c>
      <c r="AX60" s="2277">
        <v>160</v>
      </c>
      <c r="AY60" s="2278" t="s">
        <v>1076</v>
      </c>
      <c r="AZ60" s="2277">
        <v>160</v>
      </c>
      <c r="BA60" s="2303" t="s">
        <v>1077</v>
      </c>
      <c r="BB60" s="518"/>
      <c r="BC60" s="1996">
        <v>1</v>
      </c>
      <c r="BD60" s="521"/>
      <c r="BE60" s="2371" t="s">
        <v>2380</v>
      </c>
      <c r="BF60" s="577">
        <v>85</v>
      </c>
      <c r="BG60" s="577">
        <v>85</v>
      </c>
      <c r="BH60" s="577">
        <v>105</v>
      </c>
      <c r="BI60" s="521"/>
      <c r="BJ60" s="2371" t="s">
        <v>2380</v>
      </c>
      <c r="BK60" s="577">
        <v>230</v>
      </c>
      <c r="BL60" s="577">
        <v>230</v>
      </c>
      <c r="BM60" s="577">
        <v>300</v>
      </c>
      <c r="BN60" s="506"/>
      <c r="BO60" s="1033"/>
      <c r="BP60" s="458"/>
      <c r="BQ60" s="458"/>
      <c r="BR60" s="458"/>
      <c r="BS60" s="2461" t="s">
        <v>2382</v>
      </c>
      <c r="BT60" s="2463" t="str">
        <f>IFERROR(INDEX(Liste_Ackerkulturen_Gemüse_DropDown[Ackerkulturen],_xlfn.AGGREGATE(15,6,(ROW(Liste_Ackerkulturen_Gemüse_DropDown[Ackerkulturen])-1)/(--(SEARCH(BU$2,Liste_Ackerkulturen_Gemüse_DropDown[Ackerkulturen])&gt;0)),ROW()-2),1),"")</f>
        <v>Wechselwiese  40 - 60% Leg. 6 Nutzungen</v>
      </c>
      <c r="BU60" s="2463"/>
      <c r="BV60" s="2463" t="str">
        <f>IFERROR(INDEX(Liste_Ackerkulturen_Gemüse_DropDown[Ackerkulturen],_xlfn.AGGREGATE(15,6,(ROW(Liste_Ackerkulturen_Gemüse_DropDown[Ackerkulturen])-1)/(--(SEARCH(BW$2,Liste_Ackerkulturen_Gemüse_DropDown[Ackerkulturen])&gt;0)),ROW()-2),1),"")</f>
        <v>Wechselwiese  40 - 60% Leg. 6 Nutzungen</v>
      </c>
      <c r="BW60" s="2463"/>
      <c r="BX60" s="2463" t="str">
        <f>IFERROR(INDEX(Liste_Ackerkulturen_Gemüse_DropDown[Ackerkulturen],_xlfn.AGGREGATE(15,6,(ROW(Liste_Ackerkulturen_Gemüse_DropDown[Ackerkulturen])-1)/(--(SEARCH(BY$2,Liste_Ackerkulturen_Gemüse_DropDown[Ackerkulturen])&gt;0)),ROW()-2),1),"")</f>
        <v>Wechselwiese  40 - 60% Leg. 6 Nutzungen</v>
      </c>
      <c r="BY60" s="2463"/>
      <c r="BZ60" s="2463" t="str">
        <f>IFERROR(INDEX(Liste_Ackerkulturen_Gemüse_DropDown[Ackerkulturen],_xlfn.AGGREGATE(15,6,(ROW(Liste_Ackerkulturen_Gemüse_DropDown[Ackerkulturen])-1)/(--(SEARCH(CA$2,Liste_Ackerkulturen_Gemüse_DropDown[Ackerkulturen])&gt;0)),ROW()-2),1),"")</f>
        <v>Wechselwiese  40 - 60% Leg. 6 Nutzungen</v>
      </c>
      <c r="CA60" s="2463"/>
      <c r="CB60" s="2463" t="str">
        <f>IFERROR(INDEX(Liste_Ackerkulturen_Gemüse_DropDown[Ackerkulturen],_xlfn.AGGREGATE(15,6,(ROW(Liste_Ackerkulturen_Gemüse_DropDown[Ackerkulturen])-1)/(--(SEARCH(CC$2,Liste_Ackerkulturen_Gemüse_DropDown[Ackerkulturen])&gt;0)),ROW()-2),1),"")</f>
        <v>Wechselwiese  40 - 60% Leg. 6 Nutzungen</v>
      </c>
      <c r="CC60" s="2463"/>
      <c r="CD60" s="2464" t="str">
        <f>IFERROR(INDEX(Liste_Ackerkulturen_Gemüse_DropDown[Ackerkulturen],_xlfn.AGGREGATE(15,6,(ROW(Liste_Ackerkulturen_Gemüse_DropDown[Ackerkulturen])-1)/(--(SEARCH(CE$2,Liste_Ackerkulturen_Gemüse_DropDown[Ackerkulturen])&gt;0)),ROW()-2),1),"")</f>
        <v>Wechselwiese  40 - 60% Leg. 6 Nutzungen</v>
      </c>
      <c r="CE60" s="2464"/>
      <c r="CF60" s="2464" t="str">
        <f>IFERROR(INDEX(Liste_Ackerkulturen_Gemüse_DropDown[Ackerkulturen],_xlfn.AGGREGATE(15,6,(ROW(Liste_Ackerkulturen_Gemüse_DropDown[Ackerkulturen])-1)/(--(SEARCH(CG$2,Liste_Ackerkulturen_Gemüse_DropDown[Ackerkulturen])&gt;0)),ROW()-2),1),"")</f>
        <v>Wechselwiese  40 - 60% Leg. 6 Nutzungen</v>
      </c>
      <c r="CG60" s="2464"/>
      <c r="CH60" s="2464" t="str">
        <f>IFERROR(INDEX(Liste_Ackerkulturen_Gemüse_DropDown[Ackerkulturen],_xlfn.AGGREGATE(15,6,(ROW(Liste_Ackerkulturen_Gemüse_DropDown[Ackerkulturen])-1)/(--(SEARCH(CI$2,Liste_Ackerkulturen_Gemüse_DropDown[Ackerkulturen])&gt;0)),ROW()-2),1),"")</f>
        <v>Wechselwiese  40 - 60% Leg. 6 Nutzungen</v>
      </c>
      <c r="CI60" s="2464"/>
      <c r="CJ60" s="2464" t="str">
        <f>IFERROR(INDEX(Liste_Ackerkulturen_Gemüse_DropDown[Ackerkulturen],_xlfn.AGGREGATE(15,6,(ROW(Liste_Ackerkulturen_Gemüse_DropDown[Ackerkulturen])-1)/(--(SEARCH(CK$2,Liste_Ackerkulturen_Gemüse_DropDown[Ackerkulturen])&gt;0)),ROW()-2),1),"")</f>
        <v>Wechselwiese  40 - 60% Leg. 6 Nutzungen</v>
      </c>
      <c r="CK60" s="2464"/>
      <c r="CL60" s="2464" t="str">
        <f>IFERROR(INDEX(Liste_Ackerkulturen_Gemüse_DropDown[Ackerkulturen],_xlfn.AGGREGATE(15,6,(ROW(Liste_Ackerkulturen_Gemüse_DropDown[Ackerkulturen])-1)/(--(SEARCH(CM$2,Liste_Ackerkulturen_Gemüse_DropDown[Ackerkulturen])&gt;0)),ROW()-2),1),"")</f>
        <v>Wechselwiese  40 - 60% Leg. 6 Nutzungen</v>
      </c>
      <c r="CM60" s="2464"/>
      <c r="CN60" s="2464" t="str">
        <f>IFERROR(INDEX(Liste_Ackerkulturen_Gemüse_DropDown[Ackerkulturen],_xlfn.AGGREGATE(15,6,(ROW(Liste_Ackerkulturen_Gemüse_DropDown[Ackerkulturen])-1)/(--(SEARCH(CO$2,Liste_Ackerkulturen_Gemüse_DropDown[Ackerkulturen])&gt;0)),ROW()-2),1),"")</f>
        <v>Wechselwiese  40 - 60% Leg. 6 Nutzungen</v>
      </c>
      <c r="CO60" s="2464"/>
      <c r="CP60" s="2464" t="str">
        <f>IFERROR(INDEX(Liste_Ackerkulturen_Gemüse_DropDown[Ackerkulturen],_xlfn.AGGREGATE(15,6,(ROW(Liste_Ackerkulturen_Gemüse_DropDown[Ackerkulturen])-1)/(--(SEARCH(CQ$2,Liste_Ackerkulturen_Gemüse_DropDown[Ackerkulturen])&gt;0)),ROW()-2),1),"")</f>
        <v>Wechselwiese  40 - 60% Leg. 6 Nutzungen</v>
      </c>
      <c r="CQ60" s="2464"/>
      <c r="CR60" s="2464" t="str">
        <f>IFERROR(INDEX(Liste_Ackerkulturen_Gemüse_DropDown[Ackerkulturen],_xlfn.AGGREGATE(15,6,(ROW(Liste_Ackerkulturen_Gemüse_DropDown[Ackerkulturen])-1)/(--(SEARCH(CS$2,Liste_Ackerkulturen_Gemüse_DropDown[Ackerkulturen])&gt;0)),ROW()-2),1),"")</f>
        <v>Wechselwiese  40 - 60% Leg. 6 Nutzungen</v>
      </c>
      <c r="CS60" s="2464"/>
      <c r="CT60"/>
      <c r="CU60"/>
      <c r="CV60"/>
      <c r="CW60"/>
      <c r="CX60"/>
      <c r="CY60"/>
      <c r="CZ60"/>
      <c r="DA60"/>
      <c r="DB60"/>
      <c r="DC60"/>
      <c r="DD60"/>
      <c r="DE60"/>
      <c r="DF60"/>
      <c r="DG60"/>
      <c r="DH60"/>
      <c r="DN60"/>
      <c r="DO60"/>
      <c r="DP60"/>
      <c r="DQ60"/>
      <c r="DR60"/>
      <c r="DS60"/>
      <c r="DT60"/>
      <c r="DU60"/>
      <c r="DV60"/>
      <c r="DW60"/>
      <c r="DX60"/>
      <c r="DY60"/>
      <c r="DZ60"/>
      <c r="EA60"/>
      <c r="EB60"/>
      <c r="EC60"/>
      <c r="ED60"/>
      <c r="EE60"/>
      <c r="EF60"/>
      <c r="EG60"/>
      <c r="EH60"/>
      <c r="EI60"/>
      <c r="EJ60"/>
      <c r="EK60"/>
      <c r="EL60"/>
      <c r="EM60"/>
      <c r="EN60"/>
      <c r="EO60"/>
      <c r="EP60"/>
      <c r="EQ60"/>
      <c r="ER60"/>
      <c r="ES60"/>
      <c r="ET60"/>
      <c r="EU60"/>
      <c r="EV60"/>
      <c r="EW60"/>
      <c r="EX60"/>
      <c r="EY60"/>
      <c r="EZ60"/>
      <c r="FA60"/>
      <c r="FB60"/>
      <c r="FC60"/>
      <c r="FD60"/>
      <c r="FE60"/>
      <c r="FF60"/>
      <c r="FG60"/>
      <c r="FH60"/>
      <c r="FI60"/>
      <c r="FJ60"/>
      <c r="FK60"/>
      <c r="FL60"/>
      <c r="FM60"/>
      <c r="FN60"/>
      <c r="FO60"/>
      <c r="FP60"/>
      <c r="FQ60"/>
      <c r="FR60"/>
      <c r="FS60"/>
      <c r="FT60"/>
      <c r="FU60"/>
      <c r="FV60"/>
      <c r="FW60"/>
      <c r="FX60"/>
      <c r="FY60"/>
      <c r="FZ60"/>
      <c r="GA60"/>
      <c r="GB60"/>
      <c r="GC60"/>
      <c r="GD60"/>
      <c r="GE60"/>
      <c r="GF60"/>
      <c r="GG60"/>
      <c r="GH60"/>
      <c r="GI60"/>
      <c r="GJ60"/>
      <c r="GK60"/>
      <c r="GL60"/>
      <c r="GM60"/>
      <c r="GN60"/>
      <c r="GO60"/>
      <c r="GP60"/>
      <c r="GQ60"/>
      <c r="GR60"/>
      <c r="GS60"/>
      <c r="GT60"/>
      <c r="GU60"/>
      <c r="GV60"/>
      <c r="GW60"/>
      <c r="GX60"/>
      <c r="GY60"/>
      <c r="GZ60"/>
      <c r="HA60"/>
      <c r="HB60"/>
      <c r="HC60"/>
      <c r="HD60"/>
      <c r="HE60"/>
      <c r="HF60"/>
      <c r="HG60"/>
      <c r="HH60"/>
      <c r="HI60"/>
      <c r="HJ60"/>
      <c r="HK60"/>
      <c r="HL60"/>
      <c r="HM60"/>
      <c r="HN60"/>
      <c r="HO60"/>
      <c r="HP60"/>
      <c r="HQ60"/>
      <c r="HR60"/>
      <c r="HS60"/>
      <c r="HT60"/>
      <c r="HU60"/>
      <c r="HV60"/>
      <c r="HW60"/>
      <c r="HX60"/>
      <c r="HY60"/>
      <c r="HZ60"/>
      <c r="IA60"/>
      <c r="IB60"/>
      <c r="IC60"/>
      <c r="ID60"/>
      <c r="IE60"/>
      <c r="IF60"/>
      <c r="IG60"/>
      <c r="IH60"/>
      <c r="II60"/>
      <c r="IJ60"/>
      <c r="IK60"/>
      <c r="IL60"/>
      <c r="IM60"/>
      <c r="IN60"/>
      <c r="IO60"/>
      <c r="IP60"/>
      <c r="IQ60"/>
      <c r="IR60"/>
      <c r="IS60"/>
      <c r="IT60"/>
      <c r="IU60"/>
    </row>
    <row r="61" spans="3:255" ht="18.75" customHeight="1" thickBot="1">
      <c r="C61" s="2672" t="s">
        <v>1841</v>
      </c>
      <c r="D61" s="2673"/>
      <c r="E61" s="1526" t="s">
        <v>478</v>
      </c>
      <c r="F61" s="2254">
        <v>65</v>
      </c>
      <c r="G61" s="1748" t="s">
        <v>479</v>
      </c>
      <c r="H61" s="1749">
        <v>90</v>
      </c>
      <c r="I61" s="1446" t="s">
        <v>480</v>
      </c>
      <c r="J61" s="1447">
        <v>105</v>
      </c>
      <c r="K61" s="1446" t="s">
        <v>481</v>
      </c>
      <c r="L61" s="1447">
        <v>110</v>
      </c>
      <c r="M61" s="1446" t="s">
        <v>482</v>
      </c>
      <c r="N61" s="1447">
        <v>120</v>
      </c>
      <c r="O61" s="1527">
        <v>70</v>
      </c>
      <c r="P61" s="1528">
        <v>70</v>
      </c>
      <c r="Q61" s="1529">
        <v>85</v>
      </c>
      <c r="R61" s="1448">
        <v>70</v>
      </c>
      <c r="S61" s="1447">
        <v>50</v>
      </c>
      <c r="T61" s="1749">
        <v>55</v>
      </c>
      <c r="U61" s="1447">
        <v>65</v>
      </c>
      <c r="V61" s="1449" t="s">
        <v>1954</v>
      </c>
      <c r="W61" s="1530" t="s">
        <v>1955</v>
      </c>
      <c r="X61" s="1529">
        <v>150</v>
      </c>
      <c r="Y61" s="1448">
        <v>125</v>
      </c>
      <c r="Z61" s="1447">
        <v>90</v>
      </c>
      <c r="AA61" s="1749">
        <v>100</v>
      </c>
      <c r="AB61" s="1447">
        <v>115</v>
      </c>
      <c r="AC61" s="1449" t="s">
        <v>1956</v>
      </c>
      <c r="AD61" s="1530" t="s">
        <v>1955</v>
      </c>
      <c r="AF61" s="1279"/>
      <c r="AM61" s="2371" t="s">
        <v>2381</v>
      </c>
      <c r="AN61" s="2293">
        <v>270</v>
      </c>
      <c r="AO61" s="2294" t="s">
        <v>1078</v>
      </c>
      <c r="AP61" s="2293">
        <v>270</v>
      </c>
      <c r="AQ61" s="2294" t="s">
        <v>1078</v>
      </c>
      <c r="AR61" s="2293">
        <v>270</v>
      </c>
      <c r="AS61" s="2294" t="s">
        <v>1078</v>
      </c>
      <c r="AT61" s="2296">
        <v>270</v>
      </c>
      <c r="AU61" s="2307" t="s">
        <v>1078</v>
      </c>
      <c r="AV61" s="2296">
        <v>270</v>
      </c>
      <c r="AW61" s="2307" t="s">
        <v>1078</v>
      </c>
      <c r="AX61" s="2304">
        <v>160</v>
      </c>
      <c r="AY61" s="2305" t="s">
        <v>1078</v>
      </c>
      <c r="AZ61" s="2304">
        <v>160</v>
      </c>
      <c r="BA61" s="2306" t="s">
        <v>1078</v>
      </c>
      <c r="BB61" s="518"/>
      <c r="BC61" s="1996">
        <v>1</v>
      </c>
      <c r="BD61" s="521"/>
      <c r="BE61" s="2371" t="s">
        <v>2381</v>
      </c>
      <c r="BF61" s="577">
        <v>120</v>
      </c>
      <c r="BG61" s="577">
        <v>120</v>
      </c>
      <c r="BH61" s="577">
        <v>120</v>
      </c>
      <c r="BI61" s="521"/>
      <c r="BJ61" s="2371" t="s">
        <v>2381</v>
      </c>
      <c r="BK61" s="577">
        <v>340</v>
      </c>
      <c r="BL61" s="577">
        <v>340</v>
      </c>
      <c r="BM61" s="577">
        <v>340</v>
      </c>
      <c r="BN61" s="506"/>
      <c r="BO61" s="1033"/>
      <c r="BP61" s="458"/>
      <c r="BQ61" s="458"/>
      <c r="BR61" s="458"/>
      <c r="BS61" s="2461" t="s">
        <v>2383</v>
      </c>
      <c r="BT61" s="2463" t="str">
        <f>IFERROR(INDEX(Liste_Ackerkulturen_Gemüse_DropDown[Ackerkulturen],_xlfn.AGGREGATE(15,6,(ROW(Liste_Ackerkulturen_Gemüse_DropDown[Ackerkulturen])-1)/(--(SEARCH(BU$2,Liste_Ackerkulturen_Gemüse_DropDown[Ackerkulturen])&gt;0)),ROW()-2),1),"")</f>
        <v>Kleegras (&gt; 60% Klee)   1 Nutzung</v>
      </c>
      <c r="BU61" s="2463"/>
      <c r="BV61" s="2463" t="str">
        <f>IFERROR(INDEX(Liste_Ackerkulturen_Gemüse_DropDown[Ackerkulturen],_xlfn.AGGREGATE(15,6,(ROW(Liste_Ackerkulturen_Gemüse_DropDown[Ackerkulturen])-1)/(--(SEARCH(BW$2,Liste_Ackerkulturen_Gemüse_DropDown[Ackerkulturen])&gt;0)),ROW()-2),1),"")</f>
        <v>Kleegras (&gt; 60% Klee)   1 Nutzung</v>
      </c>
      <c r="BW61" s="2463"/>
      <c r="BX61" s="2463" t="str">
        <f>IFERROR(INDEX(Liste_Ackerkulturen_Gemüse_DropDown[Ackerkulturen],_xlfn.AGGREGATE(15,6,(ROW(Liste_Ackerkulturen_Gemüse_DropDown[Ackerkulturen])-1)/(--(SEARCH(BY$2,Liste_Ackerkulturen_Gemüse_DropDown[Ackerkulturen])&gt;0)),ROW()-2),1),"")</f>
        <v>Kleegras (&gt; 60% Klee)   1 Nutzung</v>
      </c>
      <c r="BY61" s="2463"/>
      <c r="BZ61" s="2463" t="str">
        <f>IFERROR(INDEX(Liste_Ackerkulturen_Gemüse_DropDown[Ackerkulturen],_xlfn.AGGREGATE(15,6,(ROW(Liste_Ackerkulturen_Gemüse_DropDown[Ackerkulturen])-1)/(--(SEARCH(CA$2,Liste_Ackerkulturen_Gemüse_DropDown[Ackerkulturen])&gt;0)),ROW()-2),1),"")</f>
        <v>Kleegras (&gt; 60% Klee)   1 Nutzung</v>
      </c>
      <c r="CA61" s="2463"/>
      <c r="CB61" s="2463" t="str">
        <f>IFERROR(INDEX(Liste_Ackerkulturen_Gemüse_DropDown[Ackerkulturen],_xlfn.AGGREGATE(15,6,(ROW(Liste_Ackerkulturen_Gemüse_DropDown[Ackerkulturen])-1)/(--(SEARCH(CC$2,Liste_Ackerkulturen_Gemüse_DropDown[Ackerkulturen])&gt;0)),ROW()-2),1),"")</f>
        <v>Kleegras (&gt; 60% Klee)   1 Nutzung</v>
      </c>
      <c r="CC61" s="2463"/>
      <c r="CD61" s="2464" t="str">
        <f>IFERROR(INDEX(Liste_Ackerkulturen_Gemüse_DropDown[Ackerkulturen],_xlfn.AGGREGATE(15,6,(ROW(Liste_Ackerkulturen_Gemüse_DropDown[Ackerkulturen])-1)/(--(SEARCH(CE$2,Liste_Ackerkulturen_Gemüse_DropDown[Ackerkulturen])&gt;0)),ROW()-2),1),"")</f>
        <v>Kleegras (&gt; 60% Klee)   1 Nutzung</v>
      </c>
      <c r="CE61" s="2464"/>
      <c r="CF61" s="2464" t="str">
        <f>IFERROR(INDEX(Liste_Ackerkulturen_Gemüse_DropDown[Ackerkulturen],_xlfn.AGGREGATE(15,6,(ROW(Liste_Ackerkulturen_Gemüse_DropDown[Ackerkulturen])-1)/(--(SEARCH(CG$2,Liste_Ackerkulturen_Gemüse_DropDown[Ackerkulturen])&gt;0)),ROW()-2),1),"")</f>
        <v>Kleegras (&gt; 60% Klee)   1 Nutzung</v>
      </c>
      <c r="CG61" s="2464"/>
      <c r="CH61" s="2464" t="str">
        <f>IFERROR(INDEX(Liste_Ackerkulturen_Gemüse_DropDown[Ackerkulturen],_xlfn.AGGREGATE(15,6,(ROW(Liste_Ackerkulturen_Gemüse_DropDown[Ackerkulturen])-1)/(--(SEARCH(CI$2,Liste_Ackerkulturen_Gemüse_DropDown[Ackerkulturen])&gt;0)),ROW()-2),1),"")</f>
        <v>Kleegras (&gt; 60% Klee)   1 Nutzung</v>
      </c>
      <c r="CI61" s="2464"/>
      <c r="CJ61" s="2464" t="str">
        <f>IFERROR(INDEX(Liste_Ackerkulturen_Gemüse_DropDown[Ackerkulturen],_xlfn.AGGREGATE(15,6,(ROW(Liste_Ackerkulturen_Gemüse_DropDown[Ackerkulturen])-1)/(--(SEARCH(CK$2,Liste_Ackerkulturen_Gemüse_DropDown[Ackerkulturen])&gt;0)),ROW()-2),1),"")</f>
        <v>Kleegras (&gt; 60% Klee)   1 Nutzung</v>
      </c>
      <c r="CK61" s="2464"/>
      <c r="CL61" s="2464" t="str">
        <f>IFERROR(INDEX(Liste_Ackerkulturen_Gemüse_DropDown[Ackerkulturen],_xlfn.AGGREGATE(15,6,(ROW(Liste_Ackerkulturen_Gemüse_DropDown[Ackerkulturen])-1)/(--(SEARCH(CM$2,Liste_Ackerkulturen_Gemüse_DropDown[Ackerkulturen])&gt;0)),ROW()-2),1),"")</f>
        <v>Kleegras (&gt; 60% Klee)   1 Nutzung</v>
      </c>
      <c r="CM61" s="2464"/>
      <c r="CN61" s="2464" t="str">
        <f>IFERROR(INDEX(Liste_Ackerkulturen_Gemüse_DropDown[Ackerkulturen],_xlfn.AGGREGATE(15,6,(ROW(Liste_Ackerkulturen_Gemüse_DropDown[Ackerkulturen])-1)/(--(SEARCH(CO$2,Liste_Ackerkulturen_Gemüse_DropDown[Ackerkulturen])&gt;0)),ROW()-2),1),"")</f>
        <v>Kleegras (&gt; 60% Klee)   1 Nutzung</v>
      </c>
      <c r="CO61" s="2464"/>
      <c r="CP61" s="2464" t="str">
        <f>IFERROR(INDEX(Liste_Ackerkulturen_Gemüse_DropDown[Ackerkulturen],_xlfn.AGGREGATE(15,6,(ROW(Liste_Ackerkulturen_Gemüse_DropDown[Ackerkulturen])-1)/(--(SEARCH(CQ$2,Liste_Ackerkulturen_Gemüse_DropDown[Ackerkulturen])&gt;0)),ROW()-2),1),"")</f>
        <v>Kleegras (&gt; 60% Klee)   1 Nutzung</v>
      </c>
      <c r="CQ61" s="2464"/>
      <c r="CR61" s="2464" t="str">
        <f>IFERROR(INDEX(Liste_Ackerkulturen_Gemüse_DropDown[Ackerkulturen],_xlfn.AGGREGATE(15,6,(ROW(Liste_Ackerkulturen_Gemüse_DropDown[Ackerkulturen])-1)/(--(SEARCH(CS$2,Liste_Ackerkulturen_Gemüse_DropDown[Ackerkulturen])&gt;0)),ROW()-2),1),"")</f>
        <v>Kleegras (&gt; 60% Klee)   1 Nutzung</v>
      </c>
      <c r="CS61" s="2464"/>
      <c r="CT61"/>
      <c r="CU61"/>
      <c r="CV61"/>
      <c r="CW61"/>
      <c r="CX61"/>
      <c r="CY61"/>
      <c r="CZ61"/>
      <c r="DA61"/>
      <c r="DB61"/>
      <c r="DC61"/>
      <c r="DD61"/>
      <c r="DE61"/>
      <c r="DF61"/>
      <c r="DG61"/>
      <c r="DH61"/>
      <c r="DN61"/>
      <c r="DO61"/>
      <c r="DP61"/>
      <c r="DQ61"/>
      <c r="DR61"/>
      <c r="DS61"/>
      <c r="DT61"/>
      <c r="DU61"/>
      <c r="DV61"/>
      <c r="DW61"/>
      <c r="DX61"/>
      <c r="DY61"/>
      <c r="DZ61"/>
      <c r="EA61"/>
      <c r="EB61"/>
      <c r="EC61"/>
      <c r="ED61"/>
      <c r="EE61"/>
      <c r="EF61"/>
      <c r="EG61"/>
      <c r="EH61"/>
      <c r="EI61"/>
      <c r="EJ61"/>
      <c r="EK61"/>
      <c r="EL61"/>
      <c r="EM61"/>
      <c r="EN61"/>
      <c r="EO61"/>
      <c r="EP61"/>
      <c r="EQ61"/>
      <c r="ER61"/>
      <c r="ES61"/>
      <c r="ET61"/>
      <c r="EU61"/>
      <c r="EV61"/>
      <c r="EW61"/>
      <c r="EX61"/>
      <c r="EY61"/>
      <c r="EZ61"/>
      <c r="FA61"/>
      <c r="FB61"/>
      <c r="FC61"/>
      <c r="FD61"/>
      <c r="FE61"/>
      <c r="FF61"/>
      <c r="FG61"/>
      <c r="FH61"/>
      <c r="FI61"/>
      <c r="FJ61"/>
      <c r="FK61"/>
      <c r="FL61"/>
      <c r="FM61"/>
      <c r="FN61"/>
      <c r="FO61"/>
      <c r="FP61"/>
      <c r="FQ61"/>
      <c r="FR61"/>
      <c r="FS61"/>
      <c r="FT61"/>
      <c r="FU61"/>
      <c r="FV61"/>
      <c r="FW61"/>
      <c r="FX61"/>
      <c r="FY61"/>
      <c r="FZ61"/>
      <c r="GA61"/>
      <c r="GB61"/>
      <c r="GC61"/>
      <c r="GD61"/>
      <c r="GE61"/>
      <c r="GF61"/>
      <c r="GG61"/>
      <c r="GH61"/>
      <c r="GI61"/>
      <c r="GJ61"/>
      <c r="GK61"/>
      <c r="GL61"/>
      <c r="GM61"/>
      <c r="GN61"/>
      <c r="GO61"/>
      <c r="GP61"/>
      <c r="GQ61"/>
      <c r="GR61"/>
      <c r="GS61"/>
      <c r="GT61"/>
      <c r="GU61"/>
      <c r="GV61"/>
      <c r="GW61"/>
      <c r="GX61"/>
      <c r="GY61"/>
      <c r="GZ61"/>
      <c r="HA61"/>
      <c r="HB61"/>
      <c r="HC61"/>
      <c r="HD61"/>
      <c r="HE61"/>
      <c r="HF61"/>
      <c r="HG61"/>
      <c r="HH61"/>
      <c r="HI61"/>
      <c r="HJ61"/>
      <c r="HK61"/>
      <c r="HL61"/>
      <c r="HM61"/>
      <c r="HN61"/>
      <c r="HO61"/>
      <c r="HP61"/>
      <c r="HQ61"/>
      <c r="HR61"/>
      <c r="HS61"/>
      <c r="HT61"/>
      <c r="HU61"/>
      <c r="HV61"/>
      <c r="HW61"/>
      <c r="HX61"/>
      <c r="HY61"/>
      <c r="HZ61"/>
      <c r="IA61"/>
      <c r="IB61"/>
      <c r="IC61"/>
      <c r="ID61"/>
      <c r="IE61"/>
      <c r="IF61"/>
      <c r="IG61"/>
      <c r="IH61"/>
      <c r="II61"/>
      <c r="IJ61"/>
      <c r="IK61"/>
      <c r="IL61"/>
      <c r="IM61"/>
      <c r="IN61"/>
      <c r="IO61"/>
      <c r="IP61"/>
      <c r="IQ61"/>
      <c r="IR61"/>
      <c r="IS61"/>
      <c r="IT61"/>
      <c r="IU61"/>
    </row>
    <row r="62" spans="3:255" ht="18.75" customHeight="1" thickBot="1">
      <c r="C62" s="2674" t="s">
        <v>1842</v>
      </c>
      <c r="D62" s="2675"/>
      <c r="E62" s="1532" t="s">
        <v>483</v>
      </c>
      <c r="F62" s="2257">
        <v>65</v>
      </c>
      <c r="G62" s="1786" t="s">
        <v>479</v>
      </c>
      <c r="H62" s="1787">
        <v>90</v>
      </c>
      <c r="I62" s="1534" t="s">
        <v>484</v>
      </c>
      <c r="J62" s="1533">
        <v>105</v>
      </c>
      <c r="K62" s="1534" t="s">
        <v>484</v>
      </c>
      <c r="L62" s="1533">
        <v>105</v>
      </c>
      <c r="M62" s="1534" t="s">
        <v>484</v>
      </c>
      <c r="N62" s="1533">
        <v>105</v>
      </c>
      <c r="O62" s="1535">
        <v>80</v>
      </c>
      <c r="P62" s="1536">
        <v>100</v>
      </c>
      <c r="Q62" s="1537">
        <v>75</v>
      </c>
      <c r="R62" s="1538">
        <v>65</v>
      </c>
      <c r="S62" s="1533">
        <v>45</v>
      </c>
      <c r="T62" s="1787">
        <v>50</v>
      </c>
      <c r="U62" s="1533">
        <v>65</v>
      </c>
      <c r="V62" s="1539" t="s">
        <v>1954</v>
      </c>
      <c r="W62" s="1540" t="s">
        <v>1955</v>
      </c>
      <c r="X62" s="1537">
        <v>270</v>
      </c>
      <c r="Y62" s="1538">
        <v>225</v>
      </c>
      <c r="Z62" s="1533">
        <v>160</v>
      </c>
      <c r="AA62" s="1787">
        <v>180</v>
      </c>
      <c r="AB62" s="1533">
        <v>205</v>
      </c>
      <c r="AC62" s="1539" t="s">
        <v>1956</v>
      </c>
      <c r="AD62" s="1540" t="s">
        <v>1955</v>
      </c>
      <c r="AF62" s="1279"/>
      <c r="AM62" s="2371" t="s">
        <v>2382</v>
      </c>
      <c r="AN62" s="2368">
        <v>15</v>
      </c>
      <c r="AO62" s="2369" t="s">
        <v>1997</v>
      </c>
      <c r="AP62" s="2368">
        <v>25</v>
      </c>
      <c r="AQ62" s="2369" t="s">
        <v>1060</v>
      </c>
      <c r="AR62" s="2368">
        <v>25</v>
      </c>
      <c r="AS62" s="2369" t="s">
        <v>1060</v>
      </c>
      <c r="AT62" s="2355">
        <v>25</v>
      </c>
      <c r="AU62" s="2356" t="s">
        <v>1060</v>
      </c>
      <c r="AV62" s="2355">
        <v>25</v>
      </c>
      <c r="AW62" s="2356" t="s">
        <v>1060</v>
      </c>
      <c r="AX62" s="2370">
        <v>25</v>
      </c>
      <c r="AY62" s="2358" t="s">
        <v>1060</v>
      </c>
      <c r="AZ62" s="2370">
        <v>25</v>
      </c>
      <c r="BA62" s="2359" t="s">
        <v>1060</v>
      </c>
      <c r="BB62" s="518"/>
      <c r="BC62" s="1996">
        <v>1</v>
      </c>
      <c r="BD62" s="521"/>
      <c r="BE62" s="2371" t="s">
        <v>2382</v>
      </c>
      <c r="BF62" s="577">
        <v>15</v>
      </c>
      <c r="BG62" s="577">
        <v>30</v>
      </c>
      <c r="BH62" s="577">
        <v>30</v>
      </c>
      <c r="BJ62" s="2371" t="s">
        <v>2382</v>
      </c>
      <c r="BK62" s="578">
        <v>45</v>
      </c>
      <c r="BL62" s="577">
        <v>80</v>
      </c>
      <c r="BM62" s="577">
        <v>80</v>
      </c>
      <c r="BN62" s="506"/>
      <c r="BO62" s="1033"/>
      <c r="BP62" s="458"/>
      <c r="BQ62" s="458"/>
      <c r="BR62" s="458"/>
      <c r="BS62" s="2461" t="s">
        <v>2384</v>
      </c>
      <c r="BT62" s="2463" t="str">
        <f>IFERROR(INDEX(Liste_Ackerkulturen_Gemüse_DropDown[Ackerkulturen],_xlfn.AGGREGATE(15,6,(ROW(Liste_Ackerkulturen_Gemüse_DropDown[Ackerkulturen])-1)/(--(SEARCH(BU$2,Liste_Ackerkulturen_Gemüse_DropDown[Ackerkulturen])&gt;0)),ROW()-2),1),"")</f>
        <v>Kleegras (&gt; 60% Klee)   2 Nutzungen</v>
      </c>
      <c r="BU62" s="2463"/>
      <c r="BV62" s="2463" t="str">
        <f>IFERROR(INDEX(Liste_Ackerkulturen_Gemüse_DropDown[Ackerkulturen],_xlfn.AGGREGATE(15,6,(ROW(Liste_Ackerkulturen_Gemüse_DropDown[Ackerkulturen])-1)/(--(SEARCH(BW$2,Liste_Ackerkulturen_Gemüse_DropDown[Ackerkulturen])&gt;0)),ROW()-2),1),"")</f>
        <v>Kleegras (&gt; 60% Klee)   2 Nutzungen</v>
      </c>
      <c r="BW62" s="2463"/>
      <c r="BX62" s="2463" t="str">
        <f>IFERROR(INDEX(Liste_Ackerkulturen_Gemüse_DropDown[Ackerkulturen],_xlfn.AGGREGATE(15,6,(ROW(Liste_Ackerkulturen_Gemüse_DropDown[Ackerkulturen])-1)/(--(SEARCH(BY$2,Liste_Ackerkulturen_Gemüse_DropDown[Ackerkulturen])&gt;0)),ROW()-2),1),"")</f>
        <v>Kleegras (&gt; 60% Klee)   2 Nutzungen</v>
      </c>
      <c r="BY62" s="2463"/>
      <c r="BZ62" s="2463" t="str">
        <f>IFERROR(INDEX(Liste_Ackerkulturen_Gemüse_DropDown[Ackerkulturen],_xlfn.AGGREGATE(15,6,(ROW(Liste_Ackerkulturen_Gemüse_DropDown[Ackerkulturen])-1)/(--(SEARCH(CA$2,Liste_Ackerkulturen_Gemüse_DropDown[Ackerkulturen])&gt;0)),ROW()-2),1),"")</f>
        <v>Kleegras (&gt; 60% Klee)   2 Nutzungen</v>
      </c>
      <c r="CA62" s="2463"/>
      <c r="CB62" s="2463" t="str">
        <f>IFERROR(INDEX(Liste_Ackerkulturen_Gemüse_DropDown[Ackerkulturen],_xlfn.AGGREGATE(15,6,(ROW(Liste_Ackerkulturen_Gemüse_DropDown[Ackerkulturen])-1)/(--(SEARCH(CC$2,Liste_Ackerkulturen_Gemüse_DropDown[Ackerkulturen])&gt;0)),ROW()-2),1),"")</f>
        <v>Kleegras (&gt; 60% Klee)   2 Nutzungen</v>
      </c>
      <c r="CC62" s="2463"/>
      <c r="CD62" s="2464" t="str">
        <f>IFERROR(INDEX(Liste_Ackerkulturen_Gemüse_DropDown[Ackerkulturen],_xlfn.AGGREGATE(15,6,(ROW(Liste_Ackerkulturen_Gemüse_DropDown[Ackerkulturen])-1)/(--(SEARCH(CE$2,Liste_Ackerkulturen_Gemüse_DropDown[Ackerkulturen])&gt;0)),ROW()-2),1),"")</f>
        <v>Kleegras (&gt; 60% Klee)   2 Nutzungen</v>
      </c>
      <c r="CE62" s="2464"/>
      <c r="CF62" s="2464" t="str">
        <f>IFERROR(INDEX(Liste_Ackerkulturen_Gemüse_DropDown[Ackerkulturen],_xlfn.AGGREGATE(15,6,(ROW(Liste_Ackerkulturen_Gemüse_DropDown[Ackerkulturen])-1)/(--(SEARCH(CG$2,Liste_Ackerkulturen_Gemüse_DropDown[Ackerkulturen])&gt;0)),ROW()-2),1),"")</f>
        <v>Kleegras (&gt; 60% Klee)   2 Nutzungen</v>
      </c>
      <c r="CG62" s="2464"/>
      <c r="CH62" s="2464" t="str">
        <f>IFERROR(INDEX(Liste_Ackerkulturen_Gemüse_DropDown[Ackerkulturen],_xlfn.AGGREGATE(15,6,(ROW(Liste_Ackerkulturen_Gemüse_DropDown[Ackerkulturen])-1)/(--(SEARCH(CI$2,Liste_Ackerkulturen_Gemüse_DropDown[Ackerkulturen])&gt;0)),ROW()-2),1),"")</f>
        <v>Kleegras (&gt; 60% Klee)   2 Nutzungen</v>
      </c>
      <c r="CI62" s="2464"/>
      <c r="CJ62" s="2464" t="str">
        <f>IFERROR(INDEX(Liste_Ackerkulturen_Gemüse_DropDown[Ackerkulturen],_xlfn.AGGREGATE(15,6,(ROW(Liste_Ackerkulturen_Gemüse_DropDown[Ackerkulturen])-1)/(--(SEARCH(CK$2,Liste_Ackerkulturen_Gemüse_DropDown[Ackerkulturen])&gt;0)),ROW()-2),1),"")</f>
        <v>Kleegras (&gt; 60% Klee)   2 Nutzungen</v>
      </c>
      <c r="CK62" s="2464"/>
      <c r="CL62" s="2464" t="str">
        <f>IFERROR(INDEX(Liste_Ackerkulturen_Gemüse_DropDown[Ackerkulturen],_xlfn.AGGREGATE(15,6,(ROW(Liste_Ackerkulturen_Gemüse_DropDown[Ackerkulturen])-1)/(--(SEARCH(CM$2,Liste_Ackerkulturen_Gemüse_DropDown[Ackerkulturen])&gt;0)),ROW()-2),1),"")</f>
        <v>Kleegras (&gt; 60% Klee)   2 Nutzungen</v>
      </c>
      <c r="CM62" s="2464"/>
      <c r="CN62" s="2464" t="str">
        <f>IFERROR(INDEX(Liste_Ackerkulturen_Gemüse_DropDown[Ackerkulturen],_xlfn.AGGREGATE(15,6,(ROW(Liste_Ackerkulturen_Gemüse_DropDown[Ackerkulturen])-1)/(--(SEARCH(CO$2,Liste_Ackerkulturen_Gemüse_DropDown[Ackerkulturen])&gt;0)),ROW()-2),1),"")</f>
        <v>Kleegras (&gt; 60% Klee)   2 Nutzungen</v>
      </c>
      <c r="CO62" s="2464"/>
      <c r="CP62" s="2464" t="str">
        <f>IFERROR(INDEX(Liste_Ackerkulturen_Gemüse_DropDown[Ackerkulturen],_xlfn.AGGREGATE(15,6,(ROW(Liste_Ackerkulturen_Gemüse_DropDown[Ackerkulturen])-1)/(--(SEARCH(CQ$2,Liste_Ackerkulturen_Gemüse_DropDown[Ackerkulturen])&gt;0)),ROW()-2),1),"")</f>
        <v>Kleegras (&gt; 60% Klee)   2 Nutzungen</v>
      </c>
      <c r="CQ62" s="2464"/>
      <c r="CR62" s="2464" t="str">
        <f>IFERROR(INDEX(Liste_Ackerkulturen_Gemüse_DropDown[Ackerkulturen],_xlfn.AGGREGATE(15,6,(ROW(Liste_Ackerkulturen_Gemüse_DropDown[Ackerkulturen])-1)/(--(SEARCH(CS$2,Liste_Ackerkulturen_Gemüse_DropDown[Ackerkulturen])&gt;0)),ROW()-2),1),"")</f>
        <v>Kleegras (&gt; 60% Klee)   2 Nutzungen</v>
      </c>
      <c r="CS62" s="2464"/>
      <c r="CT62"/>
      <c r="CU62"/>
      <c r="CV62"/>
      <c r="CW62"/>
      <c r="CX62"/>
      <c r="CY62"/>
      <c r="CZ62"/>
      <c r="DA62"/>
      <c r="DB62"/>
      <c r="DC62"/>
      <c r="DD62"/>
      <c r="DE62"/>
      <c r="DF62"/>
      <c r="DG62"/>
      <c r="DH62"/>
      <c r="DN62"/>
      <c r="DO62"/>
      <c r="DP62"/>
      <c r="DQ62"/>
      <c r="DR62"/>
      <c r="DS62"/>
      <c r="DT62"/>
      <c r="DU62"/>
      <c r="DV62"/>
      <c r="DW62"/>
      <c r="DX62"/>
      <c r="DY62"/>
      <c r="DZ62"/>
      <c r="EA62"/>
      <c r="EB62"/>
      <c r="EC62"/>
      <c r="ED62"/>
      <c r="EE62"/>
      <c r="EF62"/>
      <c r="EG62"/>
      <c r="EH62"/>
      <c r="EI62"/>
      <c r="EJ62"/>
      <c r="EK62"/>
      <c r="EL62"/>
      <c r="EM62"/>
      <c r="EN62"/>
      <c r="EO62"/>
      <c r="EP62"/>
      <c r="EQ62"/>
      <c r="ER62"/>
      <c r="ES62"/>
      <c r="ET62"/>
      <c r="EU62"/>
      <c r="EV62"/>
      <c r="EW62"/>
      <c r="EX62"/>
      <c r="EY62"/>
      <c r="EZ62"/>
      <c r="FA62"/>
      <c r="FB62"/>
      <c r="FC62"/>
      <c r="FD62"/>
      <c r="FE62"/>
      <c r="FF62"/>
      <c r="FG62"/>
      <c r="FH62"/>
      <c r="FI62"/>
      <c r="FJ62"/>
      <c r="FK62"/>
      <c r="FL62"/>
      <c r="FM62"/>
      <c r="FN62"/>
      <c r="FO62"/>
      <c r="FP62"/>
      <c r="FQ62"/>
      <c r="FR62"/>
      <c r="FS62"/>
      <c r="FT62"/>
      <c r="FU62"/>
      <c r="FV62"/>
      <c r="FW62"/>
      <c r="FX62"/>
      <c r="FY62"/>
      <c r="FZ62"/>
      <c r="GA62"/>
      <c r="GB62"/>
      <c r="GC62"/>
      <c r="GD62"/>
      <c r="GE62"/>
      <c r="GF62"/>
      <c r="GG62"/>
      <c r="GH62"/>
      <c r="GI62"/>
      <c r="GJ62"/>
      <c r="GK62"/>
      <c r="GL62"/>
      <c r="GM62"/>
      <c r="GN62"/>
      <c r="GO62"/>
      <c r="GP62"/>
      <c r="GQ62"/>
      <c r="GR62"/>
      <c r="GS62"/>
      <c r="GT62"/>
      <c r="GU62"/>
      <c r="GV62"/>
      <c r="GW62"/>
      <c r="GX62"/>
      <c r="GY62"/>
      <c r="GZ62"/>
      <c r="HA62"/>
      <c r="HB62"/>
      <c r="HC62"/>
      <c r="HD62"/>
      <c r="HE62"/>
      <c r="HF62"/>
      <c r="HG62"/>
      <c r="HH62"/>
      <c r="HI62"/>
      <c r="HJ62"/>
      <c r="HK62"/>
      <c r="HL62"/>
      <c r="HM62"/>
      <c r="HN62"/>
      <c r="HO62"/>
      <c r="HP62"/>
      <c r="HQ62"/>
      <c r="HR62"/>
      <c r="HS62"/>
      <c r="HT62"/>
      <c r="HU62"/>
      <c r="HV62"/>
      <c r="HW62"/>
      <c r="HX62"/>
      <c r="HY62"/>
      <c r="HZ62"/>
      <c r="IA62"/>
      <c r="IB62"/>
      <c r="IC62"/>
      <c r="ID62"/>
      <c r="IE62"/>
      <c r="IF62"/>
      <c r="IG62"/>
      <c r="IH62"/>
      <c r="II62"/>
      <c r="IJ62"/>
      <c r="IK62"/>
      <c r="IL62"/>
      <c r="IM62"/>
      <c r="IN62"/>
      <c r="IO62"/>
      <c r="IP62"/>
      <c r="IQ62"/>
      <c r="IR62"/>
      <c r="IS62"/>
      <c r="IT62"/>
      <c r="IU62"/>
    </row>
    <row r="63" spans="3:255" ht="18.75" customHeight="1" thickBot="1">
      <c r="C63" s="1541"/>
      <c r="D63" s="1541"/>
      <c r="E63" s="1541"/>
      <c r="F63" s="1541"/>
      <c r="G63" s="1541"/>
      <c r="H63" s="1541"/>
      <c r="I63" s="1541"/>
      <c r="J63" s="1541"/>
      <c r="K63" s="1541"/>
      <c r="L63" s="1541"/>
      <c r="M63" s="1541"/>
      <c r="N63" s="1541"/>
      <c r="O63" s="1541"/>
      <c r="P63" s="1541"/>
      <c r="Q63" s="1541"/>
      <c r="R63" s="1541"/>
      <c r="S63" s="1541"/>
      <c r="T63" s="1541"/>
      <c r="U63" s="1541"/>
      <c r="V63" s="1541"/>
      <c r="W63" s="1541"/>
      <c r="X63" s="1541"/>
      <c r="Y63" s="1541"/>
      <c r="Z63" s="1541"/>
      <c r="AA63" s="1541"/>
      <c r="AB63" s="1541"/>
      <c r="AC63" s="1541"/>
      <c r="AD63" s="1541"/>
      <c r="AE63" s="1541"/>
      <c r="AF63" s="1279"/>
      <c r="AM63" s="2371" t="s">
        <v>2383</v>
      </c>
      <c r="AN63" s="2360">
        <v>45</v>
      </c>
      <c r="AO63" s="2361" t="s">
        <v>1071</v>
      </c>
      <c r="AP63" s="2360">
        <v>70</v>
      </c>
      <c r="AQ63" s="2362" t="s">
        <v>1063</v>
      </c>
      <c r="AR63" s="2360">
        <v>70</v>
      </c>
      <c r="AS63" s="2362" t="s">
        <v>1063</v>
      </c>
      <c r="AT63" s="2363">
        <v>70</v>
      </c>
      <c r="AU63" s="2364" t="s">
        <v>1063</v>
      </c>
      <c r="AV63" s="2363">
        <v>70</v>
      </c>
      <c r="AW63" s="2364" t="s">
        <v>1063</v>
      </c>
      <c r="AX63" s="2365">
        <v>70</v>
      </c>
      <c r="AY63" s="2366" t="s">
        <v>1063</v>
      </c>
      <c r="AZ63" s="2365">
        <v>70</v>
      </c>
      <c r="BA63" s="2367" t="s">
        <v>1063</v>
      </c>
      <c r="BB63" s="518"/>
      <c r="BC63" s="1996">
        <v>1</v>
      </c>
      <c r="BD63" s="521"/>
      <c r="BE63" s="2371" t="s">
        <v>2383</v>
      </c>
      <c r="BF63" s="577">
        <v>30</v>
      </c>
      <c r="BG63" s="577">
        <v>45</v>
      </c>
      <c r="BH63" s="577">
        <v>45</v>
      </c>
      <c r="BI63" s="521"/>
      <c r="BJ63" s="2371" t="s">
        <v>2383</v>
      </c>
      <c r="BK63" s="578">
        <v>80</v>
      </c>
      <c r="BL63" s="577">
        <v>120</v>
      </c>
      <c r="BM63" s="577">
        <v>120</v>
      </c>
      <c r="BN63" s="506"/>
      <c r="BO63" s="1033"/>
      <c r="BP63" s="458"/>
      <c r="BQ63" s="458"/>
      <c r="BR63" s="458"/>
      <c r="BS63" s="2461" t="s">
        <v>2385</v>
      </c>
      <c r="BT63" s="2463" t="str">
        <f>IFERROR(INDEX(Liste_Ackerkulturen_Gemüse_DropDown[Ackerkulturen],_xlfn.AGGREGATE(15,6,(ROW(Liste_Ackerkulturen_Gemüse_DropDown[Ackerkulturen])-1)/(--(SEARCH(BU$2,Liste_Ackerkulturen_Gemüse_DropDown[Ackerkulturen])&gt;0)),ROW()-2),1),"")</f>
        <v>Kleegras (&gt; 60% Klee)   3 Nutzungen</v>
      </c>
      <c r="BU63" s="2463"/>
      <c r="BV63" s="2463" t="str">
        <f>IFERROR(INDEX(Liste_Ackerkulturen_Gemüse_DropDown[Ackerkulturen],_xlfn.AGGREGATE(15,6,(ROW(Liste_Ackerkulturen_Gemüse_DropDown[Ackerkulturen])-1)/(--(SEARCH(BW$2,Liste_Ackerkulturen_Gemüse_DropDown[Ackerkulturen])&gt;0)),ROW()-2),1),"")</f>
        <v>Kleegras (&gt; 60% Klee)   3 Nutzungen</v>
      </c>
      <c r="BW63" s="2463"/>
      <c r="BX63" s="2463" t="str">
        <f>IFERROR(INDEX(Liste_Ackerkulturen_Gemüse_DropDown[Ackerkulturen],_xlfn.AGGREGATE(15,6,(ROW(Liste_Ackerkulturen_Gemüse_DropDown[Ackerkulturen])-1)/(--(SEARCH(BY$2,Liste_Ackerkulturen_Gemüse_DropDown[Ackerkulturen])&gt;0)),ROW()-2),1),"")</f>
        <v>Kleegras (&gt; 60% Klee)   3 Nutzungen</v>
      </c>
      <c r="BY63" s="2463"/>
      <c r="BZ63" s="2463" t="str">
        <f>IFERROR(INDEX(Liste_Ackerkulturen_Gemüse_DropDown[Ackerkulturen],_xlfn.AGGREGATE(15,6,(ROW(Liste_Ackerkulturen_Gemüse_DropDown[Ackerkulturen])-1)/(--(SEARCH(CA$2,Liste_Ackerkulturen_Gemüse_DropDown[Ackerkulturen])&gt;0)),ROW()-2),1),"")</f>
        <v>Kleegras (&gt; 60% Klee)   3 Nutzungen</v>
      </c>
      <c r="CA63" s="2463"/>
      <c r="CB63" s="2463" t="str">
        <f>IFERROR(INDEX(Liste_Ackerkulturen_Gemüse_DropDown[Ackerkulturen],_xlfn.AGGREGATE(15,6,(ROW(Liste_Ackerkulturen_Gemüse_DropDown[Ackerkulturen])-1)/(--(SEARCH(CC$2,Liste_Ackerkulturen_Gemüse_DropDown[Ackerkulturen])&gt;0)),ROW()-2),1),"")</f>
        <v>Kleegras (&gt; 60% Klee)   3 Nutzungen</v>
      </c>
      <c r="CC63" s="2463"/>
      <c r="CD63" s="2464" t="str">
        <f>IFERROR(INDEX(Liste_Ackerkulturen_Gemüse_DropDown[Ackerkulturen],_xlfn.AGGREGATE(15,6,(ROW(Liste_Ackerkulturen_Gemüse_DropDown[Ackerkulturen])-1)/(--(SEARCH(CE$2,Liste_Ackerkulturen_Gemüse_DropDown[Ackerkulturen])&gt;0)),ROW()-2),1),"")</f>
        <v>Kleegras (&gt; 60% Klee)   3 Nutzungen</v>
      </c>
      <c r="CE63" s="2464"/>
      <c r="CF63" s="2464" t="str">
        <f>IFERROR(INDEX(Liste_Ackerkulturen_Gemüse_DropDown[Ackerkulturen],_xlfn.AGGREGATE(15,6,(ROW(Liste_Ackerkulturen_Gemüse_DropDown[Ackerkulturen])-1)/(--(SEARCH(CG$2,Liste_Ackerkulturen_Gemüse_DropDown[Ackerkulturen])&gt;0)),ROW()-2),1),"")</f>
        <v>Kleegras (&gt; 60% Klee)   3 Nutzungen</v>
      </c>
      <c r="CG63" s="2464"/>
      <c r="CH63" s="2464" t="str">
        <f>IFERROR(INDEX(Liste_Ackerkulturen_Gemüse_DropDown[Ackerkulturen],_xlfn.AGGREGATE(15,6,(ROW(Liste_Ackerkulturen_Gemüse_DropDown[Ackerkulturen])-1)/(--(SEARCH(CI$2,Liste_Ackerkulturen_Gemüse_DropDown[Ackerkulturen])&gt;0)),ROW()-2),1),"")</f>
        <v>Kleegras (&gt; 60% Klee)   3 Nutzungen</v>
      </c>
      <c r="CI63" s="2464"/>
      <c r="CJ63" s="2464" t="str">
        <f>IFERROR(INDEX(Liste_Ackerkulturen_Gemüse_DropDown[Ackerkulturen],_xlfn.AGGREGATE(15,6,(ROW(Liste_Ackerkulturen_Gemüse_DropDown[Ackerkulturen])-1)/(--(SEARCH(CK$2,Liste_Ackerkulturen_Gemüse_DropDown[Ackerkulturen])&gt;0)),ROW()-2),1),"")</f>
        <v>Kleegras (&gt; 60% Klee)   3 Nutzungen</v>
      </c>
      <c r="CK63" s="2464"/>
      <c r="CL63" s="2464" t="str">
        <f>IFERROR(INDEX(Liste_Ackerkulturen_Gemüse_DropDown[Ackerkulturen],_xlfn.AGGREGATE(15,6,(ROW(Liste_Ackerkulturen_Gemüse_DropDown[Ackerkulturen])-1)/(--(SEARCH(CM$2,Liste_Ackerkulturen_Gemüse_DropDown[Ackerkulturen])&gt;0)),ROW()-2),1),"")</f>
        <v>Kleegras (&gt; 60% Klee)   3 Nutzungen</v>
      </c>
      <c r="CM63" s="2464"/>
      <c r="CN63" s="2464" t="str">
        <f>IFERROR(INDEX(Liste_Ackerkulturen_Gemüse_DropDown[Ackerkulturen],_xlfn.AGGREGATE(15,6,(ROW(Liste_Ackerkulturen_Gemüse_DropDown[Ackerkulturen])-1)/(--(SEARCH(CO$2,Liste_Ackerkulturen_Gemüse_DropDown[Ackerkulturen])&gt;0)),ROW()-2),1),"")</f>
        <v>Kleegras (&gt; 60% Klee)   3 Nutzungen</v>
      </c>
      <c r="CO63" s="2464"/>
      <c r="CP63" s="2464" t="str">
        <f>IFERROR(INDEX(Liste_Ackerkulturen_Gemüse_DropDown[Ackerkulturen],_xlfn.AGGREGATE(15,6,(ROW(Liste_Ackerkulturen_Gemüse_DropDown[Ackerkulturen])-1)/(--(SEARCH(CQ$2,Liste_Ackerkulturen_Gemüse_DropDown[Ackerkulturen])&gt;0)),ROW()-2),1),"")</f>
        <v>Kleegras (&gt; 60% Klee)   3 Nutzungen</v>
      </c>
      <c r="CQ63" s="2464"/>
      <c r="CR63" s="2464" t="str">
        <f>IFERROR(INDEX(Liste_Ackerkulturen_Gemüse_DropDown[Ackerkulturen],_xlfn.AGGREGATE(15,6,(ROW(Liste_Ackerkulturen_Gemüse_DropDown[Ackerkulturen])-1)/(--(SEARCH(CS$2,Liste_Ackerkulturen_Gemüse_DropDown[Ackerkulturen])&gt;0)),ROW()-2),1),"")</f>
        <v>Kleegras (&gt; 60% Klee)   3 Nutzungen</v>
      </c>
      <c r="CS63" s="2464"/>
      <c r="CT63"/>
      <c r="CU63"/>
      <c r="CV63"/>
      <c r="CW63"/>
      <c r="CX63"/>
      <c r="CY63"/>
      <c r="CZ63"/>
      <c r="DA63"/>
      <c r="DB63"/>
      <c r="DC63"/>
      <c r="DD63"/>
      <c r="DE63"/>
      <c r="DF63"/>
      <c r="DG63"/>
      <c r="DH63"/>
      <c r="DN63"/>
      <c r="DO63"/>
      <c r="DP63"/>
      <c r="DQ63"/>
      <c r="DR63"/>
      <c r="DS63"/>
      <c r="DT63"/>
      <c r="DU63"/>
      <c r="DV63"/>
      <c r="DW63"/>
      <c r="DX63"/>
      <c r="DY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c r="FM63"/>
      <c r="FN63"/>
      <c r="FO63"/>
      <c r="FP63"/>
      <c r="FQ63"/>
      <c r="FR63"/>
      <c r="FS63"/>
      <c r="FT63"/>
      <c r="FU63"/>
      <c r="FV63"/>
      <c r="FW63"/>
      <c r="FX63"/>
      <c r="FY63"/>
      <c r="FZ63"/>
      <c r="GA63"/>
      <c r="GB63"/>
      <c r="GC63"/>
      <c r="GD63"/>
      <c r="GE63"/>
      <c r="GF63"/>
      <c r="GG63"/>
      <c r="GH63"/>
      <c r="GI63"/>
      <c r="GJ63"/>
      <c r="GK63"/>
      <c r="GL63"/>
      <c r="GM63"/>
      <c r="GN63"/>
      <c r="GO63"/>
      <c r="GP63"/>
      <c r="GQ63"/>
      <c r="GR63"/>
      <c r="GS63"/>
      <c r="GT63"/>
      <c r="GU63"/>
      <c r="GV63"/>
      <c r="GW63"/>
      <c r="GX63"/>
      <c r="GY63"/>
      <c r="GZ63"/>
      <c r="HA63"/>
      <c r="HB63"/>
      <c r="HC63"/>
      <c r="HD63"/>
      <c r="HE63"/>
      <c r="HF63"/>
      <c r="HG63"/>
      <c r="HH63"/>
      <c r="HI63"/>
      <c r="HJ63"/>
      <c r="HK63"/>
      <c r="HL63"/>
      <c r="HM63"/>
      <c r="HN63"/>
      <c r="HO63"/>
      <c r="HP63"/>
      <c r="HQ63"/>
      <c r="HR63"/>
      <c r="HS63"/>
      <c r="HT63"/>
      <c r="HU63"/>
      <c r="HV63"/>
      <c r="HW63"/>
      <c r="HX63"/>
      <c r="HY63"/>
      <c r="HZ63"/>
      <c r="IA63"/>
      <c r="IB63"/>
      <c r="IC63"/>
      <c r="ID63"/>
      <c r="IE63"/>
      <c r="IF63"/>
      <c r="IG63"/>
      <c r="IH63"/>
      <c r="II63"/>
      <c r="IJ63"/>
      <c r="IK63"/>
      <c r="IL63"/>
      <c r="IM63"/>
      <c r="IN63"/>
      <c r="IO63"/>
      <c r="IP63"/>
      <c r="IQ63"/>
      <c r="IR63"/>
      <c r="IS63"/>
      <c r="IT63"/>
      <c r="IU63"/>
    </row>
    <row r="64" spans="3:255" ht="18.75" customHeight="1">
      <c r="C64" s="1750" t="s">
        <v>485</v>
      </c>
      <c r="D64" s="1751"/>
      <c r="E64" s="2659" t="s">
        <v>486</v>
      </c>
      <c r="F64" s="2660"/>
      <c r="G64" s="2660"/>
      <c r="H64" s="2660"/>
      <c r="I64" s="2660"/>
      <c r="J64" s="2661"/>
      <c r="K64" s="2665" t="s">
        <v>487</v>
      </c>
      <c r="L64" s="2666"/>
      <c r="M64" s="2669" t="s">
        <v>488</v>
      </c>
      <c r="N64" s="2670"/>
      <c r="O64" s="2670"/>
      <c r="P64" s="2670"/>
      <c r="Q64" s="2670"/>
      <c r="R64" s="2670"/>
      <c r="S64" s="2671"/>
      <c r="T64" s="2669" t="s">
        <v>489</v>
      </c>
      <c r="U64" s="2670"/>
      <c r="V64" s="2670"/>
      <c r="W64" s="2670"/>
      <c r="X64" s="2670"/>
      <c r="Y64" s="2670"/>
      <c r="Z64" s="2671"/>
      <c r="AB64" s="1542"/>
      <c r="AC64" s="1542"/>
      <c r="AD64" s="1542"/>
      <c r="AE64" s="1542"/>
      <c r="AF64" s="1279"/>
      <c r="AM64" s="2371" t="s">
        <v>2384</v>
      </c>
      <c r="AN64" s="2352">
        <v>80</v>
      </c>
      <c r="AO64" s="2279" t="s">
        <v>1072</v>
      </c>
      <c r="AP64" s="2352">
        <v>90</v>
      </c>
      <c r="AQ64" s="2283" t="s">
        <v>1073</v>
      </c>
      <c r="AR64" s="2352">
        <v>115</v>
      </c>
      <c r="AS64" s="2283" t="s">
        <v>1977</v>
      </c>
      <c r="AT64" s="2348">
        <v>115</v>
      </c>
      <c r="AU64" s="2285" t="s">
        <v>1977</v>
      </c>
      <c r="AV64" s="2348">
        <v>115</v>
      </c>
      <c r="AW64" s="2285" t="s">
        <v>1977</v>
      </c>
      <c r="AX64" s="2350">
        <v>90</v>
      </c>
      <c r="AY64" s="2278" t="s">
        <v>1073</v>
      </c>
      <c r="AZ64" s="2350">
        <v>105</v>
      </c>
      <c r="BA64" s="2303" t="s">
        <v>1977</v>
      </c>
      <c r="BB64" s="518"/>
      <c r="BC64" s="1996">
        <v>1</v>
      </c>
      <c r="BD64" s="521"/>
      <c r="BE64" s="2371" t="s">
        <v>2384</v>
      </c>
      <c r="BF64" s="577">
        <v>45</v>
      </c>
      <c r="BG64" s="577">
        <v>65</v>
      </c>
      <c r="BH64" s="577">
        <v>80</v>
      </c>
      <c r="BI64" s="521"/>
      <c r="BJ64" s="2371" t="s">
        <v>2384</v>
      </c>
      <c r="BK64" s="578">
        <v>130</v>
      </c>
      <c r="BL64" s="577">
        <v>170</v>
      </c>
      <c r="BM64" s="577">
        <v>215</v>
      </c>
      <c r="BN64" s="506"/>
      <c r="BO64" s="1033"/>
      <c r="BP64" s="458"/>
      <c r="BQ64" s="458"/>
      <c r="BR64" s="458"/>
      <c r="BS64" s="2461" t="s">
        <v>2386</v>
      </c>
      <c r="BT64" s="2463" t="str">
        <f>IFERROR(INDEX(Liste_Ackerkulturen_Gemüse_DropDown[Ackerkulturen],_xlfn.AGGREGATE(15,6,(ROW(Liste_Ackerkulturen_Gemüse_DropDown[Ackerkulturen])-1)/(--(SEARCH(BU$2,Liste_Ackerkulturen_Gemüse_DropDown[Ackerkulturen])&gt;0)),ROW()-2),1),"")</f>
        <v>Kleegras (&gt; 60% Klee)   4 Nutzungen</v>
      </c>
      <c r="BU64" s="2463"/>
      <c r="BV64" s="2463" t="str">
        <f>IFERROR(INDEX(Liste_Ackerkulturen_Gemüse_DropDown[Ackerkulturen],_xlfn.AGGREGATE(15,6,(ROW(Liste_Ackerkulturen_Gemüse_DropDown[Ackerkulturen])-1)/(--(SEARCH(BW$2,Liste_Ackerkulturen_Gemüse_DropDown[Ackerkulturen])&gt;0)),ROW()-2),1),"")</f>
        <v>Kleegras (&gt; 60% Klee)   4 Nutzungen</v>
      </c>
      <c r="BW64" s="2463"/>
      <c r="BX64" s="2463" t="str">
        <f>IFERROR(INDEX(Liste_Ackerkulturen_Gemüse_DropDown[Ackerkulturen],_xlfn.AGGREGATE(15,6,(ROW(Liste_Ackerkulturen_Gemüse_DropDown[Ackerkulturen])-1)/(--(SEARCH(BY$2,Liste_Ackerkulturen_Gemüse_DropDown[Ackerkulturen])&gt;0)),ROW()-2),1),"")</f>
        <v>Kleegras (&gt; 60% Klee)   4 Nutzungen</v>
      </c>
      <c r="BY64" s="2463"/>
      <c r="BZ64" s="2463" t="str">
        <f>IFERROR(INDEX(Liste_Ackerkulturen_Gemüse_DropDown[Ackerkulturen],_xlfn.AGGREGATE(15,6,(ROW(Liste_Ackerkulturen_Gemüse_DropDown[Ackerkulturen])-1)/(--(SEARCH(CA$2,Liste_Ackerkulturen_Gemüse_DropDown[Ackerkulturen])&gt;0)),ROW()-2),1),"")</f>
        <v>Kleegras (&gt; 60% Klee)   4 Nutzungen</v>
      </c>
      <c r="CA64" s="2463"/>
      <c r="CB64" s="2463" t="str">
        <f>IFERROR(INDEX(Liste_Ackerkulturen_Gemüse_DropDown[Ackerkulturen],_xlfn.AGGREGATE(15,6,(ROW(Liste_Ackerkulturen_Gemüse_DropDown[Ackerkulturen])-1)/(--(SEARCH(CC$2,Liste_Ackerkulturen_Gemüse_DropDown[Ackerkulturen])&gt;0)),ROW()-2),1),"")</f>
        <v>Kleegras (&gt; 60% Klee)   4 Nutzungen</v>
      </c>
      <c r="CC64" s="2463"/>
      <c r="CD64" s="2464" t="str">
        <f>IFERROR(INDEX(Liste_Ackerkulturen_Gemüse_DropDown[Ackerkulturen],_xlfn.AGGREGATE(15,6,(ROW(Liste_Ackerkulturen_Gemüse_DropDown[Ackerkulturen])-1)/(--(SEARCH(CE$2,Liste_Ackerkulturen_Gemüse_DropDown[Ackerkulturen])&gt;0)),ROW()-2),1),"")</f>
        <v>Kleegras (&gt; 60% Klee)   4 Nutzungen</v>
      </c>
      <c r="CE64" s="2464"/>
      <c r="CF64" s="2464" t="str">
        <f>IFERROR(INDEX(Liste_Ackerkulturen_Gemüse_DropDown[Ackerkulturen],_xlfn.AGGREGATE(15,6,(ROW(Liste_Ackerkulturen_Gemüse_DropDown[Ackerkulturen])-1)/(--(SEARCH(CG$2,Liste_Ackerkulturen_Gemüse_DropDown[Ackerkulturen])&gt;0)),ROW()-2),1),"")</f>
        <v>Kleegras (&gt; 60% Klee)   4 Nutzungen</v>
      </c>
      <c r="CG64" s="2464"/>
      <c r="CH64" s="2464" t="str">
        <f>IFERROR(INDEX(Liste_Ackerkulturen_Gemüse_DropDown[Ackerkulturen],_xlfn.AGGREGATE(15,6,(ROW(Liste_Ackerkulturen_Gemüse_DropDown[Ackerkulturen])-1)/(--(SEARCH(CI$2,Liste_Ackerkulturen_Gemüse_DropDown[Ackerkulturen])&gt;0)),ROW()-2),1),"")</f>
        <v>Kleegras (&gt; 60% Klee)   4 Nutzungen</v>
      </c>
      <c r="CI64" s="2464"/>
      <c r="CJ64" s="2464" t="str">
        <f>IFERROR(INDEX(Liste_Ackerkulturen_Gemüse_DropDown[Ackerkulturen],_xlfn.AGGREGATE(15,6,(ROW(Liste_Ackerkulturen_Gemüse_DropDown[Ackerkulturen])-1)/(--(SEARCH(CK$2,Liste_Ackerkulturen_Gemüse_DropDown[Ackerkulturen])&gt;0)),ROW()-2),1),"")</f>
        <v>Kleegras (&gt; 60% Klee)   4 Nutzungen</v>
      </c>
      <c r="CK64" s="2464"/>
      <c r="CL64" s="2464" t="str">
        <f>IFERROR(INDEX(Liste_Ackerkulturen_Gemüse_DropDown[Ackerkulturen],_xlfn.AGGREGATE(15,6,(ROW(Liste_Ackerkulturen_Gemüse_DropDown[Ackerkulturen])-1)/(--(SEARCH(CM$2,Liste_Ackerkulturen_Gemüse_DropDown[Ackerkulturen])&gt;0)),ROW()-2),1),"")</f>
        <v>Kleegras (&gt; 60% Klee)   4 Nutzungen</v>
      </c>
      <c r="CM64" s="2464"/>
      <c r="CN64" s="2464" t="str">
        <f>IFERROR(INDEX(Liste_Ackerkulturen_Gemüse_DropDown[Ackerkulturen],_xlfn.AGGREGATE(15,6,(ROW(Liste_Ackerkulturen_Gemüse_DropDown[Ackerkulturen])-1)/(--(SEARCH(CO$2,Liste_Ackerkulturen_Gemüse_DropDown[Ackerkulturen])&gt;0)),ROW()-2),1),"")</f>
        <v>Kleegras (&gt; 60% Klee)   4 Nutzungen</v>
      </c>
      <c r="CO64" s="2464"/>
      <c r="CP64" s="2464" t="str">
        <f>IFERROR(INDEX(Liste_Ackerkulturen_Gemüse_DropDown[Ackerkulturen],_xlfn.AGGREGATE(15,6,(ROW(Liste_Ackerkulturen_Gemüse_DropDown[Ackerkulturen])-1)/(--(SEARCH(CQ$2,Liste_Ackerkulturen_Gemüse_DropDown[Ackerkulturen])&gt;0)),ROW()-2),1),"")</f>
        <v>Kleegras (&gt; 60% Klee)   4 Nutzungen</v>
      </c>
      <c r="CQ64" s="2464"/>
      <c r="CR64" s="2464" t="str">
        <f>IFERROR(INDEX(Liste_Ackerkulturen_Gemüse_DropDown[Ackerkulturen],_xlfn.AGGREGATE(15,6,(ROW(Liste_Ackerkulturen_Gemüse_DropDown[Ackerkulturen])-1)/(--(SEARCH(CS$2,Liste_Ackerkulturen_Gemüse_DropDown[Ackerkulturen])&gt;0)),ROW()-2),1),"")</f>
        <v>Kleegras (&gt; 60% Klee)   4 Nutzungen</v>
      </c>
      <c r="CS64" s="2464"/>
      <c r="CT64"/>
      <c r="CU64"/>
      <c r="CV64"/>
      <c r="CW64"/>
      <c r="CX64"/>
      <c r="CY64"/>
      <c r="CZ64"/>
      <c r="DA64"/>
      <c r="DB64"/>
      <c r="DC64"/>
      <c r="DD64"/>
      <c r="DE64"/>
      <c r="DF64"/>
      <c r="DG64"/>
      <c r="DH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c r="GP64"/>
      <c r="GQ64"/>
      <c r="GR64"/>
      <c r="GS64"/>
      <c r="GT64"/>
      <c r="GU64"/>
      <c r="GV64"/>
      <c r="GW64"/>
      <c r="GX64"/>
      <c r="GY64"/>
      <c r="GZ64"/>
      <c r="HA64"/>
      <c r="HB64"/>
      <c r="HC64"/>
      <c r="HD64"/>
      <c r="HE64"/>
      <c r="HF64"/>
      <c r="HG64"/>
      <c r="HH64"/>
      <c r="HI64"/>
      <c r="HJ64"/>
      <c r="HK64"/>
      <c r="HL64"/>
      <c r="HM64"/>
      <c r="HN64"/>
      <c r="HO64"/>
      <c r="HP64"/>
      <c r="HQ64"/>
      <c r="HR64"/>
      <c r="HS64"/>
      <c r="HT64"/>
      <c r="HU64"/>
      <c r="HV64"/>
      <c r="HW64"/>
      <c r="HX64"/>
      <c r="HY64"/>
      <c r="HZ64"/>
      <c r="IA64"/>
      <c r="IB64"/>
      <c r="IC64"/>
      <c r="ID64"/>
      <c r="IE64"/>
      <c r="IF64"/>
      <c r="IG64"/>
      <c r="IH64"/>
      <c r="II64"/>
      <c r="IJ64"/>
      <c r="IK64"/>
      <c r="IL64"/>
      <c r="IM64"/>
      <c r="IN64"/>
      <c r="IO64"/>
      <c r="IP64"/>
      <c r="IQ64"/>
      <c r="IR64"/>
      <c r="IS64"/>
      <c r="IT64"/>
      <c r="IU64"/>
    </row>
    <row r="65" spans="3:255" ht="27.75" customHeight="1">
      <c r="C65" s="1741" t="s">
        <v>490</v>
      </c>
      <c r="D65" s="1742"/>
      <c r="E65" s="2662"/>
      <c r="F65" s="2663"/>
      <c r="G65" s="2663"/>
      <c r="H65" s="2663"/>
      <c r="I65" s="2663"/>
      <c r="J65" s="2664"/>
      <c r="K65" s="2667"/>
      <c r="L65" s="2668"/>
      <c r="M65" s="2229" t="s">
        <v>1938</v>
      </c>
      <c r="N65" s="2230" t="s">
        <v>1939</v>
      </c>
      <c r="O65" s="2684" t="s">
        <v>1940</v>
      </c>
      <c r="P65" s="2685"/>
      <c r="Q65" s="2686"/>
      <c r="R65" s="2230" t="s">
        <v>1941</v>
      </c>
      <c r="S65" s="2231" t="s">
        <v>1942</v>
      </c>
      <c r="T65" s="2229" t="s">
        <v>1938</v>
      </c>
      <c r="U65" s="2230" t="s">
        <v>1939</v>
      </c>
      <c r="V65" s="2684" t="s">
        <v>1940</v>
      </c>
      <c r="W65" s="2685"/>
      <c r="X65" s="2686"/>
      <c r="Y65" s="2230" t="s">
        <v>1941</v>
      </c>
      <c r="Z65" s="2231" t="s">
        <v>1942</v>
      </c>
      <c r="AB65" s="1542"/>
      <c r="AC65" s="1542"/>
      <c r="AD65" s="1542"/>
      <c r="AE65" s="1542"/>
      <c r="AF65" s="1279"/>
      <c r="AM65" s="2371" t="s">
        <v>2385</v>
      </c>
      <c r="AN65" s="2352">
        <v>120</v>
      </c>
      <c r="AO65" s="2279" t="s">
        <v>1074</v>
      </c>
      <c r="AP65" s="2352">
        <v>120</v>
      </c>
      <c r="AQ65" s="2283" t="s">
        <v>1074</v>
      </c>
      <c r="AR65" s="2352">
        <v>150</v>
      </c>
      <c r="AS65" s="2283" t="s">
        <v>1075</v>
      </c>
      <c r="AT65" s="2348">
        <v>150</v>
      </c>
      <c r="AU65" s="2285" t="s">
        <v>1075</v>
      </c>
      <c r="AV65" s="2348">
        <v>150</v>
      </c>
      <c r="AW65" s="2285" t="s">
        <v>1075</v>
      </c>
      <c r="AX65" s="2350">
        <v>120</v>
      </c>
      <c r="AY65" s="2278" t="s">
        <v>1074</v>
      </c>
      <c r="AZ65" s="2350">
        <v>145</v>
      </c>
      <c r="BA65" s="2303" t="s">
        <v>1075</v>
      </c>
      <c r="BB65" s="518"/>
      <c r="BC65" s="1996">
        <v>1</v>
      </c>
      <c r="BD65" s="521"/>
      <c r="BE65" s="2371" t="s">
        <v>2385</v>
      </c>
      <c r="BF65" s="577">
        <v>80</v>
      </c>
      <c r="BG65" s="577">
        <v>80</v>
      </c>
      <c r="BH65" s="577">
        <v>90</v>
      </c>
      <c r="BI65" s="521"/>
      <c r="BJ65" s="2371" t="s">
        <v>2385</v>
      </c>
      <c r="BK65" s="577">
        <v>205</v>
      </c>
      <c r="BL65" s="577">
        <v>205</v>
      </c>
      <c r="BM65" s="577">
        <v>260</v>
      </c>
      <c r="BN65" s="506"/>
      <c r="BO65" s="510"/>
      <c r="BP65" s="458"/>
      <c r="BQ65" s="458"/>
      <c r="BR65" s="458"/>
      <c r="BS65" s="2461" t="s">
        <v>2387</v>
      </c>
      <c r="BT65" s="2463" t="str">
        <f>IFERROR(INDEX(Liste_Ackerkulturen_Gemüse_DropDown[Ackerkulturen],_xlfn.AGGREGATE(15,6,(ROW(Liste_Ackerkulturen_Gemüse_DropDown[Ackerkulturen])-1)/(--(SEARCH(BU$2,Liste_Ackerkulturen_Gemüse_DropDown[Ackerkulturen])&gt;0)),ROW()-2),1),"")</f>
        <v>Kleegras (&gt; 60% Klee)   5 Nutzungen</v>
      </c>
      <c r="BU65" s="2463"/>
      <c r="BV65" s="2463" t="str">
        <f>IFERROR(INDEX(Liste_Ackerkulturen_Gemüse_DropDown[Ackerkulturen],_xlfn.AGGREGATE(15,6,(ROW(Liste_Ackerkulturen_Gemüse_DropDown[Ackerkulturen])-1)/(--(SEARCH(BW$2,Liste_Ackerkulturen_Gemüse_DropDown[Ackerkulturen])&gt;0)),ROW()-2),1),"")</f>
        <v>Kleegras (&gt; 60% Klee)   5 Nutzungen</v>
      </c>
      <c r="BW65" s="2463"/>
      <c r="BX65" s="2463" t="str">
        <f>IFERROR(INDEX(Liste_Ackerkulturen_Gemüse_DropDown[Ackerkulturen],_xlfn.AGGREGATE(15,6,(ROW(Liste_Ackerkulturen_Gemüse_DropDown[Ackerkulturen])-1)/(--(SEARCH(BY$2,Liste_Ackerkulturen_Gemüse_DropDown[Ackerkulturen])&gt;0)),ROW()-2),1),"")</f>
        <v>Kleegras (&gt; 60% Klee)   5 Nutzungen</v>
      </c>
      <c r="BY65" s="2463"/>
      <c r="BZ65" s="2463" t="str">
        <f>IFERROR(INDEX(Liste_Ackerkulturen_Gemüse_DropDown[Ackerkulturen],_xlfn.AGGREGATE(15,6,(ROW(Liste_Ackerkulturen_Gemüse_DropDown[Ackerkulturen])-1)/(--(SEARCH(CA$2,Liste_Ackerkulturen_Gemüse_DropDown[Ackerkulturen])&gt;0)),ROW()-2),1),"")</f>
        <v>Kleegras (&gt; 60% Klee)   5 Nutzungen</v>
      </c>
      <c r="CA65" s="2463"/>
      <c r="CB65" s="2463" t="str">
        <f>IFERROR(INDEX(Liste_Ackerkulturen_Gemüse_DropDown[Ackerkulturen],_xlfn.AGGREGATE(15,6,(ROW(Liste_Ackerkulturen_Gemüse_DropDown[Ackerkulturen])-1)/(--(SEARCH(CC$2,Liste_Ackerkulturen_Gemüse_DropDown[Ackerkulturen])&gt;0)),ROW()-2),1),"")</f>
        <v>Kleegras (&gt; 60% Klee)   5 Nutzungen</v>
      </c>
      <c r="CC65" s="2463"/>
      <c r="CD65" s="2464" t="str">
        <f>IFERROR(INDEX(Liste_Ackerkulturen_Gemüse_DropDown[Ackerkulturen],_xlfn.AGGREGATE(15,6,(ROW(Liste_Ackerkulturen_Gemüse_DropDown[Ackerkulturen])-1)/(--(SEARCH(CE$2,Liste_Ackerkulturen_Gemüse_DropDown[Ackerkulturen])&gt;0)),ROW()-2),1),"")</f>
        <v>Kleegras (&gt; 60% Klee)   5 Nutzungen</v>
      </c>
      <c r="CE65" s="2464"/>
      <c r="CF65" s="2464" t="str">
        <f>IFERROR(INDEX(Liste_Ackerkulturen_Gemüse_DropDown[Ackerkulturen],_xlfn.AGGREGATE(15,6,(ROW(Liste_Ackerkulturen_Gemüse_DropDown[Ackerkulturen])-1)/(--(SEARCH(CG$2,Liste_Ackerkulturen_Gemüse_DropDown[Ackerkulturen])&gt;0)),ROW()-2),1),"")</f>
        <v>Kleegras (&gt; 60% Klee)   5 Nutzungen</v>
      </c>
      <c r="CG65" s="2464"/>
      <c r="CH65" s="2464" t="str">
        <f>IFERROR(INDEX(Liste_Ackerkulturen_Gemüse_DropDown[Ackerkulturen],_xlfn.AGGREGATE(15,6,(ROW(Liste_Ackerkulturen_Gemüse_DropDown[Ackerkulturen])-1)/(--(SEARCH(CI$2,Liste_Ackerkulturen_Gemüse_DropDown[Ackerkulturen])&gt;0)),ROW()-2),1),"")</f>
        <v>Kleegras (&gt; 60% Klee)   5 Nutzungen</v>
      </c>
      <c r="CI65" s="2464"/>
      <c r="CJ65" s="2464" t="str">
        <f>IFERROR(INDEX(Liste_Ackerkulturen_Gemüse_DropDown[Ackerkulturen],_xlfn.AGGREGATE(15,6,(ROW(Liste_Ackerkulturen_Gemüse_DropDown[Ackerkulturen])-1)/(--(SEARCH(CK$2,Liste_Ackerkulturen_Gemüse_DropDown[Ackerkulturen])&gt;0)),ROW()-2),1),"")</f>
        <v>Kleegras (&gt; 60% Klee)   5 Nutzungen</v>
      </c>
      <c r="CK65" s="2464"/>
      <c r="CL65" s="2464" t="str">
        <f>IFERROR(INDEX(Liste_Ackerkulturen_Gemüse_DropDown[Ackerkulturen],_xlfn.AGGREGATE(15,6,(ROW(Liste_Ackerkulturen_Gemüse_DropDown[Ackerkulturen])-1)/(--(SEARCH(CM$2,Liste_Ackerkulturen_Gemüse_DropDown[Ackerkulturen])&gt;0)),ROW()-2),1),"")</f>
        <v>Kleegras (&gt; 60% Klee)   5 Nutzungen</v>
      </c>
      <c r="CM65" s="2464"/>
      <c r="CN65" s="2464" t="str">
        <f>IFERROR(INDEX(Liste_Ackerkulturen_Gemüse_DropDown[Ackerkulturen],_xlfn.AGGREGATE(15,6,(ROW(Liste_Ackerkulturen_Gemüse_DropDown[Ackerkulturen])-1)/(--(SEARCH(CO$2,Liste_Ackerkulturen_Gemüse_DropDown[Ackerkulturen])&gt;0)),ROW()-2),1),"")</f>
        <v>Kleegras (&gt; 60% Klee)   5 Nutzungen</v>
      </c>
      <c r="CO65" s="2464"/>
      <c r="CP65" s="2464" t="str">
        <f>IFERROR(INDEX(Liste_Ackerkulturen_Gemüse_DropDown[Ackerkulturen],_xlfn.AGGREGATE(15,6,(ROW(Liste_Ackerkulturen_Gemüse_DropDown[Ackerkulturen])-1)/(--(SEARCH(CQ$2,Liste_Ackerkulturen_Gemüse_DropDown[Ackerkulturen])&gt;0)),ROW()-2),1),"")</f>
        <v>Kleegras (&gt; 60% Klee)   5 Nutzungen</v>
      </c>
      <c r="CQ65" s="2464"/>
      <c r="CR65" s="2464" t="str">
        <f>IFERROR(INDEX(Liste_Ackerkulturen_Gemüse_DropDown[Ackerkulturen],_xlfn.AGGREGATE(15,6,(ROW(Liste_Ackerkulturen_Gemüse_DropDown[Ackerkulturen])-1)/(--(SEARCH(CS$2,Liste_Ackerkulturen_Gemüse_DropDown[Ackerkulturen])&gt;0)),ROW()-2),1),"")</f>
        <v>Kleegras (&gt; 60% Klee)   5 Nutzungen</v>
      </c>
      <c r="CS65" s="2464"/>
      <c r="CT65"/>
      <c r="CU65"/>
      <c r="CV65"/>
      <c r="CW65"/>
      <c r="CX65"/>
      <c r="CY65"/>
      <c r="CZ65"/>
      <c r="DA65"/>
      <c r="DB65"/>
      <c r="DC65"/>
      <c r="DD65"/>
      <c r="DE65"/>
      <c r="DF65"/>
      <c r="DG65"/>
      <c r="DH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c r="GP65"/>
      <c r="GQ65"/>
      <c r="GR65"/>
      <c r="GS65"/>
      <c r="GT65"/>
      <c r="GU65"/>
      <c r="GV65"/>
      <c r="GW65"/>
      <c r="GX65"/>
      <c r="GY65"/>
      <c r="GZ65"/>
      <c r="HA65"/>
      <c r="HB65"/>
      <c r="HC65"/>
      <c r="HD65"/>
      <c r="HE65"/>
      <c r="HF65"/>
      <c r="HG65"/>
      <c r="HH65"/>
      <c r="HI65"/>
      <c r="HJ65"/>
      <c r="HK65"/>
      <c r="HL65"/>
      <c r="HM65"/>
      <c r="HN65"/>
      <c r="HO65"/>
      <c r="HP65"/>
      <c r="HQ65"/>
      <c r="HR65"/>
      <c r="HS65"/>
      <c r="HT65"/>
      <c r="HU65"/>
      <c r="HV65"/>
      <c r="HW65"/>
      <c r="HX65"/>
      <c r="HY65"/>
      <c r="HZ65"/>
      <c r="IA65"/>
      <c r="IB65"/>
      <c r="IC65"/>
      <c r="ID65"/>
      <c r="IE65"/>
      <c r="IF65"/>
      <c r="IG65"/>
      <c r="IH65"/>
      <c r="II65"/>
      <c r="IJ65"/>
      <c r="IK65"/>
      <c r="IL65"/>
      <c r="IM65"/>
      <c r="IN65"/>
      <c r="IO65"/>
      <c r="IP65"/>
      <c r="IQ65"/>
      <c r="IR65"/>
      <c r="IS65"/>
      <c r="IT65"/>
      <c r="IU65"/>
    </row>
    <row r="66" spans="3:255" ht="18.75" customHeight="1">
      <c r="C66" s="1741" t="s">
        <v>491</v>
      </c>
      <c r="D66" s="1742"/>
      <c r="E66" s="2616" t="s">
        <v>1784</v>
      </c>
      <c r="F66" s="2617"/>
      <c r="G66" s="2228" t="s">
        <v>1095</v>
      </c>
      <c r="H66" s="2228"/>
      <c r="I66" s="2228" t="s">
        <v>492</v>
      </c>
      <c r="J66" s="2228"/>
      <c r="K66" s="2235" t="s">
        <v>1095</v>
      </c>
      <c r="L66" s="1752" t="s">
        <v>1839</v>
      </c>
      <c r="M66" s="2240"/>
      <c r="N66" s="2238"/>
      <c r="O66" s="2228" t="s">
        <v>1784</v>
      </c>
      <c r="P66" s="2230" t="s">
        <v>1095</v>
      </c>
      <c r="Q66" s="2230" t="s">
        <v>1839</v>
      </c>
      <c r="R66" s="1754"/>
      <c r="S66" s="1755"/>
      <c r="T66" s="2240"/>
      <c r="U66" s="2238"/>
      <c r="V66" s="2228" t="s">
        <v>1784</v>
      </c>
      <c r="W66" s="2230" t="s">
        <v>1095</v>
      </c>
      <c r="X66" s="2230" t="s">
        <v>1839</v>
      </c>
      <c r="Y66" s="1754"/>
      <c r="Z66" s="1755"/>
      <c r="AB66" s="1542"/>
      <c r="AC66" s="1542"/>
      <c r="AD66" s="1542"/>
      <c r="AE66" s="1542"/>
      <c r="AF66" s="1279"/>
      <c r="AM66" s="2371" t="s">
        <v>2386</v>
      </c>
      <c r="AN66" s="2352">
        <v>150</v>
      </c>
      <c r="AO66" s="2279" t="s">
        <v>1076</v>
      </c>
      <c r="AP66" s="2352">
        <v>150</v>
      </c>
      <c r="AQ66" s="2283" t="s">
        <v>1076</v>
      </c>
      <c r="AR66" s="2352">
        <v>190</v>
      </c>
      <c r="AS66" s="2283" t="s">
        <v>1077</v>
      </c>
      <c r="AT66" s="2348">
        <v>190</v>
      </c>
      <c r="AU66" s="2285" t="s">
        <v>1077</v>
      </c>
      <c r="AV66" s="2348">
        <v>190</v>
      </c>
      <c r="AW66" s="2285" t="s">
        <v>1077</v>
      </c>
      <c r="AX66" s="2350">
        <v>160</v>
      </c>
      <c r="AY66" s="2278" t="s">
        <v>1076</v>
      </c>
      <c r="AZ66" s="2350">
        <v>160</v>
      </c>
      <c r="BA66" s="2303" t="s">
        <v>1077</v>
      </c>
      <c r="BB66" s="518"/>
      <c r="BC66" s="1996">
        <v>1</v>
      </c>
      <c r="BD66" s="521"/>
      <c r="BE66" s="2371" t="s">
        <v>2386</v>
      </c>
      <c r="BF66" s="577">
        <v>85</v>
      </c>
      <c r="BG66" s="577">
        <v>85</v>
      </c>
      <c r="BH66" s="577">
        <v>105</v>
      </c>
      <c r="BI66" s="521"/>
      <c r="BJ66" s="2371" t="s">
        <v>2386</v>
      </c>
      <c r="BK66" s="577">
        <v>230</v>
      </c>
      <c r="BL66" s="577">
        <v>230</v>
      </c>
      <c r="BM66" s="577">
        <v>300</v>
      </c>
      <c r="BN66" s="506"/>
      <c r="BO66" s="510"/>
      <c r="BP66" s="458"/>
      <c r="BQ66" s="458"/>
      <c r="BR66" s="458"/>
      <c r="BS66" s="2461" t="s">
        <v>2306</v>
      </c>
      <c r="BT66" s="2463" t="str">
        <f>IFERROR(INDEX(Liste_Ackerkulturen_Gemüse_DropDown[Ackerkulturen],_xlfn.AGGREGATE(15,6,(ROW(Liste_Ackerkulturen_Gemüse_DropDown[Ackerkulturen])-1)/(--(SEARCH(BU$2,Liste_Ackerkulturen_Gemüse_DropDown[Ackerkulturen])&gt;0)),ROW()-2),1),"")</f>
        <v>Kleegras (&gt; 60% Klee)   6 Nutzungen</v>
      </c>
      <c r="BU66" s="2463"/>
      <c r="BV66" s="2463" t="str">
        <f>IFERROR(INDEX(Liste_Ackerkulturen_Gemüse_DropDown[Ackerkulturen],_xlfn.AGGREGATE(15,6,(ROW(Liste_Ackerkulturen_Gemüse_DropDown[Ackerkulturen])-1)/(--(SEARCH(BW$2,Liste_Ackerkulturen_Gemüse_DropDown[Ackerkulturen])&gt;0)),ROW()-2),1),"")</f>
        <v>Kleegras (&gt; 60% Klee)   6 Nutzungen</v>
      </c>
      <c r="BW66" s="2463"/>
      <c r="BX66" s="2463" t="str">
        <f>IFERROR(INDEX(Liste_Ackerkulturen_Gemüse_DropDown[Ackerkulturen],_xlfn.AGGREGATE(15,6,(ROW(Liste_Ackerkulturen_Gemüse_DropDown[Ackerkulturen])-1)/(--(SEARCH(BY$2,Liste_Ackerkulturen_Gemüse_DropDown[Ackerkulturen])&gt;0)),ROW()-2),1),"")</f>
        <v>Kleegras (&gt; 60% Klee)   6 Nutzungen</v>
      </c>
      <c r="BY66" s="2463"/>
      <c r="BZ66" s="2463" t="str">
        <f>IFERROR(INDEX(Liste_Ackerkulturen_Gemüse_DropDown[Ackerkulturen],_xlfn.AGGREGATE(15,6,(ROW(Liste_Ackerkulturen_Gemüse_DropDown[Ackerkulturen])-1)/(--(SEARCH(CA$2,Liste_Ackerkulturen_Gemüse_DropDown[Ackerkulturen])&gt;0)),ROW()-2),1),"")</f>
        <v>Kleegras (&gt; 60% Klee)   6 Nutzungen</v>
      </c>
      <c r="CA66" s="2463"/>
      <c r="CB66" s="2463" t="str">
        <f>IFERROR(INDEX(Liste_Ackerkulturen_Gemüse_DropDown[Ackerkulturen],_xlfn.AGGREGATE(15,6,(ROW(Liste_Ackerkulturen_Gemüse_DropDown[Ackerkulturen])-1)/(--(SEARCH(CC$2,Liste_Ackerkulturen_Gemüse_DropDown[Ackerkulturen])&gt;0)),ROW()-2),1),"")</f>
        <v>Kleegras (&gt; 60% Klee)   6 Nutzungen</v>
      </c>
      <c r="CC66" s="2463"/>
      <c r="CD66" s="2464" t="str">
        <f>IFERROR(INDEX(Liste_Ackerkulturen_Gemüse_DropDown[Ackerkulturen],_xlfn.AGGREGATE(15,6,(ROW(Liste_Ackerkulturen_Gemüse_DropDown[Ackerkulturen])-1)/(--(SEARCH(CE$2,Liste_Ackerkulturen_Gemüse_DropDown[Ackerkulturen])&gt;0)),ROW()-2),1),"")</f>
        <v>Kleegras (&gt; 60% Klee)   6 Nutzungen</v>
      </c>
      <c r="CE66" s="2464"/>
      <c r="CF66" s="2464" t="str">
        <f>IFERROR(INDEX(Liste_Ackerkulturen_Gemüse_DropDown[Ackerkulturen],_xlfn.AGGREGATE(15,6,(ROW(Liste_Ackerkulturen_Gemüse_DropDown[Ackerkulturen])-1)/(--(SEARCH(CG$2,Liste_Ackerkulturen_Gemüse_DropDown[Ackerkulturen])&gt;0)),ROW()-2),1),"")</f>
        <v>Kleegras (&gt; 60% Klee)   6 Nutzungen</v>
      </c>
      <c r="CG66" s="2464"/>
      <c r="CH66" s="2464" t="str">
        <f>IFERROR(INDEX(Liste_Ackerkulturen_Gemüse_DropDown[Ackerkulturen],_xlfn.AGGREGATE(15,6,(ROW(Liste_Ackerkulturen_Gemüse_DropDown[Ackerkulturen])-1)/(--(SEARCH(CI$2,Liste_Ackerkulturen_Gemüse_DropDown[Ackerkulturen])&gt;0)),ROW()-2),1),"")</f>
        <v>Kleegras (&gt; 60% Klee)   6 Nutzungen</v>
      </c>
      <c r="CI66" s="2464"/>
      <c r="CJ66" s="2464" t="str">
        <f>IFERROR(INDEX(Liste_Ackerkulturen_Gemüse_DropDown[Ackerkulturen],_xlfn.AGGREGATE(15,6,(ROW(Liste_Ackerkulturen_Gemüse_DropDown[Ackerkulturen])-1)/(--(SEARCH(CK$2,Liste_Ackerkulturen_Gemüse_DropDown[Ackerkulturen])&gt;0)),ROW()-2),1),"")</f>
        <v>Kleegras (&gt; 60% Klee)   6 Nutzungen</v>
      </c>
      <c r="CK66" s="2464"/>
      <c r="CL66" s="2464" t="str">
        <f>IFERROR(INDEX(Liste_Ackerkulturen_Gemüse_DropDown[Ackerkulturen],_xlfn.AGGREGATE(15,6,(ROW(Liste_Ackerkulturen_Gemüse_DropDown[Ackerkulturen])-1)/(--(SEARCH(CM$2,Liste_Ackerkulturen_Gemüse_DropDown[Ackerkulturen])&gt;0)),ROW()-2),1),"")</f>
        <v>Kleegras (&gt; 60% Klee)   6 Nutzungen</v>
      </c>
      <c r="CM66" s="2464"/>
      <c r="CN66" s="2464" t="str">
        <f>IFERROR(INDEX(Liste_Ackerkulturen_Gemüse_DropDown[Ackerkulturen],_xlfn.AGGREGATE(15,6,(ROW(Liste_Ackerkulturen_Gemüse_DropDown[Ackerkulturen])-1)/(--(SEARCH(CO$2,Liste_Ackerkulturen_Gemüse_DropDown[Ackerkulturen])&gt;0)),ROW()-2),1),"")</f>
        <v>Kleegras (&gt; 60% Klee)   6 Nutzungen</v>
      </c>
      <c r="CO66" s="2464"/>
      <c r="CP66" s="2464" t="str">
        <f>IFERROR(INDEX(Liste_Ackerkulturen_Gemüse_DropDown[Ackerkulturen],_xlfn.AGGREGATE(15,6,(ROW(Liste_Ackerkulturen_Gemüse_DropDown[Ackerkulturen])-1)/(--(SEARCH(CQ$2,Liste_Ackerkulturen_Gemüse_DropDown[Ackerkulturen])&gt;0)),ROW()-2),1),"")</f>
        <v>Kleegras (&gt; 60% Klee)   6 Nutzungen</v>
      </c>
      <c r="CQ66" s="2464"/>
      <c r="CR66" s="2464" t="str">
        <f>IFERROR(INDEX(Liste_Ackerkulturen_Gemüse_DropDown[Ackerkulturen],_xlfn.AGGREGATE(15,6,(ROW(Liste_Ackerkulturen_Gemüse_DropDown[Ackerkulturen])-1)/(--(SEARCH(CS$2,Liste_Ackerkulturen_Gemüse_DropDown[Ackerkulturen])&gt;0)),ROW()-2),1),"")</f>
        <v>Kleegras (&gt; 60% Klee)   6 Nutzungen</v>
      </c>
      <c r="CS66" s="2464"/>
      <c r="CT66"/>
      <c r="CU66"/>
      <c r="CV66"/>
      <c r="CW66"/>
      <c r="CX66"/>
      <c r="CY66"/>
      <c r="CZ66"/>
      <c r="DA66"/>
      <c r="DB66"/>
      <c r="DC66"/>
      <c r="DD66"/>
      <c r="DE66"/>
      <c r="DF66"/>
      <c r="DG66"/>
      <c r="DH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c r="GP66"/>
      <c r="GQ66"/>
      <c r="GR66"/>
      <c r="GS66"/>
      <c r="GT66"/>
      <c r="GU66"/>
      <c r="GV66"/>
      <c r="GW66"/>
      <c r="GX66"/>
      <c r="GY66"/>
      <c r="GZ66"/>
      <c r="HA66"/>
      <c r="HB66"/>
      <c r="HC66"/>
      <c r="HD66"/>
      <c r="HE66"/>
      <c r="HF66"/>
      <c r="HG66"/>
      <c r="HH66"/>
      <c r="HI66"/>
      <c r="HJ66"/>
      <c r="HK66"/>
      <c r="HL66"/>
      <c r="HM66"/>
      <c r="HN66"/>
      <c r="HO66"/>
      <c r="HP66"/>
      <c r="HQ66"/>
      <c r="HR66"/>
      <c r="HS66"/>
      <c r="HT66"/>
      <c r="HU66"/>
      <c r="HV66"/>
      <c r="HW66"/>
      <c r="HX66"/>
      <c r="HY66"/>
      <c r="HZ66"/>
      <c r="IA66"/>
      <c r="IB66"/>
      <c r="IC66"/>
      <c r="ID66"/>
      <c r="IE66"/>
      <c r="IF66"/>
      <c r="IG66"/>
      <c r="IH66"/>
      <c r="II66"/>
      <c r="IJ66"/>
      <c r="IK66"/>
      <c r="IL66"/>
      <c r="IM66"/>
      <c r="IN66"/>
      <c r="IO66"/>
      <c r="IP66"/>
      <c r="IQ66"/>
      <c r="IR66"/>
      <c r="IS66"/>
      <c r="IT66"/>
      <c r="IU66"/>
    </row>
    <row r="67" spans="3:255" ht="24" customHeight="1" thickBot="1">
      <c r="C67" s="1741" t="s">
        <v>493</v>
      </c>
      <c r="D67" s="1742"/>
      <c r="E67" s="1746" t="s">
        <v>1945</v>
      </c>
      <c r="F67" s="2239" t="s">
        <v>1946</v>
      </c>
      <c r="G67" s="2236" t="s">
        <v>1945</v>
      </c>
      <c r="H67" s="2236" t="s">
        <v>1946</v>
      </c>
      <c r="I67" s="2236" t="s">
        <v>1945</v>
      </c>
      <c r="J67" s="2236" t="s">
        <v>1946</v>
      </c>
      <c r="K67" s="2236" t="s">
        <v>1946</v>
      </c>
      <c r="L67" s="2237"/>
      <c r="M67" s="2621" t="s">
        <v>1055</v>
      </c>
      <c r="N67" s="2622"/>
      <c r="O67" s="2622"/>
      <c r="P67" s="2622"/>
      <c r="Q67" s="2622"/>
      <c r="R67" s="2622"/>
      <c r="S67" s="2623"/>
      <c r="T67" s="2621" t="s">
        <v>1056</v>
      </c>
      <c r="U67" s="2622"/>
      <c r="V67" s="2622"/>
      <c r="W67" s="2622"/>
      <c r="X67" s="2622"/>
      <c r="Y67" s="2622"/>
      <c r="Z67" s="2623"/>
      <c r="AB67" s="1542"/>
      <c r="AC67" s="1542"/>
      <c r="AD67" s="1542"/>
      <c r="AE67" s="1542"/>
      <c r="AF67" s="1279"/>
      <c r="AM67" s="2371" t="s">
        <v>2387</v>
      </c>
      <c r="AN67" s="2293">
        <v>210</v>
      </c>
      <c r="AO67" s="2294" t="s">
        <v>1078</v>
      </c>
      <c r="AP67" s="2293">
        <v>210</v>
      </c>
      <c r="AQ67" s="2295" t="s">
        <v>1078</v>
      </c>
      <c r="AR67" s="2293">
        <v>210</v>
      </c>
      <c r="AS67" s="2295" t="s">
        <v>1078</v>
      </c>
      <c r="AT67" s="2296">
        <v>210</v>
      </c>
      <c r="AU67" s="2297" t="s">
        <v>1078</v>
      </c>
      <c r="AV67" s="2296">
        <v>210</v>
      </c>
      <c r="AW67" s="2297" t="s">
        <v>1078</v>
      </c>
      <c r="AX67" s="2304">
        <v>160</v>
      </c>
      <c r="AY67" s="2305" t="s">
        <v>1078</v>
      </c>
      <c r="AZ67" s="2304">
        <v>160</v>
      </c>
      <c r="BA67" s="2306" t="s">
        <v>1078</v>
      </c>
      <c r="BB67" s="518"/>
      <c r="BC67" s="1996">
        <v>1</v>
      </c>
      <c r="BD67" s="521"/>
      <c r="BE67" s="2371" t="s">
        <v>2387</v>
      </c>
      <c r="BF67" s="577">
        <v>120</v>
      </c>
      <c r="BG67" s="577">
        <v>120</v>
      </c>
      <c r="BH67" s="577">
        <v>120</v>
      </c>
      <c r="BI67" s="521"/>
      <c r="BJ67" s="2371" t="s">
        <v>2387</v>
      </c>
      <c r="BK67" s="577">
        <v>340</v>
      </c>
      <c r="BL67" s="577">
        <v>340</v>
      </c>
      <c r="BM67" s="577">
        <v>340</v>
      </c>
      <c r="BN67" s="506"/>
      <c r="BO67" s="510"/>
      <c r="BP67" s="458"/>
      <c r="BQ67" s="458"/>
      <c r="BR67" s="458"/>
      <c r="BS67" s="2461" t="s">
        <v>726</v>
      </c>
      <c r="BT67" s="2463" t="str">
        <f>IFERROR(INDEX(Liste_Ackerkulturen_Gemüse_DropDown[Ackerkulturen],_xlfn.AGGREGATE(15,6,(ROW(Liste_Ackerkulturen_Gemüse_DropDown[Ackerkulturen])-1)/(--(SEARCH(BU$2,Liste_Ackerkulturen_Gemüse_DropDown[Ackerkulturen])&gt;0)),ROW()-2),1),"")</f>
        <v>Klee u. Luzerne  1 Nutzung</v>
      </c>
      <c r="BU67" s="2463"/>
      <c r="BV67" s="2463" t="str">
        <f>IFERROR(INDEX(Liste_Ackerkulturen_Gemüse_DropDown[Ackerkulturen],_xlfn.AGGREGATE(15,6,(ROW(Liste_Ackerkulturen_Gemüse_DropDown[Ackerkulturen])-1)/(--(SEARCH(BW$2,Liste_Ackerkulturen_Gemüse_DropDown[Ackerkulturen])&gt;0)),ROW()-2),1),"")</f>
        <v>Klee u. Luzerne  1 Nutzung</v>
      </c>
      <c r="BW67" s="2463"/>
      <c r="BX67" s="2463" t="str">
        <f>IFERROR(INDEX(Liste_Ackerkulturen_Gemüse_DropDown[Ackerkulturen],_xlfn.AGGREGATE(15,6,(ROW(Liste_Ackerkulturen_Gemüse_DropDown[Ackerkulturen])-1)/(--(SEARCH(BY$2,Liste_Ackerkulturen_Gemüse_DropDown[Ackerkulturen])&gt;0)),ROW()-2),1),"")</f>
        <v>Klee u. Luzerne  1 Nutzung</v>
      </c>
      <c r="BY67" s="2463"/>
      <c r="BZ67" s="2463" t="str">
        <f>IFERROR(INDEX(Liste_Ackerkulturen_Gemüse_DropDown[Ackerkulturen],_xlfn.AGGREGATE(15,6,(ROW(Liste_Ackerkulturen_Gemüse_DropDown[Ackerkulturen])-1)/(--(SEARCH(CA$2,Liste_Ackerkulturen_Gemüse_DropDown[Ackerkulturen])&gt;0)),ROW()-2),1),"")</f>
        <v>Klee u. Luzerne  1 Nutzung</v>
      </c>
      <c r="CA67" s="2463"/>
      <c r="CB67" s="2463" t="str">
        <f>IFERROR(INDEX(Liste_Ackerkulturen_Gemüse_DropDown[Ackerkulturen],_xlfn.AGGREGATE(15,6,(ROW(Liste_Ackerkulturen_Gemüse_DropDown[Ackerkulturen])-1)/(--(SEARCH(CC$2,Liste_Ackerkulturen_Gemüse_DropDown[Ackerkulturen])&gt;0)),ROW()-2),1),"")</f>
        <v>Klee u. Luzerne  1 Nutzung</v>
      </c>
      <c r="CC67" s="2463"/>
      <c r="CD67" s="2464" t="str">
        <f>IFERROR(INDEX(Liste_Ackerkulturen_Gemüse_DropDown[Ackerkulturen],_xlfn.AGGREGATE(15,6,(ROW(Liste_Ackerkulturen_Gemüse_DropDown[Ackerkulturen])-1)/(--(SEARCH(CE$2,Liste_Ackerkulturen_Gemüse_DropDown[Ackerkulturen])&gt;0)),ROW()-2),1),"")</f>
        <v>Klee u. Luzerne  1 Nutzung</v>
      </c>
      <c r="CE67" s="2464"/>
      <c r="CF67" s="2464" t="str">
        <f>IFERROR(INDEX(Liste_Ackerkulturen_Gemüse_DropDown[Ackerkulturen],_xlfn.AGGREGATE(15,6,(ROW(Liste_Ackerkulturen_Gemüse_DropDown[Ackerkulturen])-1)/(--(SEARCH(CG$2,Liste_Ackerkulturen_Gemüse_DropDown[Ackerkulturen])&gt;0)),ROW()-2),1),"")</f>
        <v>Klee u. Luzerne  1 Nutzung</v>
      </c>
      <c r="CG67" s="2464"/>
      <c r="CH67" s="2464" t="str">
        <f>IFERROR(INDEX(Liste_Ackerkulturen_Gemüse_DropDown[Ackerkulturen],_xlfn.AGGREGATE(15,6,(ROW(Liste_Ackerkulturen_Gemüse_DropDown[Ackerkulturen])-1)/(--(SEARCH(CI$2,Liste_Ackerkulturen_Gemüse_DropDown[Ackerkulturen])&gt;0)),ROW()-2),1),"")</f>
        <v>Klee u. Luzerne  1 Nutzung</v>
      </c>
      <c r="CI67" s="2464"/>
      <c r="CJ67" s="2464" t="str">
        <f>IFERROR(INDEX(Liste_Ackerkulturen_Gemüse_DropDown[Ackerkulturen],_xlfn.AGGREGATE(15,6,(ROW(Liste_Ackerkulturen_Gemüse_DropDown[Ackerkulturen])-1)/(--(SEARCH(CK$2,Liste_Ackerkulturen_Gemüse_DropDown[Ackerkulturen])&gt;0)),ROW()-2),1),"")</f>
        <v>Klee u. Luzerne  1 Nutzung</v>
      </c>
      <c r="CK67" s="2464"/>
      <c r="CL67" s="2464" t="str">
        <f>IFERROR(INDEX(Liste_Ackerkulturen_Gemüse_DropDown[Ackerkulturen],_xlfn.AGGREGATE(15,6,(ROW(Liste_Ackerkulturen_Gemüse_DropDown[Ackerkulturen])-1)/(--(SEARCH(CM$2,Liste_Ackerkulturen_Gemüse_DropDown[Ackerkulturen])&gt;0)),ROW()-2),1),"")</f>
        <v>Klee u. Luzerne  1 Nutzung</v>
      </c>
      <c r="CM67" s="2464"/>
      <c r="CN67" s="2464" t="str">
        <f>IFERROR(INDEX(Liste_Ackerkulturen_Gemüse_DropDown[Ackerkulturen],_xlfn.AGGREGATE(15,6,(ROW(Liste_Ackerkulturen_Gemüse_DropDown[Ackerkulturen])-1)/(--(SEARCH(CO$2,Liste_Ackerkulturen_Gemüse_DropDown[Ackerkulturen])&gt;0)),ROW()-2),1),"")</f>
        <v>Klee u. Luzerne  1 Nutzung</v>
      </c>
      <c r="CO67" s="2464"/>
      <c r="CP67" s="2464" t="str">
        <f>IFERROR(INDEX(Liste_Ackerkulturen_Gemüse_DropDown[Ackerkulturen],_xlfn.AGGREGATE(15,6,(ROW(Liste_Ackerkulturen_Gemüse_DropDown[Ackerkulturen])-1)/(--(SEARCH(CQ$2,Liste_Ackerkulturen_Gemüse_DropDown[Ackerkulturen])&gt;0)),ROW()-2),1),"")</f>
        <v>Klee u. Luzerne  1 Nutzung</v>
      </c>
      <c r="CQ67" s="2464"/>
      <c r="CR67" s="2464" t="str">
        <f>IFERROR(INDEX(Liste_Ackerkulturen_Gemüse_DropDown[Ackerkulturen],_xlfn.AGGREGATE(15,6,(ROW(Liste_Ackerkulturen_Gemüse_DropDown[Ackerkulturen])-1)/(--(SEARCH(CS$2,Liste_Ackerkulturen_Gemüse_DropDown[Ackerkulturen])&gt;0)),ROW()-2),1),"")</f>
        <v>Klee u. Luzerne  1 Nutzung</v>
      </c>
      <c r="CS67" s="2464"/>
      <c r="CT67"/>
      <c r="CU67"/>
      <c r="CV67"/>
      <c r="CW67"/>
      <c r="CX67"/>
      <c r="CY67"/>
      <c r="CZ67"/>
      <c r="DA67"/>
      <c r="DB67"/>
      <c r="DC67"/>
      <c r="DD67"/>
      <c r="DE67"/>
      <c r="DF67"/>
      <c r="DG67"/>
      <c r="DH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c r="IL67"/>
      <c r="IM67"/>
      <c r="IN67"/>
      <c r="IO67"/>
      <c r="IP67"/>
      <c r="IQ67"/>
      <c r="IR67"/>
      <c r="IS67"/>
      <c r="IT67"/>
      <c r="IU67"/>
    </row>
    <row r="68" spans="3:255" ht="21" customHeight="1">
      <c r="C68" s="1543" t="s">
        <v>893</v>
      </c>
      <c r="D68" s="1544"/>
      <c r="E68" s="1545" t="s">
        <v>462</v>
      </c>
      <c r="F68" s="2252">
        <v>40</v>
      </c>
      <c r="G68" s="1782" t="s">
        <v>1057</v>
      </c>
      <c r="H68" s="1783">
        <v>40</v>
      </c>
      <c r="I68" s="1452" t="s">
        <v>1058</v>
      </c>
      <c r="J68" s="1451">
        <v>40</v>
      </c>
      <c r="K68" s="1527">
        <v>35</v>
      </c>
      <c r="L68" s="1528">
        <v>35</v>
      </c>
      <c r="M68" s="1546">
        <v>40</v>
      </c>
      <c r="N68" s="1453">
        <v>30</v>
      </c>
      <c r="O68" s="1451">
        <v>25</v>
      </c>
      <c r="P68" s="1783">
        <v>25</v>
      </c>
      <c r="Q68" s="1451">
        <v>30</v>
      </c>
      <c r="R68" s="1454" t="s">
        <v>1954</v>
      </c>
      <c r="S68" s="1547" t="s">
        <v>1955</v>
      </c>
      <c r="T68" s="1546">
        <v>120</v>
      </c>
      <c r="U68" s="1453">
        <v>100</v>
      </c>
      <c r="V68" s="1451">
        <v>70</v>
      </c>
      <c r="W68" s="1783">
        <v>80</v>
      </c>
      <c r="X68" s="1451">
        <v>90</v>
      </c>
      <c r="Y68" s="1454" t="s">
        <v>1956</v>
      </c>
      <c r="Z68" s="1547" t="s">
        <v>1955</v>
      </c>
      <c r="AB68" s="1542"/>
      <c r="AC68" s="1542"/>
      <c r="AD68" s="1542"/>
      <c r="AE68" s="1542"/>
      <c r="AF68" s="1279"/>
      <c r="AM68" s="2371" t="s">
        <v>2306</v>
      </c>
      <c r="AN68" s="2351">
        <v>15</v>
      </c>
      <c r="AO68" s="2353" t="s">
        <v>1997</v>
      </c>
      <c r="AP68" s="2351">
        <v>25</v>
      </c>
      <c r="AQ68" s="2353" t="s">
        <v>1060</v>
      </c>
      <c r="AR68" s="2351">
        <v>25</v>
      </c>
      <c r="AS68" s="2353" t="s">
        <v>1060</v>
      </c>
      <c r="AT68" s="2347">
        <v>25</v>
      </c>
      <c r="AU68" s="2292" t="s">
        <v>1060</v>
      </c>
      <c r="AV68" s="2347">
        <v>25</v>
      </c>
      <c r="AW68" s="2292" t="s">
        <v>1060</v>
      </c>
      <c r="AX68" s="2344">
        <v>0</v>
      </c>
      <c r="AY68" s="2278" t="s">
        <v>1060</v>
      </c>
      <c r="AZ68" s="2349">
        <v>0</v>
      </c>
      <c r="BA68" s="2303" t="s">
        <v>2359</v>
      </c>
      <c r="BB68" s="518"/>
      <c r="BC68" s="1996">
        <v>1</v>
      </c>
      <c r="BD68" s="521"/>
      <c r="BE68" s="2371" t="s">
        <v>2306</v>
      </c>
      <c r="BF68" s="577">
        <v>15</v>
      </c>
      <c r="BG68" s="577">
        <v>30</v>
      </c>
      <c r="BH68" s="577">
        <v>30</v>
      </c>
      <c r="BJ68" s="2371" t="s">
        <v>2306</v>
      </c>
      <c r="BK68" s="578">
        <v>45</v>
      </c>
      <c r="BL68" s="577">
        <v>80</v>
      </c>
      <c r="BM68" s="577">
        <v>80</v>
      </c>
      <c r="BN68" s="506"/>
      <c r="BO68" s="510"/>
      <c r="BP68" s="458"/>
      <c r="BQ68" s="458"/>
      <c r="BR68" s="458"/>
      <c r="BS68" s="2461" t="s">
        <v>727</v>
      </c>
      <c r="BT68" s="2463" t="str">
        <f>IFERROR(INDEX(Liste_Ackerkulturen_Gemüse_DropDown[Ackerkulturen],_xlfn.AGGREGATE(15,6,(ROW(Liste_Ackerkulturen_Gemüse_DropDown[Ackerkulturen])-1)/(--(SEARCH(BU$2,Liste_Ackerkulturen_Gemüse_DropDown[Ackerkulturen])&gt;0)),ROW()-2),1),"")</f>
        <v>Klee u. Luzerne  2 Nutzungen</v>
      </c>
      <c r="BU68" s="2463"/>
      <c r="BV68" s="2463" t="str">
        <f>IFERROR(INDEX(Liste_Ackerkulturen_Gemüse_DropDown[Ackerkulturen],_xlfn.AGGREGATE(15,6,(ROW(Liste_Ackerkulturen_Gemüse_DropDown[Ackerkulturen])-1)/(--(SEARCH(BW$2,Liste_Ackerkulturen_Gemüse_DropDown[Ackerkulturen])&gt;0)),ROW()-2),1),"")</f>
        <v>Klee u. Luzerne  2 Nutzungen</v>
      </c>
      <c r="BW68" s="2463"/>
      <c r="BX68" s="2463" t="str">
        <f>IFERROR(INDEX(Liste_Ackerkulturen_Gemüse_DropDown[Ackerkulturen],_xlfn.AGGREGATE(15,6,(ROW(Liste_Ackerkulturen_Gemüse_DropDown[Ackerkulturen])-1)/(--(SEARCH(BY$2,Liste_Ackerkulturen_Gemüse_DropDown[Ackerkulturen])&gt;0)),ROW()-2),1),"")</f>
        <v>Klee u. Luzerne  2 Nutzungen</v>
      </c>
      <c r="BY68" s="2463"/>
      <c r="BZ68" s="2463" t="str">
        <f>IFERROR(INDEX(Liste_Ackerkulturen_Gemüse_DropDown[Ackerkulturen],_xlfn.AGGREGATE(15,6,(ROW(Liste_Ackerkulturen_Gemüse_DropDown[Ackerkulturen])-1)/(--(SEARCH(CA$2,Liste_Ackerkulturen_Gemüse_DropDown[Ackerkulturen])&gt;0)),ROW()-2),1),"")</f>
        <v>Klee u. Luzerne  2 Nutzungen</v>
      </c>
      <c r="CA68" s="2463"/>
      <c r="CB68" s="2463" t="str">
        <f>IFERROR(INDEX(Liste_Ackerkulturen_Gemüse_DropDown[Ackerkulturen],_xlfn.AGGREGATE(15,6,(ROW(Liste_Ackerkulturen_Gemüse_DropDown[Ackerkulturen])-1)/(--(SEARCH(CC$2,Liste_Ackerkulturen_Gemüse_DropDown[Ackerkulturen])&gt;0)),ROW()-2),1),"")</f>
        <v>Klee u. Luzerne  2 Nutzungen</v>
      </c>
      <c r="CC68" s="2463"/>
      <c r="CD68" s="2464" t="str">
        <f>IFERROR(INDEX(Liste_Ackerkulturen_Gemüse_DropDown[Ackerkulturen],_xlfn.AGGREGATE(15,6,(ROW(Liste_Ackerkulturen_Gemüse_DropDown[Ackerkulturen])-1)/(--(SEARCH(CE$2,Liste_Ackerkulturen_Gemüse_DropDown[Ackerkulturen])&gt;0)),ROW()-2),1),"")</f>
        <v>Klee u. Luzerne  2 Nutzungen</v>
      </c>
      <c r="CE68" s="2464"/>
      <c r="CF68" s="2464" t="str">
        <f>IFERROR(INDEX(Liste_Ackerkulturen_Gemüse_DropDown[Ackerkulturen],_xlfn.AGGREGATE(15,6,(ROW(Liste_Ackerkulturen_Gemüse_DropDown[Ackerkulturen])-1)/(--(SEARCH(CG$2,Liste_Ackerkulturen_Gemüse_DropDown[Ackerkulturen])&gt;0)),ROW()-2),1),"")</f>
        <v>Klee u. Luzerne  2 Nutzungen</v>
      </c>
      <c r="CG68" s="2464"/>
      <c r="CH68" s="2464" t="str">
        <f>IFERROR(INDEX(Liste_Ackerkulturen_Gemüse_DropDown[Ackerkulturen],_xlfn.AGGREGATE(15,6,(ROW(Liste_Ackerkulturen_Gemüse_DropDown[Ackerkulturen])-1)/(--(SEARCH(CI$2,Liste_Ackerkulturen_Gemüse_DropDown[Ackerkulturen])&gt;0)),ROW()-2),1),"")</f>
        <v>Klee u. Luzerne  2 Nutzungen</v>
      </c>
      <c r="CI68" s="2464"/>
      <c r="CJ68" s="2464" t="str">
        <f>IFERROR(INDEX(Liste_Ackerkulturen_Gemüse_DropDown[Ackerkulturen],_xlfn.AGGREGATE(15,6,(ROW(Liste_Ackerkulturen_Gemüse_DropDown[Ackerkulturen])-1)/(--(SEARCH(CK$2,Liste_Ackerkulturen_Gemüse_DropDown[Ackerkulturen])&gt;0)),ROW()-2),1),"")</f>
        <v>Klee u. Luzerne  2 Nutzungen</v>
      </c>
      <c r="CK68" s="2464"/>
      <c r="CL68" s="2464" t="str">
        <f>IFERROR(INDEX(Liste_Ackerkulturen_Gemüse_DropDown[Ackerkulturen],_xlfn.AGGREGATE(15,6,(ROW(Liste_Ackerkulturen_Gemüse_DropDown[Ackerkulturen])-1)/(--(SEARCH(CM$2,Liste_Ackerkulturen_Gemüse_DropDown[Ackerkulturen])&gt;0)),ROW()-2),1),"")</f>
        <v>Klee u. Luzerne  2 Nutzungen</v>
      </c>
      <c r="CM68" s="2464"/>
      <c r="CN68" s="2464" t="str">
        <f>IFERROR(INDEX(Liste_Ackerkulturen_Gemüse_DropDown[Ackerkulturen],_xlfn.AGGREGATE(15,6,(ROW(Liste_Ackerkulturen_Gemüse_DropDown[Ackerkulturen])-1)/(--(SEARCH(CO$2,Liste_Ackerkulturen_Gemüse_DropDown[Ackerkulturen])&gt;0)),ROW()-2),1),"")</f>
        <v>Klee u. Luzerne  2 Nutzungen</v>
      </c>
      <c r="CO68" s="2464"/>
      <c r="CP68" s="2464" t="str">
        <f>IFERROR(INDEX(Liste_Ackerkulturen_Gemüse_DropDown[Ackerkulturen],_xlfn.AGGREGATE(15,6,(ROW(Liste_Ackerkulturen_Gemüse_DropDown[Ackerkulturen])-1)/(--(SEARCH(CQ$2,Liste_Ackerkulturen_Gemüse_DropDown[Ackerkulturen])&gt;0)),ROW()-2),1),"")</f>
        <v>Klee u. Luzerne  2 Nutzungen</v>
      </c>
      <c r="CQ68" s="2464"/>
      <c r="CR68" s="2464" t="str">
        <f>IFERROR(INDEX(Liste_Ackerkulturen_Gemüse_DropDown[Ackerkulturen],_xlfn.AGGREGATE(15,6,(ROW(Liste_Ackerkulturen_Gemüse_DropDown[Ackerkulturen])-1)/(--(SEARCH(CS$2,Liste_Ackerkulturen_Gemüse_DropDown[Ackerkulturen])&gt;0)),ROW()-2),1),"")</f>
        <v>Klee u. Luzerne  2 Nutzungen</v>
      </c>
      <c r="CS68" s="2464"/>
      <c r="CT68"/>
      <c r="CU68"/>
      <c r="CV68"/>
      <c r="CW68"/>
      <c r="CX68"/>
      <c r="CY68"/>
      <c r="CZ68"/>
      <c r="DA68"/>
      <c r="DB68"/>
      <c r="DC68"/>
      <c r="DD68"/>
      <c r="DE68"/>
      <c r="DF68"/>
      <c r="DG68"/>
      <c r="DH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c r="IL68"/>
      <c r="IM68"/>
      <c r="IN68"/>
      <c r="IO68"/>
      <c r="IP68"/>
      <c r="IQ68"/>
      <c r="IR68"/>
      <c r="IS68"/>
      <c r="IT68"/>
      <c r="IU68"/>
    </row>
    <row r="69" spans="3:255" ht="21" customHeight="1">
      <c r="C69" s="1543" t="s">
        <v>894</v>
      </c>
      <c r="D69" s="1544"/>
      <c r="E69" s="1545" t="s">
        <v>462</v>
      </c>
      <c r="F69" s="2252">
        <v>80</v>
      </c>
      <c r="G69" s="1782" t="s">
        <v>1057</v>
      </c>
      <c r="H69" s="1783">
        <v>80</v>
      </c>
      <c r="I69" s="1452" t="s">
        <v>1058</v>
      </c>
      <c r="J69" s="1451">
        <v>80</v>
      </c>
      <c r="K69" s="1527">
        <v>70</v>
      </c>
      <c r="L69" s="1528">
        <v>70</v>
      </c>
      <c r="M69" s="1546">
        <v>40</v>
      </c>
      <c r="N69" s="1453">
        <v>30</v>
      </c>
      <c r="O69" s="1451">
        <v>25</v>
      </c>
      <c r="P69" s="1783">
        <v>25</v>
      </c>
      <c r="Q69" s="1451">
        <v>30</v>
      </c>
      <c r="R69" s="1454" t="s">
        <v>1954</v>
      </c>
      <c r="S69" s="1547" t="s">
        <v>1955</v>
      </c>
      <c r="T69" s="1546">
        <v>120</v>
      </c>
      <c r="U69" s="1453">
        <v>100</v>
      </c>
      <c r="V69" s="1451">
        <v>70</v>
      </c>
      <c r="W69" s="1783">
        <v>80</v>
      </c>
      <c r="X69" s="1451">
        <v>90</v>
      </c>
      <c r="Y69" s="1454" t="s">
        <v>1956</v>
      </c>
      <c r="Z69" s="1547" t="s">
        <v>1955</v>
      </c>
      <c r="AB69" s="1542"/>
      <c r="AC69" s="1542"/>
      <c r="AD69" s="1542"/>
      <c r="AE69" s="1542"/>
      <c r="AF69" s="1279"/>
      <c r="AM69" s="2371" t="s">
        <v>726</v>
      </c>
      <c r="AN69" s="2352">
        <v>40</v>
      </c>
      <c r="AO69" s="2283" t="s">
        <v>1071</v>
      </c>
      <c r="AP69" s="2352">
        <v>40</v>
      </c>
      <c r="AQ69" s="2283" t="s">
        <v>1063</v>
      </c>
      <c r="AR69" s="2352">
        <v>40</v>
      </c>
      <c r="AS69" s="2283" t="s">
        <v>1063</v>
      </c>
      <c r="AT69" s="2348">
        <v>40</v>
      </c>
      <c r="AU69" s="2285" t="s">
        <v>1063</v>
      </c>
      <c r="AV69" s="2348">
        <v>40</v>
      </c>
      <c r="AW69" s="2285" t="s">
        <v>1063</v>
      </c>
      <c r="AX69" s="2345"/>
      <c r="AY69" s="2278" t="s">
        <v>1063</v>
      </c>
      <c r="AZ69" s="2350">
        <v>0</v>
      </c>
      <c r="BA69" s="2303" t="s">
        <v>2309</v>
      </c>
      <c r="BB69" s="518"/>
      <c r="BC69" s="1996">
        <v>1</v>
      </c>
      <c r="BD69" s="521"/>
      <c r="BE69" s="2371" t="s">
        <v>726</v>
      </c>
      <c r="BF69" s="577">
        <v>30</v>
      </c>
      <c r="BG69" s="577">
        <v>45</v>
      </c>
      <c r="BH69" s="577">
        <v>45</v>
      </c>
      <c r="BI69" s="521"/>
      <c r="BJ69" s="2371" t="s">
        <v>726</v>
      </c>
      <c r="BK69" s="578">
        <v>80</v>
      </c>
      <c r="BL69" s="577">
        <v>120</v>
      </c>
      <c r="BM69" s="577">
        <v>120</v>
      </c>
      <c r="BN69" s="506"/>
      <c r="BO69" s="510"/>
      <c r="BP69" s="458"/>
      <c r="BQ69" s="458"/>
      <c r="BR69" s="458"/>
      <c r="BS69" s="2461" t="s">
        <v>728</v>
      </c>
      <c r="BT69" s="2463" t="str">
        <f>IFERROR(INDEX(Liste_Ackerkulturen_Gemüse_DropDown[Ackerkulturen],_xlfn.AGGREGATE(15,6,(ROW(Liste_Ackerkulturen_Gemüse_DropDown[Ackerkulturen])-1)/(--(SEARCH(BU$2,Liste_Ackerkulturen_Gemüse_DropDown[Ackerkulturen])&gt;0)),ROW()-2),1),"")</f>
        <v>Klee u. Luzerne  3 Nutzungen</v>
      </c>
      <c r="BU69" s="2463"/>
      <c r="BV69" s="2463" t="str">
        <f>IFERROR(INDEX(Liste_Ackerkulturen_Gemüse_DropDown[Ackerkulturen],_xlfn.AGGREGATE(15,6,(ROW(Liste_Ackerkulturen_Gemüse_DropDown[Ackerkulturen])-1)/(--(SEARCH(BW$2,Liste_Ackerkulturen_Gemüse_DropDown[Ackerkulturen])&gt;0)),ROW()-2),1),"")</f>
        <v>Klee u. Luzerne  3 Nutzungen</v>
      </c>
      <c r="BW69" s="2463"/>
      <c r="BX69" s="2463" t="str">
        <f>IFERROR(INDEX(Liste_Ackerkulturen_Gemüse_DropDown[Ackerkulturen],_xlfn.AGGREGATE(15,6,(ROW(Liste_Ackerkulturen_Gemüse_DropDown[Ackerkulturen])-1)/(--(SEARCH(BY$2,Liste_Ackerkulturen_Gemüse_DropDown[Ackerkulturen])&gt;0)),ROW()-2),1),"")</f>
        <v>Klee u. Luzerne  3 Nutzungen</v>
      </c>
      <c r="BY69" s="2463"/>
      <c r="BZ69" s="2463" t="str">
        <f>IFERROR(INDEX(Liste_Ackerkulturen_Gemüse_DropDown[Ackerkulturen],_xlfn.AGGREGATE(15,6,(ROW(Liste_Ackerkulturen_Gemüse_DropDown[Ackerkulturen])-1)/(--(SEARCH(CA$2,Liste_Ackerkulturen_Gemüse_DropDown[Ackerkulturen])&gt;0)),ROW()-2),1),"")</f>
        <v>Klee u. Luzerne  3 Nutzungen</v>
      </c>
      <c r="CA69" s="2463"/>
      <c r="CB69" s="2463" t="str">
        <f>IFERROR(INDEX(Liste_Ackerkulturen_Gemüse_DropDown[Ackerkulturen],_xlfn.AGGREGATE(15,6,(ROW(Liste_Ackerkulturen_Gemüse_DropDown[Ackerkulturen])-1)/(--(SEARCH(CC$2,Liste_Ackerkulturen_Gemüse_DropDown[Ackerkulturen])&gt;0)),ROW()-2),1),"")</f>
        <v>Klee u. Luzerne  3 Nutzungen</v>
      </c>
      <c r="CC69" s="2463"/>
      <c r="CD69" s="2464" t="str">
        <f>IFERROR(INDEX(Liste_Ackerkulturen_Gemüse_DropDown[Ackerkulturen],_xlfn.AGGREGATE(15,6,(ROW(Liste_Ackerkulturen_Gemüse_DropDown[Ackerkulturen])-1)/(--(SEARCH(CE$2,Liste_Ackerkulturen_Gemüse_DropDown[Ackerkulturen])&gt;0)),ROW()-2),1),"")</f>
        <v>Klee u. Luzerne  3 Nutzungen</v>
      </c>
      <c r="CE69" s="2464"/>
      <c r="CF69" s="2464" t="str">
        <f>IFERROR(INDEX(Liste_Ackerkulturen_Gemüse_DropDown[Ackerkulturen],_xlfn.AGGREGATE(15,6,(ROW(Liste_Ackerkulturen_Gemüse_DropDown[Ackerkulturen])-1)/(--(SEARCH(CG$2,Liste_Ackerkulturen_Gemüse_DropDown[Ackerkulturen])&gt;0)),ROW()-2),1),"")</f>
        <v>Klee u. Luzerne  3 Nutzungen</v>
      </c>
      <c r="CG69" s="2464"/>
      <c r="CH69" s="2464" t="str">
        <f>IFERROR(INDEX(Liste_Ackerkulturen_Gemüse_DropDown[Ackerkulturen],_xlfn.AGGREGATE(15,6,(ROW(Liste_Ackerkulturen_Gemüse_DropDown[Ackerkulturen])-1)/(--(SEARCH(CI$2,Liste_Ackerkulturen_Gemüse_DropDown[Ackerkulturen])&gt;0)),ROW()-2),1),"")</f>
        <v>Klee u. Luzerne  3 Nutzungen</v>
      </c>
      <c r="CI69" s="2464"/>
      <c r="CJ69" s="2464" t="str">
        <f>IFERROR(INDEX(Liste_Ackerkulturen_Gemüse_DropDown[Ackerkulturen],_xlfn.AGGREGATE(15,6,(ROW(Liste_Ackerkulturen_Gemüse_DropDown[Ackerkulturen])-1)/(--(SEARCH(CK$2,Liste_Ackerkulturen_Gemüse_DropDown[Ackerkulturen])&gt;0)),ROW()-2),1),"")</f>
        <v>Klee u. Luzerne  3 Nutzungen</v>
      </c>
      <c r="CK69" s="2464"/>
      <c r="CL69" s="2464" t="str">
        <f>IFERROR(INDEX(Liste_Ackerkulturen_Gemüse_DropDown[Ackerkulturen],_xlfn.AGGREGATE(15,6,(ROW(Liste_Ackerkulturen_Gemüse_DropDown[Ackerkulturen])-1)/(--(SEARCH(CM$2,Liste_Ackerkulturen_Gemüse_DropDown[Ackerkulturen])&gt;0)),ROW()-2),1),"")</f>
        <v>Klee u. Luzerne  3 Nutzungen</v>
      </c>
      <c r="CM69" s="2464"/>
      <c r="CN69" s="2464" t="str">
        <f>IFERROR(INDEX(Liste_Ackerkulturen_Gemüse_DropDown[Ackerkulturen],_xlfn.AGGREGATE(15,6,(ROW(Liste_Ackerkulturen_Gemüse_DropDown[Ackerkulturen])-1)/(--(SEARCH(CO$2,Liste_Ackerkulturen_Gemüse_DropDown[Ackerkulturen])&gt;0)),ROW()-2),1),"")</f>
        <v>Klee u. Luzerne  3 Nutzungen</v>
      </c>
      <c r="CO69" s="2464"/>
      <c r="CP69" s="2464" t="str">
        <f>IFERROR(INDEX(Liste_Ackerkulturen_Gemüse_DropDown[Ackerkulturen],_xlfn.AGGREGATE(15,6,(ROW(Liste_Ackerkulturen_Gemüse_DropDown[Ackerkulturen])-1)/(--(SEARCH(CQ$2,Liste_Ackerkulturen_Gemüse_DropDown[Ackerkulturen])&gt;0)),ROW()-2),1),"")</f>
        <v>Klee u. Luzerne  3 Nutzungen</v>
      </c>
      <c r="CQ69" s="2464"/>
      <c r="CR69" s="2464" t="str">
        <f>IFERROR(INDEX(Liste_Ackerkulturen_Gemüse_DropDown[Ackerkulturen],_xlfn.AGGREGATE(15,6,(ROW(Liste_Ackerkulturen_Gemüse_DropDown[Ackerkulturen])-1)/(--(SEARCH(CS$2,Liste_Ackerkulturen_Gemüse_DropDown[Ackerkulturen])&gt;0)),ROW()-2),1),"")</f>
        <v>Klee u. Luzerne  3 Nutzungen</v>
      </c>
      <c r="CS69" s="2464"/>
      <c r="CT69"/>
      <c r="CU69"/>
      <c r="CV69"/>
      <c r="CW69"/>
      <c r="CX69"/>
      <c r="CY69"/>
      <c r="CZ69"/>
      <c r="DA69"/>
      <c r="DB69"/>
      <c r="DC69"/>
      <c r="DD69"/>
      <c r="DE69"/>
      <c r="DF69"/>
      <c r="DG69"/>
      <c r="DH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row>
    <row r="70" spans="3:255" ht="21" customHeight="1">
      <c r="C70" s="2615" t="s">
        <v>2</v>
      </c>
      <c r="D70" s="1548" t="s">
        <v>1059</v>
      </c>
      <c r="E70" s="1545"/>
      <c r="F70" s="2252"/>
      <c r="G70" s="1782" t="s">
        <v>1060</v>
      </c>
      <c r="H70" s="1783">
        <v>200</v>
      </c>
      <c r="I70" s="1452" t="s">
        <v>1201</v>
      </c>
      <c r="J70" s="1451"/>
      <c r="K70" s="1527">
        <v>30</v>
      </c>
      <c r="L70" s="1528">
        <v>30</v>
      </c>
      <c r="M70" s="1546">
        <v>45</v>
      </c>
      <c r="N70" s="1453">
        <v>40</v>
      </c>
      <c r="O70" s="1451">
        <v>15</v>
      </c>
      <c r="P70" s="1783">
        <v>30</v>
      </c>
      <c r="Q70" s="1451"/>
      <c r="R70" s="1454" t="s">
        <v>1061</v>
      </c>
      <c r="S70" s="1547" t="s">
        <v>1061</v>
      </c>
      <c r="T70" s="1546">
        <v>120</v>
      </c>
      <c r="U70" s="1450">
        <v>100</v>
      </c>
      <c r="V70" s="1455">
        <v>45</v>
      </c>
      <c r="W70" s="1783">
        <v>80</v>
      </c>
      <c r="X70" s="1456"/>
      <c r="Y70" s="1454" t="s">
        <v>1061</v>
      </c>
      <c r="Z70" s="1547" t="s">
        <v>1061</v>
      </c>
      <c r="AB70" s="1542"/>
      <c r="AC70" s="1542"/>
      <c r="AD70" s="1542"/>
      <c r="AE70" s="1542"/>
      <c r="AF70" s="1279"/>
      <c r="AM70" s="2371" t="s">
        <v>727</v>
      </c>
      <c r="AN70" s="2352">
        <v>40</v>
      </c>
      <c r="AO70" s="2283" t="s">
        <v>1072</v>
      </c>
      <c r="AP70" s="2352">
        <v>40</v>
      </c>
      <c r="AQ70" s="2283" t="s">
        <v>1073</v>
      </c>
      <c r="AR70" s="2352">
        <v>40</v>
      </c>
      <c r="AS70" s="2283" t="s">
        <v>1977</v>
      </c>
      <c r="AT70" s="2348">
        <v>40</v>
      </c>
      <c r="AU70" s="2285" t="s">
        <v>1977</v>
      </c>
      <c r="AV70" s="2348">
        <v>40</v>
      </c>
      <c r="AW70" s="2285" t="s">
        <v>1977</v>
      </c>
      <c r="AX70" s="2345">
        <v>0</v>
      </c>
      <c r="AY70" s="2278" t="s">
        <v>1073</v>
      </c>
      <c r="AZ70" s="2350">
        <v>0</v>
      </c>
      <c r="BA70" s="2303" t="s">
        <v>2360</v>
      </c>
      <c r="BB70" s="518"/>
      <c r="BC70" s="1996">
        <v>1</v>
      </c>
      <c r="BD70" s="521"/>
      <c r="BE70" s="2371" t="s">
        <v>727</v>
      </c>
      <c r="BF70" s="577">
        <v>45</v>
      </c>
      <c r="BG70" s="577">
        <v>65</v>
      </c>
      <c r="BH70" s="577">
        <v>80</v>
      </c>
      <c r="BI70" s="521"/>
      <c r="BJ70" s="2371" t="s">
        <v>727</v>
      </c>
      <c r="BK70" s="578">
        <v>130</v>
      </c>
      <c r="BL70" s="577">
        <v>170</v>
      </c>
      <c r="BM70" s="577">
        <v>215</v>
      </c>
      <c r="BN70" s="506"/>
      <c r="BO70" s="510"/>
      <c r="BP70" s="458"/>
      <c r="BQ70" s="458"/>
      <c r="BR70" s="458"/>
      <c r="BS70" s="2461" t="s">
        <v>729</v>
      </c>
      <c r="BT70" s="2463" t="str">
        <f>IFERROR(INDEX(Liste_Ackerkulturen_Gemüse_DropDown[Ackerkulturen],_xlfn.AGGREGATE(15,6,(ROW(Liste_Ackerkulturen_Gemüse_DropDown[Ackerkulturen])-1)/(--(SEARCH(BU$2,Liste_Ackerkulturen_Gemüse_DropDown[Ackerkulturen])&gt;0)),ROW()-2),1),"")</f>
        <v>Klee u. Luzerne  4 Nutzungen</v>
      </c>
      <c r="BU70" s="2463"/>
      <c r="BV70" s="2463" t="str">
        <f>IFERROR(INDEX(Liste_Ackerkulturen_Gemüse_DropDown[Ackerkulturen],_xlfn.AGGREGATE(15,6,(ROW(Liste_Ackerkulturen_Gemüse_DropDown[Ackerkulturen])-1)/(--(SEARCH(BW$2,Liste_Ackerkulturen_Gemüse_DropDown[Ackerkulturen])&gt;0)),ROW()-2),1),"")</f>
        <v>Klee u. Luzerne  4 Nutzungen</v>
      </c>
      <c r="BW70" s="2463"/>
      <c r="BX70" s="2463" t="str">
        <f>IFERROR(INDEX(Liste_Ackerkulturen_Gemüse_DropDown[Ackerkulturen],_xlfn.AGGREGATE(15,6,(ROW(Liste_Ackerkulturen_Gemüse_DropDown[Ackerkulturen])-1)/(--(SEARCH(BY$2,Liste_Ackerkulturen_Gemüse_DropDown[Ackerkulturen])&gt;0)),ROW()-2),1),"")</f>
        <v>Klee u. Luzerne  4 Nutzungen</v>
      </c>
      <c r="BY70" s="2463"/>
      <c r="BZ70" s="2463" t="str">
        <f>IFERROR(INDEX(Liste_Ackerkulturen_Gemüse_DropDown[Ackerkulturen],_xlfn.AGGREGATE(15,6,(ROW(Liste_Ackerkulturen_Gemüse_DropDown[Ackerkulturen])-1)/(--(SEARCH(CA$2,Liste_Ackerkulturen_Gemüse_DropDown[Ackerkulturen])&gt;0)),ROW()-2),1),"")</f>
        <v>Klee u. Luzerne  4 Nutzungen</v>
      </c>
      <c r="CA70" s="2463"/>
      <c r="CB70" s="2463" t="str">
        <f>IFERROR(INDEX(Liste_Ackerkulturen_Gemüse_DropDown[Ackerkulturen],_xlfn.AGGREGATE(15,6,(ROW(Liste_Ackerkulturen_Gemüse_DropDown[Ackerkulturen])-1)/(--(SEARCH(CC$2,Liste_Ackerkulturen_Gemüse_DropDown[Ackerkulturen])&gt;0)),ROW()-2),1),"")</f>
        <v>Klee u. Luzerne  4 Nutzungen</v>
      </c>
      <c r="CC70" s="2463"/>
      <c r="CD70" s="2464" t="str">
        <f>IFERROR(INDEX(Liste_Ackerkulturen_Gemüse_DropDown[Ackerkulturen],_xlfn.AGGREGATE(15,6,(ROW(Liste_Ackerkulturen_Gemüse_DropDown[Ackerkulturen])-1)/(--(SEARCH(CE$2,Liste_Ackerkulturen_Gemüse_DropDown[Ackerkulturen])&gt;0)),ROW()-2),1),"")</f>
        <v>Klee u. Luzerne  4 Nutzungen</v>
      </c>
      <c r="CE70" s="2464"/>
      <c r="CF70" s="2464" t="str">
        <f>IFERROR(INDEX(Liste_Ackerkulturen_Gemüse_DropDown[Ackerkulturen],_xlfn.AGGREGATE(15,6,(ROW(Liste_Ackerkulturen_Gemüse_DropDown[Ackerkulturen])-1)/(--(SEARCH(CG$2,Liste_Ackerkulturen_Gemüse_DropDown[Ackerkulturen])&gt;0)),ROW()-2),1),"")</f>
        <v>Klee u. Luzerne  4 Nutzungen</v>
      </c>
      <c r="CG70" s="2464"/>
      <c r="CH70" s="2464" t="str">
        <f>IFERROR(INDEX(Liste_Ackerkulturen_Gemüse_DropDown[Ackerkulturen],_xlfn.AGGREGATE(15,6,(ROW(Liste_Ackerkulturen_Gemüse_DropDown[Ackerkulturen])-1)/(--(SEARCH(CI$2,Liste_Ackerkulturen_Gemüse_DropDown[Ackerkulturen])&gt;0)),ROW()-2),1),"")</f>
        <v>Klee u. Luzerne  4 Nutzungen</v>
      </c>
      <c r="CI70" s="2464"/>
      <c r="CJ70" s="2464" t="str">
        <f>IFERROR(INDEX(Liste_Ackerkulturen_Gemüse_DropDown[Ackerkulturen],_xlfn.AGGREGATE(15,6,(ROW(Liste_Ackerkulturen_Gemüse_DropDown[Ackerkulturen])-1)/(--(SEARCH(CK$2,Liste_Ackerkulturen_Gemüse_DropDown[Ackerkulturen])&gt;0)),ROW()-2),1),"")</f>
        <v>Klee u. Luzerne  4 Nutzungen</v>
      </c>
      <c r="CK70" s="2464"/>
      <c r="CL70" s="2464" t="str">
        <f>IFERROR(INDEX(Liste_Ackerkulturen_Gemüse_DropDown[Ackerkulturen],_xlfn.AGGREGATE(15,6,(ROW(Liste_Ackerkulturen_Gemüse_DropDown[Ackerkulturen])-1)/(--(SEARCH(CM$2,Liste_Ackerkulturen_Gemüse_DropDown[Ackerkulturen])&gt;0)),ROW()-2),1),"")</f>
        <v>Klee u. Luzerne  4 Nutzungen</v>
      </c>
      <c r="CM70" s="2464"/>
      <c r="CN70" s="2464" t="str">
        <f>IFERROR(INDEX(Liste_Ackerkulturen_Gemüse_DropDown[Ackerkulturen],_xlfn.AGGREGATE(15,6,(ROW(Liste_Ackerkulturen_Gemüse_DropDown[Ackerkulturen])-1)/(--(SEARCH(CO$2,Liste_Ackerkulturen_Gemüse_DropDown[Ackerkulturen])&gt;0)),ROW()-2),1),"")</f>
        <v>Klee u. Luzerne  4 Nutzungen</v>
      </c>
      <c r="CO70" s="2464"/>
      <c r="CP70" s="2464" t="str">
        <f>IFERROR(INDEX(Liste_Ackerkulturen_Gemüse_DropDown[Ackerkulturen],_xlfn.AGGREGATE(15,6,(ROW(Liste_Ackerkulturen_Gemüse_DropDown[Ackerkulturen])-1)/(--(SEARCH(CQ$2,Liste_Ackerkulturen_Gemüse_DropDown[Ackerkulturen])&gt;0)),ROW()-2),1),"")</f>
        <v>Klee u. Luzerne  4 Nutzungen</v>
      </c>
      <c r="CQ70" s="2464"/>
      <c r="CR70" s="2464" t="str">
        <f>IFERROR(INDEX(Liste_Ackerkulturen_Gemüse_DropDown[Ackerkulturen],_xlfn.AGGREGATE(15,6,(ROW(Liste_Ackerkulturen_Gemüse_DropDown[Ackerkulturen])-1)/(--(SEARCH(CS$2,Liste_Ackerkulturen_Gemüse_DropDown[Ackerkulturen])&gt;0)),ROW()-2),1),"")</f>
        <v>Klee u. Luzerne  4 Nutzungen</v>
      </c>
      <c r="CS70" s="2464"/>
      <c r="CT70"/>
      <c r="CU70"/>
      <c r="CV70"/>
      <c r="CW70"/>
      <c r="CX70"/>
      <c r="CY70"/>
      <c r="CZ70"/>
      <c r="DA70"/>
      <c r="DB70"/>
      <c r="DC70"/>
      <c r="DD70"/>
      <c r="DE70"/>
      <c r="DF70"/>
      <c r="DG70"/>
      <c r="DH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row>
    <row r="71" spans="3:255" ht="21" customHeight="1">
      <c r="C71" s="2615"/>
      <c r="D71" s="1548" t="s">
        <v>1062</v>
      </c>
      <c r="E71" s="1545"/>
      <c r="F71" s="2252"/>
      <c r="G71" s="1782" t="s">
        <v>1063</v>
      </c>
      <c r="H71" s="1783">
        <v>200</v>
      </c>
      <c r="I71" s="1452" t="s">
        <v>1201</v>
      </c>
      <c r="J71" s="1451"/>
      <c r="K71" s="1527">
        <v>90</v>
      </c>
      <c r="L71" s="1528">
        <v>90</v>
      </c>
      <c r="M71" s="1546">
        <v>70</v>
      </c>
      <c r="N71" s="1453">
        <v>55</v>
      </c>
      <c r="O71" s="1451">
        <v>30</v>
      </c>
      <c r="P71" s="1783">
        <v>45</v>
      </c>
      <c r="Q71" s="1451"/>
      <c r="R71" s="1454" t="s">
        <v>1061</v>
      </c>
      <c r="S71" s="1547" t="s">
        <v>1061</v>
      </c>
      <c r="T71" s="1546">
        <v>180</v>
      </c>
      <c r="U71" s="1450">
        <v>150</v>
      </c>
      <c r="V71" s="1455">
        <v>80</v>
      </c>
      <c r="W71" s="1783">
        <v>120</v>
      </c>
      <c r="X71" s="1456"/>
      <c r="Y71" s="1454" t="s">
        <v>1061</v>
      </c>
      <c r="Z71" s="1547" t="s">
        <v>1061</v>
      </c>
      <c r="AB71" s="1542"/>
      <c r="AC71" s="1542"/>
      <c r="AD71" s="1542"/>
      <c r="AE71" s="1542"/>
      <c r="AF71" s="1279"/>
      <c r="AM71" s="2371" t="s">
        <v>728</v>
      </c>
      <c r="AN71" s="2352">
        <v>40</v>
      </c>
      <c r="AO71" s="2283" t="s">
        <v>1074</v>
      </c>
      <c r="AP71" s="2352">
        <v>40</v>
      </c>
      <c r="AQ71" s="2283" t="s">
        <v>1074</v>
      </c>
      <c r="AR71" s="2352">
        <v>40</v>
      </c>
      <c r="AS71" s="2283" t="s">
        <v>1075</v>
      </c>
      <c r="AT71" s="2348">
        <v>40</v>
      </c>
      <c r="AU71" s="2285" t="s">
        <v>1075</v>
      </c>
      <c r="AV71" s="2348">
        <v>40</v>
      </c>
      <c r="AW71" s="2285" t="s">
        <v>1075</v>
      </c>
      <c r="AX71" s="2345">
        <v>0</v>
      </c>
      <c r="AY71" s="2278" t="s">
        <v>1074</v>
      </c>
      <c r="AZ71" s="2350">
        <v>0</v>
      </c>
      <c r="BA71" s="2303" t="s">
        <v>2361</v>
      </c>
      <c r="BB71" s="522"/>
      <c r="BC71" s="1996">
        <v>1</v>
      </c>
      <c r="BD71" s="511"/>
      <c r="BE71" s="2371" t="s">
        <v>728</v>
      </c>
      <c r="BF71" s="577">
        <v>80</v>
      </c>
      <c r="BG71" s="577">
        <v>80</v>
      </c>
      <c r="BH71" s="577">
        <v>90</v>
      </c>
      <c r="BI71" s="521"/>
      <c r="BJ71" s="2371" t="s">
        <v>728</v>
      </c>
      <c r="BK71" s="577">
        <v>205</v>
      </c>
      <c r="BL71" s="577">
        <v>205</v>
      </c>
      <c r="BM71" s="577">
        <v>260</v>
      </c>
      <c r="BN71" s="506"/>
      <c r="BO71" s="510"/>
      <c r="BP71" s="458"/>
      <c r="BQ71" s="458"/>
      <c r="BR71" s="458"/>
      <c r="BS71" s="2461" t="s">
        <v>730</v>
      </c>
      <c r="BT71" s="2463" t="str">
        <f>IFERROR(INDEX(Liste_Ackerkulturen_Gemüse_DropDown[Ackerkulturen],_xlfn.AGGREGATE(15,6,(ROW(Liste_Ackerkulturen_Gemüse_DropDown[Ackerkulturen])-1)/(--(SEARCH(BU$2,Liste_Ackerkulturen_Gemüse_DropDown[Ackerkulturen])&gt;0)),ROW()-2),1),"")</f>
        <v>Klee u. Luzerne  5 Nutzungen</v>
      </c>
      <c r="BU71" s="2463"/>
      <c r="BV71" s="2463" t="str">
        <f>IFERROR(INDEX(Liste_Ackerkulturen_Gemüse_DropDown[Ackerkulturen],_xlfn.AGGREGATE(15,6,(ROW(Liste_Ackerkulturen_Gemüse_DropDown[Ackerkulturen])-1)/(--(SEARCH(BW$2,Liste_Ackerkulturen_Gemüse_DropDown[Ackerkulturen])&gt;0)),ROW()-2),1),"")</f>
        <v>Klee u. Luzerne  5 Nutzungen</v>
      </c>
      <c r="BW71" s="2463"/>
      <c r="BX71" s="2463" t="str">
        <f>IFERROR(INDEX(Liste_Ackerkulturen_Gemüse_DropDown[Ackerkulturen],_xlfn.AGGREGATE(15,6,(ROW(Liste_Ackerkulturen_Gemüse_DropDown[Ackerkulturen])-1)/(--(SEARCH(BY$2,Liste_Ackerkulturen_Gemüse_DropDown[Ackerkulturen])&gt;0)),ROW()-2),1),"")</f>
        <v>Klee u. Luzerne  5 Nutzungen</v>
      </c>
      <c r="BY71" s="2463"/>
      <c r="BZ71" s="2463" t="str">
        <f>IFERROR(INDEX(Liste_Ackerkulturen_Gemüse_DropDown[Ackerkulturen],_xlfn.AGGREGATE(15,6,(ROW(Liste_Ackerkulturen_Gemüse_DropDown[Ackerkulturen])-1)/(--(SEARCH(CA$2,Liste_Ackerkulturen_Gemüse_DropDown[Ackerkulturen])&gt;0)),ROW()-2),1),"")</f>
        <v>Klee u. Luzerne  5 Nutzungen</v>
      </c>
      <c r="CA71" s="2463"/>
      <c r="CB71" s="2463" t="str">
        <f>IFERROR(INDEX(Liste_Ackerkulturen_Gemüse_DropDown[Ackerkulturen],_xlfn.AGGREGATE(15,6,(ROW(Liste_Ackerkulturen_Gemüse_DropDown[Ackerkulturen])-1)/(--(SEARCH(CC$2,Liste_Ackerkulturen_Gemüse_DropDown[Ackerkulturen])&gt;0)),ROW()-2),1),"")</f>
        <v>Klee u. Luzerne  5 Nutzungen</v>
      </c>
      <c r="CC71" s="2463"/>
      <c r="CD71" s="2464" t="str">
        <f>IFERROR(INDEX(Liste_Ackerkulturen_Gemüse_DropDown[Ackerkulturen],_xlfn.AGGREGATE(15,6,(ROW(Liste_Ackerkulturen_Gemüse_DropDown[Ackerkulturen])-1)/(--(SEARCH(CE$2,Liste_Ackerkulturen_Gemüse_DropDown[Ackerkulturen])&gt;0)),ROW()-2),1),"")</f>
        <v>Klee u. Luzerne  5 Nutzungen</v>
      </c>
      <c r="CE71" s="2464"/>
      <c r="CF71" s="2464" t="str">
        <f>IFERROR(INDEX(Liste_Ackerkulturen_Gemüse_DropDown[Ackerkulturen],_xlfn.AGGREGATE(15,6,(ROW(Liste_Ackerkulturen_Gemüse_DropDown[Ackerkulturen])-1)/(--(SEARCH(CG$2,Liste_Ackerkulturen_Gemüse_DropDown[Ackerkulturen])&gt;0)),ROW()-2),1),"")</f>
        <v>Klee u. Luzerne  5 Nutzungen</v>
      </c>
      <c r="CG71" s="2464"/>
      <c r="CH71" s="2464" t="str">
        <f>IFERROR(INDEX(Liste_Ackerkulturen_Gemüse_DropDown[Ackerkulturen],_xlfn.AGGREGATE(15,6,(ROW(Liste_Ackerkulturen_Gemüse_DropDown[Ackerkulturen])-1)/(--(SEARCH(CI$2,Liste_Ackerkulturen_Gemüse_DropDown[Ackerkulturen])&gt;0)),ROW()-2),1),"")</f>
        <v>Klee u. Luzerne  5 Nutzungen</v>
      </c>
      <c r="CI71" s="2464"/>
      <c r="CJ71" s="2464" t="str">
        <f>IFERROR(INDEX(Liste_Ackerkulturen_Gemüse_DropDown[Ackerkulturen],_xlfn.AGGREGATE(15,6,(ROW(Liste_Ackerkulturen_Gemüse_DropDown[Ackerkulturen])-1)/(--(SEARCH(CK$2,Liste_Ackerkulturen_Gemüse_DropDown[Ackerkulturen])&gt;0)),ROW()-2),1),"")</f>
        <v>Klee u. Luzerne  5 Nutzungen</v>
      </c>
      <c r="CK71" s="2464"/>
      <c r="CL71" s="2464" t="str">
        <f>IFERROR(INDEX(Liste_Ackerkulturen_Gemüse_DropDown[Ackerkulturen],_xlfn.AGGREGATE(15,6,(ROW(Liste_Ackerkulturen_Gemüse_DropDown[Ackerkulturen])-1)/(--(SEARCH(CM$2,Liste_Ackerkulturen_Gemüse_DropDown[Ackerkulturen])&gt;0)),ROW()-2),1),"")</f>
        <v>Klee u. Luzerne  5 Nutzungen</v>
      </c>
      <c r="CM71" s="2464"/>
      <c r="CN71" s="2464" t="str">
        <f>IFERROR(INDEX(Liste_Ackerkulturen_Gemüse_DropDown[Ackerkulturen],_xlfn.AGGREGATE(15,6,(ROW(Liste_Ackerkulturen_Gemüse_DropDown[Ackerkulturen])-1)/(--(SEARCH(CO$2,Liste_Ackerkulturen_Gemüse_DropDown[Ackerkulturen])&gt;0)),ROW()-2),1),"")</f>
        <v>Klee u. Luzerne  5 Nutzungen</v>
      </c>
      <c r="CO71" s="2464"/>
      <c r="CP71" s="2464" t="str">
        <f>IFERROR(INDEX(Liste_Ackerkulturen_Gemüse_DropDown[Ackerkulturen],_xlfn.AGGREGATE(15,6,(ROW(Liste_Ackerkulturen_Gemüse_DropDown[Ackerkulturen])-1)/(--(SEARCH(CQ$2,Liste_Ackerkulturen_Gemüse_DropDown[Ackerkulturen])&gt;0)),ROW()-2),1),"")</f>
        <v>Klee u. Luzerne  5 Nutzungen</v>
      </c>
      <c r="CQ71" s="2464"/>
      <c r="CR71" s="2464" t="str">
        <f>IFERROR(INDEX(Liste_Ackerkulturen_Gemüse_DropDown[Ackerkulturen],_xlfn.AGGREGATE(15,6,(ROW(Liste_Ackerkulturen_Gemüse_DropDown[Ackerkulturen])-1)/(--(SEARCH(CS$2,Liste_Ackerkulturen_Gemüse_DropDown[Ackerkulturen])&gt;0)),ROW()-2),1),"")</f>
        <v>Klee u. Luzerne  5 Nutzungen</v>
      </c>
      <c r="CS71" s="2464"/>
      <c r="CT71"/>
      <c r="CU71"/>
      <c r="CV71"/>
      <c r="CW71"/>
      <c r="CX71"/>
      <c r="CY71"/>
      <c r="CZ71"/>
      <c r="DA71"/>
      <c r="DB71"/>
      <c r="DC71"/>
      <c r="DD71"/>
      <c r="DE71"/>
      <c r="DF71"/>
      <c r="DG71"/>
      <c r="DH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row>
    <row r="72" spans="3:255" ht="21" customHeight="1">
      <c r="C72" s="2615"/>
      <c r="D72" s="1548" t="s">
        <v>1064</v>
      </c>
      <c r="E72" s="1545"/>
      <c r="F72" s="2252"/>
      <c r="G72" s="1782" t="s">
        <v>1065</v>
      </c>
      <c r="H72" s="1783">
        <v>200</v>
      </c>
      <c r="I72" s="1452" t="s">
        <v>1066</v>
      </c>
      <c r="J72" s="1451">
        <v>210</v>
      </c>
      <c r="K72" s="1527">
        <v>120</v>
      </c>
      <c r="L72" s="1528">
        <v>140</v>
      </c>
      <c r="M72" s="1546">
        <v>100</v>
      </c>
      <c r="N72" s="1453">
        <v>80</v>
      </c>
      <c r="O72" s="1451">
        <v>45</v>
      </c>
      <c r="P72" s="1783">
        <v>65</v>
      </c>
      <c r="Q72" s="1451">
        <v>80</v>
      </c>
      <c r="R72" s="1454" t="s">
        <v>1061</v>
      </c>
      <c r="S72" s="1547" t="s">
        <v>1061</v>
      </c>
      <c r="T72" s="1546">
        <v>255</v>
      </c>
      <c r="U72" s="1450">
        <v>215</v>
      </c>
      <c r="V72" s="1455">
        <v>130</v>
      </c>
      <c r="W72" s="1783">
        <v>170</v>
      </c>
      <c r="X72" s="1456">
        <v>215</v>
      </c>
      <c r="Y72" s="1454" t="s">
        <v>1061</v>
      </c>
      <c r="Z72" s="1547" t="s">
        <v>1061</v>
      </c>
      <c r="AB72" s="1542"/>
      <c r="AC72" s="1542"/>
      <c r="AD72" s="1542"/>
      <c r="AE72" s="1542"/>
      <c r="AF72" s="1279"/>
      <c r="AM72" s="2371" t="s">
        <v>729</v>
      </c>
      <c r="AN72" s="2352">
        <v>40</v>
      </c>
      <c r="AO72" s="2283" t="s">
        <v>1076</v>
      </c>
      <c r="AP72" s="2352">
        <v>40</v>
      </c>
      <c r="AQ72" s="2283" t="s">
        <v>1076</v>
      </c>
      <c r="AR72" s="2352">
        <v>40</v>
      </c>
      <c r="AS72" s="2283" t="s">
        <v>1077</v>
      </c>
      <c r="AT72" s="2348">
        <v>40</v>
      </c>
      <c r="AU72" s="2285" t="s">
        <v>1077</v>
      </c>
      <c r="AV72" s="2348">
        <v>40</v>
      </c>
      <c r="AW72" s="2285" t="s">
        <v>1077</v>
      </c>
      <c r="AX72" s="2345">
        <v>0</v>
      </c>
      <c r="AY72" s="2278" t="s">
        <v>1076</v>
      </c>
      <c r="AZ72" s="2350">
        <v>0</v>
      </c>
      <c r="BA72" s="2303" t="s">
        <v>2362</v>
      </c>
      <c r="BB72" s="518"/>
      <c r="BC72" s="1996">
        <v>1</v>
      </c>
      <c r="BD72" s="521"/>
      <c r="BE72" s="2371" t="s">
        <v>729</v>
      </c>
      <c r="BF72" s="577">
        <v>85</v>
      </c>
      <c r="BG72" s="577">
        <v>85</v>
      </c>
      <c r="BH72" s="577">
        <v>105</v>
      </c>
      <c r="BI72" s="521"/>
      <c r="BJ72" s="2371" t="s">
        <v>729</v>
      </c>
      <c r="BK72" s="577">
        <v>230</v>
      </c>
      <c r="BL72" s="577">
        <v>230</v>
      </c>
      <c r="BM72" s="577">
        <v>300</v>
      </c>
      <c r="BN72" s="506"/>
      <c r="BO72" s="510"/>
      <c r="BP72" s="458"/>
      <c r="BQ72" s="458"/>
      <c r="BR72" s="458"/>
      <c r="BS72" s="2461" t="s">
        <v>734</v>
      </c>
      <c r="BT72" s="2463" t="str">
        <f>IFERROR(INDEX(Liste_Ackerkulturen_Gemüse_DropDown[Ackerkulturen],_xlfn.AGGREGATE(15,6,(ROW(Liste_Ackerkulturen_Gemüse_DropDown[Ackerkulturen])-1)/(--(SEARCH(BU$2,Liste_Ackerkulturen_Gemüse_DropDown[Ackerkulturen])&gt;0)),ROW()-2),1),"")</f>
        <v>Klee u. Luzerne  6 Nutzungen</v>
      </c>
      <c r="BU72" s="2463"/>
      <c r="BV72" s="2463" t="str">
        <f>IFERROR(INDEX(Liste_Ackerkulturen_Gemüse_DropDown[Ackerkulturen],_xlfn.AGGREGATE(15,6,(ROW(Liste_Ackerkulturen_Gemüse_DropDown[Ackerkulturen])-1)/(--(SEARCH(BW$2,Liste_Ackerkulturen_Gemüse_DropDown[Ackerkulturen])&gt;0)),ROW()-2),1),"")</f>
        <v>Klee u. Luzerne  6 Nutzungen</v>
      </c>
      <c r="BW72" s="2463"/>
      <c r="BX72" s="2463" t="str">
        <f>IFERROR(INDEX(Liste_Ackerkulturen_Gemüse_DropDown[Ackerkulturen],_xlfn.AGGREGATE(15,6,(ROW(Liste_Ackerkulturen_Gemüse_DropDown[Ackerkulturen])-1)/(--(SEARCH(BY$2,Liste_Ackerkulturen_Gemüse_DropDown[Ackerkulturen])&gt;0)),ROW()-2),1),"")</f>
        <v>Klee u. Luzerne  6 Nutzungen</v>
      </c>
      <c r="BY72" s="2463"/>
      <c r="BZ72" s="2463" t="str">
        <f>IFERROR(INDEX(Liste_Ackerkulturen_Gemüse_DropDown[Ackerkulturen],_xlfn.AGGREGATE(15,6,(ROW(Liste_Ackerkulturen_Gemüse_DropDown[Ackerkulturen])-1)/(--(SEARCH(CA$2,Liste_Ackerkulturen_Gemüse_DropDown[Ackerkulturen])&gt;0)),ROW()-2),1),"")</f>
        <v>Klee u. Luzerne  6 Nutzungen</v>
      </c>
      <c r="CA72" s="2463"/>
      <c r="CB72" s="2463" t="str">
        <f>IFERROR(INDEX(Liste_Ackerkulturen_Gemüse_DropDown[Ackerkulturen],_xlfn.AGGREGATE(15,6,(ROW(Liste_Ackerkulturen_Gemüse_DropDown[Ackerkulturen])-1)/(--(SEARCH(CC$2,Liste_Ackerkulturen_Gemüse_DropDown[Ackerkulturen])&gt;0)),ROW()-2),1),"")</f>
        <v>Klee u. Luzerne  6 Nutzungen</v>
      </c>
      <c r="CC72" s="2463"/>
      <c r="CD72" s="2464" t="str">
        <f>IFERROR(INDEX(Liste_Ackerkulturen_Gemüse_DropDown[Ackerkulturen],_xlfn.AGGREGATE(15,6,(ROW(Liste_Ackerkulturen_Gemüse_DropDown[Ackerkulturen])-1)/(--(SEARCH(CE$2,Liste_Ackerkulturen_Gemüse_DropDown[Ackerkulturen])&gt;0)),ROW()-2),1),"")</f>
        <v>Klee u. Luzerne  6 Nutzungen</v>
      </c>
      <c r="CE72" s="2464"/>
      <c r="CF72" s="2464" t="str">
        <f>IFERROR(INDEX(Liste_Ackerkulturen_Gemüse_DropDown[Ackerkulturen],_xlfn.AGGREGATE(15,6,(ROW(Liste_Ackerkulturen_Gemüse_DropDown[Ackerkulturen])-1)/(--(SEARCH(CG$2,Liste_Ackerkulturen_Gemüse_DropDown[Ackerkulturen])&gt;0)),ROW()-2),1),"")</f>
        <v>Klee u. Luzerne  6 Nutzungen</v>
      </c>
      <c r="CG72" s="2464"/>
      <c r="CH72" s="2464" t="str">
        <f>IFERROR(INDEX(Liste_Ackerkulturen_Gemüse_DropDown[Ackerkulturen],_xlfn.AGGREGATE(15,6,(ROW(Liste_Ackerkulturen_Gemüse_DropDown[Ackerkulturen])-1)/(--(SEARCH(CI$2,Liste_Ackerkulturen_Gemüse_DropDown[Ackerkulturen])&gt;0)),ROW()-2),1),"")</f>
        <v>Klee u. Luzerne  6 Nutzungen</v>
      </c>
      <c r="CI72" s="2464"/>
      <c r="CJ72" s="2464" t="str">
        <f>IFERROR(INDEX(Liste_Ackerkulturen_Gemüse_DropDown[Ackerkulturen],_xlfn.AGGREGATE(15,6,(ROW(Liste_Ackerkulturen_Gemüse_DropDown[Ackerkulturen])-1)/(--(SEARCH(CK$2,Liste_Ackerkulturen_Gemüse_DropDown[Ackerkulturen])&gt;0)),ROW()-2),1),"")</f>
        <v>Klee u. Luzerne  6 Nutzungen</v>
      </c>
      <c r="CK72" s="2464"/>
      <c r="CL72" s="2464" t="str">
        <f>IFERROR(INDEX(Liste_Ackerkulturen_Gemüse_DropDown[Ackerkulturen],_xlfn.AGGREGATE(15,6,(ROW(Liste_Ackerkulturen_Gemüse_DropDown[Ackerkulturen])-1)/(--(SEARCH(CM$2,Liste_Ackerkulturen_Gemüse_DropDown[Ackerkulturen])&gt;0)),ROW()-2),1),"")</f>
        <v>Klee u. Luzerne  6 Nutzungen</v>
      </c>
      <c r="CM72" s="2464"/>
      <c r="CN72" s="2464" t="str">
        <f>IFERROR(INDEX(Liste_Ackerkulturen_Gemüse_DropDown[Ackerkulturen],_xlfn.AGGREGATE(15,6,(ROW(Liste_Ackerkulturen_Gemüse_DropDown[Ackerkulturen])-1)/(--(SEARCH(CO$2,Liste_Ackerkulturen_Gemüse_DropDown[Ackerkulturen])&gt;0)),ROW()-2),1),"")</f>
        <v>Klee u. Luzerne  6 Nutzungen</v>
      </c>
      <c r="CO72" s="2464"/>
      <c r="CP72" s="2464" t="str">
        <f>IFERROR(INDEX(Liste_Ackerkulturen_Gemüse_DropDown[Ackerkulturen],_xlfn.AGGREGATE(15,6,(ROW(Liste_Ackerkulturen_Gemüse_DropDown[Ackerkulturen])-1)/(--(SEARCH(CQ$2,Liste_Ackerkulturen_Gemüse_DropDown[Ackerkulturen])&gt;0)),ROW()-2),1),"")</f>
        <v>Klee u. Luzerne  6 Nutzungen</v>
      </c>
      <c r="CQ72" s="2464"/>
      <c r="CR72" s="2464" t="str">
        <f>IFERROR(INDEX(Liste_Ackerkulturen_Gemüse_DropDown[Ackerkulturen],_xlfn.AGGREGATE(15,6,(ROW(Liste_Ackerkulturen_Gemüse_DropDown[Ackerkulturen])-1)/(--(SEARCH(CS$2,Liste_Ackerkulturen_Gemüse_DropDown[Ackerkulturen])&gt;0)),ROW()-2),1),"")</f>
        <v>Klee u. Luzerne  6 Nutzungen</v>
      </c>
      <c r="CS72" s="2464"/>
      <c r="CT72"/>
      <c r="CU72"/>
      <c r="CV72"/>
      <c r="CW72"/>
      <c r="CX72"/>
      <c r="CY72"/>
      <c r="CZ72"/>
      <c r="DA72"/>
      <c r="DB72"/>
      <c r="DC72"/>
      <c r="DD72"/>
      <c r="DE72"/>
      <c r="DF72"/>
      <c r="DG72"/>
      <c r="DH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row>
    <row r="73" spans="3:255" ht="21" customHeight="1" thickBot="1">
      <c r="C73" s="2615"/>
      <c r="D73" s="1548" t="s">
        <v>1067</v>
      </c>
      <c r="E73" s="1545" t="s">
        <v>1201</v>
      </c>
      <c r="F73" s="2252"/>
      <c r="G73" s="1782" t="s">
        <v>1065</v>
      </c>
      <c r="H73" s="1783">
        <v>200</v>
      </c>
      <c r="I73" s="1452" t="s">
        <v>1066</v>
      </c>
      <c r="J73" s="1451">
        <v>210</v>
      </c>
      <c r="K73" s="1527">
        <v>160</v>
      </c>
      <c r="L73" s="1528">
        <v>190</v>
      </c>
      <c r="M73" s="1546">
        <v>120</v>
      </c>
      <c r="N73" s="1453">
        <v>100</v>
      </c>
      <c r="O73" s="1451"/>
      <c r="P73" s="1783">
        <v>80</v>
      </c>
      <c r="Q73" s="1451">
        <v>90</v>
      </c>
      <c r="R73" s="1454" t="s">
        <v>1061</v>
      </c>
      <c r="S73" s="1547" t="s">
        <v>1061</v>
      </c>
      <c r="T73" s="1546">
        <v>310</v>
      </c>
      <c r="U73" s="1450">
        <v>255</v>
      </c>
      <c r="V73" s="1455"/>
      <c r="W73" s="1783">
        <v>205</v>
      </c>
      <c r="X73" s="1456">
        <v>260</v>
      </c>
      <c r="Y73" s="1454" t="s">
        <v>1061</v>
      </c>
      <c r="Z73" s="1547" t="s">
        <v>1061</v>
      </c>
      <c r="AB73" s="1542"/>
      <c r="AC73" s="1542"/>
      <c r="AD73" s="1542"/>
      <c r="AE73" s="1542"/>
      <c r="AF73" s="1279"/>
      <c r="AM73" s="2371" t="s">
        <v>730</v>
      </c>
      <c r="AN73" s="2293">
        <v>40</v>
      </c>
      <c r="AO73" s="2295" t="s">
        <v>1078</v>
      </c>
      <c r="AP73" s="2293">
        <v>40</v>
      </c>
      <c r="AQ73" s="2295" t="s">
        <v>1078</v>
      </c>
      <c r="AR73" s="2293">
        <v>40</v>
      </c>
      <c r="AS73" s="2295" t="s">
        <v>1078</v>
      </c>
      <c r="AT73" s="2296">
        <v>40</v>
      </c>
      <c r="AU73" s="2297" t="s">
        <v>1078</v>
      </c>
      <c r="AV73" s="2296">
        <v>40</v>
      </c>
      <c r="AW73" s="2297" t="s">
        <v>1078</v>
      </c>
      <c r="AX73" s="2346">
        <v>0</v>
      </c>
      <c r="AY73" s="2278" t="s">
        <v>1078</v>
      </c>
      <c r="AZ73" s="2304">
        <v>0</v>
      </c>
      <c r="BA73" s="2303" t="s">
        <v>2363</v>
      </c>
      <c r="BB73" s="518"/>
      <c r="BC73" s="1996">
        <v>1</v>
      </c>
      <c r="BD73" s="521"/>
      <c r="BE73" s="2371" t="s">
        <v>730</v>
      </c>
      <c r="BF73" s="577">
        <v>120</v>
      </c>
      <c r="BG73" s="577">
        <v>120</v>
      </c>
      <c r="BH73" s="577">
        <v>120</v>
      </c>
      <c r="BI73" s="521"/>
      <c r="BJ73" s="2371" t="s">
        <v>730</v>
      </c>
      <c r="BK73" s="577">
        <v>340</v>
      </c>
      <c r="BL73" s="577">
        <v>340</v>
      </c>
      <c r="BM73" s="577">
        <v>340</v>
      </c>
      <c r="BN73" s="506"/>
      <c r="BO73" s="510"/>
      <c r="BP73" s="458"/>
      <c r="BQ73" s="458"/>
      <c r="BR73" s="458"/>
      <c r="BS73" s="2461" t="s">
        <v>869</v>
      </c>
      <c r="BT73" s="2463" t="str">
        <f>IFERROR(INDEX(Liste_Ackerkulturen_Gemüse_DropDown[Ackerkulturen],_xlfn.AGGREGATE(15,6,(ROW(Liste_Ackerkulturen_Gemüse_DropDown[Ackerkulturen])-1)/(--(SEARCH(BU$2,Liste_Ackerkulturen_Gemüse_DropDown[Ackerkulturen])&gt;0)),ROW()-2),1),"")</f>
        <v>Sämereienvermehrung mit Alpingräser 5)</v>
      </c>
      <c r="BU73" s="2463"/>
      <c r="BV73" s="2463" t="str">
        <f>IFERROR(INDEX(Liste_Ackerkulturen_Gemüse_DropDown[Ackerkulturen],_xlfn.AGGREGATE(15,6,(ROW(Liste_Ackerkulturen_Gemüse_DropDown[Ackerkulturen])-1)/(--(SEARCH(BW$2,Liste_Ackerkulturen_Gemüse_DropDown[Ackerkulturen])&gt;0)),ROW()-2),1),"")</f>
        <v>Sämereienvermehrung mit Alpingräser 5)</v>
      </c>
      <c r="BW73" s="2463"/>
      <c r="BX73" s="2463" t="str">
        <f>IFERROR(INDEX(Liste_Ackerkulturen_Gemüse_DropDown[Ackerkulturen],_xlfn.AGGREGATE(15,6,(ROW(Liste_Ackerkulturen_Gemüse_DropDown[Ackerkulturen])-1)/(--(SEARCH(BY$2,Liste_Ackerkulturen_Gemüse_DropDown[Ackerkulturen])&gt;0)),ROW()-2),1),"")</f>
        <v>Sämereienvermehrung mit Alpingräser 5)</v>
      </c>
      <c r="BY73" s="2463"/>
      <c r="BZ73" s="2463" t="str">
        <f>IFERROR(INDEX(Liste_Ackerkulturen_Gemüse_DropDown[Ackerkulturen],_xlfn.AGGREGATE(15,6,(ROW(Liste_Ackerkulturen_Gemüse_DropDown[Ackerkulturen])-1)/(--(SEARCH(CA$2,Liste_Ackerkulturen_Gemüse_DropDown[Ackerkulturen])&gt;0)),ROW()-2),1),"")</f>
        <v>Sämereienvermehrung mit Alpingräser 5)</v>
      </c>
      <c r="CA73" s="2463"/>
      <c r="CB73" s="2463" t="str">
        <f>IFERROR(INDEX(Liste_Ackerkulturen_Gemüse_DropDown[Ackerkulturen],_xlfn.AGGREGATE(15,6,(ROW(Liste_Ackerkulturen_Gemüse_DropDown[Ackerkulturen])-1)/(--(SEARCH(CC$2,Liste_Ackerkulturen_Gemüse_DropDown[Ackerkulturen])&gt;0)),ROW()-2),1),"")</f>
        <v>Sämereienvermehrung mit Alpingräser 5)</v>
      </c>
      <c r="CC73" s="2463"/>
      <c r="CD73" s="2464" t="str">
        <f>IFERROR(INDEX(Liste_Ackerkulturen_Gemüse_DropDown[Ackerkulturen],_xlfn.AGGREGATE(15,6,(ROW(Liste_Ackerkulturen_Gemüse_DropDown[Ackerkulturen])-1)/(--(SEARCH(CE$2,Liste_Ackerkulturen_Gemüse_DropDown[Ackerkulturen])&gt;0)),ROW()-2),1),"")</f>
        <v>Sämereienvermehrung mit Alpingräser 5)</v>
      </c>
      <c r="CE73" s="2464"/>
      <c r="CF73" s="2464" t="str">
        <f>IFERROR(INDEX(Liste_Ackerkulturen_Gemüse_DropDown[Ackerkulturen],_xlfn.AGGREGATE(15,6,(ROW(Liste_Ackerkulturen_Gemüse_DropDown[Ackerkulturen])-1)/(--(SEARCH(CG$2,Liste_Ackerkulturen_Gemüse_DropDown[Ackerkulturen])&gt;0)),ROW()-2),1),"")</f>
        <v>Sämereienvermehrung mit Alpingräser 5)</v>
      </c>
      <c r="CG73" s="2464"/>
      <c r="CH73" s="2464" t="str">
        <f>IFERROR(INDEX(Liste_Ackerkulturen_Gemüse_DropDown[Ackerkulturen],_xlfn.AGGREGATE(15,6,(ROW(Liste_Ackerkulturen_Gemüse_DropDown[Ackerkulturen])-1)/(--(SEARCH(CI$2,Liste_Ackerkulturen_Gemüse_DropDown[Ackerkulturen])&gt;0)),ROW()-2),1),"")</f>
        <v>Sämereienvermehrung mit Alpingräser 5)</v>
      </c>
      <c r="CI73" s="2464"/>
      <c r="CJ73" s="2464" t="str">
        <f>IFERROR(INDEX(Liste_Ackerkulturen_Gemüse_DropDown[Ackerkulturen],_xlfn.AGGREGATE(15,6,(ROW(Liste_Ackerkulturen_Gemüse_DropDown[Ackerkulturen])-1)/(--(SEARCH(CK$2,Liste_Ackerkulturen_Gemüse_DropDown[Ackerkulturen])&gt;0)),ROW()-2),1),"")</f>
        <v>Sämereienvermehrung mit Alpingräser 5)</v>
      </c>
      <c r="CK73" s="2464"/>
      <c r="CL73" s="2464" t="str">
        <f>IFERROR(INDEX(Liste_Ackerkulturen_Gemüse_DropDown[Ackerkulturen],_xlfn.AGGREGATE(15,6,(ROW(Liste_Ackerkulturen_Gemüse_DropDown[Ackerkulturen])-1)/(--(SEARCH(CM$2,Liste_Ackerkulturen_Gemüse_DropDown[Ackerkulturen])&gt;0)),ROW()-2),1),"")</f>
        <v>Sämereienvermehrung mit Alpingräser 5)</v>
      </c>
      <c r="CM73" s="2464"/>
      <c r="CN73" s="2464" t="str">
        <f>IFERROR(INDEX(Liste_Ackerkulturen_Gemüse_DropDown[Ackerkulturen],_xlfn.AGGREGATE(15,6,(ROW(Liste_Ackerkulturen_Gemüse_DropDown[Ackerkulturen])-1)/(--(SEARCH(CO$2,Liste_Ackerkulturen_Gemüse_DropDown[Ackerkulturen])&gt;0)),ROW()-2),1),"")</f>
        <v>Sämereienvermehrung mit Alpingräser 5)</v>
      </c>
      <c r="CO73" s="2464"/>
      <c r="CP73" s="2464" t="str">
        <f>IFERROR(INDEX(Liste_Ackerkulturen_Gemüse_DropDown[Ackerkulturen],_xlfn.AGGREGATE(15,6,(ROW(Liste_Ackerkulturen_Gemüse_DropDown[Ackerkulturen])-1)/(--(SEARCH(CQ$2,Liste_Ackerkulturen_Gemüse_DropDown[Ackerkulturen])&gt;0)),ROW()-2),1),"")</f>
        <v>Sämereienvermehrung mit Alpingräser 5)</v>
      </c>
      <c r="CQ73" s="2464"/>
      <c r="CR73" s="2464" t="str">
        <f>IFERROR(INDEX(Liste_Ackerkulturen_Gemüse_DropDown[Ackerkulturen],_xlfn.AGGREGATE(15,6,(ROW(Liste_Ackerkulturen_Gemüse_DropDown[Ackerkulturen])-1)/(--(SEARCH(CS$2,Liste_Ackerkulturen_Gemüse_DropDown[Ackerkulturen])&gt;0)),ROW()-2),1),"")</f>
        <v>Sämereienvermehrung mit Alpingräser 5)</v>
      </c>
      <c r="CS73" s="2464"/>
      <c r="CT73"/>
      <c r="CU73"/>
      <c r="CV73"/>
      <c r="CW73"/>
      <c r="CX73"/>
      <c r="CY73"/>
      <c r="CZ73"/>
      <c r="DA73"/>
      <c r="DB73"/>
      <c r="DC73"/>
      <c r="DD73"/>
      <c r="DE73"/>
      <c r="DF73"/>
      <c r="DG73"/>
      <c r="DH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c r="IL73"/>
      <c r="IM73"/>
      <c r="IN73"/>
      <c r="IO73"/>
      <c r="IP73"/>
      <c r="IQ73"/>
      <c r="IR73"/>
      <c r="IS73"/>
      <c r="IT73"/>
      <c r="IU73"/>
    </row>
    <row r="74" spans="3:255" ht="21" customHeight="1">
      <c r="C74" s="2615"/>
      <c r="D74" s="1548" t="s">
        <v>1068</v>
      </c>
      <c r="E74" s="1545" t="s">
        <v>1201</v>
      </c>
      <c r="F74" s="2252"/>
      <c r="G74" s="1782" t="s">
        <v>1065</v>
      </c>
      <c r="H74" s="1783">
        <v>200</v>
      </c>
      <c r="I74" s="1452" t="s">
        <v>1066</v>
      </c>
      <c r="J74" s="1451">
        <v>280</v>
      </c>
      <c r="K74" s="1527">
        <v>210</v>
      </c>
      <c r="L74" s="1528">
        <v>210</v>
      </c>
      <c r="M74" s="1546">
        <v>130</v>
      </c>
      <c r="N74" s="1453">
        <v>105</v>
      </c>
      <c r="O74" s="1451"/>
      <c r="P74" s="1783">
        <v>85</v>
      </c>
      <c r="Q74" s="1451">
        <v>125</v>
      </c>
      <c r="R74" s="1454" t="s">
        <v>1061</v>
      </c>
      <c r="S74" s="1547" t="s">
        <v>1061</v>
      </c>
      <c r="T74" s="1546">
        <v>345</v>
      </c>
      <c r="U74" s="1450">
        <v>290</v>
      </c>
      <c r="V74" s="1455"/>
      <c r="W74" s="1783">
        <v>230</v>
      </c>
      <c r="X74" s="1451">
        <v>365</v>
      </c>
      <c r="Y74" s="1454" t="s">
        <v>1061</v>
      </c>
      <c r="Z74" s="1547" t="s">
        <v>1061</v>
      </c>
      <c r="AB74" s="1542"/>
      <c r="AC74" s="1542"/>
      <c r="AD74" s="1542"/>
      <c r="AE74" s="1542"/>
      <c r="AF74" s="1279"/>
      <c r="AM74" s="2371" t="s">
        <v>2356</v>
      </c>
      <c r="AN74" s="2310">
        <v>80</v>
      </c>
      <c r="AO74" s="2311" t="s">
        <v>1079</v>
      </c>
      <c r="AP74" s="2310">
        <v>100</v>
      </c>
      <c r="AQ74" s="2311" t="s">
        <v>1080</v>
      </c>
      <c r="AR74" s="2310">
        <v>150</v>
      </c>
      <c r="AS74" s="2311" t="s">
        <v>1081</v>
      </c>
      <c r="AT74" s="2312">
        <v>150</v>
      </c>
      <c r="AU74" s="2313" t="s">
        <v>1081</v>
      </c>
      <c r="AV74" s="2312">
        <v>150</v>
      </c>
      <c r="AW74" s="2313" t="s">
        <v>1081</v>
      </c>
      <c r="AX74" s="2314">
        <v>0</v>
      </c>
      <c r="AY74" s="2315"/>
      <c r="AZ74" s="2314">
        <v>0</v>
      </c>
      <c r="BA74" s="2316"/>
      <c r="BB74" s="522"/>
      <c r="BC74" s="518"/>
      <c r="BD74" s="511"/>
      <c r="BE74" s="2371" t="s">
        <v>2356</v>
      </c>
      <c r="BF74" s="577">
        <v>40</v>
      </c>
      <c r="BG74" s="577">
        <v>60</v>
      </c>
      <c r="BH74" s="577">
        <v>60</v>
      </c>
      <c r="BI74" s="521"/>
      <c r="BJ74" s="2371" t="s">
        <v>2356</v>
      </c>
      <c r="BK74" s="578">
        <v>70</v>
      </c>
      <c r="BL74" s="577">
        <v>120</v>
      </c>
      <c r="BM74" s="577">
        <v>120</v>
      </c>
      <c r="BN74" s="506"/>
      <c r="BO74" s="510"/>
      <c r="BP74" s="458"/>
      <c r="BQ74" s="458"/>
      <c r="BR74" s="458"/>
      <c r="BS74" s="2461" t="s">
        <v>735</v>
      </c>
      <c r="BT74" s="2463" t="str">
        <f>IFERROR(INDEX(Liste_Ackerkulturen_Gemüse_DropDown[Ackerkulturen],_xlfn.AGGREGATE(15,6,(ROW(Liste_Ackerkulturen_Gemüse_DropDown[Ackerkulturen])-1)/(--(SEARCH(BU$2,Liste_Ackerkulturen_Gemüse_DropDown[Ackerkulturen])&gt;0)),ROW()-2),1),"")</f>
        <v>Sämereienvermehrung mit Gräser für Wirtschaftsgrünland 5)</v>
      </c>
      <c r="BU74" s="2463"/>
      <c r="BV74" s="2463" t="str">
        <f>IFERROR(INDEX(Liste_Ackerkulturen_Gemüse_DropDown[Ackerkulturen],_xlfn.AGGREGATE(15,6,(ROW(Liste_Ackerkulturen_Gemüse_DropDown[Ackerkulturen])-1)/(--(SEARCH(BW$2,Liste_Ackerkulturen_Gemüse_DropDown[Ackerkulturen])&gt;0)),ROW()-2),1),"")</f>
        <v>Sämereienvermehrung mit Gräser für Wirtschaftsgrünland 5)</v>
      </c>
      <c r="BW74" s="2463"/>
      <c r="BX74" s="2463" t="str">
        <f>IFERROR(INDEX(Liste_Ackerkulturen_Gemüse_DropDown[Ackerkulturen],_xlfn.AGGREGATE(15,6,(ROW(Liste_Ackerkulturen_Gemüse_DropDown[Ackerkulturen])-1)/(--(SEARCH(BY$2,Liste_Ackerkulturen_Gemüse_DropDown[Ackerkulturen])&gt;0)),ROW()-2),1),"")</f>
        <v>Sämereienvermehrung mit Gräser für Wirtschaftsgrünland 5)</v>
      </c>
      <c r="BY74" s="2463"/>
      <c r="BZ74" s="2463" t="str">
        <f>IFERROR(INDEX(Liste_Ackerkulturen_Gemüse_DropDown[Ackerkulturen],_xlfn.AGGREGATE(15,6,(ROW(Liste_Ackerkulturen_Gemüse_DropDown[Ackerkulturen])-1)/(--(SEARCH(CA$2,Liste_Ackerkulturen_Gemüse_DropDown[Ackerkulturen])&gt;0)),ROW()-2),1),"")</f>
        <v>Sämereienvermehrung mit Gräser für Wirtschaftsgrünland 5)</v>
      </c>
      <c r="CA74" s="2463"/>
      <c r="CB74" s="2463" t="str">
        <f>IFERROR(INDEX(Liste_Ackerkulturen_Gemüse_DropDown[Ackerkulturen],_xlfn.AGGREGATE(15,6,(ROW(Liste_Ackerkulturen_Gemüse_DropDown[Ackerkulturen])-1)/(--(SEARCH(CC$2,Liste_Ackerkulturen_Gemüse_DropDown[Ackerkulturen])&gt;0)),ROW()-2),1),"")</f>
        <v>Sämereienvermehrung mit Gräser für Wirtschaftsgrünland 5)</v>
      </c>
      <c r="CC74" s="2463"/>
      <c r="CD74" s="2464" t="str">
        <f>IFERROR(INDEX(Liste_Ackerkulturen_Gemüse_DropDown[Ackerkulturen],_xlfn.AGGREGATE(15,6,(ROW(Liste_Ackerkulturen_Gemüse_DropDown[Ackerkulturen])-1)/(--(SEARCH(CE$2,Liste_Ackerkulturen_Gemüse_DropDown[Ackerkulturen])&gt;0)),ROW()-2),1),"")</f>
        <v>Sämereienvermehrung mit Gräser für Wirtschaftsgrünland 5)</v>
      </c>
      <c r="CE74" s="2464"/>
      <c r="CF74" s="2464" t="str">
        <f>IFERROR(INDEX(Liste_Ackerkulturen_Gemüse_DropDown[Ackerkulturen],_xlfn.AGGREGATE(15,6,(ROW(Liste_Ackerkulturen_Gemüse_DropDown[Ackerkulturen])-1)/(--(SEARCH(CG$2,Liste_Ackerkulturen_Gemüse_DropDown[Ackerkulturen])&gt;0)),ROW()-2),1),"")</f>
        <v>Sämereienvermehrung mit Gräser für Wirtschaftsgrünland 5)</v>
      </c>
      <c r="CG74" s="2464"/>
      <c r="CH74" s="2464" t="str">
        <f>IFERROR(INDEX(Liste_Ackerkulturen_Gemüse_DropDown[Ackerkulturen],_xlfn.AGGREGATE(15,6,(ROW(Liste_Ackerkulturen_Gemüse_DropDown[Ackerkulturen])-1)/(--(SEARCH(CI$2,Liste_Ackerkulturen_Gemüse_DropDown[Ackerkulturen])&gt;0)),ROW()-2),1),"")</f>
        <v>Sämereienvermehrung mit Gräser für Wirtschaftsgrünland 5)</v>
      </c>
      <c r="CI74" s="2464"/>
      <c r="CJ74" s="2464" t="str">
        <f>IFERROR(INDEX(Liste_Ackerkulturen_Gemüse_DropDown[Ackerkulturen],_xlfn.AGGREGATE(15,6,(ROW(Liste_Ackerkulturen_Gemüse_DropDown[Ackerkulturen])-1)/(--(SEARCH(CK$2,Liste_Ackerkulturen_Gemüse_DropDown[Ackerkulturen])&gt;0)),ROW()-2),1),"")</f>
        <v>Sämereienvermehrung mit Gräser für Wirtschaftsgrünland 5)</v>
      </c>
      <c r="CK74" s="2464"/>
      <c r="CL74" s="2464" t="str">
        <f>IFERROR(INDEX(Liste_Ackerkulturen_Gemüse_DropDown[Ackerkulturen],_xlfn.AGGREGATE(15,6,(ROW(Liste_Ackerkulturen_Gemüse_DropDown[Ackerkulturen])-1)/(--(SEARCH(CM$2,Liste_Ackerkulturen_Gemüse_DropDown[Ackerkulturen])&gt;0)),ROW()-2),1),"")</f>
        <v>Sämereienvermehrung mit Gräser für Wirtschaftsgrünland 5)</v>
      </c>
      <c r="CM74" s="2464"/>
      <c r="CN74" s="2464" t="str">
        <f>IFERROR(INDEX(Liste_Ackerkulturen_Gemüse_DropDown[Ackerkulturen],_xlfn.AGGREGATE(15,6,(ROW(Liste_Ackerkulturen_Gemüse_DropDown[Ackerkulturen])-1)/(--(SEARCH(CO$2,Liste_Ackerkulturen_Gemüse_DropDown[Ackerkulturen])&gt;0)),ROW()-2),1),"")</f>
        <v>Sämereienvermehrung mit Gräser für Wirtschaftsgrünland 5)</v>
      </c>
      <c r="CO74" s="2464"/>
      <c r="CP74" s="2464" t="str">
        <f>IFERROR(INDEX(Liste_Ackerkulturen_Gemüse_DropDown[Ackerkulturen],_xlfn.AGGREGATE(15,6,(ROW(Liste_Ackerkulturen_Gemüse_DropDown[Ackerkulturen])-1)/(--(SEARCH(CQ$2,Liste_Ackerkulturen_Gemüse_DropDown[Ackerkulturen])&gt;0)),ROW()-2),1),"")</f>
        <v>Sämereienvermehrung mit Gräser für Wirtschaftsgrünland 5)</v>
      </c>
      <c r="CQ74" s="2464"/>
      <c r="CR74" s="2464" t="str">
        <f>IFERROR(INDEX(Liste_Ackerkulturen_Gemüse_DropDown[Ackerkulturen],_xlfn.AGGREGATE(15,6,(ROW(Liste_Ackerkulturen_Gemüse_DropDown[Ackerkulturen])-1)/(--(SEARCH(CS$2,Liste_Ackerkulturen_Gemüse_DropDown[Ackerkulturen])&gt;0)),ROW()-2),1),"")</f>
        <v>Sämereienvermehrung mit Gräser für Wirtschaftsgrünland 5)</v>
      </c>
      <c r="CS74" s="2464"/>
      <c r="CT74"/>
      <c r="CU74"/>
      <c r="CV74"/>
      <c r="CW74"/>
      <c r="CX74"/>
      <c r="CY74"/>
      <c r="CZ74"/>
      <c r="DA74"/>
      <c r="DB74"/>
      <c r="DC74"/>
      <c r="DD74"/>
      <c r="DE74"/>
      <c r="DF74"/>
      <c r="DG74"/>
      <c r="DH74"/>
      <c r="DN74"/>
      <c r="DO74"/>
      <c r="DP74"/>
      <c r="DQ74"/>
      <c r="DR74"/>
      <c r="DS74"/>
      <c r="DT74"/>
      <c r="DU74"/>
      <c r="DV74"/>
      <c r="DW74"/>
      <c r="DX74"/>
      <c r="DY74"/>
      <c r="DZ74"/>
      <c r="EA74"/>
      <c r="EB74"/>
      <c r="EC74"/>
      <c r="ED74"/>
      <c r="EE74"/>
      <c r="EF74"/>
      <c r="EG74"/>
      <c r="EH74"/>
      <c r="EI74"/>
      <c r="EJ74"/>
      <c r="EK74"/>
      <c r="EL74"/>
      <c r="EM74"/>
      <c r="EN74"/>
      <c r="EO74"/>
      <c r="EP74"/>
      <c r="EQ74"/>
      <c r="ER74"/>
      <c r="ES74"/>
      <c r="ET74"/>
      <c r="EU74"/>
      <c r="EV74"/>
      <c r="EW74"/>
      <c r="EX74"/>
      <c r="EY74"/>
      <c r="EZ74"/>
      <c r="FA74"/>
      <c r="FB74"/>
      <c r="FC74"/>
      <c r="FD74"/>
      <c r="FE74"/>
      <c r="FF74"/>
      <c r="FG74"/>
      <c r="FH74"/>
      <c r="FI74"/>
      <c r="FJ74"/>
      <c r="FK74"/>
      <c r="FL74"/>
      <c r="FM74"/>
      <c r="FN74"/>
      <c r="FO74"/>
      <c r="FP74"/>
      <c r="FQ74"/>
      <c r="FR74"/>
      <c r="FS74"/>
      <c r="FT74"/>
      <c r="FU74"/>
      <c r="FV74"/>
      <c r="FW74"/>
      <c r="FX74"/>
      <c r="FY74"/>
      <c r="FZ74"/>
      <c r="GA74"/>
      <c r="GB74"/>
      <c r="GC74"/>
      <c r="GD74"/>
      <c r="GE74"/>
      <c r="GF74"/>
      <c r="GG74"/>
      <c r="GH74"/>
      <c r="GI74"/>
      <c r="GJ74"/>
      <c r="GK74"/>
      <c r="GL74"/>
      <c r="GM74"/>
      <c r="GN74"/>
      <c r="GO74"/>
      <c r="GP74"/>
      <c r="GQ74"/>
      <c r="GR74"/>
      <c r="GS74"/>
      <c r="GT74"/>
      <c r="GU74"/>
      <c r="GV74"/>
      <c r="GW74"/>
      <c r="GX74"/>
      <c r="GY74"/>
      <c r="GZ74"/>
      <c r="HA74"/>
      <c r="HB74"/>
      <c r="HC74"/>
      <c r="HD74"/>
      <c r="HE74"/>
      <c r="HF74"/>
      <c r="HG74"/>
      <c r="HH74"/>
      <c r="HI74"/>
      <c r="HJ74"/>
      <c r="HK74"/>
      <c r="HL74"/>
      <c r="HM74"/>
      <c r="HN74"/>
      <c r="HO74"/>
      <c r="HP74"/>
      <c r="HQ74"/>
      <c r="HR74"/>
      <c r="HS74"/>
      <c r="HT74"/>
      <c r="HU74"/>
      <c r="HV74"/>
      <c r="HW74"/>
      <c r="HX74"/>
      <c r="HY74"/>
      <c r="HZ74"/>
      <c r="IA74"/>
      <c r="IB74"/>
      <c r="IC74"/>
      <c r="ID74"/>
      <c r="IE74"/>
      <c r="IF74"/>
      <c r="IG74"/>
      <c r="IH74"/>
      <c r="II74"/>
      <c r="IJ74"/>
      <c r="IK74"/>
      <c r="IL74"/>
      <c r="IM74"/>
      <c r="IN74"/>
      <c r="IO74"/>
      <c r="IP74"/>
      <c r="IQ74"/>
      <c r="IR74"/>
      <c r="IS74"/>
      <c r="IT74"/>
      <c r="IU74"/>
    </row>
    <row r="75" spans="3:255" ht="21" customHeight="1">
      <c r="C75" s="2615"/>
      <c r="D75" s="1548" t="s">
        <v>1069</v>
      </c>
      <c r="E75" s="1545" t="s">
        <v>1201</v>
      </c>
      <c r="F75" s="2252"/>
      <c r="G75" s="1782" t="s">
        <v>1201</v>
      </c>
      <c r="H75" s="1783"/>
      <c r="I75" s="1452" t="s">
        <v>1066</v>
      </c>
      <c r="J75" s="1451">
        <v>280</v>
      </c>
      <c r="K75" s="1527">
        <v>210</v>
      </c>
      <c r="L75" s="1528">
        <v>210</v>
      </c>
      <c r="M75" s="1546"/>
      <c r="N75" s="1453"/>
      <c r="O75" s="1451"/>
      <c r="P75" s="1783"/>
      <c r="Q75" s="1451">
        <v>135</v>
      </c>
      <c r="R75" s="1454" t="s">
        <v>1061</v>
      </c>
      <c r="S75" s="1547" t="s">
        <v>1061</v>
      </c>
      <c r="T75" s="1546"/>
      <c r="U75" s="1450"/>
      <c r="V75" s="1455"/>
      <c r="W75" s="1783"/>
      <c r="X75" s="1451">
        <v>390</v>
      </c>
      <c r="Y75" s="1454" t="s">
        <v>1061</v>
      </c>
      <c r="Z75" s="1547" t="s">
        <v>1061</v>
      </c>
      <c r="AB75" s="1542"/>
      <c r="AC75" s="1542"/>
      <c r="AD75" s="1542"/>
      <c r="AE75" s="1542"/>
      <c r="AF75" s="1279"/>
      <c r="AM75" s="2410" t="s">
        <v>2357</v>
      </c>
      <c r="AN75" s="2272">
        <v>90</v>
      </c>
      <c r="AO75" s="2283" t="s">
        <v>1084</v>
      </c>
      <c r="AP75" s="2272">
        <v>110</v>
      </c>
      <c r="AQ75" s="2283" t="s">
        <v>1085</v>
      </c>
      <c r="AR75" s="2272">
        <v>170</v>
      </c>
      <c r="AS75" s="2283" t="s">
        <v>1086</v>
      </c>
      <c r="AT75" s="2284">
        <v>170</v>
      </c>
      <c r="AU75" s="2285" t="s">
        <v>1086</v>
      </c>
      <c r="AV75" s="2284">
        <v>170</v>
      </c>
      <c r="AW75" s="2285" t="s">
        <v>1086</v>
      </c>
      <c r="AX75" s="2277">
        <v>0</v>
      </c>
      <c r="AY75" s="2278"/>
      <c r="AZ75" s="2277">
        <v>0</v>
      </c>
      <c r="BA75" s="2317"/>
      <c r="BB75" s="522"/>
      <c r="BC75" s="518"/>
      <c r="BD75" s="511"/>
      <c r="BE75" s="2410" t="s">
        <v>2357</v>
      </c>
      <c r="BF75" s="577">
        <v>60</v>
      </c>
      <c r="BG75" s="577">
        <v>80</v>
      </c>
      <c r="BH75" s="577">
        <v>100</v>
      </c>
      <c r="BI75" s="521"/>
      <c r="BJ75" s="2410" t="s">
        <v>2357</v>
      </c>
      <c r="BK75" s="578">
        <v>80</v>
      </c>
      <c r="BL75" s="577">
        <v>160</v>
      </c>
      <c r="BM75" s="577">
        <v>220</v>
      </c>
      <c r="BN75" s="506"/>
      <c r="BO75" s="510"/>
      <c r="BP75" s="458"/>
      <c r="BQ75" s="458"/>
      <c r="BR75" s="458"/>
      <c r="BS75" s="2461" t="s">
        <v>1843</v>
      </c>
      <c r="BT75" s="2463" t="str">
        <f>IFERROR(INDEX(Liste_Ackerkulturen_Gemüse_DropDown[Ackerkulturen],_xlfn.AGGREGATE(15,6,(ROW(Liste_Ackerkulturen_Gemüse_DropDown[Ackerkulturen])-1)/(--(SEARCH(BU$2,Liste_Ackerkulturen_Gemüse_DropDown[Ackerkulturen])&gt;0)),ROW()-2),1),"")</f>
        <v>Sämereienvermehrung mit Rotklee</v>
      </c>
      <c r="BU75" s="2463"/>
      <c r="BV75" s="2463" t="str">
        <f>IFERROR(INDEX(Liste_Ackerkulturen_Gemüse_DropDown[Ackerkulturen],_xlfn.AGGREGATE(15,6,(ROW(Liste_Ackerkulturen_Gemüse_DropDown[Ackerkulturen])-1)/(--(SEARCH(BW$2,Liste_Ackerkulturen_Gemüse_DropDown[Ackerkulturen])&gt;0)),ROW()-2),1),"")</f>
        <v>Sämereienvermehrung mit Rotklee</v>
      </c>
      <c r="BW75" s="2463"/>
      <c r="BX75" s="2463" t="str">
        <f>IFERROR(INDEX(Liste_Ackerkulturen_Gemüse_DropDown[Ackerkulturen],_xlfn.AGGREGATE(15,6,(ROW(Liste_Ackerkulturen_Gemüse_DropDown[Ackerkulturen])-1)/(--(SEARCH(BY$2,Liste_Ackerkulturen_Gemüse_DropDown[Ackerkulturen])&gt;0)),ROW()-2),1),"")</f>
        <v>Sämereienvermehrung mit Rotklee</v>
      </c>
      <c r="BY75" s="2463"/>
      <c r="BZ75" s="2463" t="str">
        <f>IFERROR(INDEX(Liste_Ackerkulturen_Gemüse_DropDown[Ackerkulturen],_xlfn.AGGREGATE(15,6,(ROW(Liste_Ackerkulturen_Gemüse_DropDown[Ackerkulturen])-1)/(--(SEARCH(CA$2,Liste_Ackerkulturen_Gemüse_DropDown[Ackerkulturen])&gt;0)),ROW()-2),1),"")</f>
        <v>Sämereienvermehrung mit Rotklee</v>
      </c>
      <c r="CA75" s="2463"/>
      <c r="CB75" s="2463" t="str">
        <f>IFERROR(INDEX(Liste_Ackerkulturen_Gemüse_DropDown[Ackerkulturen],_xlfn.AGGREGATE(15,6,(ROW(Liste_Ackerkulturen_Gemüse_DropDown[Ackerkulturen])-1)/(--(SEARCH(CC$2,Liste_Ackerkulturen_Gemüse_DropDown[Ackerkulturen])&gt;0)),ROW()-2),1),"")</f>
        <v>Sämereienvermehrung mit Rotklee</v>
      </c>
      <c r="CC75" s="2463"/>
      <c r="CD75" s="2464" t="str">
        <f>IFERROR(INDEX(Liste_Ackerkulturen_Gemüse_DropDown[Ackerkulturen],_xlfn.AGGREGATE(15,6,(ROW(Liste_Ackerkulturen_Gemüse_DropDown[Ackerkulturen])-1)/(--(SEARCH(CE$2,Liste_Ackerkulturen_Gemüse_DropDown[Ackerkulturen])&gt;0)),ROW()-2),1),"")</f>
        <v>Sämereienvermehrung mit Rotklee</v>
      </c>
      <c r="CE75" s="2464"/>
      <c r="CF75" s="2464" t="str">
        <f>IFERROR(INDEX(Liste_Ackerkulturen_Gemüse_DropDown[Ackerkulturen],_xlfn.AGGREGATE(15,6,(ROW(Liste_Ackerkulturen_Gemüse_DropDown[Ackerkulturen])-1)/(--(SEARCH(CG$2,Liste_Ackerkulturen_Gemüse_DropDown[Ackerkulturen])&gt;0)),ROW()-2),1),"")</f>
        <v>Sämereienvermehrung mit Rotklee</v>
      </c>
      <c r="CG75" s="2464"/>
      <c r="CH75" s="2464" t="str">
        <f>IFERROR(INDEX(Liste_Ackerkulturen_Gemüse_DropDown[Ackerkulturen],_xlfn.AGGREGATE(15,6,(ROW(Liste_Ackerkulturen_Gemüse_DropDown[Ackerkulturen])-1)/(--(SEARCH(CI$2,Liste_Ackerkulturen_Gemüse_DropDown[Ackerkulturen])&gt;0)),ROW()-2),1),"")</f>
        <v>Sämereienvermehrung mit Rotklee</v>
      </c>
      <c r="CI75" s="2464"/>
      <c r="CJ75" s="2464" t="str">
        <f>IFERROR(INDEX(Liste_Ackerkulturen_Gemüse_DropDown[Ackerkulturen],_xlfn.AGGREGATE(15,6,(ROW(Liste_Ackerkulturen_Gemüse_DropDown[Ackerkulturen])-1)/(--(SEARCH(CK$2,Liste_Ackerkulturen_Gemüse_DropDown[Ackerkulturen])&gt;0)),ROW()-2),1),"")</f>
        <v>Sämereienvermehrung mit Rotklee</v>
      </c>
      <c r="CK75" s="2464"/>
      <c r="CL75" s="2464" t="str">
        <f>IFERROR(INDEX(Liste_Ackerkulturen_Gemüse_DropDown[Ackerkulturen],_xlfn.AGGREGATE(15,6,(ROW(Liste_Ackerkulturen_Gemüse_DropDown[Ackerkulturen])-1)/(--(SEARCH(CM$2,Liste_Ackerkulturen_Gemüse_DropDown[Ackerkulturen])&gt;0)),ROW()-2),1),"")</f>
        <v>Sämereienvermehrung mit Rotklee</v>
      </c>
      <c r="CM75" s="2464"/>
      <c r="CN75" s="2464" t="str">
        <f>IFERROR(INDEX(Liste_Ackerkulturen_Gemüse_DropDown[Ackerkulturen],_xlfn.AGGREGATE(15,6,(ROW(Liste_Ackerkulturen_Gemüse_DropDown[Ackerkulturen])-1)/(--(SEARCH(CO$2,Liste_Ackerkulturen_Gemüse_DropDown[Ackerkulturen])&gt;0)),ROW()-2),1),"")</f>
        <v>Sämereienvermehrung mit Rotklee</v>
      </c>
      <c r="CO75" s="2464"/>
      <c r="CP75" s="2464" t="str">
        <f>IFERROR(INDEX(Liste_Ackerkulturen_Gemüse_DropDown[Ackerkulturen],_xlfn.AGGREGATE(15,6,(ROW(Liste_Ackerkulturen_Gemüse_DropDown[Ackerkulturen])-1)/(--(SEARCH(CQ$2,Liste_Ackerkulturen_Gemüse_DropDown[Ackerkulturen])&gt;0)),ROW()-2),1),"")</f>
        <v>Sämereienvermehrung mit Rotklee</v>
      </c>
      <c r="CQ75" s="2464"/>
      <c r="CR75" s="2464" t="str">
        <f>IFERROR(INDEX(Liste_Ackerkulturen_Gemüse_DropDown[Ackerkulturen],_xlfn.AGGREGATE(15,6,(ROW(Liste_Ackerkulturen_Gemüse_DropDown[Ackerkulturen])-1)/(--(SEARCH(CS$2,Liste_Ackerkulturen_Gemüse_DropDown[Ackerkulturen])&gt;0)),ROW()-2),1),"")</f>
        <v>Sämereienvermehrung mit Rotklee</v>
      </c>
      <c r="CS75" s="2464"/>
      <c r="CT75"/>
      <c r="CU75"/>
      <c r="CV75"/>
      <c r="CW75"/>
      <c r="CX75"/>
      <c r="CY75"/>
      <c r="CZ75"/>
      <c r="DA75"/>
      <c r="DB75"/>
      <c r="DC75"/>
      <c r="DD75"/>
      <c r="DE75"/>
      <c r="DF75"/>
      <c r="DG75"/>
      <c r="DH75"/>
      <c r="DN75"/>
      <c r="DO75"/>
      <c r="DP75"/>
      <c r="DQ75"/>
      <c r="DR75"/>
      <c r="DS75"/>
      <c r="DT75"/>
      <c r="DU75"/>
      <c r="DV75"/>
      <c r="DW75"/>
      <c r="DX75"/>
      <c r="DY75"/>
      <c r="DZ75"/>
      <c r="EA75"/>
      <c r="EB75"/>
      <c r="EC75"/>
      <c r="ED75"/>
      <c r="EE75"/>
      <c r="EF75"/>
      <c r="EG75"/>
      <c r="EH75"/>
      <c r="EI75"/>
      <c r="EJ75"/>
      <c r="EK75"/>
      <c r="EL75"/>
      <c r="EM75"/>
      <c r="EN75"/>
      <c r="EO75"/>
      <c r="EP75"/>
      <c r="EQ75"/>
      <c r="ER75"/>
      <c r="ES75"/>
      <c r="ET75"/>
      <c r="EU75"/>
      <c r="EV75"/>
      <c r="EW75"/>
      <c r="EX75"/>
      <c r="EY75"/>
      <c r="EZ75"/>
      <c r="FA75"/>
      <c r="FB75"/>
      <c r="FC75"/>
      <c r="FD75"/>
      <c r="FE75"/>
      <c r="FF75"/>
      <c r="FG75"/>
      <c r="FH75"/>
      <c r="FI75"/>
      <c r="FJ75"/>
      <c r="FK75"/>
      <c r="FL75"/>
      <c r="FM75"/>
      <c r="FN75"/>
      <c r="FO75"/>
      <c r="FP75"/>
      <c r="FQ75"/>
      <c r="FR75"/>
      <c r="FS75"/>
      <c r="FT75"/>
      <c r="FU75"/>
      <c r="FV75"/>
      <c r="FW75"/>
      <c r="FX75"/>
      <c r="FY75"/>
      <c r="FZ75"/>
      <c r="GA75"/>
      <c r="GB75"/>
      <c r="GC75"/>
      <c r="GD75"/>
      <c r="GE75"/>
      <c r="GF75"/>
      <c r="GG75"/>
      <c r="GH75"/>
      <c r="GI75"/>
      <c r="GJ75"/>
      <c r="GK75"/>
      <c r="GL75"/>
      <c r="GM75"/>
      <c r="GN75"/>
      <c r="GO75"/>
      <c r="GP75"/>
      <c r="GQ75"/>
      <c r="GR75"/>
      <c r="GS75"/>
      <c r="GT75"/>
      <c r="GU75"/>
      <c r="GV75"/>
      <c r="GW75"/>
      <c r="GX75"/>
      <c r="GY75"/>
      <c r="GZ75"/>
      <c r="HA75"/>
      <c r="HB75"/>
      <c r="HC75"/>
      <c r="HD75"/>
      <c r="HE75"/>
      <c r="HF75"/>
      <c r="HG75"/>
      <c r="HH75"/>
      <c r="HI75"/>
      <c r="HJ75"/>
      <c r="HK75"/>
      <c r="HL75"/>
      <c r="HM75"/>
      <c r="HN75"/>
      <c r="HO75"/>
      <c r="HP75"/>
      <c r="HQ75"/>
      <c r="HR75"/>
      <c r="HS75"/>
      <c r="HT75"/>
      <c r="HU75"/>
      <c r="HV75"/>
      <c r="HW75"/>
      <c r="HX75"/>
      <c r="HY75"/>
      <c r="HZ75"/>
      <c r="IA75"/>
      <c r="IB75"/>
      <c r="IC75"/>
      <c r="ID75"/>
      <c r="IE75"/>
      <c r="IF75"/>
      <c r="IG75"/>
      <c r="IH75"/>
      <c r="II75"/>
      <c r="IJ75"/>
      <c r="IK75"/>
      <c r="IL75"/>
      <c r="IM75"/>
      <c r="IN75"/>
      <c r="IO75"/>
      <c r="IP75"/>
      <c r="IQ75"/>
      <c r="IR75"/>
      <c r="IS75"/>
      <c r="IT75"/>
      <c r="IU75"/>
    </row>
    <row r="76" spans="3:255" ht="21" customHeight="1">
      <c r="C76" s="2615" t="s">
        <v>3</v>
      </c>
      <c r="D76" s="1548" t="s">
        <v>1070</v>
      </c>
      <c r="E76" s="1545" t="s">
        <v>1997</v>
      </c>
      <c r="F76" s="2252">
        <v>100</v>
      </c>
      <c r="G76" s="1782" t="s">
        <v>1060</v>
      </c>
      <c r="H76" s="1783">
        <v>180</v>
      </c>
      <c r="I76" s="1452" t="s">
        <v>1201</v>
      </c>
      <c r="J76" s="1451"/>
      <c r="K76" s="1527">
        <v>30</v>
      </c>
      <c r="L76" s="1528">
        <v>30</v>
      </c>
      <c r="M76" s="1546">
        <v>45</v>
      </c>
      <c r="N76" s="1453">
        <v>40</v>
      </c>
      <c r="O76" s="1451">
        <v>15</v>
      </c>
      <c r="P76" s="1783">
        <v>30</v>
      </c>
      <c r="Q76" s="1451"/>
      <c r="R76" s="1454" t="s">
        <v>1061</v>
      </c>
      <c r="S76" s="1547" t="s">
        <v>1061</v>
      </c>
      <c r="T76" s="1546">
        <v>120</v>
      </c>
      <c r="U76" s="1450">
        <v>100</v>
      </c>
      <c r="V76" s="1455">
        <v>45</v>
      </c>
      <c r="W76" s="1783">
        <v>80</v>
      </c>
      <c r="X76" s="1456"/>
      <c r="Y76" s="1454" t="s">
        <v>1061</v>
      </c>
      <c r="Z76" s="1547" t="s">
        <v>1061</v>
      </c>
      <c r="AB76" s="1542"/>
      <c r="AC76" s="1542"/>
      <c r="AD76" s="1542"/>
      <c r="AE76" s="1542"/>
      <c r="AF76" s="1279"/>
      <c r="AM76" s="2371" t="s">
        <v>735</v>
      </c>
      <c r="AN76" s="2272">
        <v>20</v>
      </c>
      <c r="AO76" s="2283" t="s">
        <v>1087</v>
      </c>
      <c r="AP76" s="2272">
        <v>20</v>
      </c>
      <c r="AQ76" s="2283" t="s">
        <v>1088</v>
      </c>
      <c r="AR76" s="2272">
        <v>20</v>
      </c>
      <c r="AS76" s="2283" t="s">
        <v>1089</v>
      </c>
      <c r="AT76" s="2284">
        <v>20</v>
      </c>
      <c r="AU76" s="2285" t="s">
        <v>1089</v>
      </c>
      <c r="AV76" s="2284">
        <v>20</v>
      </c>
      <c r="AW76" s="2285" t="s">
        <v>1089</v>
      </c>
      <c r="AX76" s="2277">
        <v>0</v>
      </c>
      <c r="AY76" s="2278"/>
      <c r="AZ76" s="2277">
        <v>0</v>
      </c>
      <c r="BA76" s="2317"/>
      <c r="BB76" s="522"/>
      <c r="BC76" s="518"/>
      <c r="BD76" s="511"/>
      <c r="BE76" s="2371" t="s">
        <v>735</v>
      </c>
      <c r="BF76" s="577">
        <v>80</v>
      </c>
      <c r="BG76" s="577">
        <v>100</v>
      </c>
      <c r="BH76" s="577">
        <v>120</v>
      </c>
      <c r="BI76" s="521"/>
      <c r="BJ76" s="2371" t="s">
        <v>735</v>
      </c>
      <c r="BK76" s="578">
        <v>160</v>
      </c>
      <c r="BL76" s="577">
        <v>200</v>
      </c>
      <c r="BM76" s="577">
        <v>240</v>
      </c>
      <c r="BN76" s="506"/>
      <c r="BO76" s="510"/>
      <c r="BP76" s="458"/>
      <c r="BQ76" s="458"/>
      <c r="BR76" s="458"/>
      <c r="BS76" s="2461" t="s">
        <v>41</v>
      </c>
      <c r="BT76" s="2463" t="str">
        <f>IFERROR(INDEX(Liste_Ackerkulturen_Gemüse_DropDown[Ackerkulturen],_xlfn.AGGREGATE(15,6,(ROW(Liste_Ackerkulturen_Gemüse_DropDown[Ackerkulturen])-1)/(--(SEARCH(BU$2,Liste_Ackerkulturen_Gemüse_DropDown[Ackerkulturen])&gt;0)),ROW()-2),1),"")</f>
        <v>diverse Grünbrachen zB Biodiv.</v>
      </c>
      <c r="BU76" s="2463"/>
      <c r="BV76" s="2463" t="str">
        <f>IFERROR(INDEX(Liste_Ackerkulturen_Gemüse_DropDown[Ackerkulturen],_xlfn.AGGREGATE(15,6,(ROW(Liste_Ackerkulturen_Gemüse_DropDown[Ackerkulturen])-1)/(--(SEARCH(BW$2,Liste_Ackerkulturen_Gemüse_DropDown[Ackerkulturen])&gt;0)),ROW()-2),1),"")</f>
        <v>diverse Grünbrachen zB Biodiv.</v>
      </c>
      <c r="BW76" s="2463"/>
      <c r="BX76" s="2463" t="str">
        <f>IFERROR(INDEX(Liste_Ackerkulturen_Gemüse_DropDown[Ackerkulturen],_xlfn.AGGREGATE(15,6,(ROW(Liste_Ackerkulturen_Gemüse_DropDown[Ackerkulturen])-1)/(--(SEARCH(BY$2,Liste_Ackerkulturen_Gemüse_DropDown[Ackerkulturen])&gt;0)),ROW()-2),1),"")</f>
        <v>diverse Grünbrachen zB Biodiv.</v>
      </c>
      <c r="BY76" s="2463"/>
      <c r="BZ76" s="2463" t="str">
        <f>IFERROR(INDEX(Liste_Ackerkulturen_Gemüse_DropDown[Ackerkulturen],_xlfn.AGGREGATE(15,6,(ROW(Liste_Ackerkulturen_Gemüse_DropDown[Ackerkulturen])-1)/(--(SEARCH(CA$2,Liste_Ackerkulturen_Gemüse_DropDown[Ackerkulturen])&gt;0)),ROW()-2),1),"")</f>
        <v>diverse Grünbrachen zB Biodiv.</v>
      </c>
      <c r="CA76" s="2463"/>
      <c r="CB76" s="2463" t="str">
        <f>IFERROR(INDEX(Liste_Ackerkulturen_Gemüse_DropDown[Ackerkulturen],_xlfn.AGGREGATE(15,6,(ROW(Liste_Ackerkulturen_Gemüse_DropDown[Ackerkulturen])-1)/(--(SEARCH(CC$2,Liste_Ackerkulturen_Gemüse_DropDown[Ackerkulturen])&gt;0)),ROW()-2),1),"")</f>
        <v>diverse Grünbrachen zB Biodiv.</v>
      </c>
      <c r="CC76" s="2463"/>
      <c r="CD76" s="2464" t="str">
        <f>IFERROR(INDEX(Liste_Ackerkulturen_Gemüse_DropDown[Ackerkulturen],_xlfn.AGGREGATE(15,6,(ROW(Liste_Ackerkulturen_Gemüse_DropDown[Ackerkulturen])-1)/(--(SEARCH(CE$2,Liste_Ackerkulturen_Gemüse_DropDown[Ackerkulturen])&gt;0)),ROW()-2),1),"")</f>
        <v>diverse Grünbrachen zB Biodiv.</v>
      </c>
      <c r="CE76" s="2464"/>
      <c r="CF76" s="2464" t="str">
        <f>IFERROR(INDEX(Liste_Ackerkulturen_Gemüse_DropDown[Ackerkulturen],_xlfn.AGGREGATE(15,6,(ROW(Liste_Ackerkulturen_Gemüse_DropDown[Ackerkulturen])-1)/(--(SEARCH(CG$2,Liste_Ackerkulturen_Gemüse_DropDown[Ackerkulturen])&gt;0)),ROW()-2),1),"")</f>
        <v>diverse Grünbrachen zB Biodiv.</v>
      </c>
      <c r="CG76" s="2464"/>
      <c r="CH76" s="2464" t="str">
        <f>IFERROR(INDEX(Liste_Ackerkulturen_Gemüse_DropDown[Ackerkulturen],_xlfn.AGGREGATE(15,6,(ROW(Liste_Ackerkulturen_Gemüse_DropDown[Ackerkulturen])-1)/(--(SEARCH(CI$2,Liste_Ackerkulturen_Gemüse_DropDown[Ackerkulturen])&gt;0)),ROW()-2),1),"")</f>
        <v>diverse Grünbrachen zB Biodiv.</v>
      </c>
      <c r="CI76" s="2464"/>
      <c r="CJ76" s="2464" t="str">
        <f>IFERROR(INDEX(Liste_Ackerkulturen_Gemüse_DropDown[Ackerkulturen],_xlfn.AGGREGATE(15,6,(ROW(Liste_Ackerkulturen_Gemüse_DropDown[Ackerkulturen])-1)/(--(SEARCH(CK$2,Liste_Ackerkulturen_Gemüse_DropDown[Ackerkulturen])&gt;0)),ROW()-2),1),"")</f>
        <v>diverse Grünbrachen zB Biodiv.</v>
      </c>
      <c r="CK76" s="2464"/>
      <c r="CL76" s="2464" t="str">
        <f>IFERROR(INDEX(Liste_Ackerkulturen_Gemüse_DropDown[Ackerkulturen],_xlfn.AGGREGATE(15,6,(ROW(Liste_Ackerkulturen_Gemüse_DropDown[Ackerkulturen])-1)/(--(SEARCH(CM$2,Liste_Ackerkulturen_Gemüse_DropDown[Ackerkulturen])&gt;0)),ROW()-2),1),"")</f>
        <v>diverse Grünbrachen zB Biodiv.</v>
      </c>
      <c r="CM76" s="2464"/>
      <c r="CN76" s="2464" t="str">
        <f>IFERROR(INDEX(Liste_Ackerkulturen_Gemüse_DropDown[Ackerkulturen],_xlfn.AGGREGATE(15,6,(ROW(Liste_Ackerkulturen_Gemüse_DropDown[Ackerkulturen])-1)/(--(SEARCH(CO$2,Liste_Ackerkulturen_Gemüse_DropDown[Ackerkulturen])&gt;0)),ROW()-2),1),"")</f>
        <v>diverse Grünbrachen zB Biodiv.</v>
      </c>
      <c r="CO76" s="2464"/>
      <c r="CP76" s="2464" t="str">
        <f>IFERROR(INDEX(Liste_Ackerkulturen_Gemüse_DropDown[Ackerkulturen],_xlfn.AGGREGATE(15,6,(ROW(Liste_Ackerkulturen_Gemüse_DropDown[Ackerkulturen])-1)/(--(SEARCH(CQ$2,Liste_Ackerkulturen_Gemüse_DropDown[Ackerkulturen])&gt;0)),ROW()-2),1),"")</f>
        <v>diverse Grünbrachen zB Biodiv.</v>
      </c>
      <c r="CQ76" s="2464"/>
      <c r="CR76" s="2464" t="str">
        <f>IFERROR(INDEX(Liste_Ackerkulturen_Gemüse_DropDown[Ackerkulturen],_xlfn.AGGREGATE(15,6,(ROW(Liste_Ackerkulturen_Gemüse_DropDown[Ackerkulturen])-1)/(--(SEARCH(CS$2,Liste_Ackerkulturen_Gemüse_DropDown[Ackerkulturen])&gt;0)),ROW()-2),1),"")</f>
        <v>diverse Grünbrachen zB Biodiv.</v>
      </c>
      <c r="CS76" s="2464"/>
      <c r="CT76"/>
      <c r="CU76"/>
      <c r="CV76"/>
      <c r="CW76"/>
      <c r="CX76"/>
      <c r="CY76"/>
      <c r="CZ76"/>
      <c r="DA76"/>
      <c r="DB76"/>
      <c r="DC76"/>
      <c r="DD76"/>
      <c r="DE76"/>
      <c r="DF76"/>
      <c r="DG76"/>
      <c r="DH76"/>
      <c r="DN76"/>
      <c r="DO76"/>
      <c r="DP76"/>
      <c r="DQ76"/>
      <c r="DR76"/>
      <c r="DS76"/>
      <c r="DT76"/>
      <c r="DU76"/>
      <c r="DV76"/>
      <c r="DW76"/>
      <c r="DX76"/>
      <c r="DY76"/>
      <c r="DZ76"/>
      <c r="EA76"/>
      <c r="EB76"/>
      <c r="EC76"/>
      <c r="ED76"/>
      <c r="EE76"/>
      <c r="EF76"/>
      <c r="EG76"/>
      <c r="EH76"/>
      <c r="EI76"/>
      <c r="EJ76"/>
      <c r="EK76"/>
      <c r="EL76"/>
      <c r="EM76"/>
      <c r="EN76"/>
      <c r="EO76"/>
      <c r="EP76"/>
      <c r="EQ76"/>
      <c r="ER76"/>
      <c r="ES76"/>
      <c r="ET76"/>
      <c r="EU76"/>
      <c r="EV76"/>
      <c r="EW76"/>
      <c r="EX76"/>
      <c r="EY76"/>
      <c r="EZ76"/>
      <c r="FA76"/>
      <c r="FB76"/>
      <c r="FC76"/>
      <c r="FD76"/>
      <c r="FE76"/>
      <c r="FF76"/>
      <c r="FG76"/>
      <c r="FH76"/>
      <c r="FI76"/>
      <c r="FJ76"/>
      <c r="FK76"/>
      <c r="FL76"/>
      <c r="FM76"/>
      <c r="FN76"/>
      <c r="FO76"/>
      <c r="FP76"/>
      <c r="FQ76"/>
      <c r="FR76"/>
      <c r="FS76"/>
      <c r="FT76"/>
      <c r="FU76"/>
      <c r="FV76"/>
      <c r="FW76"/>
      <c r="FX76"/>
      <c r="FY76"/>
      <c r="FZ76"/>
      <c r="GA76"/>
      <c r="GB76"/>
      <c r="GC76"/>
      <c r="GD76"/>
      <c r="GE76"/>
      <c r="GF76"/>
      <c r="GG76"/>
      <c r="GH76"/>
      <c r="GI76"/>
      <c r="GJ76"/>
      <c r="GK76"/>
      <c r="GL76"/>
      <c r="GM76"/>
      <c r="GN76"/>
      <c r="GO76"/>
      <c r="GP76"/>
      <c r="GQ76"/>
      <c r="GR76"/>
      <c r="GS76"/>
      <c r="GT76"/>
      <c r="GU76"/>
      <c r="GV76"/>
      <c r="GW76"/>
      <c r="GX76"/>
      <c r="GY76"/>
      <c r="GZ76"/>
      <c r="HA76"/>
      <c r="HB76"/>
      <c r="HC76"/>
      <c r="HD76"/>
      <c r="HE76"/>
      <c r="HF76"/>
      <c r="HG76"/>
      <c r="HH76"/>
      <c r="HI76"/>
      <c r="HJ76"/>
      <c r="HK76"/>
      <c r="HL76"/>
      <c r="HM76"/>
      <c r="HN76"/>
      <c r="HO76"/>
      <c r="HP76"/>
      <c r="HQ76"/>
      <c r="HR76"/>
      <c r="HS76"/>
      <c r="HT76"/>
      <c r="HU76"/>
      <c r="HV76"/>
      <c r="HW76"/>
      <c r="HX76"/>
      <c r="HY76"/>
      <c r="HZ76"/>
      <c r="IA76"/>
      <c r="IB76"/>
      <c r="IC76"/>
      <c r="ID76"/>
      <c r="IE76"/>
      <c r="IF76"/>
      <c r="IG76"/>
      <c r="IH76"/>
      <c r="II76"/>
      <c r="IJ76"/>
      <c r="IK76"/>
      <c r="IL76"/>
      <c r="IM76"/>
      <c r="IN76"/>
      <c r="IO76"/>
      <c r="IP76"/>
      <c r="IQ76"/>
      <c r="IR76"/>
      <c r="IS76"/>
      <c r="IT76"/>
      <c r="IU76"/>
    </row>
    <row r="77" spans="3:255" ht="21" customHeight="1" thickBot="1">
      <c r="C77" s="2615"/>
      <c r="D77" s="1548" t="s">
        <v>1062</v>
      </c>
      <c r="E77" s="1545" t="s">
        <v>1071</v>
      </c>
      <c r="F77" s="2252">
        <v>100</v>
      </c>
      <c r="G77" s="1782" t="s">
        <v>1063</v>
      </c>
      <c r="H77" s="1783">
        <v>180</v>
      </c>
      <c r="I77" s="1452" t="s">
        <v>1201</v>
      </c>
      <c r="J77" s="1451"/>
      <c r="K77" s="1527">
        <v>90</v>
      </c>
      <c r="L77" s="1528">
        <v>90</v>
      </c>
      <c r="M77" s="1546">
        <v>70</v>
      </c>
      <c r="N77" s="1453">
        <v>55</v>
      </c>
      <c r="O77" s="1451">
        <v>30</v>
      </c>
      <c r="P77" s="1783">
        <v>45</v>
      </c>
      <c r="Q77" s="1451"/>
      <c r="R77" s="1454" t="s">
        <v>1061</v>
      </c>
      <c r="S77" s="1547" t="s">
        <v>1061</v>
      </c>
      <c r="T77" s="1546">
        <v>180</v>
      </c>
      <c r="U77" s="1450">
        <v>150</v>
      </c>
      <c r="V77" s="1455">
        <v>80</v>
      </c>
      <c r="W77" s="1783">
        <v>120</v>
      </c>
      <c r="X77" s="1456"/>
      <c r="Y77" s="1454" t="s">
        <v>1061</v>
      </c>
      <c r="Z77" s="1547" t="s">
        <v>1061</v>
      </c>
      <c r="AB77" s="1542"/>
      <c r="AC77" s="1542"/>
      <c r="AD77" s="1542"/>
      <c r="AE77" s="1542"/>
      <c r="AF77" s="1279"/>
      <c r="AM77" s="2371" t="s">
        <v>1843</v>
      </c>
      <c r="AN77" s="2318"/>
      <c r="AO77" s="2319"/>
      <c r="AP77" s="2318"/>
      <c r="AQ77" s="2319"/>
      <c r="AR77" s="2318"/>
      <c r="AS77" s="2319"/>
      <c r="AT77" s="2320"/>
      <c r="AU77" s="2321"/>
      <c r="AV77" s="2320"/>
      <c r="AW77" s="2321"/>
      <c r="AX77" s="2298">
        <v>0</v>
      </c>
      <c r="AY77" s="2299"/>
      <c r="AZ77" s="2298">
        <v>0</v>
      </c>
      <c r="BA77" s="2398"/>
      <c r="BB77" s="473"/>
      <c r="BC77" s="518"/>
      <c r="BD77" s="511"/>
      <c r="BE77" s="2371" t="s">
        <v>1843</v>
      </c>
      <c r="BF77" s="580"/>
      <c r="BG77" s="580"/>
      <c r="BH77" s="580"/>
      <c r="BI77" s="511"/>
      <c r="BJ77" s="2371" t="s">
        <v>1843</v>
      </c>
      <c r="BK77" s="576"/>
      <c r="BL77" s="576"/>
      <c r="BM77" s="575"/>
      <c r="BN77" s="506"/>
      <c r="BO77" s="510"/>
      <c r="BP77" s="458"/>
      <c r="BQ77" s="458"/>
      <c r="BR77" s="458"/>
      <c r="BS77" s="2461" t="s">
        <v>45</v>
      </c>
      <c r="BT77" s="2463" t="str">
        <f>IFERROR(INDEX(Liste_Ackerkulturen_Gemüse_DropDown[Ackerkulturen],_xlfn.AGGREGATE(15,6,(ROW(Liste_Ackerkulturen_Gemüse_DropDown[Ackerkulturen])-1)/(--(SEARCH(BU$2,Liste_Ackerkulturen_Gemüse_DropDown[Ackerkulturen])&gt;0)),ROW()-2),1),"")</f>
        <v>Amaranth</v>
      </c>
      <c r="BU77" s="2463"/>
      <c r="BV77" s="2463" t="str">
        <f>IFERROR(INDEX(Liste_Ackerkulturen_Gemüse_DropDown[Ackerkulturen],_xlfn.AGGREGATE(15,6,(ROW(Liste_Ackerkulturen_Gemüse_DropDown[Ackerkulturen])-1)/(--(SEARCH(BW$2,Liste_Ackerkulturen_Gemüse_DropDown[Ackerkulturen])&gt;0)),ROW()-2),1),"")</f>
        <v>Amaranth</v>
      </c>
      <c r="BW77" s="2463"/>
      <c r="BX77" s="2463" t="str">
        <f>IFERROR(INDEX(Liste_Ackerkulturen_Gemüse_DropDown[Ackerkulturen],_xlfn.AGGREGATE(15,6,(ROW(Liste_Ackerkulturen_Gemüse_DropDown[Ackerkulturen])-1)/(--(SEARCH(BY$2,Liste_Ackerkulturen_Gemüse_DropDown[Ackerkulturen])&gt;0)),ROW()-2),1),"")</f>
        <v>Amaranth</v>
      </c>
      <c r="BY77" s="2463"/>
      <c r="BZ77" s="2463" t="str">
        <f>IFERROR(INDEX(Liste_Ackerkulturen_Gemüse_DropDown[Ackerkulturen],_xlfn.AGGREGATE(15,6,(ROW(Liste_Ackerkulturen_Gemüse_DropDown[Ackerkulturen])-1)/(--(SEARCH(CA$2,Liste_Ackerkulturen_Gemüse_DropDown[Ackerkulturen])&gt;0)),ROW()-2),1),"")</f>
        <v>Amaranth</v>
      </c>
      <c r="CA77" s="2463"/>
      <c r="CB77" s="2463" t="str">
        <f>IFERROR(INDEX(Liste_Ackerkulturen_Gemüse_DropDown[Ackerkulturen],_xlfn.AGGREGATE(15,6,(ROW(Liste_Ackerkulturen_Gemüse_DropDown[Ackerkulturen])-1)/(--(SEARCH(CC$2,Liste_Ackerkulturen_Gemüse_DropDown[Ackerkulturen])&gt;0)),ROW()-2),1),"")</f>
        <v>Amaranth</v>
      </c>
      <c r="CC77" s="2463"/>
      <c r="CD77" s="2464" t="str">
        <f>IFERROR(INDEX(Liste_Ackerkulturen_Gemüse_DropDown[Ackerkulturen],_xlfn.AGGREGATE(15,6,(ROW(Liste_Ackerkulturen_Gemüse_DropDown[Ackerkulturen])-1)/(--(SEARCH(CE$2,Liste_Ackerkulturen_Gemüse_DropDown[Ackerkulturen])&gt;0)),ROW()-2),1),"")</f>
        <v>Amaranth</v>
      </c>
      <c r="CE77" s="2464"/>
      <c r="CF77" s="2464" t="str">
        <f>IFERROR(INDEX(Liste_Ackerkulturen_Gemüse_DropDown[Ackerkulturen],_xlfn.AGGREGATE(15,6,(ROW(Liste_Ackerkulturen_Gemüse_DropDown[Ackerkulturen])-1)/(--(SEARCH(CG$2,Liste_Ackerkulturen_Gemüse_DropDown[Ackerkulturen])&gt;0)),ROW()-2),1),"")</f>
        <v>Amaranth</v>
      </c>
      <c r="CG77" s="2464"/>
      <c r="CH77" s="2464" t="str">
        <f>IFERROR(INDEX(Liste_Ackerkulturen_Gemüse_DropDown[Ackerkulturen],_xlfn.AGGREGATE(15,6,(ROW(Liste_Ackerkulturen_Gemüse_DropDown[Ackerkulturen])-1)/(--(SEARCH(CI$2,Liste_Ackerkulturen_Gemüse_DropDown[Ackerkulturen])&gt;0)),ROW()-2),1),"")</f>
        <v>Amaranth</v>
      </c>
      <c r="CI77" s="2464"/>
      <c r="CJ77" s="2464" t="str">
        <f>IFERROR(INDEX(Liste_Ackerkulturen_Gemüse_DropDown[Ackerkulturen],_xlfn.AGGREGATE(15,6,(ROW(Liste_Ackerkulturen_Gemüse_DropDown[Ackerkulturen])-1)/(--(SEARCH(CK$2,Liste_Ackerkulturen_Gemüse_DropDown[Ackerkulturen])&gt;0)),ROW()-2),1),"")</f>
        <v>Amaranth</v>
      </c>
      <c r="CK77" s="2464"/>
      <c r="CL77" s="2464" t="str">
        <f>IFERROR(INDEX(Liste_Ackerkulturen_Gemüse_DropDown[Ackerkulturen],_xlfn.AGGREGATE(15,6,(ROW(Liste_Ackerkulturen_Gemüse_DropDown[Ackerkulturen])-1)/(--(SEARCH(CM$2,Liste_Ackerkulturen_Gemüse_DropDown[Ackerkulturen])&gt;0)),ROW()-2),1),"")</f>
        <v>Amaranth</v>
      </c>
      <c r="CM77" s="2464"/>
      <c r="CN77" s="2464" t="str">
        <f>IFERROR(INDEX(Liste_Ackerkulturen_Gemüse_DropDown[Ackerkulturen],_xlfn.AGGREGATE(15,6,(ROW(Liste_Ackerkulturen_Gemüse_DropDown[Ackerkulturen])-1)/(--(SEARCH(CO$2,Liste_Ackerkulturen_Gemüse_DropDown[Ackerkulturen])&gt;0)),ROW()-2),1),"")</f>
        <v>Amaranth</v>
      </c>
      <c r="CO77" s="2464"/>
      <c r="CP77" s="2464" t="str">
        <f>IFERROR(INDEX(Liste_Ackerkulturen_Gemüse_DropDown[Ackerkulturen],_xlfn.AGGREGATE(15,6,(ROW(Liste_Ackerkulturen_Gemüse_DropDown[Ackerkulturen])-1)/(--(SEARCH(CQ$2,Liste_Ackerkulturen_Gemüse_DropDown[Ackerkulturen])&gt;0)),ROW()-2),1),"")</f>
        <v>Amaranth</v>
      </c>
      <c r="CQ77" s="2464"/>
      <c r="CR77" s="2464" t="str">
        <f>IFERROR(INDEX(Liste_Ackerkulturen_Gemüse_DropDown[Ackerkulturen],_xlfn.AGGREGATE(15,6,(ROW(Liste_Ackerkulturen_Gemüse_DropDown[Ackerkulturen])-1)/(--(SEARCH(CS$2,Liste_Ackerkulturen_Gemüse_DropDown[Ackerkulturen])&gt;0)),ROW()-2),1),"")</f>
        <v>Amaranth</v>
      </c>
      <c r="CS77" s="2464"/>
      <c r="CT77"/>
      <c r="CU77"/>
      <c r="CV77"/>
      <c r="CW77"/>
      <c r="CX77"/>
      <c r="CY77"/>
      <c r="CZ77"/>
      <c r="DA77"/>
      <c r="DB77"/>
      <c r="DC77"/>
      <c r="DD77"/>
      <c r="DE77"/>
      <c r="DF77"/>
      <c r="DG77"/>
      <c r="DH77"/>
      <c r="DN77"/>
      <c r="DO77"/>
      <c r="DP77"/>
      <c r="DQ77"/>
      <c r="DR77"/>
      <c r="DS77"/>
      <c r="DT77"/>
      <c r="DU77"/>
      <c r="DV77"/>
      <c r="DW77"/>
      <c r="DX77"/>
      <c r="DY77"/>
      <c r="DZ77"/>
      <c r="EA77"/>
      <c r="EB77"/>
      <c r="EC77"/>
      <c r="ED77"/>
      <c r="EE77"/>
      <c r="EF77"/>
      <c r="EG77"/>
      <c r="EH77"/>
      <c r="EI77"/>
      <c r="EJ77"/>
      <c r="EK77"/>
      <c r="EL77"/>
      <c r="EM77"/>
      <c r="EN77"/>
      <c r="EO77"/>
      <c r="EP77"/>
      <c r="EQ77"/>
      <c r="ER77"/>
      <c r="ES77"/>
      <c r="ET77"/>
      <c r="EU77"/>
      <c r="EV77"/>
      <c r="EW77"/>
      <c r="EX77"/>
      <c r="EY77"/>
      <c r="EZ77"/>
      <c r="FA77"/>
      <c r="FB77"/>
      <c r="FC77"/>
      <c r="FD77"/>
      <c r="FE77"/>
      <c r="FF77"/>
      <c r="FG77"/>
      <c r="FH77"/>
      <c r="FI77"/>
      <c r="FJ77"/>
      <c r="FK77"/>
      <c r="FL77"/>
      <c r="FM77"/>
      <c r="FN77"/>
      <c r="FO77"/>
      <c r="FP77"/>
      <c r="FQ77"/>
      <c r="FR77"/>
      <c r="FS77"/>
      <c r="FT77"/>
      <c r="FU77"/>
      <c r="FV77"/>
      <c r="FW77"/>
      <c r="FX77"/>
      <c r="FY77"/>
      <c r="FZ77"/>
      <c r="GA77"/>
      <c r="GB77"/>
      <c r="GC77"/>
      <c r="GD77"/>
      <c r="GE77"/>
      <c r="GF77"/>
      <c r="GG77"/>
      <c r="GH77"/>
      <c r="GI77"/>
      <c r="GJ77"/>
      <c r="GK77"/>
      <c r="GL77"/>
      <c r="GM77"/>
      <c r="GN77"/>
      <c r="GO77"/>
      <c r="GP77"/>
      <c r="GQ77"/>
      <c r="GR77"/>
      <c r="GS77"/>
      <c r="GT77"/>
      <c r="GU77"/>
      <c r="GV77"/>
      <c r="GW77"/>
      <c r="GX77"/>
      <c r="GY77"/>
      <c r="GZ77"/>
      <c r="HA77"/>
      <c r="HB77"/>
      <c r="HC77"/>
      <c r="HD77"/>
      <c r="HE77"/>
      <c r="HF77"/>
      <c r="HG77"/>
      <c r="HH77"/>
      <c r="HI77"/>
      <c r="HJ77"/>
      <c r="HK77"/>
      <c r="HL77"/>
      <c r="HM77"/>
      <c r="HN77"/>
      <c r="HO77"/>
      <c r="HP77"/>
      <c r="HQ77"/>
      <c r="HR77"/>
      <c r="HS77"/>
      <c r="HT77"/>
      <c r="HU77"/>
      <c r="HV77"/>
      <c r="HW77"/>
      <c r="HX77"/>
      <c r="HY77"/>
      <c r="HZ77"/>
      <c r="IA77"/>
      <c r="IB77"/>
      <c r="IC77"/>
      <c r="ID77"/>
      <c r="IE77"/>
      <c r="IF77"/>
      <c r="IG77"/>
      <c r="IH77"/>
      <c r="II77"/>
      <c r="IJ77"/>
      <c r="IK77"/>
      <c r="IL77"/>
      <c r="IM77"/>
      <c r="IN77"/>
      <c r="IO77"/>
      <c r="IP77"/>
      <c r="IQ77"/>
      <c r="IR77"/>
      <c r="IS77"/>
      <c r="IT77"/>
      <c r="IU77"/>
    </row>
    <row r="78" spans="3:255" ht="21" customHeight="1">
      <c r="C78" s="2615"/>
      <c r="D78" s="1548" t="s">
        <v>1064</v>
      </c>
      <c r="E78" s="1545" t="s">
        <v>1072</v>
      </c>
      <c r="F78" s="2252">
        <v>100</v>
      </c>
      <c r="G78" s="1782" t="s">
        <v>1073</v>
      </c>
      <c r="H78" s="1783">
        <v>180</v>
      </c>
      <c r="I78" s="1452" t="s">
        <v>1977</v>
      </c>
      <c r="J78" s="1451">
        <v>210</v>
      </c>
      <c r="K78" s="1527">
        <v>120</v>
      </c>
      <c r="L78" s="1528">
        <v>140</v>
      </c>
      <c r="M78" s="1546">
        <v>100</v>
      </c>
      <c r="N78" s="1453">
        <v>80</v>
      </c>
      <c r="O78" s="1451">
        <v>45</v>
      </c>
      <c r="P78" s="1783">
        <v>65</v>
      </c>
      <c r="Q78" s="1451">
        <v>80</v>
      </c>
      <c r="R78" s="1454" t="s">
        <v>1061</v>
      </c>
      <c r="S78" s="1547" t="s">
        <v>1061</v>
      </c>
      <c r="T78" s="1546">
        <v>255</v>
      </c>
      <c r="U78" s="1450">
        <v>215</v>
      </c>
      <c r="V78" s="1455">
        <v>130</v>
      </c>
      <c r="W78" s="1783">
        <v>170</v>
      </c>
      <c r="X78" s="1456">
        <v>215</v>
      </c>
      <c r="Y78" s="1454" t="s">
        <v>1061</v>
      </c>
      <c r="Z78" s="1547" t="s">
        <v>1061</v>
      </c>
      <c r="AB78" s="1542"/>
      <c r="AC78" s="1542"/>
      <c r="AD78" s="1542"/>
      <c r="AE78" s="1542"/>
      <c r="AF78" s="1279"/>
      <c r="AM78" s="2371" t="s">
        <v>41</v>
      </c>
      <c r="AN78" s="2352">
        <v>40</v>
      </c>
      <c r="AO78" s="2283" t="s">
        <v>473</v>
      </c>
      <c r="AP78" s="2352">
        <v>40</v>
      </c>
      <c r="AQ78" s="2283" t="s">
        <v>42</v>
      </c>
      <c r="AR78" s="2352">
        <v>40</v>
      </c>
      <c r="AS78" s="2283" t="s">
        <v>43</v>
      </c>
      <c r="AT78" s="2348">
        <v>40</v>
      </c>
      <c r="AU78" s="2285" t="s">
        <v>44</v>
      </c>
      <c r="AV78" s="2348">
        <v>40</v>
      </c>
      <c r="AW78" s="2285" t="s">
        <v>1060</v>
      </c>
      <c r="AX78" s="2345">
        <v>40</v>
      </c>
      <c r="AY78" s="2278" t="s">
        <v>42</v>
      </c>
      <c r="AZ78" s="2350">
        <v>40</v>
      </c>
      <c r="BA78" s="2303" t="s">
        <v>2321</v>
      </c>
      <c r="BE78" s="2371" t="s">
        <v>41</v>
      </c>
      <c r="BF78" s="577">
        <v>50</v>
      </c>
      <c r="BG78" s="577">
        <v>55</v>
      </c>
      <c r="BH78" s="577">
        <v>65</v>
      </c>
      <c r="BI78" s="2401"/>
      <c r="BJ78" s="2371" t="s">
        <v>41</v>
      </c>
      <c r="BK78" s="578">
        <v>45</v>
      </c>
      <c r="BL78" s="577">
        <v>50</v>
      </c>
      <c r="BM78" s="577">
        <v>60</v>
      </c>
      <c r="BN78" s="2399"/>
      <c r="BO78" s="525"/>
      <c r="BP78" s="458"/>
      <c r="BQ78" s="458"/>
      <c r="BR78" s="458"/>
      <c r="BS78" s="2461" t="s">
        <v>46</v>
      </c>
      <c r="BT78" s="2463" t="str">
        <f>IFERROR(INDEX(Liste_Ackerkulturen_Gemüse_DropDown[Ackerkulturen],_xlfn.AGGREGATE(15,6,(ROW(Liste_Ackerkulturen_Gemüse_DropDown[Ackerkulturen])-1)/(--(SEARCH(BU$2,Liste_Ackerkulturen_Gemüse_DropDown[Ackerkulturen])&gt;0)),ROW()-2),1),"")</f>
        <v>Bienentrachtbrache</v>
      </c>
      <c r="BU78" s="2463"/>
      <c r="BV78" s="2463" t="str">
        <f>IFERROR(INDEX(Liste_Ackerkulturen_Gemüse_DropDown[Ackerkulturen],_xlfn.AGGREGATE(15,6,(ROW(Liste_Ackerkulturen_Gemüse_DropDown[Ackerkulturen])-1)/(--(SEARCH(BW$2,Liste_Ackerkulturen_Gemüse_DropDown[Ackerkulturen])&gt;0)),ROW()-2),1),"")</f>
        <v>Bienentrachtbrache</v>
      </c>
      <c r="BW78" s="2463"/>
      <c r="BX78" s="2463" t="str">
        <f>IFERROR(INDEX(Liste_Ackerkulturen_Gemüse_DropDown[Ackerkulturen],_xlfn.AGGREGATE(15,6,(ROW(Liste_Ackerkulturen_Gemüse_DropDown[Ackerkulturen])-1)/(--(SEARCH(BY$2,Liste_Ackerkulturen_Gemüse_DropDown[Ackerkulturen])&gt;0)),ROW()-2),1),"")</f>
        <v>Bienentrachtbrache</v>
      </c>
      <c r="BY78" s="2463"/>
      <c r="BZ78" s="2463" t="str">
        <f>IFERROR(INDEX(Liste_Ackerkulturen_Gemüse_DropDown[Ackerkulturen],_xlfn.AGGREGATE(15,6,(ROW(Liste_Ackerkulturen_Gemüse_DropDown[Ackerkulturen])-1)/(--(SEARCH(CA$2,Liste_Ackerkulturen_Gemüse_DropDown[Ackerkulturen])&gt;0)),ROW()-2),1),"")</f>
        <v>Bienentrachtbrache</v>
      </c>
      <c r="CA78" s="2463"/>
      <c r="CB78" s="2463" t="str">
        <f>IFERROR(INDEX(Liste_Ackerkulturen_Gemüse_DropDown[Ackerkulturen],_xlfn.AGGREGATE(15,6,(ROW(Liste_Ackerkulturen_Gemüse_DropDown[Ackerkulturen])-1)/(--(SEARCH(CC$2,Liste_Ackerkulturen_Gemüse_DropDown[Ackerkulturen])&gt;0)),ROW()-2),1),"")</f>
        <v>Bienentrachtbrache</v>
      </c>
      <c r="CC78" s="2463"/>
      <c r="CD78" s="2464" t="str">
        <f>IFERROR(INDEX(Liste_Ackerkulturen_Gemüse_DropDown[Ackerkulturen],_xlfn.AGGREGATE(15,6,(ROW(Liste_Ackerkulturen_Gemüse_DropDown[Ackerkulturen])-1)/(--(SEARCH(CE$2,Liste_Ackerkulturen_Gemüse_DropDown[Ackerkulturen])&gt;0)),ROW()-2),1),"")</f>
        <v>Bienentrachtbrache</v>
      </c>
      <c r="CE78" s="2464"/>
      <c r="CF78" s="2464" t="str">
        <f>IFERROR(INDEX(Liste_Ackerkulturen_Gemüse_DropDown[Ackerkulturen],_xlfn.AGGREGATE(15,6,(ROW(Liste_Ackerkulturen_Gemüse_DropDown[Ackerkulturen])-1)/(--(SEARCH(CG$2,Liste_Ackerkulturen_Gemüse_DropDown[Ackerkulturen])&gt;0)),ROW()-2),1),"")</f>
        <v>Bienentrachtbrache</v>
      </c>
      <c r="CG78" s="2464"/>
      <c r="CH78" s="2464" t="str">
        <f>IFERROR(INDEX(Liste_Ackerkulturen_Gemüse_DropDown[Ackerkulturen],_xlfn.AGGREGATE(15,6,(ROW(Liste_Ackerkulturen_Gemüse_DropDown[Ackerkulturen])-1)/(--(SEARCH(CI$2,Liste_Ackerkulturen_Gemüse_DropDown[Ackerkulturen])&gt;0)),ROW()-2),1),"")</f>
        <v>Bienentrachtbrache</v>
      </c>
      <c r="CI78" s="2464"/>
      <c r="CJ78" s="2464" t="str">
        <f>IFERROR(INDEX(Liste_Ackerkulturen_Gemüse_DropDown[Ackerkulturen],_xlfn.AGGREGATE(15,6,(ROW(Liste_Ackerkulturen_Gemüse_DropDown[Ackerkulturen])-1)/(--(SEARCH(CK$2,Liste_Ackerkulturen_Gemüse_DropDown[Ackerkulturen])&gt;0)),ROW()-2),1),"")</f>
        <v>Bienentrachtbrache</v>
      </c>
      <c r="CK78" s="2464"/>
      <c r="CL78" s="2464" t="str">
        <f>IFERROR(INDEX(Liste_Ackerkulturen_Gemüse_DropDown[Ackerkulturen],_xlfn.AGGREGATE(15,6,(ROW(Liste_Ackerkulturen_Gemüse_DropDown[Ackerkulturen])-1)/(--(SEARCH(CM$2,Liste_Ackerkulturen_Gemüse_DropDown[Ackerkulturen])&gt;0)),ROW()-2),1),"")</f>
        <v>Bienentrachtbrache</v>
      </c>
      <c r="CM78" s="2464"/>
      <c r="CN78" s="2464" t="str">
        <f>IFERROR(INDEX(Liste_Ackerkulturen_Gemüse_DropDown[Ackerkulturen],_xlfn.AGGREGATE(15,6,(ROW(Liste_Ackerkulturen_Gemüse_DropDown[Ackerkulturen])-1)/(--(SEARCH(CO$2,Liste_Ackerkulturen_Gemüse_DropDown[Ackerkulturen])&gt;0)),ROW()-2),1),"")</f>
        <v>Bienentrachtbrache</v>
      </c>
      <c r="CO78" s="2464"/>
      <c r="CP78" s="2464" t="str">
        <f>IFERROR(INDEX(Liste_Ackerkulturen_Gemüse_DropDown[Ackerkulturen],_xlfn.AGGREGATE(15,6,(ROW(Liste_Ackerkulturen_Gemüse_DropDown[Ackerkulturen])-1)/(--(SEARCH(CQ$2,Liste_Ackerkulturen_Gemüse_DropDown[Ackerkulturen])&gt;0)),ROW()-2),1),"")</f>
        <v>Bienentrachtbrache</v>
      </c>
      <c r="CQ78" s="2464"/>
      <c r="CR78" s="2464" t="str">
        <f>IFERROR(INDEX(Liste_Ackerkulturen_Gemüse_DropDown[Ackerkulturen],_xlfn.AGGREGATE(15,6,(ROW(Liste_Ackerkulturen_Gemüse_DropDown[Ackerkulturen])-1)/(--(SEARCH(CS$2,Liste_Ackerkulturen_Gemüse_DropDown[Ackerkulturen])&gt;0)),ROW()-2),1),"")</f>
        <v>Bienentrachtbrache</v>
      </c>
      <c r="CS78" s="2464"/>
      <c r="CT78"/>
      <c r="CU78"/>
      <c r="CV78"/>
      <c r="CW78"/>
      <c r="CX78"/>
      <c r="CY78"/>
      <c r="CZ78"/>
      <c r="DA78"/>
      <c r="DB78"/>
      <c r="DC78"/>
      <c r="DD78"/>
      <c r="DE78"/>
      <c r="DF78"/>
      <c r="DG78"/>
      <c r="DH78"/>
      <c r="DN78"/>
      <c r="DO78"/>
      <c r="DP78"/>
      <c r="DQ78"/>
      <c r="DR78"/>
      <c r="DS78"/>
      <c r="DT78"/>
      <c r="DU78"/>
      <c r="DV78"/>
      <c r="DW78"/>
      <c r="DX78"/>
      <c r="DY78"/>
      <c r="DZ78"/>
      <c r="EA78"/>
      <c r="EB78"/>
      <c r="EC78"/>
      <c r="ED78"/>
      <c r="EE78"/>
      <c r="EF78"/>
      <c r="EG78"/>
      <c r="EH78"/>
      <c r="EI78"/>
      <c r="EJ78"/>
      <c r="EK78"/>
      <c r="EL78"/>
      <c r="EM78"/>
      <c r="EN78"/>
      <c r="EO78"/>
      <c r="EP78"/>
      <c r="EQ78"/>
      <c r="ER78"/>
      <c r="ES78"/>
      <c r="ET78"/>
      <c r="EU78"/>
      <c r="EV78"/>
      <c r="EW78"/>
      <c r="EX78"/>
      <c r="EY78"/>
      <c r="EZ78"/>
      <c r="FA78"/>
      <c r="FB78"/>
      <c r="FC78"/>
      <c r="FD78"/>
      <c r="FE78"/>
      <c r="FF78"/>
      <c r="FG78"/>
      <c r="FH78"/>
      <c r="FI78"/>
      <c r="FJ78"/>
      <c r="FK78"/>
      <c r="FL78"/>
      <c r="FM78"/>
      <c r="FN78"/>
      <c r="FO78"/>
      <c r="FP78"/>
      <c r="FQ78"/>
      <c r="FR78"/>
      <c r="FS78"/>
      <c r="FT78"/>
      <c r="FU78"/>
      <c r="FV78"/>
      <c r="FW78"/>
      <c r="FX78"/>
      <c r="FY78"/>
      <c r="FZ78"/>
      <c r="GA78"/>
      <c r="GB78"/>
      <c r="GC78"/>
      <c r="GD78"/>
      <c r="GE78"/>
      <c r="GF78"/>
      <c r="GG78"/>
      <c r="GH78"/>
      <c r="GI78"/>
      <c r="GJ78"/>
      <c r="GK78"/>
      <c r="GL78"/>
      <c r="GM78"/>
      <c r="GN78"/>
      <c r="GO78"/>
      <c r="GP78"/>
      <c r="GQ78"/>
      <c r="GR78"/>
      <c r="GS78"/>
      <c r="GT78"/>
      <c r="GU78"/>
      <c r="GV78"/>
      <c r="GW78"/>
      <c r="GX78"/>
      <c r="GY78"/>
      <c r="GZ78"/>
      <c r="HA78"/>
      <c r="HB78"/>
      <c r="HC78"/>
      <c r="HD78"/>
      <c r="HE78"/>
      <c r="HF78"/>
      <c r="HG78"/>
      <c r="HH78"/>
      <c r="HI78"/>
      <c r="HJ78"/>
      <c r="HK78"/>
      <c r="HL78"/>
      <c r="HM78"/>
      <c r="HN78"/>
      <c r="HO78"/>
      <c r="HP78"/>
      <c r="HQ78"/>
      <c r="HR78"/>
      <c r="HS78"/>
      <c r="HT78"/>
      <c r="HU78"/>
      <c r="HV78"/>
      <c r="HW78"/>
      <c r="HX78"/>
      <c r="HY78"/>
      <c r="HZ78"/>
      <c r="IA78"/>
      <c r="IB78"/>
      <c r="IC78"/>
      <c r="ID78"/>
      <c r="IE78"/>
      <c r="IF78"/>
      <c r="IG78"/>
      <c r="IH78"/>
      <c r="II78"/>
      <c r="IJ78"/>
      <c r="IK78"/>
      <c r="IL78"/>
      <c r="IM78"/>
      <c r="IN78"/>
      <c r="IO78"/>
      <c r="IP78"/>
      <c r="IQ78"/>
      <c r="IR78"/>
      <c r="IS78"/>
      <c r="IT78"/>
      <c r="IU78"/>
    </row>
    <row r="79" spans="3:255" ht="21" customHeight="1">
      <c r="C79" s="2615"/>
      <c r="D79" s="1548" t="s">
        <v>1067</v>
      </c>
      <c r="E79" s="1545" t="s">
        <v>1201</v>
      </c>
      <c r="F79" s="2252"/>
      <c r="G79" s="1782" t="s">
        <v>1074</v>
      </c>
      <c r="H79" s="1783">
        <v>180</v>
      </c>
      <c r="I79" s="1452" t="s">
        <v>1075</v>
      </c>
      <c r="J79" s="1451">
        <v>210</v>
      </c>
      <c r="K79" s="1527">
        <v>160</v>
      </c>
      <c r="L79" s="1528">
        <v>190</v>
      </c>
      <c r="M79" s="1546">
        <v>120</v>
      </c>
      <c r="N79" s="1453">
        <v>100</v>
      </c>
      <c r="O79" s="1451"/>
      <c r="P79" s="1783">
        <v>80</v>
      </c>
      <c r="Q79" s="1451">
        <v>90</v>
      </c>
      <c r="R79" s="1454" t="s">
        <v>1061</v>
      </c>
      <c r="S79" s="1547" t="s">
        <v>1061</v>
      </c>
      <c r="T79" s="1546">
        <v>310</v>
      </c>
      <c r="U79" s="1450">
        <v>255</v>
      </c>
      <c r="V79" s="1455"/>
      <c r="W79" s="1783">
        <v>205</v>
      </c>
      <c r="X79" s="1456">
        <v>260</v>
      </c>
      <c r="Y79" s="1454" t="s">
        <v>1061</v>
      </c>
      <c r="Z79" s="1547" t="s">
        <v>1061</v>
      </c>
      <c r="AB79" s="1542"/>
      <c r="AC79" s="1542"/>
      <c r="AD79" s="1542"/>
      <c r="AE79" s="1542"/>
      <c r="AF79" s="1279"/>
      <c r="AM79" s="2371" t="s">
        <v>45</v>
      </c>
      <c r="AN79" s="2352">
        <v>0</v>
      </c>
      <c r="AO79" s="2283"/>
      <c r="AP79" s="2352">
        <v>0</v>
      </c>
      <c r="AQ79" s="2283"/>
      <c r="AR79" s="2352">
        <v>0</v>
      </c>
      <c r="AS79" s="2283"/>
      <c r="AT79" s="2348">
        <v>0</v>
      </c>
      <c r="AU79" s="2285"/>
      <c r="AV79" s="2348">
        <v>0</v>
      </c>
      <c r="AW79" s="2285"/>
      <c r="AX79" s="2345">
        <v>0</v>
      </c>
      <c r="AY79" s="2278"/>
      <c r="AZ79" s="2350">
        <v>0</v>
      </c>
      <c r="BA79" s="2303"/>
      <c r="BE79" s="2371" t="s">
        <v>45</v>
      </c>
      <c r="BF79" s="577"/>
      <c r="BG79" s="577"/>
      <c r="BH79" s="577"/>
      <c r="BI79" s="2401"/>
      <c r="BJ79" s="2371" t="s">
        <v>45</v>
      </c>
      <c r="BK79" s="578"/>
      <c r="BL79" s="577"/>
      <c r="BM79" s="577"/>
      <c r="BN79" s="2399"/>
      <c r="BO79" s="525"/>
      <c r="BP79" s="458"/>
      <c r="BQ79" s="458"/>
      <c r="BR79" s="458"/>
      <c r="BS79" s="2461" t="s">
        <v>51</v>
      </c>
      <c r="BT79" s="2463" t="str">
        <f>IFERROR(INDEX(Liste_Ackerkulturen_Gemüse_DropDown[Ackerkulturen],_xlfn.AGGREGATE(15,6,(ROW(Liste_Ackerkulturen_Gemüse_DropDown[Ackerkulturen])-1)/(--(SEARCH(BU$2,Liste_Ackerkulturen_Gemüse_DropDown[Ackerkulturen])&gt;0)),ROW()-2),1),"")</f>
        <v>Bitterlupinen</v>
      </c>
      <c r="BU79" s="2463"/>
      <c r="BV79" s="2463" t="str">
        <f>IFERROR(INDEX(Liste_Ackerkulturen_Gemüse_DropDown[Ackerkulturen],_xlfn.AGGREGATE(15,6,(ROW(Liste_Ackerkulturen_Gemüse_DropDown[Ackerkulturen])-1)/(--(SEARCH(BW$2,Liste_Ackerkulturen_Gemüse_DropDown[Ackerkulturen])&gt;0)),ROW()-2),1),"")</f>
        <v>Bitterlupinen</v>
      </c>
      <c r="BW79" s="2463"/>
      <c r="BX79" s="2463" t="str">
        <f>IFERROR(INDEX(Liste_Ackerkulturen_Gemüse_DropDown[Ackerkulturen],_xlfn.AGGREGATE(15,6,(ROW(Liste_Ackerkulturen_Gemüse_DropDown[Ackerkulturen])-1)/(--(SEARCH(BY$2,Liste_Ackerkulturen_Gemüse_DropDown[Ackerkulturen])&gt;0)),ROW()-2),1),"")</f>
        <v>Bitterlupinen</v>
      </c>
      <c r="BY79" s="2463"/>
      <c r="BZ79" s="2463" t="str">
        <f>IFERROR(INDEX(Liste_Ackerkulturen_Gemüse_DropDown[Ackerkulturen],_xlfn.AGGREGATE(15,6,(ROW(Liste_Ackerkulturen_Gemüse_DropDown[Ackerkulturen])-1)/(--(SEARCH(CA$2,Liste_Ackerkulturen_Gemüse_DropDown[Ackerkulturen])&gt;0)),ROW()-2),1),"")</f>
        <v>Bitterlupinen</v>
      </c>
      <c r="CA79" s="2463"/>
      <c r="CB79" s="2463" t="str">
        <f>IFERROR(INDEX(Liste_Ackerkulturen_Gemüse_DropDown[Ackerkulturen],_xlfn.AGGREGATE(15,6,(ROW(Liste_Ackerkulturen_Gemüse_DropDown[Ackerkulturen])-1)/(--(SEARCH(CC$2,Liste_Ackerkulturen_Gemüse_DropDown[Ackerkulturen])&gt;0)),ROW()-2),1),"")</f>
        <v>Bitterlupinen</v>
      </c>
      <c r="CC79" s="2463"/>
      <c r="CD79" s="2464" t="str">
        <f>IFERROR(INDEX(Liste_Ackerkulturen_Gemüse_DropDown[Ackerkulturen],_xlfn.AGGREGATE(15,6,(ROW(Liste_Ackerkulturen_Gemüse_DropDown[Ackerkulturen])-1)/(--(SEARCH(CE$2,Liste_Ackerkulturen_Gemüse_DropDown[Ackerkulturen])&gt;0)),ROW()-2),1),"")</f>
        <v>Bitterlupinen</v>
      </c>
      <c r="CE79" s="2464"/>
      <c r="CF79" s="2464" t="str">
        <f>IFERROR(INDEX(Liste_Ackerkulturen_Gemüse_DropDown[Ackerkulturen],_xlfn.AGGREGATE(15,6,(ROW(Liste_Ackerkulturen_Gemüse_DropDown[Ackerkulturen])-1)/(--(SEARCH(CG$2,Liste_Ackerkulturen_Gemüse_DropDown[Ackerkulturen])&gt;0)),ROW()-2),1),"")</f>
        <v>Bitterlupinen</v>
      </c>
      <c r="CG79" s="2464"/>
      <c r="CH79" s="2464" t="str">
        <f>IFERROR(INDEX(Liste_Ackerkulturen_Gemüse_DropDown[Ackerkulturen],_xlfn.AGGREGATE(15,6,(ROW(Liste_Ackerkulturen_Gemüse_DropDown[Ackerkulturen])-1)/(--(SEARCH(CI$2,Liste_Ackerkulturen_Gemüse_DropDown[Ackerkulturen])&gt;0)),ROW()-2),1),"")</f>
        <v>Bitterlupinen</v>
      </c>
      <c r="CI79" s="2464"/>
      <c r="CJ79" s="2464" t="str">
        <f>IFERROR(INDEX(Liste_Ackerkulturen_Gemüse_DropDown[Ackerkulturen],_xlfn.AGGREGATE(15,6,(ROW(Liste_Ackerkulturen_Gemüse_DropDown[Ackerkulturen])-1)/(--(SEARCH(CK$2,Liste_Ackerkulturen_Gemüse_DropDown[Ackerkulturen])&gt;0)),ROW()-2),1),"")</f>
        <v>Bitterlupinen</v>
      </c>
      <c r="CK79" s="2464"/>
      <c r="CL79" s="2464" t="str">
        <f>IFERROR(INDEX(Liste_Ackerkulturen_Gemüse_DropDown[Ackerkulturen],_xlfn.AGGREGATE(15,6,(ROW(Liste_Ackerkulturen_Gemüse_DropDown[Ackerkulturen])-1)/(--(SEARCH(CM$2,Liste_Ackerkulturen_Gemüse_DropDown[Ackerkulturen])&gt;0)),ROW()-2),1),"")</f>
        <v>Bitterlupinen</v>
      </c>
      <c r="CM79" s="2464"/>
      <c r="CN79" s="2464" t="str">
        <f>IFERROR(INDEX(Liste_Ackerkulturen_Gemüse_DropDown[Ackerkulturen],_xlfn.AGGREGATE(15,6,(ROW(Liste_Ackerkulturen_Gemüse_DropDown[Ackerkulturen])-1)/(--(SEARCH(CO$2,Liste_Ackerkulturen_Gemüse_DropDown[Ackerkulturen])&gt;0)),ROW()-2),1),"")</f>
        <v>Bitterlupinen</v>
      </c>
      <c r="CO79" s="2464"/>
      <c r="CP79" s="2464" t="str">
        <f>IFERROR(INDEX(Liste_Ackerkulturen_Gemüse_DropDown[Ackerkulturen],_xlfn.AGGREGATE(15,6,(ROW(Liste_Ackerkulturen_Gemüse_DropDown[Ackerkulturen])-1)/(--(SEARCH(CQ$2,Liste_Ackerkulturen_Gemüse_DropDown[Ackerkulturen])&gt;0)),ROW()-2),1),"")</f>
        <v>Bitterlupinen</v>
      </c>
      <c r="CQ79" s="2464"/>
      <c r="CR79" s="2464" t="str">
        <f>IFERROR(INDEX(Liste_Ackerkulturen_Gemüse_DropDown[Ackerkulturen],_xlfn.AGGREGATE(15,6,(ROW(Liste_Ackerkulturen_Gemüse_DropDown[Ackerkulturen])-1)/(--(SEARCH(CS$2,Liste_Ackerkulturen_Gemüse_DropDown[Ackerkulturen])&gt;0)),ROW()-2),1),"")</f>
        <v>Bitterlupinen</v>
      </c>
      <c r="CS79" s="2464"/>
      <c r="CT79"/>
      <c r="CU79"/>
      <c r="CV79"/>
      <c r="CW79"/>
      <c r="CX79"/>
      <c r="CY79"/>
      <c r="CZ79"/>
      <c r="DA79"/>
      <c r="DB79"/>
      <c r="DC79"/>
      <c r="DD79"/>
      <c r="DE79"/>
      <c r="DF79"/>
      <c r="DG79"/>
      <c r="DH79"/>
      <c r="DN79"/>
      <c r="DO79"/>
      <c r="DP79"/>
      <c r="DQ79"/>
      <c r="DR79"/>
      <c r="DS79"/>
      <c r="DT79"/>
      <c r="DU79"/>
      <c r="DV79"/>
      <c r="DW79"/>
      <c r="DX79"/>
      <c r="DY79"/>
      <c r="DZ79"/>
      <c r="EA79"/>
      <c r="EB79"/>
      <c r="EC79"/>
      <c r="ED79"/>
      <c r="EE79"/>
      <c r="EF79"/>
      <c r="EG79"/>
      <c r="EH79"/>
      <c r="EI79"/>
      <c r="EJ79"/>
      <c r="EK79"/>
      <c r="EL79"/>
      <c r="EM79"/>
      <c r="EN79"/>
      <c r="EO79"/>
      <c r="EP79"/>
      <c r="EQ79"/>
      <c r="ER79"/>
      <c r="ES79"/>
      <c r="ET79"/>
      <c r="EU79"/>
      <c r="EV79"/>
      <c r="EW79"/>
      <c r="EX79"/>
      <c r="EY79"/>
      <c r="EZ79"/>
      <c r="FA79"/>
      <c r="FB79"/>
      <c r="FC79"/>
      <c r="FD79"/>
      <c r="FE79"/>
      <c r="FF79"/>
      <c r="FG79"/>
      <c r="FH79"/>
      <c r="FI79"/>
      <c r="FJ79"/>
      <c r="FK79"/>
      <c r="FL79"/>
      <c r="FM79"/>
      <c r="FN79"/>
      <c r="FO79"/>
      <c r="FP79"/>
      <c r="FQ79"/>
      <c r="FR79"/>
      <c r="FS79"/>
      <c r="FT79"/>
      <c r="FU79"/>
      <c r="FV79"/>
      <c r="FW79"/>
      <c r="FX79"/>
      <c r="FY79"/>
      <c r="FZ79"/>
      <c r="GA79"/>
      <c r="GB79"/>
      <c r="GC79"/>
      <c r="GD79"/>
      <c r="GE79"/>
      <c r="GF79"/>
      <c r="GG79"/>
      <c r="GH79"/>
      <c r="GI79"/>
      <c r="GJ79"/>
      <c r="GK79"/>
      <c r="GL79"/>
      <c r="GM79"/>
      <c r="GN79"/>
      <c r="GO79"/>
      <c r="GP79"/>
      <c r="GQ79"/>
      <c r="GR79"/>
      <c r="GS79"/>
      <c r="GT79"/>
      <c r="GU79"/>
      <c r="GV79"/>
      <c r="GW79"/>
      <c r="GX79"/>
      <c r="GY79"/>
      <c r="GZ79"/>
      <c r="HA79"/>
      <c r="HB79"/>
      <c r="HC79"/>
      <c r="HD79"/>
      <c r="HE79"/>
      <c r="HF79"/>
      <c r="HG79"/>
      <c r="HH79"/>
      <c r="HI79"/>
      <c r="HJ79"/>
      <c r="HK79"/>
      <c r="HL79"/>
      <c r="HM79"/>
      <c r="HN79"/>
      <c r="HO79"/>
      <c r="HP79"/>
      <c r="HQ79"/>
      <c r="HR79"/>
      <c r="HS79"/>
      <c r="HT79"/>
      <c r="HU79"/>
      <c r="HV79"/>
      <c r="HW79"/>
      <c r="HX79"/>
      <c r="HY79"/>
      <c r="HZ79"/>
      <c r="IA79"/>
      <c r="IB79"/>
      <c r="IC79"/>
      <c r="ID79"/>
      <c r="IE79"/>
      <c r="IF79"/>
      <c r="IG79"/>
      <c r="IH79"/>
      <c r="II79"/>
      <c r="IJ79"/>
      <c r="IK79"/>
      <c r="IL79"/>
      <c r="IM79"/>
      <c r="IN79"/>
      <c r="IO79"/>
      <c r="IP79"/>
      <c r="IQ79"/>
      <c r="IR79"/>
      <c r="IS79"/>
      <c r="IT79"/>
      <c r="IU79"/>
    </row>
    <row r="80" spans="3:255" ht="21" customHeight="1">
      <c r="C80" s="2615"/>
      <c r="D80" s="1548" t="s">
        <v>1068</v>
      </c>
      <c r="E80" s="1545" t="s">
        <v>1201</v>
      </c>
      <c r="F80" s="2252"/>
      <c r="G80" s="1782" t="s">
        <v>1076</v>
      </c>
      <c r="H80" s="1783">
        <v>180</v>
      </c>
      <c r="I80" s="1452" t="s">
        <v>1077</v>
      </c>
      <c r="J80" s="1451">
        <v>280</v>
      </c>
      <c r="K80" s="1527">
        <v>210</v>
      </c>
      <c r="L80" s="1528">
        <v>210</v>
      </c>
      <c r="M80" s="1546">
        <v>130</v>
      </c>
      <c r="N80" s="1453">
        <v>105</v>
      </c>
      <c r="O80" s="1451"/>
      <c r="P80" s="1783">
        <v>85</v>
      </c>
      <c r="Q80" s="1451">
        <v>105</v>
      </c>
      <c r="R80" s="1454" t="s">
        <v>1061</v>
      </c>
      <c r="S80" s="1547" t="s">
        <v>1061</v>
      </c>
      <c r="T80" s="1546">
        <v>345</v>
      </c>
      <c r="U80" s="1450">
        <v>290</v>
      </c>
      <c r="V80" s="1455"/>
      <c r="W80" s="1783">
        <v>230</v>
      </c>
      <c r="X80" s="1456">
        <v>300</v>
      </c>
      <c r="Y80" s="1454" t="s">
        <v>1061</v>
      </c>
      <c r="Z80" s="1547" t="s">
        <v>1061</v>
      </c>
      <c r="AB80" s="1542"/>
      <c r="AC80" s="1542"/>
      <c r="AD80" s="1542"/>
      <c r="AE80" s="1542"/>
      <c r="AF80" s="1279"/>
      <c r="AM80" s="2371" t="s">
        <v>46</v>
      </c>
      <c r="AN80" s="2352">
        <v>60</v>
      </c>
      <c r="AO80" s="2283" t="s">
        <v>2002</v>
      </c>
      <c r="AP80" s="2352">
        <v>60</v>
      </c>
      <c r="AQ80" s="2283" t="s">
        <v>47</v>
      </c>
      <c r="AR80" s="2352">
        <v>60</v>
      </c>
      <c r="AS80" s="2283" t="s">
        <v>48</v>
      </c>
      <c r="AT80" s="2348">
        <v>60</v>
      </c>
      <c r="AU80" s="2285" t="s">
        <v>49</v>
      </c>
      <c r="AV80" s="2348">
        <v>60</v>
      </c>
      <c r="AW80" s="2285" t="s">
        <v>50</v>
      </c>
      <c r="AX80" s="2345">
        <v>0</v>
      </c>
      <c r="AY80" s="2278" t="s">
        <v>47</v>
      </c>
      <c r="AZ80" s="2350">
        <v>0</v>
      </c>
      <c r="BA80" s="2303" t="s">
        <v>2322</v>
      </c>
      <c r="BE80" s="2371" t="s">
        <v>46</v>
      </c>
      <c r="BF80" s="577">
        <v>60</v>
      </c>
      <c r="BG80" s="577">
        <v>65</v>
      </c>
      <c r="BH80" s="577">
        <v>75</v>
      </c>
      <c r="BI80" s="2401"/>
      <c r="BJ80" s="2371" t="s">
        <v>46</v>
      </c>
      <c r="BK80" s="578">
        <v>90</v>
      </c>
      <c r="BL80" s="577">
        <v>100</v>
      </c>
      <c r="BM80" s="577">
        <v>115</v>
      </c>
      <c r="BN80" s="2399"/>
      <c r="BO80" s="525"/>
      <c r="BP80" s="458"/>
      <c r="BQ80" s="458"/>
      <c r="BR80" s="458"/>
      <c r="BS80" s="2461" t="s">
        <v>53</v>
      </c>
      <c r="BT80" s="2463" t="str">
        <f>IFERROR(INDEX(Liste_Ackerkulturen_Gemüse_DropDown[Ackerkulturen],_xlfn.AGGREGATE(15,6,(ROW(Liste_Ackerkulturen_Gemüse_DropDown[Ackerkulturen])-1)/(--(SEARCH(BU$2,Liste_Ackerkulturen_Gemüse_DropDown[Ackerkulturen])&gt;0)),ROW()-2),1),"")</f>
        <v>Buchweizen</v>
      </c>
      <c r="BU80" s="2463"/>
      <c r="BV80" s="2463" t="str">
        <f>IFERROR(INDEX(Liste_Ackerkulturen_Gemüse_DropDown[Ackerkulturen],_xlfn.AGGREGATE(15,6,(ROW(Liste_Ackerkulturen_Gemüse_DropDown[Ackerkulturen])-1)/(--(SEARCH(BW$2,Liste_Ackerkulturen_Gemüse_DropDown[Ackerkulturen])&gt;0)),ROW()-2),1),"")</f>
        <v>Buchweizen</v>
      </c>
      <c r="BW80" s="2463"/>
      <c r="BX80" s="2463" t="str">
        <f>IFERROR(INDEX(Liste_Ackerkulturen_Gemüse_DropDown[Ackerkulturen],_xlfn.AGGREGATE(15,6,(ROW(Liste_Ackerkulturen_Gemüse_DropDown[Ackerkulturen])-1)/(--(SEARCH(BY$2,Liste_Ackerkulturen_Gemüse_DropDown[Ackerkulturen])&gt;0)),ROW()-2),1),"")</f>
        <v>Buchweizen</v>
      </c>
      <c r="BY80" s="2463"/>
      <c r="BZ80" s="2463" t="str">
        <f>IFERROR(INDEX(Liste_Ackerkulturen_Gemüse_DropDown[Ackerkulturen],_xlfn.AGGREGATE(15,6,(ROW(Liste_Ackerkulturen_Gemüse_DropDown[Ackerkulturen])-1)/(--(SEARCH(CA$2,Liste_Ackerkulturen_Gemüse_DropDown[Ackerkulturen])&gt;0)),ROW()-2),1),"")</f>
        <v>Buchweizen</v>
      </c>
      <c r="CA80" s="2463"/>
      <c r="CB80" s="2463" t="str">
        <f>IFERROR(INDEX(Liste_Ackerkulturen_Gemüse_DropDown[Ackerkulturen],_xlfn.AGGREGATE(15,6,(ROW(Liste_Ackerkulturen_Gemüse_DropDown[Ackerkulturen])-1)/(--(SEARCH(CC$2,Liste_Ackerkulturen_Gemüse_DropDown[Ackerkulturen])&gt;0)),ROW()-2),1),"")</f>
        <v>Buchweizen</v>
      </c>
      <c r="CC80" s="2463"/>
      <c r="CD80" s="2464" t="str">
        <f>IFERROR(INDEX(Liste_Ackerkulturen_Gemüse_DropDown[Ackerkulturen],_xlfn.AGGREGATE(15,6,(ROW(Liste_Ackerkulturen_Gemüse_DropDown[Ackerkulturen])-1)/(--(SEARCH(CE$2,Liste_Ackerkulturen_Gemüse_DropDown[Ackerkulturen])&gt;0)),ROW()-2),1),"")</f>
        <v>Buchweizen</v>
      </c>
      <c r="CE80" s="2464"/>
      <c r="CF80" s="2464" t="str">
        <f>IFERROR(INDEX(Liste_Ackerkulturen_Gemüse_DropDown[Ackerkulturen],_xlfn.AGGREGATE(15,6,(ROW(Liste_Ackerkulturen_Gemüse_DropDown[Ackerkulturen])-1)/(--(SEARCH(CG$2,Liste_Ackerkulturen_Gemüse_DropDown[Ackerkulturen])&gt;0)),ROW()-2),1),"")</f>
        <v>Buchweizen</v>
      </c>
      <c r="CG80" s="2464"/>
      <c r="CH80" s="2464" t="str">
        <f>IFERROR(INDEX(Liste_Ackerkulturen_Gemüse_DropDown[Ackerkulturen],_xlfn.AGGREGATE(15,6,(ROW(Liste_Ackerkulturen_Gemüse_DropDown[Ackerkulturen])-1)/(--(SEARCH(CI$2,Liste_Ackerkulturen_Gemüse_DropDown[Ackerkulturen])&gt;0)),ROW()-2),1),"")</f>
        <v>Buchweizen</v>
      </c>
      <c r="CI80" s="2464"/>
      <c r="CJ80" s="2464" t="str">
        <f>IFERROR(INDEX(Liste_Ackerkulturen_Gemüse_DropDown[Ackerkulturen],_xlfn.AGGREGATE(15,6,(ROW(Liste_Ackerkulturen_Gemüse_DropDown[Ackerkulturen])-1)/(--(SEARCH(CK$2,Liste_Ackerkulturen_Gemüse_DropDown[Ackerkulturen])&gt;0)),ROW()-2),1),"")</f>
        <v>Buchweizen</v>
      </c>
      <c r="CK80" s="2464"/>
      <c r="CL80" s="2464" t="str">
        <f>IFERROR(INDEX(Liste_Ackerkulturen_Gemüse_DropDown[Ackerkulturen],_xlfn.AGGREGATE(15,6,(ROW(Liste_Ackerkulturen_Gemüse_DropDown[Ackerkulturen])-1)/(--(SEARCH(CM$2,Liste_Ackerkulturen_Gemüse_DropDown[Ackerkulturen])&gt;0)),ROW()-2),1),"")</f>
        <v>Buchweizen</v>
      </c>
      <c r="CM80" s="2464"/>
      <c r="CN80" s="2464" t="str">
        <f>IFERROR(INDEX(Liste_Ackerkulturen_Gemüse_DropDown[Ackerkulturen],_xlfn.AGGREGATE(15,6,(ROW(Liste_Ackerkulturen_Gemüse_DropDown[Ackerkulturen])-1)/(--(SEARCH(CO$2,Liste_Ackerkulturen_Gemüse_DropDown[Ackerkulturen])&gt;0)),ROW()-2),1),"")</f>
        <v>Buchweizen</v>
      </c>
      <c r="CO80" s="2464"/>
      <c r="CP80" s="2464" t="str">
        <f>IFERROR(INDEX(Liste_Ackerkulturen_Gemüse_DropDown[Ackerkulturen],_xlfn.AGGREGATE(15,6,(ROW(Liste_Ackerkulturen_Gemüse_DropDown[Ackerkulturen])-1)/(--(SEARCH(CQ$2,Liste_Ackerkulturen_Gemüse_DropDown[Ackerkulturen])&gt;0)),ROW()-2),1),"")</f>
        <v>Buchweizen</v>
      </c>
      <c r="CQ80" s="2464"/>
      <c r="CR80" s="2464" t="str">
        <f>IFERROR(INDEX(Liste_Ackerkulturen_Gemüse_DropDown[Ackerkulturen],_xlfn.AGGREGATE(15,6,(ROW(Liste_Ackerkulturen_Gemüse_DropDown[Ackerkulturen])-1)/(--(SEARCH(CS$2,Liste_Ackerkulturen_Gemüse_DropDown[Ackerkulturen])&gt;0)),ROW()-2),1),"")</f>
        <v>Buchweizen</v>
      </c>
      <c r="CS80" s="2464"/>
      <c r="CT80"/>
      <c r="CU80"/>
      <c r="CV80"/>
      <c r="CW80"/>
      <c r="CX80"/>
      <c r="CY80"/>
      <c r="CZ80"/>
      <c r="DA80"/>
      <c r="DB80"/>
      <c r="DC80"/>
      <c r="DD80"/>
      <c r="DE80"/>
      <c r="DF80"/>
      <c r="DG80"/>
      <c r="DH80"/>
      <c r="DN80"/>
      <c r="DO80"/>
      <c r="DP80"/>
      <c r="DQ80"/>
      <c r="DR80"/>
      <c r="DS80"/>
      <c r="DT80"/>
      <c r="DU80"/>
      <c r="DV80"/>
      <c r="DW80"/>
      <c r="DX80"/>
      <c r="DY80"/>
      <c r="DZ80"/>
      <c r="EA80"/>
      <c r="EB80"/>
      <c r="EC80"/>
      <c r="ED80"/>
      <c r="EE80"/>
      <c r="EF80"/>
      <c r="EG80"/>
      <c r="EH80"/>
      <c r="EI80"/>
      <c r="EJ80"/>
      <c r="EK80"/>
      <c r="EL80"/>
      <c r="EM80"/>
      <c r="EN80"/>
      <c r="EO80"/>
      <c r="EP80"/>
      <c r="EQ80"/>
      <c r="ER80"/>
      <c r="ES80"/>
      <c r="ET80"/>
      <c r="EU80"/>
      <c r="EV80"/>
      <c r="EW80"/>
      <c r="EX80"/>
      <c r="EY80"/>
      <c r="EZ80"/>
      <c r="FA80"/>
      <c r="FB80"/>
      <c r="FC80"/>
      <c r="FD80"/>
      <c r="FE80"/>
      <c r="FF80"/>
      <c r="FG80"/>
      <c r="FH80"/>
      <c r="FI80"/>
      <c r="FJ80"/>
      <c r="FK80"/>
      <c r="FL80"/>
      <c r="FM80"/>
      <c r="FN80"/>
      <c r="FO80"/>
      <c r="FP80"/>
      <c r="FQ80"/>
      <c r="FR80"/>
      <c r="FS80"/>
      <c r="FT80"/>
      <c r="FU80"/>
      <c r="FV80"/>
      <c r="FW80"/>
      <c r="FX80"/>
      <c r="FY80"/>
      <c r="FZ80"/>
      <c r="GA80"/>
      <c r="GB80"/>
      <c r="GC80"/>
      <c r="GD80"/>
      <c r="GE80"/>
      <c r="GF80"/>
      <c r="GG80"/>
      <c r="GH80"/>
      <c r="GI80"/>
      <c r="GJ80"/>
      <c r="GK80"/>
      <c r="GL80"/>
      <c r="GM80"/>
      <c r="GN80"/>
      <c r="GO80"/>
      <c r="GP80"/>
      <c r="GQ80"/>
      <c r="GR80"/>
      <c r="GS80"/>
      <c r="GT80"/>
      <c r="GU80"/>
      <c r="GV80"/>
      <c r="GW80"/>
      <c r="GX80"/>
      <c r="GY80"/>
      <c r="GZ80"/>
      <c r="HA80"/>
      <c r="HB80"/>
      <c r="HC80"/>
      <c r="HD80"/>
      <c r="HE80"/>
      <c r="HF80"/>
      <c r="HG80"/>
      <c r="HH80"/>
      <c r="HI80"/>
      <c r="HJ80"/>
      <c r="HK80"/>
      <c r="HL80"/>
      <c r="HM80"/>
      <c r="HN80"/>
      <c r="HO80"/>
      <c r="HP80"/>
      <c r="HQ80"/>
      <c r="HR80"/>
      <c r="HS80"/>
      <c r="HT80"/>
      <c r="HU80"/>
      <c r="HV80"/>
      <c r="HW80"/>
      <c r="HX80"/>
      <c r="HY80"/>
      <c r="HZ80"/>
      <c r="IA80"/>
      <c r="IB80"/>
      <c r="IC80"/>
      <c r="ID80"/>
      <c r="IE80"/>
      <c r="IF80"/>
      <c r="IG80"/>
      <c r="IH80"/>
      <c r="II80"/>
      <c r="IJ80"/>
      <c r="IK80"/>
      <c r="IL80"/>
      <c r="IM80"/>
      <c r="IN80"/>
      <c r="IO80"/>
      <c r="IP80"/>
      <c r="IQ80"/>
      <c r="IR80"/>
      <c r="IS80"/>
      <c r="IT80"/>
      <c r="IU80"/>
    </row>
    <row r="81" spans="1:255" ht="21" customHeight="1">
      <c r="C81" s="2615"/>
      <c r="D81" s="1548" t="s">
        <v>1069</v>
      </c>
      <c r="E81" s="1549"/>
      <c r="F81" s="2252"/>
      <c r="G81" s="1782" t="s">
        <v>1201</v>
      </c>
      <c r="H81" s="1783"/>
      <c r="I81" s="1452" t="s">
        <v>1078</v>
      </c>
      <c r="J81" s="1451">
        <v>280</v>
      </c>
      <c r="K81" s="1527">
        <v>210</v>
      </c>
      <c r="L81" s="1528">
        <v>210</v>
      </c>
      <c r="M81" s="1546"/>
      <c r="N81" s="1453"/>
      <c r="O81" s="1451"/>
      <c r="P81" s="1783"/>
      <c r="Q81" s="1451">
        <v>120</v>
      </c>
      <c r="R81" s="1454" t="s">
        <v>1061</v>
      </c>
      <c r="S81" s="1547" t="s">
        <v>1061</v>
      </c>
      <c r="T81" s="1546"/>
      <c r="U81" s="1450"/>
      <c r="V81" s="1455"/>
      <c r="W81" s="1783"/>
      <c r="X81" s="1456">
        <v>340</v>
      </c>
      <c r="Y81" s="1454" t="s">
        <v>1061</v>
      </c>
      <c r="Z81" s="1547" t="s">
        <v>1061</v>
      </c>
      <c r="AB81" s="1542"/>
      <c r="AC81" s="1542"/>
      <c r="AD81" s="1542"/>
      <c r="AE81" s="1542"/>
      <c r="AF81" s="1279"/>
      <c r="AM81" s="2371" t="s">
        <v>51</v>
      </c>
      <c r="AN81" s="2352">
        <v>50</v>
      </c>
      <c r="AO81" s="2283" t="s">
        <v>52</v>
      </c>
      <c r="AP81" s="2352">
        <v>50</v>
      </c>
      <c r="AQ81" s="2283" t="s">
        <v>42</v>
      </c>
      <c r="AR81" s="2352">
        <v>50</v>
      </c>
      <c r="AS81" s="2283" t="s">
        <v>43</v>
      </c>
      <c r="AT81" s="2348">
        <v>50</v>
      </c>
      <c r="AU81" s="2285" t="s">
        <v>449</v>
      </c>
      <c r="AV81" s="2348">
        <v>50</v>
      </c>
      <c r="AW81" s="2285" t="s">
        <v>452</v>
      </c>
      <c r="AX81" s="2345">
        <v>50</v>
      </c>
      <c r="AY81" s="2278" t="s">
        <v>42</v>
      </c>
      <c r="AZ81" s="2350">
        <v>50</v>
      </c>
      <c r="BA81" s="2303" t="s">
        <v>2323</v>
      </c>
      <c r="BE81" s="2371" t="s">
        <v>51</v>
      </c>
      <c r="BF81" s="577">
        <v>50</v>
      </c>
      <c r="BG81" s="577">
        <v>55</v>
      </c>
      <c r="BH81" s="577">
        <v>65</v>
      </c>
      <c r="BI81" s="2401"/>
      <c r="BJ81" s="2371" t="s">
        <v>51</v>
      </c>
      <c r="BK81" s="578">
        <v>45</v>
      </c>
      <c r="BL81" s="577">
        <v>50</v>
      </c>
      <c r="BM81" s="577">
        <v>60</v>
      </c>
      <c r="BN81" s="2399"/>
      <c r="BO81" s="525"/>
      <c r="BP81" s="458"/>
      <c r="BQ81" s="458"/>
      <c r="BR81" s="458"/>
      <c r="BS81" s="2461" t="s">
        <v>56</v>
      </c>
      <c r="BT81" s="2463" t="str">
        <f>IFERROR(INDEX(Liste_Ackerkulturen_Gemüse_DropDown[Ackerkulturen],_xlfn.AGGREGATE(15,6,(ROW(Liste_Ackerkulturen_Gemüse_DropDown[Ackerkulturen])-1)/(--(SEARCH(BU$2,Liste_Ackerkulturen_Gemüse_DropDown[Ackerkulturen])&gt;0)),ROW()-2),1),"")</f>
        <v>Elefantengras (Chinaschilf, Miscanthus sinensis)</v>
      </c>
      <c r="BU81" s="2463"/>
      <c r="BV81" s="2463" t="str">
        <f>IFERROR(INDEX(Liste_Ackerkulturen_Gemüse_DropDown[Ackerkulturen],_xlfn.AGGREGATE(15,6,(ROW(Liste_Ackerkulturen_Gemüse_DropDown[Ackerkulturen])-1)/(--(SEARCH(BW$2,Liste_Ackerkulturen_Gemüse_DropDown[Ackerkulturen])&gt;0)),ROW()-2),1),"")</f>
        <v>Elefantengras (Chinaschilf, Miscanthus sinensis)</v>
      </c>
      <c r="BW81" s="2463"/>
      <c r="BX81" s="2463" t="str">
        <f>IFERROR(INDEX(Liste_Ackerkulturen_Gemüse_DropDown[Ackerkulturen],_xlfn.AGGREGATE(15,6,(ROW(Liste_Ackerkulturen_Gemüse_DropDown[Ackerkulturen])-1)/(--(SEARCH(BY$2,Liste_Ackerkulturen_Gemüse_DropDown[Ackerkulturen])&gt;0)),ROW()-2),1),"")</f>
        <v>Elefantengras (Chinaschilf, Miscanthus sinensis)</v>
      </c>
      <c r="BY81" s="2463"/>
      <c r="BZ81" s="2463" t="str">
        <f>IFERROR(INDEX(Liste_Ackerkulturen_Gemüse_DropDown[Ackerkulturen],_xlfn.AGGREGATE(15,6,(ROW(Liste_Ackerkulturen_Gemüse_DropDown[Ackerkulturen])-1)/(--(SEARCH(CA$2,Liste_Ackerkulturen_Gemüse_DropDown[Ackerkulturen])&gt;0)),ROW()-2),1),"")</f>
        <v>Elefantengras (Chinaschilf, Miscanthus sinensis)</v>
      </c>
      <c r="CA81" s="2463"/>
      <c r="CB81" s="2463" t="str">
        <f>IFERROR(INDEX(Liste_Ackerkulturen_Gemüse_DropDown[Ackerkulturen],_xlfn.AGGREGATE(15,6,(ROW(Liste_Ackerkulturen_Gemüse_DropDown[Ackerkulturen])-1)/(--(SEARCH(CC$2,Liste_Ackerkulturen_Gemüse_DropDown[Ackerkulturen])&gt;0)),ROW()-2),1),"")</f>
        <v>Elefantengras (Chinaschilf, Miscanthus sinensis)</v>
      </c>
      <c r="CC81" s="2463"/>
      <c r="CD81" s="2464" t="str">
        <f>IFERROR(INDEX(Liste_Ackerkulturen_Gemüse_DropDown[Ackerkulturen],_xlfn.AGGREGATE(15,6,(ROW(Liste_Ackerkulturen_Gemüse_DropDown[Ackerkulturen])-1)/(--(SEARCH(CE$2,Liste_Ackerkulturen_Gemüse_DropDown[Ackerkulturen])&gt;0)),ROW()-2),1),"")</f>
        <v>Elefantengras (Chinaschilf, Miscanthus sinensis)</v>
      </c>
      <c r="CE81" s="2464"/>
      <c r="CF81" s="2464" t="str">
        <f>IFERROR(INDEX(Liste_Ackerkulturen_Gemüse_DropDown[Ackerkulturen],_xlfn.AGGREGATE(15,6,(ROW(Liste_Ackerkulturen_Gemüse_DropDown[Ackerkulturen])-1)/(--(SEARCH(CG$2,Liste_Ackerkulturen_Gemüse_DropDown[Ackerkulturen])&gt;0)),ROW()-2),1),"")</f>
        <v>Elefantengras (Chinaschilf, Miscanthus sinensis)</v>
      </c>
      <c r="CG81" s="2464"/>
      <c r="CH81" s="2464" t="str">
        <f>IFERROR(INDEX(Liste_Ackerkulturen_Gemüse_DropDown[Ackerkulturen],_xlfn.AGGREGATE(15,6,(ROW(Liste_Ackerkulturen_Gemüse_DropDown[Ackerkulturen])-1)/(--(SEARCH(CI$2,Liste_Ackerkulturen_Gemüse_DropDown[Ackerkulturen])&gt;0)),ROW()-2),1),"")</f>
        <v>Elefantengras (Chinaschilf, Miscanthus sinensis)</v>
      </c>
      <c r="CI81" s="2464"/>
      <c r="CJ81" s="2464" t="str">
        <f>IFERROR(INDEX(Liste_Ackerkulturen_Gemüse_DropDown[Ackerkulturen],_xlfn.AGGREGATE(15,6,(ROW(Liste_Ackerkulturen_Gemüse_DropDown[Ackerkulturen])-1)/(--(SEARCH(CK$2,Liste_Ackerkulturen_Gemüse_DropDown[Ackerkulturen])&gt;0)),ROW()-2),1),"")</f>
        <v>Elefantengras (Chinaschilf, Miscanthus sinensis)</v>
      </c>
      <c r="CK81" s="2464"/>
      <c r="CL81" s="2464" t="str">
        <f>IFERROR(INDEX(Liste_Ackerkulturen_Gemüse_DropDown[Ackerkulturen],_xlfn.AGGREGATE(15,6,(ROW(Liste_Ackerkulturen_Gemüse_DropDown[Ackerkulturen])-1)/(--(SEARCH(CM$2,Liste_Ackerkulturen_Gemüse_DropDown[Ackerkulturen])&gt;0)),ROW()-2),1),"")</f>
        <v>Elefantengras (Chinaschilf, Miscanthus sinensis)</v>
      </c>
      <c r="CM81" s="2464"/>
      <c r="CN81" s="2464" t="str">
        <f>IFERROR(INDEX(Liste_Ackerkulturen_Gemüse_DropDown[Ackerkulturen],_xlfn.AGGREGATE(15,6,(ROW(Liste_Ackerkulturen_Gemüse_DropDown[Ackerkulturen])-1)/(--(SEARCH(CO$2,Liste_Ackerkulturen_Gemüse_DropDown[Ackerkulturen])&gt;0)),ROW()-2),1),"")</f>
        <v>Elefantengras (Chinaschilf, Miscanthus sinensis)</v>
      </c>
      <c r="CO81" s="2464"/>
      <c r="CP81" s="2464" t="str">
        <f>IFERROR(INDEX(Liste_Ackerkulturen_Gemüse_DropDown[Ackerkulturen],_xlfn.AGGREGATE(15,6,(ROW(Liste_Ackerkulturen_Gemüse_DropDown[Ackerkulturen])-1)/(--(SEARCH(CQ$2,Liste_Ackerkulturen_Gemüse_DropDown[Ackerkulturen])&gt;0)),ROW()-2),1),"")</f>
        <v>Elefantengras (Chinaschilf, Miscanthus sinensis)</v>
      </c>
      <c r="CQ81" s="2464"/>
      <c r="CR81" s="2464" t="str">
        <f>IFERROR(INDEX(Liste_Ackerkulturen_Gemüse_DropDown[Ackerkulturen],_xlfn.AGGREGATE(15,6,(ROW(Liste_Ackerkulturen_Gemüse_DropDown[Ackerkulturen])-1)/(--(SEARCH(CS$2,Liste_Ackerkulturen_Gemüse_DropDown[Ackerkulturen])&gt;0)),ROW()-2),1),"")</f>
        <v>Elefantengras (Chinaschilf, Miscanthus sinensis)</v>
      </c>
      <c r="CS81" s="2464"/>
      <c r="CT81"/>
      <c r="CU81"/>
      <c r="CV81"/>
      <c r="CW81"/>
      <c r="CX81"/>
      <c r="CY81"/>
      <c r="CZ81"/>
      <c r="DA81"/>
      <c r="DB81"/>
      <c r="DC81"/>
      <c r="DD81"/>
      <c r="DE81"/>
      <c r="DF81"/>
      <c r="DG81"/>
      <c r="DH81"/>
      <c r="DN81"/>
      <c r="DO81"/>
      <c r="DP81"/>
      <c r="DQ81"/>
      <c r="DR81"/>
      <c r="DS81"/>
      <c r="DT81"/>
      <c r="DU81"/>
      <c r="DV81"/>
      <c r="DW81"/>
      <c r="DX81"/>
      <c r="DY81"/>
      <c r="DZ81"/>
      <c r="EA81"/>
      <c r="EB81"/>
      <c r="EC81"/>
      <c r="ED81"/>
      <c r="EE81"/>
      <c r="EF81"/>
      <c r="EG81"/>
      <c r="EH81"/>
      <c r="EI81"/>
      <c r="EJ81"/>
      <c r="EK81"/>
      <c r="EL81"/>
      <c r="EM81"/>
      <c r="EN81"/>
      <c r="EO81"/>
      <c r="EP81"/>
      <c r="EQ81"/>
      <c r="ER81"/>
      <c r="ES81"/>
      <c r="ET81"/>
      <c r="EU81"/>
      <c r="EV81"/>
      <c r="EW81"/>
      <c r="EX81"/>
      <c r="EY81"/>
      <c r="EZ81"/>
      <c r="FA81"/>
      <c r="FB81"/>
      <c r="FC81"/>
      <c r="FD81"/>
      <c r="FE81"/>
      <c r="FF81"/>
      <c r="FG81"/>
      <c r="FH81"/>
      <c r="FI81"/>
      <c r="FJ81"/>
      <c r="FK81"/>
      <c r="FL81"/>
      <c r="FM81"/>
      <c r="FN81"/>
      <c r="FO81"/>
      <c r="FP81"/>
      <c r="FQ81"/>
      <c r="FR81"/>
      <c r="FS81"/>
      <c r="FT81"/>
      <c r="FU81"/>
      <c r="FV81"/>
      <c r="FW81"/>
      <c r="FX81"/>
      <c r="FY81"/>
      <c r="FZ81"/>
      <c r="GA81"/>
      <c r="GB81"/>
      <c r="GC81"/>
      <c r="GD81"/>
      <c r="GE81"/>
      <c r="GF81"/>
      <c r="GG81"/>
      <c r="GH81"/>
      <c r="GI81"/>
      <c r="GJ81"/>
      <c r="GK81"/>
      <c r="GL81"/>
      <c r="GM81"/>
      <c r="GN81"/>
      <c r="GO81"/>
      <c r="GP81"/>
      <c r="GQ81"/>
      <c r="GR81"/>
      <c r="GS81"/>
      <c r="GT81"/>
      <c r="GU81"/>
      <c r="GV81"/>
      <c r="GW81"/>
      <c r="GX81"/>
      <c r="GY81"/>
      <c r="GZ81"/>
      <c r="HA81"/>
      <c r="HB81"/>
      <c r="HC81"/>
      <c r="HD81"/>
      <c r="HE81"/>
      <c r="HF81"/>
      <c r="HG81"/>
      <c r="HH81"/>
      <c r="HI81"/>
      <c r="HJ81"/>
      <c r="HK81"/>
      <c r="HL81"/>
      <c r="HM81"/>
      <c r="HN81"/>
      <c r="HO81"/>
      <c r="HP81"/>
      <c r="HQ81"/>
      <c r="HR81"/>
      <c r="HS81"/>
      <c r="HT81"/>
      <c r="HU81"/>
      <c r="HV81"/>
      <c r="HW81"/>
      <c r="HX81"/>
      <c r="HY81"/>
      <c r="HZ81"/>
      <c r="IA81"/>
      <c r="IB81"/>
      <c r="IC81"/>
      <c r="ID81"/>
      <c r="IE81"/>
      <c r="IF81"/>
      <c r="IG81"/>
      <c r="IH81"/>
      <c r="II81"/>
      <c r="IJ81"/>
      <c r="IK81"/>
      <c r="IL81"/>
      <c r="IM81"/>
      <c r="IN81"/>
      <c r="IO81"/>
      <c r="IP81"/>
      <c r="IQ81"/>
      <c r="IR81"/>
      <c r="IS81"/>
      <c r="IT81"/>
      <c r="IU81"/>
    </row>
    <row r="82" spans="1:255" ht="21" customHeight="1">
      <c r="C82" s="2615" t="s">
        <v>4</v>
      </c>
      <c r="D82" s="1548" t="s">
        <v>1059</v>
      </c>
      <c r="E82" s="1545" t="s">
        <v>1997</v>
      </c>
      <c r="F82" s="2252"/>
      <c r="G82" s="1782" t="s">
        <v>1060</v>
      </c>
      <c r="H82" s="1783">
        <v>40</v>
      </c>
      <c r="I82" s="1452" t="s">
        <v>1201</v>
      </c>
      <c r="J82" s="1451"/>
      <c r="K82" s="1527">
        <v>25</v>
      </c>
      <c r="L82" s="1528">
        <v>25</v>
      </c>
      <c r="M82" s="1546">
        <v>45</v>
      </c>
      <c r="N82" s="1453">
        <v>40</v>
      </c>
      <c r="O82" s="1451">
        <v>15</v>
      </c>
      <c r="P82" s="1783">
        <v>30</v>
      </c>
      <c r="Q82" s="1451"/>
      <c r="R82" s="1454"/>
      <c r="S82" s="1547"/>
      <c r="T82" s="1546">
        <v>120</v>
      </c>
      <c r="U82" s="1450">
        <v>100</v>
      </c>
      <c r="V82" s="1455">
        <v>45</v>
      </c>
      <c r="W82" s="1783">
        <v>80</v>
      </c>
      <c r="X82" s="1456"/>
      <c r="Y82" s="1454"/>
      <c r="Z82" s="1547"/>
      <c r="AB82" s="1542"/>
      <c r="AC82" s="1542"/>
      <c r="AD82" s="1542"/>
      <c r="AE82" s="1542"/>
      <c r="AF82" s="1279"/>
      <c r="AM82" s="2371" t="s">
        <v>2355</v>
      </c>
      <c r="AN82" s="2352">
        <v>40</v>
      </c>
      <c r="AO82" s="2283" t="s">
        <v>462</v>
      </c>
      <c r="AP82" s="2352">
        <v>40</v>
      </c>
      <c r="AQ82" s="2283" t="s">
        <v>463</v>
      </c>
      <c r="AR82" s="2352">
        <v>40</v>
      </c>
      <c r="AS82" s="2283" t="s">
        <v>54</v>
      </c>
      <c r="AT82" s="2348">
        <v>40</v>
      </c>
      <c r="AU82" s="2285" t="s">
        <v>1058</v>
      </c>
      <c r="AV82" s="2348">
        <v>40</v>
      </c>
      <c r="AW82" s="2285" t="s">
        <v>55</v>
      </c>
      <c r="AX82" s="2345">
        <v>40</v>
      </c>
      <c r="AY82" s="2278" t="s">
        <v>463</v>
      </c>
      <c r="AZ82" s="2350">
        <v>40</v>
      </c>
      <c r="BA82" s="2303" t="s">
        <v>2324</v>
      </c>
      <c r="BE82" s="2371" t="s">
        <v>2355</v>
      </c>
      <c r="BF82" s="577">
        <v>50</v>
      </c>
      <c r="BG82" s="577">
        <v>55</v>
      </c>
      <c r="BH82" s="577">
        <v>65</v>
      </c>
      <c r="BI82" s="2401"/>
      <c r="BJ82" s="2371" t="s">
        <v>2355</v>
      </c>
      <c r="BK82" s="578">
        <v>90</v>
      </c>
      <c r="BL82" s="577">
        <v>100</v>
      </c>
      <c r="BM82" s="577">
        <v>115</v>
      </c>
      <c r="BN82" s="2399"/>
      <c r="BO82" s="525"/>
      <c r="BP82" s="458"/>
      <c r="BQ82" s="458"/>
      <c r="BR82" s="458"/>
      <c r="BS82" s="2461" t="s">
        <v>60</v>
      </c>
      <c r="BT82" s="2463" t="str">
        <f>IFERROR(INDEX(Liste_Ackerkulturen_Gemüse_DropDown[Ackerkulturen],_xlfn.AGGREGATE(15,6,(ROW(Liste_Ackerkulturen_Gemüse_DropDown[Ackerkulturen])-1)/(--(SEARCH(BU$2,Liste_Ackerkulturen_Gemüse_DropDown[Ackerkulturen])&gt;0)),ROW()-2),1),"")</f>
        <v>Emmer oder Einkorn</v>
      </c>
      <c r="BU82" s="2463"/>
      <c r="BV82" s="2463" t="str">
        <f>IFERROR(INDEX(Liste_Ackerkulturen_Gemüse_DropDown[Ackerkulturen],_xlfn.AGGREGATE(15,6,(ROW(Liste_Ackerkulturen_Gemüse_DropDown[Ackerkulturen])-1)/(--(SEARCH(BW$2,Liste_Ackerkulturen_Gemüse_DropDown[Ackerkulturen])&gt;0)),ROW()-2),1),"")</f>
        <v>Emmer oder Einkorn</v>
      </c>
      <c r="BW82" s="2463"/>
      <c r="BX82" s="2463" t="str">
        <f>IFERROR(INDEX(Liste_Ackerkulturen_Gemüse_DropDown[Ackerkulturen],_xlfn.AGGREGATE(15,6,(ROW(Liste_Ackerkulturen_Gemüse_DropDown[Ackerkulturen])-1)/(--(SEARCH(BY$2,Liste_Ackerkulturen_Gemüse_DropDown[Ackerkulturen])&gt;0)),ROW()-2),1),"")</f>
        <v>Emmer oder Einkorn</v>
      </c>
      <c r="BY82" s="2463"/>
      <c r="BZ82" s="2463" t="str">
        <f>IFERROR(INDEX(Liste_Ackerkulturen_Gemüse_DropDown[Ackerkulturen],_xlfn.AGGREGATE(15,6,(ROW(Liste_Ackerkulturen_Gemüse_DropDown[Ackerkulturen])-1)/(--(SEARCH(CA$2,Liste_Ackerkulturen_Gemüse_DropDown[Ackerkulturen])&gt;0)),ROW()-2),1),"")</f>
        <v>Emmer oder Einkorn</v>
      </c>
      <c r="CA82" s="2463"/>
      <c r="CB82" s="2463" t="str">
        <f>IFERROR(INDEX(Liste_Ackerkulturen_Gemüse_DropDown[Ackerkulturen],_xlfn.AGGREGATE(15,6,(ROW(Liste_Ackerkulturen_Gemüse_DropDown[Ackerkulturen])-1)/(--(SEARCH(CC$2,Liste_Ackerkulturen_Gemüse_DropDown[Ackerkulturen])&gt;0)),ROW()-2),1),"")</f>
        <v>Emmer oder Einkorn</v>
      </c>
      <c r="CC82" s="2463"/>
      <c r="CD82" s="2464" t="str">
        <f>IFERROR(INDEX(Liste_Ackerkulturen_Gemüse_DropDown[Ackerkulturen],_xlfn.AGGREGATE(15,6,(ROW(Liste_Ackerkulturen_Gemüse_DropDown[Ackerkulturen])-1)/(--(SEARCH(CE$2,Liste_Ackerkulturen_Gemüse_DropDown[Ackerkulturen])&gt;0)),ROW()-2),1),"")</f>
        <v>Emmer oder Einkorn</v>
      </c>
      <c r="CE82" s="2464"/>
      <c r="CF82" s="2464" t="str">
        <f>IFERROR(INDEX(Liste_Ackerkulturen_Gemüse_DropDown[Ackerkulturen],_xlfn.AGGREGATE(15,6,(ROW(Liste_Ackerkulturen_Gemüse_DropDown[Ackerkulturen])-1)/(--(SEARCH(CG$2,Liste_Ackerkulturen_Gemüse_DropDown[Ackerkulturen])&gt;0)),ROW()-2),1),"")</f>
        <v>Emmer oder Einkorn</v>
      </c>
      <c r="CG82" s="2464"/>
      <c r="CH82" s="2464" t="str">
        <f>IFERROR(INDEX(Liste_Ackerkulturen_Gemüse_DropDown[Ackerkulturen],_xlfn.AGGREGATE(15,6,(ROW(Liste_Ackerkulturen_Gemüse_DropDown[Ackerkulturen])-1)/(--(SEARCH(CI$2,Liste_Ackerkulturen_Gemüse_DropDown[Ackerkulturen])&gt;0)),ROW()-2),1),"")</f>
        <v>Emmer oder Einkorn</v>
      </c>
      <c r="CI82" s="2464"/>
      <c r="CJ82" s="2464" t="str">
        <f>IFERROR(INDEX(Liste_Ackerkulturen_Gemüse_DropDown[Ackerkulturen],_xlfn.AGGREGATE(15,6,(ROW(Liste_Ackerkulturen_Gemüse_DropDown[Ackerkulturen])-1)/(--(SEARCH(CK$2,Liste_Ackerkulturen_Gemüse_DropDown[Ackerkulturen])&gt;0)),ROW()-2),1),"")</f>
        <v>Emmer oder Einkorn</v>
      </c>
      <c r="CK82" s="2464"/>
      <c r="CL82" s="2464" t="str">
        <f>IFERROR(INDEX(Liste_Ackerkulturen_Gemüse_DropDown[Ackerkulturen],_xlfn.AGGREGATE(15,6,(ROW(Liste_Ackerkulturen_Gemüse_DropDown[Ackerkulturen])-1)/(--(SEARCH(CM$2,Liste_Ackerkulturen_Gemüse_DropDown[Ackerkulturen])&gt;0)),ROW()-2),1),"")</f>
        <v>Emmer oder Einkorn</v>
      </c>
      <c r="CM82" s="2464"/>
      <c r="CN82" s="2464" t="str">
        <f>IFERROR(INDEX(Liste_Ackerkulturen_Gemüse_DropDown[Ackerkulturen],_xlfn.AGGREGATE(15,6,(ROW(Liste_Ackerkulturen_Gemüse_DropDown[Ackerkulturen])-1)/(--(SEARCH(CO$2,Liste_Ackerkulturen_Gemüse_DropDown[Ackerkulturen])&gt;0)),ROW()-2),1),"")</f>
        <v>Emmer oder Einkorn</v>
      </c>
      <c r="CO82" s="2464"/>
      <c r="CP82" s="2464" t="str">
        <f>IFERROR(INDEX(Liste_Ackerkulturen_Gemüse_DropDown[Ackerkulturen],_xlfn.AGGREGATE(15,6,(ROW(Liste_Ackerkulturen_Gemüse_DropDown[Ackerkulturen])-1)/(--(SEARCH(CQ$2,Liste_Ackerkulturen_Gemüse_DropDown[Ackerkulturen])&gt;0)),ROW()-2),1),"")</f>
        <v>Emmer oder Einkorn</v>
      </c>
      <c r="CQ82" s="2464"/>
      <c r="CR82" s="2464" t="str">
        <f>IFERROR(INDEX(Liste_Ackerkulturen_Gemüse_DropDown[Ackerkulturen],_xlfn.AGGREGATE(15,6,(ROW(Liste_Ackerkulturen_Gemüse_DropDown[Ackerkulturen])-1)/(--(SEARCH(CS$2,Liste_Ackerkulturen_Gemüse_DropDown[Ackerkulturen])&gt;0)),ROW()-2),1),"")</f>
        <v>Emmer oder Einkorn</v>
      </c>
      <c r="CS82" s="2464"/>
      <c r="CT82"/>
      <c r="CU82"/>
      <c r="CV82"/>
      <c r="CW82"/>
      <c r="CX82"/>
      <c r="CY82"/>
      <c r="CZ82"/>
      <c r="DA82"/>
      <c r="DB82"/>
      <c r="DC82"/>
      <c r="DD82"/>
      <c r="DE82"/>
      <c r="DF82"/>
      <c r="DG82"/>
      <c r="DH82"/>
      <c r="DN82"/>
      <c r="DO82"/>
      <c r="DP82"/>
      <c r="DQ82"/>
      <c r="DR82"/>
      <c r="DS82"/>
      <c r="DT82"/>
      <c r="DU82"/>
      <c r="DV82"/>
      <c r="DW82"/>
      <c r="DX82"/>
      <c r="DY82"/>
      <c r="DZ82"/>
      <c r="EA82"/>
      <c r="EB82"/>
      <c r="EC82"/>
      <c r="ED82"/>
      <c r="EE82"/>
      <c r="EF82"/>
      <c r="EG82"/>
      <c r="EH82"/>
      <c r="EI82"/>
      <c r="EJ82"/>
      <c r="EK82"/>
      <c r="EL82"/>
      <c r="EM82"/>
      <c r="EN82"/>
      <c r="EO82"/>
      <c r="EP82"/>
      <c r="EQ82"/>
      <c r="ER82"/>
      <c r="ES82"/>
      <c r="ET82"/>
      <c r="EU82"/>
      <c r="EV82"/>
      <c r="EW82"/>
      <c r="EX82"/>
      <c r="EY82"/>
      <c r="EZ82"/>
      <c r="FA82"/>
      <c r="FB82"/>
      <c r="FC82"/>
      <c r="FD82"/>
      <c r="FE82"/>
      <c r="FF82"/>
      <c r="FG82"/>
      <c r="FH82"/>
      <c r="FI82"/>
      <c r="FJ82"/>
      <c r="FK82"/>
      <c r="FL82"/>
      <c r="FM82"/>
      <c r="FN82"/>
      <c r="FO82"/>
      <c r="FP82"/>
      <c r="FQ82"/>
      <c r="FR82"/>
      <c r="FS82"/>
      <c r="FT82"/>
      <c r="FU82"/>
      <c r="FV82"/>
      <c r="FW82"/>
      <c r="FX82"/>
      <c r="FY82"/>
      <c r="FZ82"/>
      <c r="GA82"/>
      <c r="GB82"/>
      <c r="GC82"/>
      <c r="GD82"/>
      <c r="GE82"/>
      <c r="GF82"/>
      <c r="GG82"/>
      <c r="GH82"/>
      <c r="GI82"/>
      <c r="GJ82"/>
      <c r="GK82"/>
      <c r="GL82"/>
      <c r="GM82"/>
      <c r="GN82"/>
      <c r="GO82"/>
      <c r="GP82"/>
      <c r="GQ82"/>
      <c r="GR82"/>
      <c r="GS82"/>
      <c r="GT82"/>
      <c r="GU82"/>
      <c r="GV82"/>
      <c r="GW82"/>
      <c r="GX82"/>
      <c r="GY82"/>
      <c r="GZ82"/>
      <c r="HA82"/>
      <c r="HB82"/>
      <c r="HC82"/>
      <c r="HD82"/>
      <c r="HE82"/>
      <c r="HF82"/>
      <c r="HG82"/>
      <c r="HH82"/>
      <c r="HI82"/>
      <c r="HJ82"/>
      <c r="HK82"/>
      <c r="HL82"/>
      <c r="HM82"/>
      <c r="HN82"/>
      <c r="HO82"/>
      <c r="HP82"/>
      <c r="HQ82"/>
      <c r="HR82"/>
      <c r="HS82"/>
      <c r="HT82"/>
      <c r="HU82"/>
      <c r="HV82"/>
      <c r="HW82"/>
      <c r="HX82"/>
      <c r="HY82"/>
      <c r="HZ82"/>
      <c r="IA82"/>
      <c r="IB82"/>
      <c r="IC82"/>
      <c r="ID82"/>
      <c r="IE82"/>
      <c r="IF82"/>
      <c r="IG82"/>
      <c r="IH82"/>
      <c r="II82"/>
      <c r="IJ82"/>
      <c r="IK82"/>
      <c r="IL82"/>
      <c r="IM82"/>
      <c r="IN82"/>
      <c r="IO82"/>
      <c r="IP82"/>
      <c r="IQ82"/>
      <c r="IR82"/>
      <c r="IS82"/>
      <c r="IT82"/>
      <c r="IU82"/>
    </row>
    <row r="83" spans="1:255" ht="21" customHeight="1">
      <c r="A83" s="512"/>
      <c r="B83" s="512"/>
      <c r="C83" s="2615"/>
      <c r="D83" s="1548" t="s">
        <v>1062</v>
      </c>
      <c r="E83" s="1545" t="s">
        <v>1071</v>
      </c>
      <c r="F83" s="2252"/>
      <c r="G83" s="1782" t="s">
        <v>1063</v>
      </c>
      <c r="H83" s="1783">
        <v>40</v>
      </c>
      <c r="I83" s="1452" t="s">
        <v>1201</v>
      </c>
      <c r="J83" s="1451"/>
      <c r="K83" s="1527">
        <v>40</v>
      </c>
      <c r="L83" s="1528">
        <v>40</v>
      </c>
      <c r="M83" s="1546">
        <v>70</v>
      </c>
      <c r="N83" s="1453">
        <v>55</v>
      </c>
      <c r="O83" s="1451">
        <v>30</v>
      </c>
      <c r="P83" s="1783">
        <v>45</v>
      </c>
      <c r="Q83" s="1451"/>
      <c r="R83" s="1454"/>
      <c r="S83" s="1547"/>
      <c r="T83" s="1546">
        <v>180</v>
      </c>
      <c r="U83" s="1450">
        <v>150</v>
      </c>
      <c r="V83" s="1455">
        <v>80</v>
      </c>
      <c r="W83" s="1783">
        <v>120</v>
      </c>
      <c r="X83" s="1456"/>
      <c r="Y83" s="1454"/>
      <c r="Z83" s="1547"/>
      <c r="AB83" s="1542"/>
      <c r="AC83" s="1542"/>
      <c r="AD83" s="1542"/>
      <c r="AE83" s="1542"/>
      <c r="AF83" s="1279"/>
      <c r="AM83" s="2371" t="s">
        <v>56</v>
      </c>
      <c r="AN83" s="2352">
        <v>105</v>
      </c>
      <c r="AO83" s="2283" t="s">
        <v>57</v>
      </c>
      <c r="AP83" s="2352">
        <v>145</v>
      </c>
      <c r="AQ83" s="2283" t="s">
        <v>58</v>
      </c>
      <c r="AR83" s="2352">
        <v>170</v>
      </c>
      <c r="AS83" s="2283" t="s">
        <v>1950</v>
      </c>
      <c r="AT83" s="2348">
        <v>180</v>
      </c>
      <c r="AU83" s="2285" t="s">
        <v>1951</v>
      </c>
      <c r="AV83" s="2348">
        <v>195</v>
      </c>
      <c r="AW83" s="2285" t="s">
        <v>1966</v>
      </c>
      <c r="AX83" s="2345">
        <v>80</v>
      </c>
      <c r="AY83" s="2278" t="s">
        <v>58</v>
      </c>
      <c r="AZ83" s="2350">
        <v>80</v>
      </c>
      <c r="BA83" s="2303" t="s">
        <v>2322</v>
      </c>
      <c r="BE83" s="2371" t="s">
        <v>56</v>
      </c>
      <c r="BF83" s="577">
        <v>50</v>
      </c>
      <c r="BG83" s="577">
        <v>55</v>
      </c>
      <c r="BH83" s="577">
        <v>65</v>
      </c>
      <c r="BI83" s="2401"/>
      <c r="BJ83" s="2371" t="s">
        <v>56</v>
      </c>
      <c r="BK83" s="578">
        <v>70</v>
      </c>
      <c r="BL83" s="577">
        <v>80</v>
      </c>
      <c r="BM83" s="577">
        <v>90</v>
      </c>
      <c r="BN83" s="2399"/>
      <c r="BO83" s="525"/>
      <c r="BP83" s="458"/>
      <c r="BQ83" s="458"/>
      <c r="BR83" s="458"/>
      <c r="BS83" s="2461" t="s">
        <v>65</v>
      </c>
      <c r="BT83" s="2463" t="str">
        <f>IFERROR(INDEX(Liste_Ackerkulturen_Gemüse_DropDown[Ackerkulturen],_xlfn.AGGREGATE(15,6,(ROW(Liste_Ackerkulturen_Gemüse_DropDown[Ackerkulturen])-1)/(--(SEARCH(BU$2,Liste_Ackerkulturen_Gemüse_DropDown[Ackerkulturen])&gt;0)),ROW()-2),1),"")</f>
        <v>Flachs (Faserlein) zur Fasererzeugung</v>
      </c>
      <c r="BU83" s="2463"/>
      <c r="BV83" s="2463" t="str">
        <f>IFERROR(INDEX(Liste_Ackerkulturen_Gemüse_DropDown[Ackerkulturen],_xlfn.AGGREGATE(15,6,(ROW(Liste_Ackerkulturen_Gemüse_DropDown[Ackerkulturen])-1)/(--(SEARCH(BW$2,Liste_Ackerkulturen_Gemüse_DropDown[Ackerkulturen])&gt;0)),ROW()-2),1),"")</f>
        <v>Flachs (Faserlein) zur Fasererzeugung</v>
      </c>
      <c r="BW83" s="2463"/>
      <c r="BX83" s="2463" t="str">
        <f>IFERROR(INDEX(Liste_Ackerkulturen_Gemüse_DropDown[Ackerkulturen],_xlfn.AGGREGATE(15,6,(ROW(Liste_Ackerkulturen_Gemüse_DropDown[Ackerkulturen])-1)/(--(SEARCH(BY$2,Liste_Ackerkulturen_Gemüse_DropDown[Ackerkulturen])&gt;0)),ROW()-2),1),"")</f>
        <v>Flachs (Faserlein) zur Fasererzeugung</v>
      </c>
      <c r="BY83" s="2463"/>
      <c r="BZ83" s="2463" t="str">
        <f>IFERROR(INDEX(Liste_Ackerkulturen_Gemüse_DropDown[Ackerkulturen],_xlfn.AGGREGATE(15,6,(ROW(Liste_Ackerkulturen_Gemüse_DropDown[Ackerkulturen])-1)/(--(SEARCH(CA$2,Liste_Ackerkulturen_Gemüse_DropDown[Ackerkulturen])&gt;0)),ROW()-2),1),"")</f>
        <v>Flachs (Faserlein) zur Fasererzeugung</v>
      </c>
      <c r="CA83" s="2463"/>
      <c r="CB83" s="2463" t="str">
        <f>IFERROR(INDEX(Liste_Ackerkulturen_Gemüse_DropDown[Ackerkulturen],_xlfn.AGGREGATE(15,6,(ROW(Liste_Ackerkulturen_Gemüse_DropDown[Ackerkulturen])-1)/(--(SEARCH(CC$2,Liste_Ackerkulturen_Gemüse_DropDown[Ackerkulturen])&gt;0)),ROW()-2),1),"")</f>
        <v>Flachs (Faserlein) zur Fasererzeugung</v>
      </c>
      <c r="CC83" s="2463"/>
      <c r="CD83" s="2464" t="str">
        <f>IFERROR(INDEX(Liste_Ackerkulturen_Gemüse_DropDown[Ackerkulturen],_xlfn.AGGREGATE(15,6,(ROW(Liste_Ackerkulturen_Gemüse_DropDown[Ackerkulturen])-1)/(--(SEARCH(CE$2,Liste_Ackerkulturen_Gemüse_DropDown[Ackerkulturen])&gt;0)),ROW()-2),1),"")</f>
        <v>Flachs (Faserlein) zur Fasererzeugung</v>
      </c>
      <c r="CE83" s="2464"/>
      <c r="CF83" s="2464" t="str">
        <f>IFERROR(INDEX(Liste_Ackerkulturen_Gemüse_DropDown[Ackerkulturen],_xlfn.AGGREGATE(15,6,(ROW(Liste_Ackerkulturen_Gemüse_DropDown[Ackerkulturen])-1)/(--(SEARCH(CG$2,Liste_Ackerkulturen_Gemüse_DropDown[Ackerkulturen])&gt;0)),ROW()-2),1),"")</f>
        <v>Flachs (Faserlein) zur Fasererzeugung</v>
      </c>
      <c r="CG83" s="2464"/>
      <c r="CH83" s="2464" t="str">
        <f>IFERROR(INDEX(Liste_Ackerkulturen_Gemüse_DropDown[Ackerkulturen],_xlfn.AGGREGATE(15,6,(ROW(Liste_Ackerkulturen_Gemüse_DropDown[Ackerkulturen])-1)/(--(SEARCH(CI$2,Liste_Ackerkulturen_Gemüse_DropDown[Ackerkulturen])&gt;0)),ROW()-2),1),"")</f>
        <v>Flachs (Faserlein) zur Fasererzeugung</v>
      </c>
      <c r="CI83" s="2464"/>
      <c r="CJ83" s="2464" t="str">
        <f>IFERROR(INDEX(Liste_Ackerkulturen_Gemüse_DropDown[Ackerkulturen],_xlfn.AGGREGATE(15,6,(ROW(Liste_Ackerkulturen_Gemüse_DropDown[Ackerkulturen])-1)/(--(SEARCH(CK$2,Liste_Ackerkulturen_Gemüse_DropDown[Ackerkulturen])&gt;0)),ROW()-2),1),"")</f>
        <v>Flachs (Faserlein) zur Fasererzeugung</v>
      </c>
      <c r="CK83" s="2464"/>
      <c r="CL83" s="2464" t="str">
        <f>IFERROR(INDEX(Liste_Ackerkulturen_Gemüse_DropDown[Ackerkulturen],_xlfn.AGGREGATE(15,6,(ROW(Liste_Ackerkulturen_Gemüse_DropDown[Ackerkulturen])-1)/(--(SEARCH(CM$2,Liste_Ackerkulturen_Gemüse_DropDown[Ackerkulturen])&gt;0)),ROW()-2),1),"")</f>
        <v>Flachs (Faserlein) zur Fasererzeugung</v>
      </c>
      <c r="CM83" s="2464"/>
      <c r="CN83" s="2464" t="str">
        <f>IFERROR(INDEX(Liste_Ackerkulturen_Gemüse_DropDown[Ackerkulturen],_xlfn.AGGREGATE(15,6,(ROW(Liste_Ackerkulturen_Gemüse_DropDown[Ackerkulturen])-1)/(--(SEARCH(CO$2,Liste_Ackerkulturen_Gemüse_DropDown[Ackerkulturen])&gt;0)),ROW()-2),1),"")</f>
        <v>Flachs (Faserlein) zur Fasererzeugung</v>
      </c>
      <c r="CO83" s="2464"/>
      <c r="CP83" s="2464" t="str">
        <f>IFERROR(INDEX(Liste_Ackerkulturen_Gemüse_DropDown[Ackerkulturen],_xlfn.AGGREGATE(15,6,(ROW(Liste_Ackerkulturen_Gemüse_DropDown[Ackerkulturen])-1)/(--(SEARCH(CQ$2,Liste_Ackerkulturen_Gemüse_DropDown[Ackerkulturen])&gt;0)),ROW()-2),1),"")</f>
        <v>Flachs (Faserlein) zur Fasererzeugung</v>
      </c>
      <c r="CQ83" s="2464"/>
      <c r="CR83" s="2464" t="str">
        <f>IFERROR(INDEX(Liste_Ackerkulturen_Gemüse_DropDown[Ackerkulturen],_xlfn.AGGREGATE(15,6,(ROW(Liste_Ackerkulturen_Gemüse_DropDown[Ackerkulturen])-1)/(--(SEARCH(CS$2,Liste_Ackerkulturen_Gemüse_DropDown[Ackerkulturen])&gt;0)),ROW()-2),1),"")</f>
        <v>Flachs (Faserlein) zur Fasererzeugung</v>
      </c>
      <c r="CS83" s="2464"/>
      <c r="CT83"/>
      <c r="CU83"/>
      <c r="CV83"/>
      <c r="CW83"/>
      <c r="CX83"/>
      <c r="CY83"/>
      <c r="CZ83"/>
      <c r="DA83"/>
      <c r="DB83"/>
      <c r="DC83"/>
      <c r="DD83"/>
      <c r="DE83"/>
      <c r="DF83"/>
      <c r="DG83"/>
      <c r="DH83"/>
      <c r="DN83"/>
      <c r="DO83"/>
      <c r="DP83"/>
      <c r="DQ83"/>
      <c r="DR83"/>
      <c r="DS83"/>
      <c r="DT83"/>
      <c r="DU83"/>
      <c r="DV83"/>
      <c r="DW83"/>
      <c r="DX83"/>
      <c r="DY83"/>
      <c r="DZ83"/>
      <c r="EA83"/>
      <c r="EB83"/>
      <c r="EC83"/>
      <c r="ED83"/>
      <c r="EE83"/>
      <c r="EF83"/>
      <c r="EG83"/>
      <c r="EH83"/>
      <c r="EI83"/>
      <c r="EJ83"/>
      <c r="EK83"/>
      <c r="EL83"/>
      <c r="EM83"/>
      <c r="EN83"/>
      <c r="EO83"/>
      <c r="EP83"/>
      <c r="EQ83"/>
      <c r="ER83"/>
      <c r="ES83"/>
      <c r="ET83"/>
      <c r="EU83"/>
      <c r="EV83"/>
      <c r="EW83"/>
      <c r="EX83"/>
      <c r="EY83"/>
      <c r="EZ83"/>
      <c r="FA83"/>
      <c r="FB83"/>
      <c r="FC83"/>
      <c r="FD83"/>
      <c r="FE83"/>
      <c r="FF83"/>
      <c r="FG83"/>
      <c r="FH83"/>
      <c r="FI83"/>
      <c r="FJ83"/>
      <c r="FK83"/>
      <c r="FL83"/>
      <c r="FM83"/>
      <c r="FN83"/>
      <c r="FO83"/>
      <c r="FP83"/>
      <c r="FQ83"/>
      <c r="FR83"/>
      <c r="FS83"/>
      <c r="FT83"/>
      <c r="FU83"/>
      <c r="FV83"/>
      <c r="FW83"/>
      <c r="FX83"/>
      <c r="FY83"/>
      <c r="FZ83"/>
      <c r="GA83"/>
      <c r="GB83"/>
      <c r="GC83"/>
      <c r="GD83"/>
      <c r="GE83"/>
      <c r="GF83"/>
      <c r="GG83"/>
      <c r="GH83"/>
      <c r="GI83"/>
      <c r="GJ83"/>
      <c r="GK83"/>
      <c r="GL83"/>
      <c r="GM83"/>
      <c r="GN83"/>
      <c r="GO83"/>
      <c r="GP83"/>
      <c r="GQ83"/>
      <c r="GR83"/>
      <c r="GS83"/>
      <c r="GT83"/>
      <c r="GU83"/>
      <c r="GV83"/>
      <c r="GW83"/>
      <c r="GX83"/>
      <c r="GY83"/>
      <c r="GZ83"/>
      <c r="HA83"/>
      <c r="HB83"/>
      <c r="HC83"/>
      <c r="HD83"/>
      <c r="HE83"/>
      <c r="HF83"/>
      <c r="HG83"/>
      <c r="HH83"/>
      <c r="HI83"/>
      <c r="HJ83"/>
      <c r="HK83"/>
      <c r="HL83"/>
      <c r="HM83"/>
      <c r="HN83"/>
      <c r="HO83"/>
      <c r="HP83"/>
      <c r="HQ83"/>
      <c r="HR83"/>
      <c r="HS83"/>
      <c r="HT83"/>
      <c r="HU83"/>
      <c r="HV83"/>
      <c r="HW83"/>
      <c r="HX83"/>
      <c r="HY83"/>
      <c r="HZ83"/>
      <c r="IA83"/>
      <c r="IB83"/>
      <c r="IC83"/>
      <c r="ID83"/>
      <c r="IE83"/>
      <c r="IF83"/>
      <c r="IG83"/>
      <c r="IH83"/>
      <c r="II83"/>
      <c r="IJ83"/>
      <c r="IK83"/>
      <c r="IL83"/>
      <c r="IM83"/>
      <c r="IN83"/>
      <c r="IO83"/>
      <c r="IP83"/>
      <c r="IQ83"/>
      <c r="IR83"/>
      <c r="IS83"/>
      <c r="IT83"/>
      <c r="IU83"/>
    </row>
    <row r="84" spans="1:255" ht="21" customHeight="1">
      <c r="C84" s="2615"/>
      <c r="D84" s="1548" t="s">
        <v>1064</v>
      </c>
      <c r="E84" s="1545" t="s">
        <v>1072</v>
      </c>
      <c r="F84" s="2252"/>
      <c r="G84" s="1782" t="s">
        <v>1073</v>
      </c>
      <c r="H84" s="1783">
        <v>40</v>
      </c>
      <c r="I84" s="1452" t="s">
        <v>1977</v>
      </c>
      <c r="J84" s="1451"/>
      <c r="K84" s="1527">
        <v>40</v>
      </c>
      <c r="L84" s="1528">
        <v>40</v>
      </c>
      <c r="M84" s="1546">
        <v>100</v>
      </c>
      <c r="N84" s="1453">
        <v>80</v>
      </c>
      <c r="O84" s="1451">
        <v>45</v>
      </c>
      <c r="P84" s="1783">
        <v>65</v>
      </c>
      <c r="Q84" s="1451">
        <v>80</v>
      </c>
      <c r="R84" s="1454"/>
      <c r="S84" s="1547"/>
      <c r="T84" s="1546">
        <v>255</v>
      </c>
      <c r="U84" s="1450">
        <v>215</v>
      </c>
      <c r="V84" s="1455">
        <v>130</v>
      </c>
      <c r="W84" s="1783">
        <v>170</v>
      </c>
      <c r="X84" s="1456">
        <v>215</v>
      </c>
      <c r="Y84" s="1454"/>
      <c r="Z84" s="1547"/>
      <c r="AB84" s="1542"/>
      <c r="AC84" s="1542"/>
      <c r="AD84" s="1542"/>
      <c r="AE84" s="1542"/>
      <c r="AF84" s="1279"/>
      <c r="AM84" s="2371" t="s">
        <v>60</v>
      </c>
      <c r="AN84" s="2352">
        <v>50</v>
      </c>
      <c r="AO84" s="2283" t="s">
        <v>470</v>
      </c>
      <c r="AP84" s="2352">
        <v>50</v>
      </c>
      <c r="AQ84" s="2283" t="s">
        <v>61</v>
      </c>
      <c r="AR84" s="2352">
        <v>50</v>
      </c>
      <c r="AS84" s="2283" t="s">
        <v>62</v>
      </c>
      <c r="AT84" s="2348">
        <v>50</v>
      </c>
      <c r="AU84" s="2285" t="s">
        <v>63</v>
      </c>
      <c r="AV84" s="2348">
        <v>50</v>
      </c>
      <c r="AW84" s="2285" t="s">
        <v>64</v>
      </c>
      <c r="AX84" s="2345">
        <v>50</v>
      </c>
      <c r="AY84" s="2278" t="s">
        <v>61</v>
      </c>
      <c r="AZ84" s="2350">
        <v>50</v>
      </c>
      <c r="BA84" s="2303" t="s">
        <v>2325</v>
      </c>
      <c r="BE84" s="2371" t="s">
        <v>60</v>
      </c>
      <c r="BF84" s="577">
        <v>50</v>
      </c>
      <c r="BG84" s="577">
        <v>55</v>
      </c>
      <c r="BH84" s="577">
        <v>65</v>
      </c>
      <c r="BI84" s="2401"/>
      <c r="BJ84" s="2371" t="s">
        <v>60</v>
      </c>
      <c r="BK84" s="578">
        <v>70</v>
      </c>
      <c r="BL84" s="577">
        <v>80</v>
      </c>
      <c r="BM84" s="577">
        <v>90</v>
      </c>
      <c r="BN84" s="2399"/>
      <c r="BO84" s="525"/>
      <c r="BP84" s="458"/>
      <c r="BQ84" s="458"/>
      <c r="BR84" s="458"/>
      <c r="BS84" s="2461" t="s">
        <v>70</v>
      </c>
      <c r="BT84" s="2463" t="str">
        <f>IFERROR(INDEX(Liste_Ackerkulturen_Gemüse_DropDown[Ackerkulturen],_xlfn.AGGREGATE(15,6,(ROW(Liste_Ackerkulturen_Gemüse_DropDown[Ackerkulturen])-1)/(--(SEARCH(BU$2,Liste_Ackerkulturen_Gemüse_DropDown[Ackerkulturen])&gt;0)),ROW()-2),1),"")</f>
        <v>Futterkartoffeln</v>
      </c>
      <c r="BU84" s="2463"/>
      <c r="BV84" s="2463" t="str">
        <f>IFERROR(INDEX(Liste_Ackerkulturen_Gemüse_DropDown[Ackerkulturen],_xlfn.AGGREGATE(15,6,(ROW(Liste_Ackerkulturen_Gemüse_DropDown[Ackerkulturen])-1)/(--(SEARCH(BW$2,Liste_Ackerkulturen_Gemüse_DropDown[Ackerkulturen])&gt;0)),ROW()-2),1),"")</f>
        <v>Futterkartoffeln</v>
      </c>
      <c r="BW84" s="2463"/>
      <c r="BX84" s="2463" t="str">
        <f>IFERROR(INDEX(Liste_Ackerkulturen_Gemüse_DropDown[Ackerkulturen],_xlfn.AGGREGATE(15,6,(ROW(Liste_Ackerkulturen_Gemüse_DropDown[Ackerkulturen])-1)/(--(SEARCH(BY$2,Liste_Ackerkulturen_Gemüse_DropDown[Ackerkulturen])&gt;0)),ROW()-2),1),"")</f>
        <v>Futterkartoffeln</v>
      </c>
      <c r="BY84" s="2463"/>
      <c r="BZ84" s="2463" t="str">
        <f>IFERROR(INDEX(Liste_Ackerkulturen_Gemüse_DropDown[Ackerkulturen],_xlfn.AGGREGATE(15,6,(ROW(Liste_Ackerkulturen_Gemüse_DropDown[Ackerkulturen])-1)/(--(SEARCH(CA$2,Liste_Ackerkulturen_Gemüse_DropDown[Ackerkulturen])&gt;0)),ROW()-2),1),"")</f>
        <v>Futterkartoffeln</v>
      </c>
      <c r="CA84" s="2463"/>
      <c r="CB84" s="2463" t="str">
        <f>IFERROR(INDEX(Liste_Ackerkulturen_Gemüse_DropDown[Ackerkulturen],_xlfn.AGGREGATE(15,6,(ROW(Liste_Ackerkulturen_Gemüse_DropDown[Ackerkulturen])-1)/(--(SEARCH(CC$2,Liste_Ackerkulturen_Gemüse_DropDown[Ackerkulturen])&gt;0)),ROW()-2),1),"")</f>
        <v>Futterkartoffeln</v>
      </c>
      <c r="CC84" s="2463"/>
      <c r="CD84" s="2464" t="str">
        <f>IFERROR(INDEX(Liste_Ackerkulturen_Gemüse_DropDown[Ackerkulturen],_xlfn.AGGREGATE(15,6,(ROW(Liste_Ackerkulturen_Gemüse_DropDown[Ackerkulturen])-1)/(--(SEARCH(CE$2,Liste_Ackerkulturen_Gemüse_DropDown[Ackerkulturen])&gt;0)),ROW()-2),1),"")</f>
        <v>Futterkartoffeln</v>
      </c>
      <c r="CE84" s="2464"/>
      <c r="CF84" s="2464" t="str">
        <f>IFERROR(INDEX(Liste_Ackerkulturen_Gemüse_DropDown[Ackerkulturen],_xlfn.AGGREGATE(15,6,(ROW(Liste_Ackerkulturen_Gemüse_DropDown[Ackerkulturen])-1)/(--(SEARCH(CG$2,Liste_Ackerkulturen_Gemüse_DropDown[Ackerkulturen])&gt;0)),ROW()-2),1),"")</f>
        <v>Futterkartoffeln</v>
      </c>
      <c r="CG84" s="2464"/>
      <c r="CH84" s="2464" t="str">
        <f>IFERROR(INDEX(Liste_Ackerkulturen_Gemüse_DropDown[Ackerkulturen],_xlfn.AGGREGATE(15,6,(ROW(Liste_Ackerkulturen_Gemüse_DropDown[Ackerkulturen])-1)/(--(SEARCH(CI$2,Liste_Ackerkulturen_Gemüse_DropDown[Ackerkulturen])&gt;0)),ROW()-2),1),"")</f>
        <v>Futterkartoffeln</v>
      </c>
      <c r="CI84" s="2464"/>
      <c r="CJ84" s="2464" t="str">
        <f>IFERROR(INDEX(Liste_Ackerkulturen_Gemüse_DropDown[Ackerkulturen],_xlfn.AGGREGATE(15,6,(ROW(Liste_Ackerkulturen_Gemüse_DropDown[Ackerkulturen])-1)/(--(SEARCH(CK$2,Liste_Ackerkulturen_Gemüse_DropDown[Ackerkulturen])&gt;0)),ROW()-2),1),"")</f>
        <v>Futterkartoffeln</v>
      </c>
      <c r="CK84" s="2464"/>
      <c r="CL84" s="2464" t="str">
        <f>IFERROR(INDEX(Liste_Ackerkulturen_Gemüse_DropDown[Ackerkulturen],_xlfn.AGGREGATE(15,6,(ROW(Liste_Ackerkulturen_Gemüse_DropDown[Ackerkulturen])-1)/(--(SEARCH(CM$2,Liste_Ackerkulturen_Gemüse_DropDown[Ackerkulturen])&gt;0)),ROW()-2),1),"")</f>
        <v>Futterkartoffeln</v>
      </c>
      <c r="CM84" s="2464"/>
      <c r="CN84" s="2464" t="str">
        <f>IFERROR(INDEX(Liste_Ackerkulturen_Gemüse_DropDown[Ackerkulturen],_xlfn.AGGREGATE(15,6,(ROW(Liste_Ackerkulturen_Gemüse_DropDown[Ackerkulturen])-1)/(--(SEARCH(CO$2,Liste_Ackerkulturen_Gemüse_DropDown[Ackerkulturen])&gt;0)),ROW()-2),1),"")</f>
        <v>Futterkartoffeln</v>
      </c>
      <c r="CO84" s="2464"/>
      <c r="CP84" s="2464" t="str">
        <f>IFERROR(INDEX(Liste_Ackerkulturen_Gemüse_DropDown[Ackerkulturen],_xlfn.AGGREGATE(15,6,(ROW(Liste_Ackerkulturen_Gemüse_DropDown[Ackerkulturen])-1)/(--(SEARCH(CQ$2,Liste_Ackerkulturen_Gemüse_DropDown[Ackerkulturen])&gt;0)),ROW()-2),1),"")</f>
        <v>Futterkartoffeln</v>
      </c>
      <c r="CQ84" s="2464"/>
      <c r="CR84" s="2464" t="str">
        <f>IFERROR(INDEX(Liste_Ackerkulturen_Gemüse_DropDown[Ackerkulturen],_xlfn.AGGREGATE(15,6,(ROW(Liste_Ackerkulturen_Gemüse_DropDown[Ackerkulturen])-1)/(--(SEARCH(CS$2,Liste_Ackerkulturen_Gemüse_DropDown[Ackerkulturen])&gt;0)),ROW()-2),1),"")</f>
        <v>Futterkartoffeln</v>
      </c>
      <c r="CS84" s="2464"/>
      <c r="CT84"/>
      <c r="CU84"/>
      <c r="CV84"/>
      <c r="CW84"/>
      <c r="CX84"/>
      <c r="CY84"/>
      <c r="CZ84"/>
      <c r="DA84"/>
      <c r="DB84"/>
      <c r="DC84"/>
      <c r="DD84"/>
      <c r="DE84"/>
      <c r="DF84"/>
      <c r="DG84"/>
      <c r="DH84"/>
      <c r="DN84"/>
      <c r="DO84"/>
      <c r="DP84"/>
      <c r="DQ84"/>
      <c r="DR84"/>
      <c r="DS84"/>
      <c r="DT84"/>
      <c r="DU84"/>
      <c r="DV84"/>
      <c r="DW84"/>
      <c r="DX84"/>
      <c r="DY84"/>
      <c r="DZ84"/>
      <c r="EA84"/>
      <c r="EB84"/>
      <c r="EC84"/>
      <c r="ED84"/>
      <c r="EE84"/>
      <c r="EF84"/>
      <c r="EG84"/>
      <c r="EH84"/>
      <c r="EI84"/>
      <c r="EJ84"/>
      <c r="EK84"/>
      <c r="EL84"/>
      <c r="EM84"/>
      <c r="EN84"/>
      <c r="EO84"/>
      <c r="EP84"/>
      <c r="EQ84"/>
      <c r="ER84"/>
      <c r="ES84"/>
      <c r="ET84"/>
      <c r="EU84"/>
      <c r="EV84"/>
      <c r="EW84"/>
      <c r="EX84"/>
      <c r="EY84"/>
      <c r="EZ84"/>
      <c r="FA84"/>
      <c r="FB84"/>
      <c r="FC84"/>
      <c r="FD84"/>
      <c r="FE84"/>
      <c r="FF84"/>
      <c r="FG84"/>
      <c r="FH84"/>
      <c r="FI84"/>
      <c r="FJ84"/>
      <c r="FK84"/>
      <c r="FL84"/>
      <c r="FM84"/>
      <c r="FN84"/>
      <c r="FO84"/>
      <c r="FP84"/>
      <c r="FQ84"/>
      <c r="FR84"/>
      <c r="FS84"/>
      <c r="FT84"/>
      <c r="FU84"/>
      <c r="FV84"/>
      <c r="FW84"/>
      <c r="FX84"/>
      <c r="FY84"/>
      <c r="FZ84"/>
      <c r="GA84"/>
      <c r="GB84"/>
      <c r="GC84"/>
      <c r="GD84"/>
      <c r="GE84"/>
      <c r="GF84"/>
      <c r="GG84"/>
      <c r="GH84"/>
      <c r="GI84"/>
      <c r="GJ84"/>
      <c r="GK84"/>
      <c r="GL84"/>
      <c r="GM84"/>
      <c r="GN84"/>
      <c r="GO84"/>
      <c r="GP84"/>
      <c r="GQ84"/>
      <c r="GR84"/>
      <c r="GS84"/>
      <c r="GT84"/>
      <c r="GU84"/>
      <c r="GV84"/>
      <c r="GW84"/>
      <c r="GX84"/>
      <c r="GY84"/>
      <c r="GZ84"/>
      <c r="HA84"/>
      <c r="HB84"/>
      <c r="HC84"/>
      <c r="HD84"/>
      <c r="HE84"/>
      <c r="HF84"/>
      <c r="HG84"/>
      <c r="HH84"/>
      <c r="HI84"/>
      <c r="HJ84"/>
      <c r="HK84"/>
      <c r="HL84"/>
      <c r="HM84"/>
      <c r="HN84"/>
      <c r="HO84"/>
      <c r="HP84"/>
      <c r="HQ84"/>
      <c r="HR84"/>
      <c r="HS84"/>
      <c r="HT84"/>
      <c r="HU84"/>
      <c r="HV84"/>
      <c r="HW84"/>
      <c r="HX84"/>
      <c r="HY84"/>
      <c r="HZ84"/>
      <c r="IA84"/>
      <c r="IB84"/>
      <c r="IC84"/>
      <c r="ID84"/>
      <c r="IE84"/>
      <c r="IF84"/>
      <c r="IG84"/>
      <c r="IH84"/>
      <c r="II84"/>
      <c r="IJ84"/>
      <c r="IK84"/>
      <c r="IL84"/>
      <c r="IM84"/>
      <c r="IN84"/>
      <c r="IO84"/>
      <c r="IP84"/>
      <c r="IQ84"/>
      <c r="IR84"/>
      <c r="IS84"/>
      <c r="IT84"/>
      <c r="IU84"/>
    </row>
    <row r="85" spans="1:255" ht="21" customHeight="1">
      <c r="C85" s="2615"/>
      <c r="D85" s="1548" t="s">
        <v>1067</v>
      </c>
      <c r="E85" s="1545" t="s">
        <v>1201</v>
      </c>
      <c r="F85" s="2252"/>
      <c r="G85" s="1782" t="s">
        <v>1074</v>
      </c>
      <c r="H85" s="1783">
        <v>40</v>
      </c>
      <c r="I85" s="1452" t="s">
        <v>1075</v>
      </c>
      <c r="J85" s="1451"/>
      <c r="K85" s="1527">
        <v>40</v>
      </c>
      <c r="L85" s="1528">
        <v>40</v>
      </c>
      <c r="M85" s="1546">
        <v>120</v>
      </c>
      <c r="N85" s="1453">
        <v>100</v>
      </c>
      <c r="O85" s="1451"/>
      <c r="P85" s="1783">
        <v>80</v>
      </c>
      <c r="Q85" s="1451">
        <v>90</v>
      </c>
      <c r="R85" s="1454"/>
      <c r="S85" s="1547"/>
      <c r="T85" s="1546">
        <v>310</v>
      </c>
      <c r="U85" s="1450">
        <v>255</v>
      </c>
      <c r="V85" s="1455"/>
      <c r="W85" s="1783">
        <v>205</v>
      </c>
      <c r="X85" s="1456">
        <v>260</v>
      </c>
      <c r="Y85" s="1454"/>
      <c r="Z85" s="1547"/>
      <c r="AB85" s="1542"/>
      <c r="AC85" s="1542"/>
      <c r="AD85" s="1542"/>
      <c r="AE85" s="1542"/>
      <c r="AF85" s="1279"/>
      <c r="AM85" s="2371" t="s">
        <v>65</v>
      </c>
      <c r="AN85" s="2352">
        <v>105</v>
      </c>
      <c r="AO85" s="2283" t="s">
        <v>66</v>
      </c>
      <c r="AP85" s="2352">
        <v>145</v>
      </c>
      <c r="AQ85" s="2283" t="s">
        <v>67</v>
      </c>
      <c r="AR85" s="2352">
        <v>170</v>
      </c>
      <c r="AS85" s="2283" t="s">
        <v>68</v>
      </c>
      <c r="AT85" s="2348">
        <v>180</v>
      </c>
      <c r="AU85" s="2285" t="s">
        <v>467</v>
      </c>
      <c r="AV85" s="2348">
        <v>195</v>
      </c>
      <c r="AW85" s="2285" t="s">
        <v>69</v>
      </c>
      <c r="AX85" s="2345">
        <v>130</v>
      </c>
      <c r="AY85" s="2278" t="s">
        <v>67</v>
      </c>
      <c r="AZ85" s="2350">
        <v>150</v>
      </c>
      <c r="BA85" s="2303" t="s">
        <v>2326</v>
      </c>
      <c r="BE85" s="2371" t="s">
        <v>65</v>
      </c>
      <c r="BF85" s="577">
        <v>60</v>
      </c>
      <c r="BG85" s="577">
        <v>65</v>
      </c>
      <c r="BH85" s="577">
        <v>75</v>
      </c>
      <c r="BI85" s="2401"/>
      <c r="BJ85" s="2371" t="s">
        <v>65</v>
      </c>
      <c r="BK85" s="578">
        <v>180</v>
      </c>
      <c r="BL85" s="577">
        <v>200</v>
      </c>
      <c r="BM85" s="577">
        <v>230</v>
      </c>
      <c r="BN85" s="2399"/>
      <c r="BO85" s="525"/>
      <c r="BP85" s="458"/>
      <c r="BQ85" s="458"/>
      <c r="BR85" s="458"/>
      <c r="BS85" s="2461" t="s">
        <v>71</v>
      </c>
      <c r="BT85" s="2463" t="str">
        <f>IFERROR(INDEX(Liste_Ackerkulturen_Gemüse_DropDown[Ackerkulturen],_xlfn.AGGREGATE(15,6,(ROW(Liste_Ackerkulturen_Gemüse_DropDown[Ackerkulturen])-1)/(--(SEARCH(BU$2,Liste_Ackerkulturen_Gemüse_DropDown[Ackerkulturen])&gt;0)),ROW()-2),1),"")</f>
        <v>Gingko</v>
      </c>
      <c r="BU85" s="2463"/>
      <c r="BV85" s="2463" t="str">
        <f>IFERROR(INDEX(Liste_Ackerkulturen_Gemüse_DropDown[Ackerkulturen],_xlfn.AGGREGATE(15,6,(ROW(Liste_Ackerkulturen_Gemüse_DropDown[Ackerkulturen])-1)/(--(SEARCH(BW$2,Liste_Ackerkulturen_Gemüse_DropDown[Ackerkulturen])&gt;0)),ROW()-2),1),"")</f>
        <v>Gingko</v>
      </c>
      <c r="BW85" s="2463"/>
      <c r="BX85" s="2463" t="str">
        <f>IFERROR(INDEX(Liste_Ackerkulturen_Gemüse_DropDown[Ackerkulturen],_xlfn.AGGREGATE(15,6,(ROW(Liste_Ackerkulturen_Gemüse_DropDown[Ackerkulturen])-1)/(--(SEARCH(BY$2,Liste_Ackerkulturen_Gemüse_DropDown[Ackerkulturen])&gt;0)),ROW()-2),1),"")</f>
        <v>Gingko</v>
      </c>
      <c r="BY85" s="2463"/>
      <c r="BZ85" s="2463" t="str">
        <f>IFERROR(INDEX(Liste_Ackerkulturen_Gemüse_DropDown[Ackerkulturen],_xlfn.AGGREGATE(15,6,(ROW(Liste_Ackerkulturen_Gemüse_DropDown[Ackerkulturen])-1)/(--(SEARCH(CA$2,Liste_Ackerkulturen_Gemüse_DropDown[Ackerkulturen])&gt;0)),ROW()-2),1),"")</f>
        <v>Gingko</v>
      </c>
      <c r="CA85" s="2463"/>
      <c r="CB85" s="2463" t="str">
        <f>IFERROR(INDEX(Liste_Ackerkulturen_Gemüse_DropDown[Ackerkulturen],_xlfn.AGGREGATE(15,6,(ROW(Liste_Ackerkulturen_Gemüse_DropDown[Ackerkulturen])-1)/(--(SEARCH(CC$2,Liste_Ackerkulturen_Gemüse_DropDown[Ackerkulturen])&gt;0)),ROW()-2),1),"")</f>
        <v>Gingko</v>
      </c>
      <c r="CC85" s="2463"/>
      <c r="CD85" s="2464" t="str">
        <f>IFERROR(INDEX(Liste_Ackerkulturen_Gemüse_DropDown[Ackerkulturen],_xlfn.AGGREGATE(15,6,(ROW(Liste_Ackerkulturen_Gemüse_DropDown[Ackerkulturen])-1)/(--(SEARCH(CE$2,Liste_Ackerkulturen_Gemüse_DropDown[Ackerkulturen])&gt;0)),ROW()-2),1),"")</f>
        <v>Gingko</v>
      </c>
      <c r="CE85" s="2464"/>
      <c r="CF85" s="2464" t="str">
        <f>IFERROR(INDEX(Liste_Ackerkulturen_Gemüse_DropDown[Ackerkulturen],_xlfn.AGGREGATE(15,6,(ROW(Liste_Ackerkulturen_Gemüse_DropDown[Ackerkulturen])-1)/(--(SEARCH(CG$2,Liste_Ackerkulturen_Gemüse_DropDown[Ackerkulturen])&gt;0)),ROW()-2),1),"")</f>
        <v>Gingko</v>
      </c>
      <c r="CG85" s="2464"/>
      <c r="CH85" s="2464" t="str">
        <f>IFERROR(INDEX(Liste_Ackerkulturen_Gemüse_DropDown[Ackerkulturen],_xlfn.AGGREGATE(15,6,(ROW(Liste_Ackerkulturen_Gemüse_DropDown[Ackerkulturen])-1)/(--(SEARCH(CI$2,Liste_Ackerkulturen_Gemüse_DropDown[Ackerkulturen])&gt;0)),ROW()-2),1),"")</f>
        <v>Gingko</v>
      </c>
      <c r="CI85" s="2464"/>
      <c r="CJ85" s="2464" t="str">
        <f>IFERROR(INDEX(Liste_Ackerkulturen_Gemüse_DropDown[Ackerkulturen],_xlfn.AGGREGATE(15,6,(ROW(Liste_Ackerkulturen_Gemüse_DropDown[Ackerkulturen])-1)/(--(SEARCH(CK$2,Liste_Ackerkulturen_Gemüse_DropDown[Ackerkulturen])&gt;0)),ROW()-2),1),"")</f>
        <v>Gingko</v>
      </c>
      <c r="CK85" s="2464"/>
      <c r="CL85" s="2464" t="str">
        <f>IFERROR(INDEX(Liste_Ackerkulturen_Gemüse_DropDown[Ackerkulturen],_xlfn.AGGREGATE(15,6,(ROW(Liste_Ackerkulturen_Gemüse_DropDown[Ackerkulturen])-1)/(--(SEARCH(CM$2,Liste_Ackerkulturen_Gemüse_DropDown[Ackerkulturen])&gt;0)),ROW()-2),1),"")</f>
        <v>Gingko</v>
      </c>
      <c r="CM85" s="2464"/>
      <c r="CN85" s="2464" t="str">
        <f>IFERROR(INDEX(Liste_Ackerkulturen_Gemüse_DropDown[Ackerkulturen],_xlfn.AGGREGATE(15,6,(ROW(Liste_Ackerkulturen_Gemüse_DropDown[Ackerkulturen])-1)/(--(SEARCH(CO$2,Liste_Ackerkulturen_Gemüse_DropDown[Ackerkulturen])&gt;0)),ROW()-2),1),"")</f>
        <v>Gingko</v>
      </c>
      <c r="CO85" s="2464"/>
      <c r="CP85" s="2464" t="str">
        <f>IFERROR(INDEX(Liste_Ackerkulturen_Gemüse_DropDown[Ackerkulturen],_xlfn.AGGREGATE(15,6,(ROW(Liste_Ackerkulturen_Gemüse_DropDown[Ackerkulturen])-1)/(--(SEARCH(CQ$2,Liste_Ackerkulturen_Gemüse_DropDown[Ackerkulturen])&gt;0)),ROW()-2),1),"")</f>
        <v>Gingko</v>
      </c>
      <c r="CQ85" s="2464"/>
      <c r="CR85" s="2464" t="str">
        <f>IFERROR(INDEX(Liste_Ackerkulturen_Gemüse_DropDown[Ackerkulturen],_xlfn.AGGREGATE(15,6,(ROW(Liste_Ackerkulturen_Gemüse_DropDown[Ackerkulturen])-1)/(--(SEARCH(CS$2,Liste_Ackerkulturen_Gemüse_DropDown[Ackerkulturen])&gt;0)),ROW()-2),1),"")</f>
        <v>Gingko</v>
      </c>
      <c r="CS85" s="2464"/>
      <c r="CT85"/>
      <c r="CU85"/>
      <c r="CV85"/>
      <c r="CW85"/>
      <c r="CX85"/>
      <c r="CY85"/>
      <c r="CZ85"/>
      <c r="DA85"/>
      <c r="DB85"/>
      <c r="DC85"/>
      <c r="DD85"/>
      <c r="DE85"/>
      <c r="DF85"/>
      <c r="DG85"/>
      <c r="DH85"/>
      <c r="DN85"/>
      <c r="DO85"/>
      <c r="DP85"/>
      <c r="DQ85"/>
      <c r="DR85"/>
      <c r="DS85"/>
      <c r="DT85"/>
      <c r="DU85"/>
      <c r="DV85"/>
      <c r="DW85"/>
      <c r="DX85"/>
      <c r="DY85"/>
      <c r="DZ85"/>
      <c r="EA85"/>
      <c r="EB85"/>
      <c r="EC85"/>
      <c r="ED85"/>
      <c r="EE85"/>
      <c r="EF85"/>
      <c r="EG85"/>
      <c r="EH85"/>
      <c r="EI85"/>
      <c r="EJ85"/>
      <c r="EK85"/>
      <c r="EL85"/>
      <c r="EM85"/>
      <c r="EN85"/>
      <c r="EO85"/>
      <c r="EP85"/>
      <c r="EQ85"/>
      <c r="ER85"/>
      <c r="ES85"/>
      <c r="ET85"/>
      <c r="EU85"/>
      <c r="EV85"/>
      <c r="EW85"/>
      <c r="EX85"/>
      <c r="EY85"/>
      <c r="EZ85"/>
      <c r="FA85"/>
      <c r="FB85"/>
      <c r="FC85"/>
      <c r="FD85"/>
      <c r="FE85"/>
      <c r="FF85"/>
      <c r="FG85"/>
      <c r="FH85"/>
      <c r="FI85"/>
      <c r="FJ85"/>
      <c r="FK85"/>
      <c r="FL85"/>
      <c r="FM85"/>
      <c r="FN85"/>
      <c r="FO85"/>
      <c r="FP85"/>
      <c r="FQ85"/>
      <c r="FR85"/>
      <c r="FS85"/>
      <c r="FT85"/>
      <c r="FU85"/>
      <c r="FV85"/>
      <c r="FW85"/>
      <c r="FX85"/>
      <c r="FY85"/>
      <c r="FZ85"/>
      <c r="GA85"/>
      <c r="GB85"/>
      <c r="GC85"/>
      <c r="GD85"/>
      <c r="GE85"/>
      <c r="GF85"/>
      <c r="GG85"/>
      <c r="GH85"/>
      <c r="GI85"/>
      <c r="GJ85"/>
      <c r="GK85"/>
      <c r="GL85"/>
      <c r="GM85"/>
      <c r="GN85"/>
      <c r="GO85"/>
      <c r="GP85"/>
      <c r="GQ85"/>
      <c r="GR85"/>
      <c r="GS85"/>
      <c r="GT85"/>
      <c r="GU85"/>
      <c r="GV85"/>
      <c r="GW85"/>
      <c r="GX85"/>
      <c r="GY85"/>
      <c r="GZ85"/>
      <c r="HA85"/>
      <c r="HB85"/>
      <c r="HC85"/>
      <c r="HD85"/>
      <c r="HE85"/>
      <c r="HF85"/>
      <c r="HG85"/>
      <c r="HH85"/>
      <c r="HI85"/>
      <c r="HJ85"/>
      <c r="HK85"/>
      <c r="HL85"/>
      <c r="HM85"/>
      <c r="HN85"/>
      <c r="HO85"/>
      <c r="HP85"/>
      <c r="HQ85"/>
      <c r="HR85"/>
      <c r="HS85"/>
      <c r="HT85"/>
      <c r="HU85"/>
      <c r="HV85"/>
      <c r="HW85"/>
      <c r="HX85"/>
      <c r="HY85"/>
      <c r="HZ85"/>
      <c r="IA85"/>
      <c r="IB85"/>
      <c r="IC85"/>
      <c r="ID85"/>
      <c r="IE85"/>
      <c r="IF85"/>
      <c r="IG85"/>
      <c r="IH85"/>
      <c r="II85"/>
      <c r="IJ85"/>
      <c r="IK85"/>
      <c r="IL85"/>
      <c r="IM85"/>
      <c r="IN85"/>
      <c r="IO85"/>
      <c r="IP85"/>
      <c r="IQ85"/>
      <c r="IR85"/>
      <c r="IS85"/>
      <c r="IT85"/>
      <c r="IU85"/>
    </row>
    <row r="86" spans="1:255" ht="21" customHeight="1">
      <c r="C86" s="2615"/>
      <c r="D86" s="1548" t="s">
        <v>1068</v>
      </c>
      <c r="E86" s="1545" t="s">
        <v>1201</v>
      </c>
      <c r="F86" s="2252"/>
      <c r="G86" s="1782" t="s">
        <v>1076</v>
      </c>
      <c r="H86" s="1783">
        <v>40</v>
      </c>
      <c r="I86" s="1452" t="s">
        <v>1077</v>
      </c>
      <c r="J86" s="1451"/>
      <c r="K86" s="1527">
        <v>40</v>
      </c>
      <c r="L86" s="1528">
        <v>40</v>
      </c>
      <c r="M86" s="1546">
        <v>130</v>
      </c>
      <c r="N86" s="1453">
        <v>105</v>
      </c>
      <c r="O86" s="1451"/>
      <c r="P86" s="1783">
        <v>85</v>
      </c>
      <c r="Q86" s="1451">
        <v>105</v>
      </c>
      <c r="R86" s="1454"/>
      <c r="S86" s="1547"/>
      <c r="T86" s="1546">
        <v>345</v>
      </c>
      <c r="U86" s="1450">
        <v>290</v>
      </c>
      <c r="V86" s="1455"/>
      <c r="W86" s="1783">
        <v>230</v>
      </c>
      <c r="X86" s="1456">
        <v>300</v>
      </c>
      <c r="Y86" s="1454"/>
      <c r="Z86" s="1547"/>
      <c r="AB86" s="1542"/>
      <c r="AC86" s="1542"/>
      <c r="AD86" s="1542"/>
      <c r="AE86" s="1542"/>
      <c r="AF86" s="1279"/>
      <c r="AM86" s="2371" t="s">
        <v>70</v>
      </c>
      <c r="AN86" s="2352">
        <v>120</v>
      </c>
      <c r="AO86" s="2283" t="s">
        <v>1201</v>
      </c>
      <c r="AP86" s="2352">
        <v>120</v>
      </c>
      <c r="AQ86" s="2283" t="s">
        <v>1201</v>
      </c>
      <c r="AR86" s="2352">
        <v>120</v>
      </c>
      <c r="AS86" s="2283" t="s">
        <v>1201</v>
      </c>
      <c r="AT86" s="2348">
        <v>120</v>
      </c>
      <c r="AU86" s="2285" t="s">
        <v>1201</v>
      </c>
      <c r="AV86" s="2348">
        <v>120</v>
      </c>
      <c r="AW86" s="2285" t="s">
        <v>1201</v>
      </c>
      <c r="AX86" s="2345">
        <v>120</v>
      </c>
      <c r="AY86" s="2278" t="s">
        <v>1201</v>
      </c>
      <c r="AZ86" s="2350">
        <v>120</v>
      </c>
      <c r="BA86" s="2303" t="s">
        <v>1201</v>
      </c>
      <c r="BE86" s="2371" t="s">
        <v>70</v>
      </c>
      <c r="BF86" s="577">
        <v>45</v>
      </c>
      <c r="BG86" s="577">
        <v>50</v>
      </c>
      <c r="BH86" s="577">
        <v>60</v>
      </c>
      <c r="BI86" s="2401"/>
      <c r="BJ86" s="2371" t="s">
        <v>70</v>
      </c>
      <c r="BK86" s="578">
        <v>160</v>
      </c>
      <c r="BL86" s="577">
        <v>180</v>
      </c>
      <c r="BM86" s="577">
        <v>205</v>
      </c>
      <c r="BN86" s="2399"/>
      <c r="BO86" s="525"/>
      <c r="BP86" s="458"/>
      <c r="BQ86" s="458"/>
      <c r="BR86" s="458"/>
      <c r="BS86" s="2461" t="s">
        <v>72</v>
      </c>
      <c r="BT86" s="2463" t="str">
        <f>IFERROR(INDEX(Liste_Ackerkulturen_Gemüse_DropDown[Ackerkulturen],_xlfn.AGGREGATE(15,6,(ROW(Liste_Ackerkulturen_Gemüse_DropDown[Ackerkulturen])-1)/(--(SEARCH(BU$2,Liste_Ackerkulturen_Gemüse_DropDown[Ackerkulturen])&gt;0)),ROW()-2),1),"")</f>
        <v>Grünmais</v>
      </c>
      <c r="BU86" s="2463"/>
      <c r="BV86" s="2463" t="str">
        <f>IFERROR(INDEX(Liste_Ackerkulturen_Gemüse_DropDown[Ackerkulturen],_xlfn.AGGREGATE(15,6,(ROW(Liste_Ackerkulturen_Gemüse_DropDown[Ackerkulturen])-1)/(--(SEARCH(BW$2,Liste_Ackerkulturen_Gemüse_DropDown[Ackerkulturen])&gt;0)),ROW()-2),1),"")</f>
        <v>Grünmais</v>
      </c>
      <c r="BW86" s="2463"/>
      <c r="BX86" s="2463" t="str">
        <f>IFERROR(INDEX(Liste_Ackerkulturen_Gemüse_DropDown[Ackerkulturen],_xlfn.AGGREGATE(15,6,(ROW(Liste_Ackerkulturen_Gemüse_DropDown[Ackerkulturen])-1)/(--(SEARCH(BY$2,Liste_Ackerkulturen_Gemüse_DropDown[Ackerkulturen])&gt;0)),ROW()-2),1),"")</f>
        <v>Grünmais</v>
      </c>
      <c r="BY86" s="2463"/>
      <c r="BZ86" s="2463" t="str">
        <f>IFERROR(INDEX(Liste_Ackerkulturen_Gemüse_DropDown[Ackerkulturen],_xlfn.AGGREGATE(15,6,(ROW(Liste_Ackerkulturen_Gemüse_DropDown[Ackerkulturen])-1)/(--(SEARCH(CA$2,Liste_Ackerkulturen_Gemüse_DropDown[Ackerkulturen])&gt;0)),ROW()-2),1),"")</f>
        <v>Grünmais</v>
      </c>
      <c r="CA86" s="2463"/>
      <c r="CB86" s="2463" t="str">
        <f>IFERROR(INDEX(Liste_Ackerkulturen_Gemüse_DropDown[Ackerkulturen],_xlfn.AGGREGATE(15,6,(ROW(Liste_Ackerkulturen_Gemüse_DropDown[Ackerkulturen])-1)/(--(SEARCH(CC$2,Liste_Ackerkulturen_Gemüse_DropDown[Ackerkulturen])&gt;0)),ROW()-2),1),"")</f>
        <v>Grünmais</v>
      </c>
      <c r="CC86" s="2463"/>
      <c r="CD86" s="2464" t="str">
        <f>IFERROR(INDEX(Liste_Ackerkulturen_Gemüse_DropDown[Ackerkulturen],_xlfn.AGGREGATE(15,6,(ROW(Liste_Ackerkulturen_Gemüse_DropDown[Ackerkulturen])-1)/(--(SEARCH(CE$2,Liste_Ackerkulturen_Gemüse_DropDown[Ackerkulturen])&gt;0)),ROW()-2),1),"")</f>
        <v>Grünmais</v>
      </c>
      <c r="CE86" s="2464"/>
      <c r="CF86" s="2464" t="str">
        <f>IFERROR(INDEX(Liste_Ackerkulturen_Gemüse_DropDown[Ackerkulturen],_xlfn.AGGREGATE(15,6,(ROW(Liste_Ackerkulturen_Gemüse_DropDown[Ackerkulturen])-1)/(--(SEARCH(CG$2,Liste_Ackerkulturen_Gemüse_DropDown[Ackerkulturen])&gt;0)),ROW()-2),1),"")</f>
        <v>Grünmais</v>
      </c>
      <c r="CG86" s="2464"/>
      <c r="CH86" s="2464" t="str">
        <f>IFERROR(INDEX(Liste_Ackerkulturen_Gemüse_DropDown[Ackerkulturen],_xlfn.AGGREGATE(15,6,(ROW(Liste_Ackerkulturen_Gemüse_DropDown[Ackerkulturen])-1)/(--(SEARCH(CI$2,Liste_Ackerkulturen_Gemüse_DropDown[Ackerkulturen])&gt;0)),ROW()-2),1),"")</f>
        <v>Grünmais</v>
      </c>
      <c r="CI86" s="2464"/>
      <c r="CJ86" s="2464" t="str">
        <f>IFERROR(INDEX(Liste_Ackerkulturen_Gemüse_DropDown[Ackerkulturen],_xlfn.AGGREGATE(15,6,(ROW(Liste_Ackerkulturen_Gemüse_DropDown[Ackerkulturen])-1)/(--(SEARCH(CK$2,Liste_Ackerkulturen_Gemüse_DropDown[Ackerkulturen])&gt;0)),ROW()-2),1),"")</f>
        <v>Grünmais</v>
      </c>
      <c r="CK86" s="2464"/>
      <c r="CL86" s="2464" t="str">
        <f>IFERROR(INDEX(Liste_Ackerkulturen_Gemüse_DropDown[Ackerkulturen],_xlfn.AGGREGATE(15,6,(ROW(Liste_Ackerkulturen_Gemüse_DropDown[Ackerkulturen])-1)/(--(SEARCH(CM$2,Liste_Ackerkulturen_Gemüse_DropDown[Ackerkulturen])&gt;0)),ROW()-2),1),"")</f>
        <v>Grünmais</v>
      </c>
      <c r="CM86" s="2464"/>
      <c r="CN86" s="2464" t="str">
        <f>IFERROR(INDEX(Liste_Ackerkulturen_Gemüse_DropDown[Ackerkulturen],_xlfn.AGGREGATE(15,6,(ROW(Liste_Ackerkulturen_Gemüse_DropDown[Ackerkulturen])-1)/(--(SEARCH(CO$2,Liste_Ackerkulturen_Gemüse_DropDown[Ackerkulturen])&gt;0)),ROW()-2),1),"")</f>
        <v>Grünmais</v>
      </c>
      <c r="CO86" s="2464"/>
      <c r="CP86" s="2464" t="str">
        <f>IFERROR(INDEX(Liste_Ackerkulturen_Gemüse_DropDown[Ackerkulturen],_xlfn.AGGREGATE(15,6,(ROW(Liste_Ackerkulturen_Gemüse_DropDown[Ackerkulturen])-1)/(--(SEARCH(CQ$2,Liste_Ackerkulturen_Gemüse_DropDown[Ackerkulturen])&gt;0)),ROW()-2),1),"")</f>
        <v>Grünmais</v>
      </c>
      <c r="CQ86" s="2464"/>
      <c r="CR86" s="2464" t="str">
        <f>IFERROR(INDEX(Liste_Ackerkulturen_Gemüse_DropDown[Ackerkulturen],_xlfn.AGGREGATE(15,6,(ROW(Liste_Ackerkulturen_Gemüse_DropDown[Ackerkulturen])-1)/(--(SEARCH(CS$2,Liste_Ackerkulturen_Gemüse_DropDown[Ackerkulturen])&gt;0)),ROW()-2),1),"")</f>
        <v>Grünmais</v>
      </c>
      <c r="CS86" s="2464"/>
      <c r="CT86"/>
      <c r="CU86"/>
      <c r="CV86"/>
      <c r="CW86"/>
      <c r="CX86"/>
      <c r="CY86"/>
      <c r="CZ86"/>
      <c r="DA86"/>
      <c r="DB86"/>
      <c r="DC86"/>
      <c r="DD86"/>
      <c r="DE86"/>
      <c r="DF86"/>
      <c r="DG86"/>
      <c r="DH86"/>
      <c r="DN86"/>
      <c r="DO86"/>
      <c r="DP86"/>
      <c r="DQ86"/>
      <c r="DR86"/>
      <c r="DS86"/>
      <c r="DT86"/>
      <c r="DU86"/>
      <c r="DV86"/>
      <c r="DW86"/>
      <c r="DX86"/>
      <c r="DY86"/>
      <c r="DZ86"/>
      <c r="EA86"/>
      <c r="EB86"/>
      <c r="EC86"/>
      <c r="ED86"/>
      <c r="EE86"/>
      <c r="EF86"/>
      <c r="EG86"/>
      <c r="EH86"/>
      <c r="EI86"/>
      <c r="EJ86"/>
      <c r="EK86"/>
      <c r="EL86"/>
      <c r="EM86"/>
      <c r="EN86"/>
      <c r="EO86"/>
      <c r="EP86"/>
      <c r="EQ86"/>
      <c r="ER86"/>
      <c r="ES86"/>
      <c r="ET86"/>
      <c r="EU86"/>
      <c r="EV86"/>
      <c r="EW86"/>
      <c r="EX86"/>
      <c r="EY86"/>
      <c r="EZ86"/>
      <c r="FA86"/>
      <c r="FB86"/>
      <c r="FC86"/>
      <c r="FD86"/>
      <c r="FE86"/>
      <c r="FF86"/>
      <c r="FG86"/>
      <c r="FH86"/>
      <c r="FI86"/>
      <c r="FJ86"/>
      <c r="FK86"/>
      <c r="FL86"/>
      <c r="FM86"/>
      <c r="FN86"/>
      <c r="FO86"/>
      <c r="FP86"/>
      <c r="FQ86"/>
      <c r="FR86"/>
      <c r="FS86"/>
      <c r="FT86"/>
      <c r="FU86"/>
      <c r="FV86"/>
      <c r="FW86"/>
      <c r="FX86"/>
      <c r="FY86"/>
      <c r="FZ86"/>
      <c r="GA86"/>
      <c r="GB86"/>
      <c r="GC86"/>
      <c r="GD86"/>
      <c r="GE86"/>
      <c r="GF86"/>
      <c r="GG86"/>
      <c r="GH86"/>
      <c r="GI86"/>
      <c r="GJ86"/>
      <c r="GK86"/>
      <c r="GL86"/>
      <c r="GM86"/>
      <c r="GN86"/>
      <c r="GO86"/>
      <c r="GP86"/>
      <c r="GQ86"/>
      <c r="GR86"/>
      <c r="GS86"/>
      <c r="GT86"/>
      <c r="GU86"/>
      <c r="GV86"/>
      <c r="GW86"/>
      <c r="GX86"/>
      <c r="GY86"/>
      <c r="GZ86"/>
      <c r="HA86"/>
      <c r="HB86"/>
      <c r="HC86"/>
      <c r="HD86"/>
      <c r="HE86"/>
      <c r="HF86"/>
      <c r="HG86"/>
      <c r="HH86"/>
      <c r="HI86"/>
      <c r="HJ86"/>
      <c r="HK86"/>
      <c r="HL86"/>
      <c r="HM86"/>
      <c r="HN86"/>
      <c r="HO86"/>
      <c r="HP86"/>
      <c r="HQ86"/>
      <c r="HR86"/>
      <c r="HS86"/>
      <c r="HT86"/>
      <c r="HU86"/>
      <c r="HV86"/>
      <c r="HW86"/>
      <c r="HX86"/>
      <c r="HY86"/>
      <c r="HZ86"/>
      <c r="IA86"/>
      <c r="IB86"/>
      <c r="IC86"/>
      <c r="ID86"/>
      <c r="IE86"/>
      <c r="IF86"/>
      <c r="IG86"/>
      <c r="IH86"/>
      <c r="II86"/>
      <c r="IJ86"/>
      <c r="IK86"/>
      <c r="IL86"/>
      <c r="IM86"/>
      <c r="IN86"/>
      <c r="IO86"/>
      <c r="IP86"/>
      <c r="IQ86"/>
      <c r="IR86"/>
      <c r="IS86"/>
      <c r="IT86"/>
      <c r="IU86"/>
    </row>
    <row r="87" spans="1:255" ht="21" customHeight="1">
      <c r="C87" s="2615"/>
      <c r="D87" s="1548" t="s">
        <v>1069</v>
      </c>
      <c r="E87" s="1545" t="s">
        <v>1201</v>
      </c>
      <c r="F87" s="2252"/>
      <c r="G87" s="1782" t="s">
        <v>1201</v>
      </c>
      <c r="H87" s="1783"/>
      <c r="I87" s="1452" t="s">
        <v>1078</v>
      </c>
      <c r="J87" s="1451">
        <v>210</v>
      </c>
      <c r="K87" s="1527">
        <v>160</v>
      </c>
      <c r="L87" s="1528">
        <v>160</v>
      </c>
      <c r="M87" s="1546"/>
      <c r="N87" s="1453"/>
      <c r="O87" s="1451"/>
      <c r="P87" s="1783"/>
      <c r="Q87" s="1451">
        <v>120</v>
      </c>
      <c r="R87" s="1454" t="s">
        <v>1061</v>
      </c>
      <c r="S87" s="1547" t="s">
        <v>1061</v>
      </c>
      <c r="T87" s="1546"/>
      <c r="U87" s="1450"/>
      <c r="V87" s="1455"/>
      <c r="W87" s="1783"/>
      <c r="X87" s="1456">
        <v>340</v>
      </c>
      <c r="Y87" s="1454"/>
      <c r="Z87" s="1547"/>
      <c r="AB87" s="1542"/>
      <c r="AC87" s="1542"/>
      <c r="AD87" s="1542"/>
      <c r="AE87" s="1542"/>
      <c r="AF87" s="1279"/>
      <c r="AM87" s="2371" t="s">
        <v>71</v>
      </c>
      <c r="AN87" s="2352">
        <v>130</v>
      </c>
      <c r="AO87" s="2283" t="s">
        <v>1983</v>
      </c>
      <c r="AP87" s="2352">
        <v>175</v>
      </c>
      <c r="AQ87" s="2283" t="s">
        <v>1984</v>
      </c>
      <c r="AR87" s="2352">
        <v>210</v>
      </c>
      <c r="AS87" s="2283" t="s">
        <v>1985</v>
      </c>
      <c r="AT87" s="2348">
        <v>225</v>
      </c>
      <c r="AU87" s="2285" t="s">
        <v>1986</v>
      </c>
      <c r="AV87" s="2348">
        <v>240</v>
      </c>
      <c r="AW87" s="2285" t="s">
        <v>1987</v>
      </c>
      <c r="AX87" s="2345">
        <v>160</v>
      </c>
      <c r="AY87" s="2278" t="s">
        <v>1984</v>
      </c>
      <c r="AZ87" s="2350">
        <v>180</v>
      </c>
      <c r="BA87" s="2303" t="s">
        <v>2327</v>
      </c>
      <c r="BE87" s="2371" t="s">
        <v>71</v>
      </c>
      <c r="BF87" s="577">
        <v>75</v>
      </c>
      <c r="BG87" s="577">
        <v>85</v>
      </c>
      <c r="BH87" s="577">
        <v>100</v>
      </c>
      <c r="BI87" s="2401"/>
      <c r="BJ87" s="2371" t="s">
        <v>71</v>
      </c>
      <c r="BK87" s="578">
        <v>205</v>
      </c>
      <c r="BL87" s="577">
        <v>225</v>
      </c>
      <c r="BM87" s="577">
        <v>260</v>
      </c>
      <c r="BN87" s="2399"/>
      <c r="BO87" s="525"/>
      <c r="BP87" s="458"/>
      <c r="BQ87" s="458"/>
      <c r="BR87" s="458"/>
      <c r="BS87" s="2461" t="s">
        <v>73</v>
      </c>
      <c r="BT87" s="2463" t="str">
        <f>IFERROR(INDEX(Liste_Ackerkulturen_Gemüse_DropDown[Ackerkulturen],_xlfn.AGGREGATE(15,6,(ROW(Liste_Ackerkulturen_Gemüse_DropDown[Ackerkulturen])-1)/(--(SEARCH(BU$2,Liste_Ackerkulturen_Gemüse_DropDown[Ackerkulturen])&gt;0)),ROW()-2),1),"")</f>
        <v>Grünschnittroggen</v>
      </c>
      <c r="BU87" s="2463"/>
      <c r="BV87" s="2463" t="str">
        <f>IFERROR(INDEX(Liste_Ackerkulturen_Gemüse_DropDown[Ackerkulturen],_xlfn.AGGREGATE(15,6,(ROW(Liste_Ackerkulturen_Gemüse_DropDown[Ackerkulturen])-1)/(--(SEARCH(BW$2,Liste_Ackerkulturen_Gemüse_DropDown[Ackerkulturen])&gt;0)),ROW()-2),1),"")</f>
        <v>Grünschnittroggen</v>
      </c>
      <c r="BW87" s="2463"/>
      <c r="BX87" s="2463" t="str">
        <f>IFERROR(INDEX(Liste_Ackerkulturen_Gemüse_DropDown[Ackerkulturen],_xlfn.AGGREGATE(15,6,(ROW(Liste_Ackerkulturen_Gemüse_DropDown[Ackerkulturen])-1)/(--(SEARCH(BY$2,Liste_Ackerkulturen_Gemüse_DropDown[Ackerkulturen])&gt;0)),ROW()-2),1),"")</f>
        <v>Grünschnittroggen</v>
      </c>
      <c r="BY87" s="2463"/>
      <c r="BZ87" s="2463" t="str">
        <f>IFERROR(INDEX(Liste_Ackerkulturen_Gemüse_DropDown[Ackerkulturen],_xlfn.AGGREGATE(15,6,(ROW(Liste_Ackerkulturen_Gemüse_DropDown[Ackerkulturen])-1)/(--(SEARCH(CA$2,Liste_Ackerkulturen_Gemüse_DropDown[Ackerkulturen])&gt;0)),ROW()-2),1),"")</f>
        <v>Grünschnittroggen</v>
      </c>
      <c r="CA87" s="2463"/>
      <c r="CB87" s="2463" t="str">
        <f>IFERROR(INDEX(Liste_Ackerkulturen_Gemüse_DropDown[Ackerkulturen],_xlfn.AGGREGATE(15,6,(ROW(Liste_Ackerkulturen_Gemüse_DropDown[Ackerkulturen])-1)/(--(SEARCH(CC$2,Liste_Ackerkulturen_Gemüse_DropDown[Ackerkulturen])&gt;0)),ROW()-2),1),"")</f>
        <v>Grünschnittroggen</v>
      </c>
      <c r="CC87" s="2463"/>
      <c r="CD87" s="2464" t="str">
        <f>IFERROR(INDEX(Liste_Ackerkulturen_Gemüse_DropDown[Ackerkulturen],_xlfn.AGGREGATE(15,6,(ROW(Liste_Ackerkulturen_Gemüse_DropDown[Ackerkulturen])-1)/(--(SEARCH(CE$2,Liste_Ackerkulturen_Gemüse_DropDown[Ackerkulturen])&gt;0)),ROW()-2),1),"")</f>
        <v>Grünschnittroggen</v>
      </c>
      <c r="CE87" s="2464"/>
      <c r="CF87" s="2464" t="str">
        <f>IFERROR(INDEX(Liste_Ackerkulturen_Gemüse_DropDown[Ackerkulturen],_xlfn.AGGREGATE(15,6,(ROW(Liste_Ackerkulturen_Gemüse_DropDown[Ackerkulturen])-1)/(--(SEARCH(CG$2,Liste_Ackerkulturen_Gemüse_DropDown[Ackerkulturen])&gt;0)),ROW()-2),1),"")</f>
        <v>Grünschnittroggen</v>
      </c>
      <c r="CG87" s="2464"/>
      <c r="CH87" s="2464" t="str">
        <f>IFERROR(INDEX(Liste_Ackerkulturen_Gemüse_DropDown[Ackerkulturen],_xlfn.AGGREGATE(15,6,(ROW(Liste_Ackerkulturen_Gemüse_DropDown[Ackerkulturen])-1)/(--(SEARCH(CI$2,Liste_Ackerkulturen_Gemüse_DropDown[Ackerkulturen])&gt;0)),ROW()-2),1),"")</f>
        <v>Grünschnittroggen</v>
      </c>
      <c r="CI87" s="2464"/>
      <c r="CJ87" s="2464" t="str">
        <f>IFERROR(INDEX(Liste_Ackerkulturen_Gemüse_DropDown[Ackerkulturen],_xlfn.AGGREGATE(15,6,(ROW(Liste_Ackerkulturen_Gemüse_DropDown[Ackerkulturen])-1)/(--(SEARCH(CK$2,Liste_Ackerkulturen_Gemüse_DropDown[Ackerkulturen])&gt;0)),ROW()-2),1),"")</f>
        <v>Grünschnittroggen</v>
      </c>
      <c r="CK87" s="2464"/>
      <c r="CL87" s="2464" t="str">
        <f>IFERROR(INDEX(Liste_Ackerkulturen_Gemüse_DropDown[Ackerkulturen],_xlfn.AGGREGATE(15,6,(ROW(Liste_Ackerkulturen_Gemüse_DropDown[Ackerkulturen])-1)/(--(SEARCH(CM$2,Liste_Ackerkulturen_Gemüse_DropDown[Ackerkulturen])&gt;0)),ROW()-2),1),"")</f>
        <v>Grünschnittroggen</v>
      </c>
      <c r="CM87" s="2464"/>
      <c r="CN87" s="2464" t="str">
        <f>IFERROR(INDEX(Liste_Ackerkulturen_Gemüse_DropDown[Ackerkulturen],_xlfn.AGGREGATE(15,6,(ROW(Liste_Ackerkulturen_Gemüse_DropDown[Ackerkulturen])-1)/(--(SEARCH(CO$2,Liste_Ackerkulturen_Gemüse_DropDown[Ackerkulturen])&gt;0)),ROW()-2),1),"")</f>
        <v>Grünschnittroggen</v>
      </c>
      <c r="CO87" s="2464"/>
      <c r="CP87" s="2464" t="str">
        <f>IFERROR(INDEX(Liste_Ackerkulturen_Gemüse_DropDown[Ackerkulturen],_xlfn.AGGREGATE(15,6,(ROW(Liste_Ackerkulturen_Gemüse_DropDown[Ackerkulturen])-1)/(--(SEARCH(CQ$2,Liste_Ackerkulturen_Gemüse_DropDown[Ackerkulturen])&gt;0)),ROW()-2),1),"")</f>
        <v>Grünschnittroggen</v>
      </c>
      <c r="CQ87" s="2464"/>
      <c r="CR87" s="2464" t="str">
        <f>IFERROR(INDEX(Liste_Ackerkulturen_Gemüse_DropDown[Ackerkulturen],_xlfn.AGGREGATE(15,6,(ROW(Liste_Ackerkulturen_Gemüse_DropDown[Ackerkulturen])-1)/(--(SEARCH(CS$2,Liste_Ackerkulturen_Gemüse_DropDown[Ackerkulturen])&gt;0)),ROW()-2),1),"")</f>
        <v>Grünschnittroggen</v>
      </c>
      <c r="CS87" s="2464"/>
      <c r="CT87"/>
      <c r="CU87"/>
      <c r="CV87"/>
      <c r="CW87"/>
      <c r="CX87"/>
      <c r="CY87"/>
      <c r="CZ87"/>
      <c r="DA87"/>
      <c r="DB87"/>
      <c r="DC87"/>
      <c r="DD87"/>
      <c r="DE87"/>
      <c r="DF87"/>
      <c r="DG87"/>
      <c r="DH87"/>
      <c r="DN87"/>
      <c r="DO87"/>
      <c r="DP87"/>
      <c r="DQ87"/>
      <c r="DR87"/>
      <c r="DS87"/>
      <c r="DT87"/>
      <c r="DU87"/>
      <c r="DV87"/>
      <c r="DW87"/>
      <c r="DX87"/>
      <c r="DY87"/>
      <c r="DZ87"/>
      <c r="EA87"/>
      <c r="EB87"/>
      <c r="EC87"/>
      <c r="ED87"/>
      <c r="EE87"/>
      <c r="EF87"/>
      <c r="EG87"/>
      <c r="EH87"/>
      <c r="EI87"/>
      <c r="EJ87"/>
      <c r="EK87"/>
      <c r="EL87"/>
      <c r="EM87"/>
      <c r="EN87"/>
      <c r="EO87"/>
      <c r="EP87"/>
      <c r="EQ87"/>
      <c r="ER87"/>
      <c r="ES87"/>
      <c r="ET87"/>
      <c r="EU87"/>
      <c r="EV87"/>
      <c r="EW87"/>
      <c r="EX87"/>
      <c r="EY87"/>
      <c r="EZ87"/>
      <c r="FA87"/>
      <c r="FB87"/>
      <c r="FC87"/>
      <c r="FD87"/>
      <c r="FE87"/>
      <c r="FF87"/>
      <c r="FG87"/>
      <c r="FH87"/>
      <c r="FI87"/>
      <c r="FJ87"/>
      <c r="FK87"/>
      <c r="FL87"/>
      <c r="FM87"/>
      <c r="FN87"/>
      <c r="FO87"/>
      <c r="FP87"/>
      <c r="FQ87"/>
      <c r="FR87"/>
      <c r="FS87"/>
      <c r="FT87"/>
      <c r="FU87"/>
      <c r="FV87"/>
      <c r="FW87"/>
      <c r="FX87"/>
      <c r="FY87"/>
      <c r="FZ87"/>
      <c r="GA87"/>
      <c r="GB87"/>
      <c r="GC87"/>
      <c r="GD87"/>
      <c r="GE87"/>
      <c r="GF87"/>
      <c r="GG87"/>
      <c r="GH87"/>
      <c r="GI87"/>
      <c r="GJ87"/>
      <c r="GK87"/>
      <c r="GL87"/>
      <c r="GM87"/>
      <c r="GN87"/>
      <c r="GO87"/>
      <c r="GP87"/>
      <c r="GQ87"/>
      <c r="GR87"/>
      <c r="GS87"/>
      <c r="GT87"/>
      <c r="GU87"/>
      <c r="GV87"/>
      <c r="GW87"/>
      <c r="GX87"/>
      <c r="GY87"/>
      <c r="GZ87"/>
      <c r="HA87"/>
      <c r="HB87"/>
      <c r="HC87"/>
      <c r="HD87"/>
      <c r="HE87"/>
      <c r="HF87"/>
      <c r="HG87"/>
      <c r="HH87"/>
      <c r="HI87"/>
      <c r="HJ87"/>
      <c r="HK87"/>
      <c r="HL87"/>
      <c r="HM87"/>
      <c r="HN87"/>
      <c r="HO87"/>
      <c r="HP87"/>
      <c r="HQ87"/>
      <c r="HR87"/>
      <c r="HS87"/>
      <c r="HT87"/>
      <c r="HU87"/>
      <c r="HV87"/>
      <c r="HW87"/>
      <c r="HX87"/>
      <c r="HY87"/>
      <c r="HZ87"/>
      <c r="IA87"/>
      <c r="IB87"/>
      <c r="IC87"/>
      <c r="ID87"/>
      <c r="IE87"/>
      <c r="IF87"/>
      <c r="IG87"/>
      <c r="IH87"/>
      <c r="II87"/>
      <c r="IJ87"/>
      <c r="IK87"/>
      <c r="IL87"/>
      <c r="IM87"/>
      <c r="IN87"/>
      <c r="IO87"/>
      <c r="IP87"/>
      <c r="IQ87"/>
      <c r="IR87"/>
      <c r="IS87"/>
      <c r="IT87"/>
      <c r="IU87"/>
    </row>
    <row r="88" spans="1:255" ht="21" customHeight="1">
      <c r="C88" s="2615" t="s">
        <v>5</v>
      </c>
      <c r="D88" s="1548" t="s">
        <v>1070</v>
      </c>
      <c r="E88" s="1545" t="s">
        <v>1997</v>
      </c>
      <c r="F88" s="2252">
        <v>20</v>
      </c>
      <c r="G88" s="1782" t="s">
        <v>1060</v>
      </c>
      <c r="H88" s="1783">
        <v>30</v>
      </c>
      <c r="I88" s="1452" t="s">
        <v>1201</v>
      </c>
      <c r="J88" s="1451"/>
      <c r="K88" s="1527">
        <v>30</v>
      </c>
      <c r="L88" s="1528">
        <v>30</v>
      </c>
      <c r="M88" s="1546">
        <v>45</v>
      </c>
      <c r="N88" s="1453">
        <v>40</v>
      </c>
      <c r="O88" s="1451">
        <v>15</v>
      </c>
      <c r="P88" s="1783">
        <v>30</v>
      </c>
      <c r="Q88" s="1451"/>
      <c r="R88" s="1454" t="s">
        <v>1061</v>
      </c>
      <c r="S88" s="1547" t="s">
        <v>1061</v>
      </c>
      <c r="T88" s="1546">
        <v>120</v>
      </c>
      <c r="U88" s="1450">
        <v>100</v>
      </c>
      <c r="V88" s="1455">
        <v>45</v>
      </c>
      <c r="W88" s="1783">
        <v>80</v>
      </c>
      <c r="X88" s="1456"/>
      <c r="Y88" s="1454" t="s">
        <v>1061</v>
      </c>
      <c r="Z88" s="1547" t="s">
        <v>1061</v>
      </c>
      <c r="AB88" s="1542"/>
      <c r="AC88" s="1542"/>
      <c r="AD88" s="1542"/>
      <c r="AE88" s="1542"/>
      <c r="AF88" s="1279"/>
      <c r="AM88" s="2371" t="s">
        <v>72</v>
      </c>
      <c r="AN88" s="2352">
        <v>80</v>
      </c>
      <c r="AO88" s="2283" t="s">
        <v>1967</v>
      </c>
      <c r="AP88" s="2352">
        <v>110</v>
      </c>
      <c r="AQ88" s="2283" t="s">
        <v>1968</v>
      </c>
      <c r="AR88" s="2352">
        <v>130</v>
      </c>
      <c r="AS88" s="2283" t="s">
        <v>1972</v>
      </c>
      <c r="AT88" s="2348">
        <v>140</v>
      </c>
      <c r="AU88" s="2285" t="s">
        <v>1973</v>
      </c>
      <c r="AV88" s="2348">
        <v>150</v>
      </c>
      <c r="AW88" s="2285" t="s">
        <v>1974</v>
      </c>
      <c r="AX88" s="2345">
        <v>100</v>
      </c>
      <c r="AY88" s="2278" t="s">
        <v>1968</v>
      </c>
      <c r="AZ88" s="2350">
        <v>110</v>
      </c>
      <c r="BA88" s="2303" t="s">
        <v>2328</v>
      </c>
      <c r="BE88" s="2371" t="s">
        <v>72</v>
      </c>
      <c r="BF88" s="577">
        <v>50</v>
      </c>
      <c r="BG88" s="577">
        <v>55</v>
      </c>
      <c r="BH88" s="577">
        <v>65</v>
      </c>
      <c r="BI88" s="2401"/>
      <c r="BJ88" s="2371" t="s">
        <v>72</v>
      </c>
      <c r="BK88" s="578">
        <v>70</v>
      </c>
      <c r="BL88" s="577">
        <v>80</v>
      </c>
      <c r="BM88" s="577">
        <v>90</v>
      </c>
      <c r="BN88" s="2399"/>
      <c r="BO88" s="525"/>
      <c r="BP88" s="458"/>
      <c r="BQ88" s="458"/>
      <c r="BR88" s="458"/>
      <c r="BS88" s="2461" t="s">
        <v>77</v>
      </c>
      <c r="BT88" s="2463" t="str">
        <f>IFERROR(INDEX(Liste_Ackerkulturen_Gemüse_DropDown[Ackerkulturen],_xlfn.AGGREGATE(15,6,(ROW(Liste_Ackerkulturen_Gemüse_DropDown[Ackerkulturen])-1)/(--(SEARCH(BU$2,Liste_Ackerkulturen_Gemüse_DropDown[Ackerkulturen])&gt;0)),ROW()-2),1),"")</f>
        <v>Hanf</v>
      </c>
      <c r="BU88" s="2463"/>
      <c r="BV88" s="2463" t="str">
        <f>IFERROR(INDEX(Liste_Ackerkulturen_Gemüse_DropDown[Ackerkulturen],_xlfn.AGGREGATE(15,6,(ROW(Liste_Ackerkulturen_Gemüse_DropDown[Ackerkulturen])-1)/(--(SEARCH(BW$2,Liste_Ackerkulturen_Gemüse_DropDown[Ackerkulturen])&gt;0)),ROW()-2),1),"")</f>
        <v>Hanf</v>
      </c>
      <c r="BW88" s="2463"/>
      <c r="BX88" s="2463" t="str">
        <f>IFERROR(INDEX(Liste_Ackerkulturen_Gemüse_DropDown[Ackerkulturen],_xlfn.AGGREGATE(15,6,(ROW(Liste_Ackerkulturen_Gemüse_DropDown[Ackerkulturen])-1)/(--(SEARCH(BY$2,Liste_Ackerkulturen_Gemüse_DropDown[Ackerkulturen])&gt;0)),ROW()-2),1),"")</f>
        <v>Hanf</v>
      </c>
      <c r="BY88" s="2463"/>
      <c r="BZ88" s="2463" t="str">
        <f>IFERROR(INDEX(Liste_Ackerkulturen_Gemüse_DropDown[Ackerkulturen],_xlfn.AGGREGATE(15,6,(ROW(Liste_Ackerkulturen_Gemüse_DropDown[Ackerkulturen])-1)/(--(SEARCH(CA$2,Liste_Ackerkulturen_Gemüse_DropDown[Ackerkulturen])&gt;0)),ROW()-2),1),"")</f>
        <v>Hanf</v>
      </c>
      <c r="CA88" s="2463"/>
      <c r="CB88" s="2463" t="str">
        <f>IFERROR(INDEX(Liste_Ackerkulturen_Gemüse_DropDown[Ackerkulturen],_xlfn.AGGREGATE(15,6,(ROW(Liste_Ackerkulturen_Gemüse_DropDown[Ackerkulturen])-1)/(--(SEARCH(CC$2,Liste_Ackerkulturen_Gemüse_DropDown[Ackerkulturen])&gt;0)),ROW()-2),1),"")</f>
        <v>Hanf</v>
      </c>
      <c r="CC88" s="2463"/>
      <c r="CD88" s="2464" t="str">
        <f>IFERROR(INDEX(Liste_Ackerkulturen_Gemüse_DropDown[Ackerkulturen],_xlfn.AGGREGATE(15,6,(ROW(Liste_Ackerkulturen_Gemüse_DropDown[Ackerkulturen])-1)/(--(SEARCH(CE$2,Liste_Ackerkulturen_Gemüse_DropDown[Ackerkulturen])&gt;0)),ROW()-2),1),"")</f>
        <v>Hanf</v>
      </c>
      <c r="CE88" s="2464"/>
      <c r="CF88" s="2464" t="str">
        <f>IFERROR(INDEX(Liste_Ackerkulturen_Gemüse_DropDown[Ackerkulturen],_xlfn.AGGREGATE(15,6,(ROW(Liste_Ackerkulturen_Gemüse_DropDown[Ackerkulturen])-1)/(--(SEARCH(CG$2,Liste_Ackerkulturen_Gemüse_DropDown[Ackerkulturen])&gt;0)),ROW()-2),1),"")</f>
        <v>Hanf</v>
      </c>
      <c r="CG88" s="2464"/>
      <c r="CH88" s="2464" t="str">
        <f>IFERROR(INDEX(Liste_Ackerkulturen_Gemüse_DropDown[Ackerkulturen],_xlfn.AGGREGATE(15,6,(ROW(Liste_Ackerkulturen_Gemüse_DropDown[Ackerkulturen])-1)/(--(SEARCH(CI$2,Liste_Ackerkulturen_Gemüse_DropDown[Ackerkulturen])&gt;0)),ROW()-2),1),"")</f>
        <v>Hanf</v>
      </c>
      <c r="CI88" s="2464"/>
      <c r="CJ88" s="2464" t="str">
        <f>IFERROR(INDEX(Liste_Ackerkulturen_Gemüse_DropDown[Ackerkulturen],_xlfn.AGGREGATE(15,6,(ROW(Liste_Ackerkulturen_Gemüse_DropDown[Ackerkulturen])-1)/(--(SEARCH(CK$2,Liste_Ackerkulturen_Gemüse_DropDown[Ackerkulturen])&gt;0)),ROW()-2),1),"")</f>
        <v>Hanf</v>
      </c>
      <c r="CK88" s="2464"/>
      <c r="CL88" s="2464" t="str">
        <f>IFERROR(INDEX(Liste_Ackerkulturen_Gemüse_DropDown[Ackerkulturen],_xlfn.AGGREGATE(15,6,(ROW(Liste_Ackerkulturen_Gemüse_DropDown[Ackerkulturen])-1)/(--(SEARCH(CM$2,Liste_Ackerkulturen_Gemüse_DropDown[Ackerkulturen])&gt;0)),ROW()-2),1),"")</f>
        <v>Hanf</v>
      </c>
      <c r="CM88" s="2464"/>
      <c r="CN88" s="2464" t="str">
        <f>IFERROR(INDEX(Liste_Ackerkulturen_Gemüse_DropDown[Ackerkulturen],_xlfn.AGGREGATE(15,6,(ROW(Liste_Ackerkulturen_Gemüse_DropDown[Ackerkulturen])-1)/(--(SEARCH(CO$2,Liste_Ackerkulturen_Gemüse_DropDown[Ackerkulturen])&gt;0)),ROW()-2),1),"")</f>
        <v>Hanf</v>
      </c>
      <c r="CO88" s="2464"/>
      <c r="CP88" s="2464" t="str">
        <f>IFERROR(INDEX(Liste_Ackerkulturen_Gemüse_DropDown[Ackerkulturen],_xlfn.AGGREGATE(15,6,(ROW(Liste_Ackerkulturen_Gemüse_DropDown[Ackerkulturen])-1)/(--(SEARCH(CQ$2,Liste_Ackerkulturen_Gemüse_DropDown[Ackerkulturen])&gt;0)),ROW()-2),1),"")</f>
        <v>Hanf</v>
      </c>
      <c r="CQ88" s="2464"/>
      <c r="CR88" s="2464" t="str">
        <f>IFERROR(INDEX(Liste_Ackerkulturen_Gemüse_DropDown[Ackerkulturen],_xlfn.AGGREGATE(15,6,(ROW(Liste_Ackerkulturen_Gemüse_DropDown[Ackerkulturen])-1)/(--(SEARCH(CS$2,Liste_Ackerkulturen_Gemüse_DropDown[Ackerkulturen])&gt;0)),ROW()-2),1),"")</f>
        <v>Hanf</v>
      </c>
      <c r="CS88" s="2464"/>
      <c r="CT88"/>
      <c r="CU88"/>
      <c r="CV88"/>
      <c r="CW88"/>
      <c r="CX88"/>
      <c r="CY88"/>
      <c r="CZ88"/>
      <c r="DA88"/>
      <c r="DB88"/>
      <c r="DC88"/>
      <c r="DD88"/>
      <c r="DE88"/>
      <c r="DF88"/>
      <c r="DG88"/>
      <c r="DH88"/>
      <c r="DN88"/>
      <c r="DO88"/>
      <c r="DP88"/>
      <c r="DQ88"/>
      <c r="DR88"/>
      <c r="DS88"/>
      <c r="DT88"/>
      <c r="DU88"/>
      <c r="DV88"/>
      <c r="DW88"/>
      <c r="DX88"/>
      <c r="DY88"/>
      <c r="DZ88"/>
      <c r="EA88"/>
      <c r="EB88"/>
      <c r="EC88"/>
      <c r="ED88"/>
      <c r="EE88"/>
      <c r="EF88"/>
      <c r="EG88"/>
      <c r="EH88"/>
      <c r="EI88"/>
      <c r="EJ88"/>
      <c r="EK88"/>
      <c r="EL88"/>
      <c r="EM88"/>
      <c r="EN88"/>
      <c r="EO88"/>
      <c r="EP88"/>
      <c r="EQ88"/>
      <c r="ER88"/>
      <c r="ES88"/>
      <c r="ET88"/>
      <c r="EU88"/>
      <c r="EV88"/>
      <c r="EW88"/>
      <c r="EX88"/>
      <c r="EY88"/>
      <c r="EZ88"/>
      <c r="FA88"/>
      <c r="FB88"/>
      <c r="FC88"/>
      <c r="FD88"/>
      <c r="FE88"/>
      <c r="FF88"/>
      <c r="FG88"/>
      <c r="FH88"/>
      <c r="FI88"/>
      <c r="FJ88"/>
      <c r="FK88"/>
      <c r="FL88"/>
      <c r="FM88"/>
      <c r="FN88"/>
      <c r="FO88"/>
      <c r="FP88"/>
      <c r="FQ88"/>
      <c r="FR88"/>
      <c r="FS88"/>
      <c r="FT88"/>
      <c r="FU88"/>
      <c r="FV88"/>
      <c r="FW88"/>
      <c r="FX88"/>
      <c r="FY88"/>
      <c r="FZ88"/>
      <c r="GA88"/>
      <c r="GB88"/>
      <c r="GC88"/>
      <c r="GD88"/>
      <c r="GE88"/>
      <c r="GF88"/>
      <c r="GG88"/>
      <c r="GH88"/>
      <c r="GI88"/>
      <c r="GJ88"/>
      <c r="GK88"/>
      <c r="GL88"/>
      <c r="GM88"/>
      <c r="GN88"/>
      <c r="GO88"/>
      <c r="GP88"/>
      <c r="GQ88"/>
      <c r="GR88"/>
      <c r="GS88"/>
      <c r="GT88"/>
      <c r="GU88"/>
      <c r="GV88"/>
      <c r="GW88"/>
      <c r="GX88"/>
      <c r="GY88"/>
      <c r="GZ88"/>
      <c r="HA88"/>
      <c r="HB88"/>
      <c r="HC88"/>
      <c r="HD88"/>
      <c r="HE88"/>
      <c r="HF88"/>
      <c r="HG88"/>
      <c r="HH88"/>
      <c r="HI88"/>
      <c r="HJ88"/>
      <c r="HK88"/>
      <c r="HL88"/>
      <c r="HM88"/>
      <c r="HN88"/>
      <c r="HO88"/>
      <c r="HP88"/>
      <c r="HQ88"/>
      <c r="HR88"/>
      <c r="HS88"/>
      <c r="HT88"/>
      <c r="HU88"/>
      <c r="HV88"/>
      <c r="HW88"/>
      <c r="HX88"/>
      <c r="HY88"/>
      <c r="HZ88"/>
      <c r="IA88"/>
      <c r="IB88"/>
      <c r="IC88"/>
      <c r="ID88"/>
      <c r="IE88"/>
      <c r="IF88"/>
      <c r="IG88"/>
      <c r="IH88"/>
      <c r="II88"/>
      <c r="IJ88"/>
      <c r="IK88"/>
      <c r="IL88"/>
      <c r="IM88"/>
      <c r="IN88"/>
      <c r="IO88"/>
      <c r="IP88"/>
      <c r="IQ88"/>
      <c r="IR88"/>
      <c r="IS88"/>
      <c r="IT88"/>
      <c r="IU88"/>
    </row>
    <row r="89" spans="1:255" ht="21" customHeight="1">
      <c r="C89" s="2615"/>
      <c r="D89" s="1548" t="s">
        <v>1062</v>
      </c>
      <c r="E89" s="1545" t="s">
        <v>1071</v>
      </c>
      <c r="F89" s="2252">
        <v>60</v>
      </c>
      <c r="G89" s="1782" t="s">
        <v>1063</v>
      </c>
      <c r="H89" s="1783">
        <v>90</v>
      </c>
      <c r="I89" s="1452" t="s">
        <v>1201</v>
      </c>
      <c r="J89" s="1451"/>
      <c r="K89" s="1527">
        <v>90</v>
      </c>
      <c r="L89" s="1528">
        <v>90</v>
      </c>
      <c r="M89" s="1546">
        <v>70</v>
      </c>
      <c r="N89" s="1453">
        <v>55</v>
      </c>
      <c r="O89" s="1451">
        <v>30</v>
      </c>
      <c r="P89" s="1783">
        <v>45</v>
      </c>
      <c r="Q89" s="1451"/>
      <c r="R89" s="1454" t="s">
        <v>1061</v>
      </c>
      <c r="S89" s="1547" t="s">
        <v>1061</v>
      </c>
      <c r="T89" s="1546">
        <v>180</v>
      </c>
      <c r="U89" s="1450">
        <v>150</v>
      </c>
      <c r="V89" s="1455">
        <v>80</v>
      </c>
      <c r="W89" s="1783">
        <v>120</v>
      </c>
      <c r="X89" s="1456"/>
      <c r="Y89" s="1454" t="s">
        <v>1061</v>
      </c>
      <c r="Z89" s="1547" t="s">
        <v>1061</v>
      </c>
      <c r="AB89" s="1542"/>
      <c r="AC89" s="1542"/>
      <c r="AD89" s="1542"/>
      <c r="AE89" s="1542"/>
      <c r="AF89" s="1283"/>
      <c r="AM89" s="2371" t="s">
        <v>73</v>
      </c>
      <c r="AN89" s="2352">
        <v>60</v>
      </c>
      <c r="AO89" s="2283" t="s">
        <v>74</v>
      </c>
      <c r="AP89" s="2352">
        <v>80</v>
      </c>
      <c r="AQ89" s="2283" t="s">
        <v>75</v>
      </c>
      <c r="AR89" s="2352">
        <v>120</v>
      </c>
      <c r="AS89" s="2283" t="s">
        <v>76</v>
      </c>
      <c r="AT89" s="2348">
        <v>120</v>
      </c>
      <c r="AU89" s="2285"/>
      <c r="AV89" s="2348">
        <v>120</v>
      </c>
      <c r="AW89" s="2285"/>
      <c r="AX89" s="2345">
        <v>70</v>
      </c>
      <c r="AY89" s="2278" t="s">
        <v>75</v>
      </c>
      <c r="AZ89" s="2350">
        <v>70</v>
      </c>
      <c r="BA89" s="2303" t="s">
        <v>2329</v>
      </c>
      <c r="BE89" s="2371" t="s">
        <v>73</v>
      </c>
      <c r="BF89" s="577">
        <v>50</v>
      </c>
      <c r="BG89" s="577">
        <v>55</v>
      </c>
      <c r="BH89" s="577">
        <v>65</v>
      </c>
      <c r="BI89" s="2401"/>
      <c r="BJ89" s="2371" t="s">
        <v>73</v>
      </c>
      <c r="BK89" s="578">
        <v>120</v>
      </c>
      <c r="BL89" s="577">
        <v>135</v>
      </c>
      <c r="BM89" s="577">
        <v>155</v>
      </c>
      <c r="BN89" s="2399"/>
      <c r="BO89" s="525"/>
      <c r="BP89" s="458"/>
      <c r="BQ89" s="458"/>
      <c r="BR89" s="458"/>
      <c r="BS89" s="2461" t="s">
        <v>78</v>
      </c>
      <c r="BT89" s="2463" t="str">
        <f>IFERROR(INDEX(Liste_Ackerkulturen_Gemüse_DropDown[Ackerkulturen],_xlfn.AGGREGATE(15,6,(ROW(Liste_Ackerkulturen_Gemüse_DropDown[Ackerkulturen])-1)/(--(SEARCH(BU$2,Liste_Ackerkulturen_Gemüse_DropDown[Ackerkulturen])&gt;0)),ROW()-2),1),"")</f>
        <v>Iberischer Drachenkopf</v>
      </c>
      <c r="BU89" s="2463"/>
      <c r="BV89" s="2463" t="str">
        <f>IFERROR(INDEX(Liste_Ackerkulturen_Gemüse_DropDown[Ackerkulturen],_xlfn.AGGREGATE(15,6,(ROW(Liste_Ackerkulturen_Gemüse_DropDown[Ackerkulturen])-1)/(--(SEARCH(BW$2,Liste_Ackerkulturen_Gemüse_DropDown[Ackerkulturen])&gt;0)),ROW()-2),1),"")</f>
        <v>Iberischer Drachenkopf</v>
      </c>
      <c r="BW89" s="2463"/>
      <c r="BX89" s="2463" t="str">
        <f>IFERROR(INDEX(Liste_Ackerkulturen_Gemüse_DropDown[Ackerkulturen],_xlfn.AGGREGATE(15,6,(ROW(Liste_Ackerkulturen_Gemüse_DropDown[Ackerkulturen])-1)/(--(SEARCH(BY$2,Liste_Ackerkulturen_Gemüse_DropDown[Ackerkulturen])&gt;0)),ROW()-2),1),"")</f>
        <v>Iberischer Drachenkopf</v>
      </c>
      <c r="BY89" s="2463"/>
      <c r="BZ89" s="2463" t="str">
        <f>IFERROR(INDEX(Liste_Ackerkulturen_Gemüse_DropDown[Ackerkulturen],_xlfn.AGGREGATE(15,6,(ROW(Liste_Ackerkulturen_Gemüse_DropDown[Ackerkulturen])-1)/(--(SEARCH(CA$2,Liste_Ackerkulturen_Gemüse_DropDown[Ackerkulturen])&gt;0)),ROW()-2),1),"")</f>
        <v>Iberischer Drachenkopf</v>
      </c>
      <c r="CA89" s="2463"/>
      <c r="CB89" s="2463" t="str">
        <f>IFERROR(INDEX(Liste_Ackerkulturen_Gemüse_DropDown[Ackerkulturen],_xlfn.AGGREGATE(15,6,(ROW(Liste_Ackerkulturen_Gemüse_DropDown[Ackerkulturen])-1)/(--(SEARCH(CC$2,Liste_Ackerkulturen_Gemüse_DropDown[Ackerkulturen])&gt;0)),ROW()-2),1),"")</f>
        <v>Iberischer Drachenkopf</v>
      </c>
      <c r="CC89" s="2463"/>
      <c r="CD89" s="2464" t="str">
        <f>IFERROR(INDEX(Liste_Ackerkulturen_Gemüse_DropDown[Ackerkulturen],_xlfn.AGGREGATE(15,6,(ROW(Liste_Ackerkulturen_Gemüse_DropDown[Ackerkulturen])-1)/(--(SEARCH(CE$2,Liste_Ackerkulturen_Gemüse_DropDown[Ackerkulturen])&gt;0)),ROW()-2),1),"")</f>
        <v>Iberischer Drachenkopf</v>
      </c>
      <c r="CE89" s="2464"/>
      <c r="CF89" s="2464" t="str">
        <f>IFERROR(INDEX(Liste_Ackerkulturen_Gemüse_DropDown[Ackerkulturen],_xlfn.AGGREGATE(15,6,(ROW(Liste_Ackerkulturen_Gemüse_DropDown[Ackerkulturen])-1)/(--(SEARCH(CG$2,Liste_Ackerkulturen_Gemüse_DropDown[Ackerkulturen])&gt;0)),ROW()-2),1),"")</f>
        <v>Iberischer Drachenkopf</v>
      </c>
      <c r="CG89" s="2464"/>
      <c r="CH89" s="2464" t="str">
        <f>IFERROR(INDEX(Liste_Ackerkulturen_Gemüse_DropDown[Ackerkulturen],_xlfn.AGGREGATE(15,6,(ROW(Liste_Ackerkulturen_Gemüse_DropDown[Ackerkulturen])-1)/(--(SEARCH(CI$2,Liste_Ackerkulturen_Gemüse_DropDown[Ackerkulturen])&gt;0)),ROW()-2),1),"")</f>
        <v>Iberischer Drachenkopf</v>
      </c>
      <c r="CI89" s="2464"/>
      <c r="CJ89" s="2464" t="str">
        <f>IFERROR(INDEX(Liste_Ackerkulturen_Gemüse_DropDown[Ackerkulturen],_xlfn.AGGREGATE(15,6,(ROW(Liste_Ackerkulturen_Gemüse_DropDown[Ackerkulturen])-1)/(--(SEARCH(CK$2,Liste_Ackerkulturen_Gemüse_DropDown[Ackerkulturen])&gt;0)),ROW()-2),1),"")</f>
        <v>Iberischer Drachenkopf</v>
      </c>
      <c r="CK89" s="2464"/>
      <c r="CL89" s="2464" t="str">
        <f>IFERROR(INDEX(Liste_Ackerkulturen_Gemüse_DropDown[Ackerkulturen],_xlfn.AGGREGATE(15,6,(ROW(Liste_Ackerkulturen_Gemüse_DropDown[Ackerkulturen])-1)/(--(SEARCH(CM$2,Liste_Ackerkulturen_Gemüse_DropDown[Ackerkulturen])&gt;0)),ROW()-2),1),"")</f>
        <v>Iberischer Drachenkopf</v>
      </c>
      <c r="CM89" s="2464"/>
      <c r="CN89" s="2464" t="str">
        <f>IFERROR(INDEX(Liste_Ackerkulturen_Gemüse_DropDown[Ackerkulturen],_xlfn.AGGREGATE(15,6,(ROW(Liste_Ackerkulturen_Gemüse_DropDown[Ackerkulturen])-1)/(--(SEARCH(CO$2,Liste_Ackerkulturen_Gemüse_DropDown[Ackerkulturen])&gt;0)),ROW()-2),1),"")</f>
        <v>Iberischer Drachenkopf</v>
      </c>
      <c r="CO89" s="2464"/>
      <c r="CP89" s="2464" t="str">
        <f>IFERROR(INDEX(Liste_Ackerkulturen_Gemüse_DropDown[Ackerkulturen],_xlfn.AGGREGATE(15,6,(ROW(Liste_Ackerkulturen_Gemüse_DropDown[Ackerkulturen])-1)/(--(SEARCH(CQ$2,Liste_Ackerkulturen_Gemüse_DropDown[Ackerkulturen])&gt;0)),ROW()-2),1),"")</f>
        <v>Iberischer Drachenkopf</v>
      </c>
      <c r="CQ89" s="2464"/>
      <c r="CR89" s="2464" t="str">
        <f>IFERROR(INDEX(Liste_Ackerkulturen_Gemüse_DropDown[Ackerkulturen],_xlfn.AGGREGATE(15,6,(ROW(Liste_Ackerkulturen_Gemüse_DropDown[Ackerkulturen])-1)/(--(SEARCH(CS$2,Liste_Ackerkulturen_Gemüse_DropDown[Ackerkulturen])&gt;0)),ROW()-2),1),"")</f>
        <v>Iberischer Drachenkopf</v>
      </c>
      <c r="CS89" s="2464"/>
      <c r="CT89"/>
      <c r="CU89"/>
      <c r="CV89"/>
      <c r="CW89"/>
      <c r="CX89"/>
      <c r="CY89"/>
      <c r="CZ89"/>
      <c r="DA89"/>
      <c r="DB89"/>
      <c r="DC89"/>
      <c r="DD89"/>
      <c r="DE89"/>
      <c r="DF89"/>
      <c r="DG89"/>
      <c r="DH89"/>
      <c r="DN89"/>
      <c r="DO89"/>
      <c r="DP89"/>
      <c r="DQ89"/>
      <c r="DR89"/>
      <c r="DS89"/>
      <c r="DT89"/>
      <c r="DU89"/>
      <c r="DV89"/>
      <c r="DW89"/>
      <c r="DX89"/>
      <c r="DY89"/>
      <c r="DZ89"/>
      <c r="EA89"/>
      <c r="EB89"/>
      <c r="EC89"/>
      <c r="ED89"/>
      <c r="EE89"/>
      <c r="EF89"/>
      <c r="EG89"/>
      <c r="EH89"/>
      <c r="EI89"/>
      <c r="EJ89"/>
      <c r="EK89"/>
      <c r="EL89"/>
      <c r="EM89"/>
      <c r="EN89"/>
      <c r="EO89"/>
      <c r="EP89"/>
      <c r="EQ89"/>
      <c r="ER89"/>
      <c r="ES89"/>
      <c r="ET89"/>
      <c r="EU89"/>
      <c r="EV89"/>
      <c r="EW89"/>
      <c r="EX89"/>
      <c r="EY89"/>
      <c r="EZ89"/>
      <c r="FA89"/>
      <c r="FB89"/>
      <c r="FC89"/>
      <c r="FD89"/>
      <c r="FE89"/>
      <c r="FF89"/>
      <c r="FG89"/>
      <c r="FH89"/>
      <c r="FI89"/>
      <c r="FJ89"/>
      <c r="FK89"/>
      <c r="FL89"/>
      <c r="FM89"/>
      <c r="FN89"/>
      <c r="FO89"/>
      <c r="FP89"/>
      <c r="FQ89"/>
      <c r="FR89"/>
      <c r="FS89"/>
      <c r="FT89"/>
      <c r="FU89"/>
      <c r="FV89"/>
      <c r="FW89"/>
      <c r="FX89"/>
      <c r="FY89"/>
      <c r="FZ89"/>
      <c r="GA89"/>
      <c r="GB89"/>
      <c r="GC89"/>
      <c r="GD89"/>
      <c r="GE89"/>
      <c r="GF89"/>
      <c r="GG89"/>
      <c r="GH89"/>
      <c r="GI89"/>
      <c r="GJ89"/>
      <c r="GK89"/>
      <c r="GL89"/>
      <c r="GM89"/>
      <c r="GN89"/>
      <c r="GO89"/>
      <c r="GP89"/>
      <c r="GQ89"/>
      <c r="GR89"/>
      <c r="GS89"/>
      <c r="GT89"/>
      <c r="GU89"/>
      <c r="GV89"/>
      <c r="GW89"/>
      <c r="GX89"/>
      <c r="GY89"/>
      <c r="GZ89"/>
      <c r="HA89"/>
      <c r="HB89"/>
      <c r="HC89"/>
      <c r="HD89"/>
      <c r="HE89"/>
      <c r="HF89"/>
      <c r="HG89"/>
      <c r="HH89"/>
      <c r="HI89"/>
      <c r="HJ89"/>
      <c r="HK89"/>
      <c r="HL89"/>
      <c r="HM89"/>
      <c r="HN89"/>
      <c r="HO89"/>
      <c r="HP89"/>
      <c r="HQ89"/>
      <c r="HR89"/>
      <c r="HS89"/>
      <c r="HT89"/>
      <c r="HU89"/>
      <c r="HV89"/>
      <c r="HW89"/>
      <c r="HX89"/>
      <c r="HY89"/>
      <c r="HZ89"/>
      <c r="IA89"/>
      <c r="IB89"/>
      <c r="IC89"/>
      <c r="ID89"/>
      <c r="IE89"/>
      <c r="IF89"/>
      <c r="IG89"/>
      <c r="IH89"/>
      <c r="II89"/>
      <c r="IJ89"/>
      <c r="IK89"/>
      <c r="IL89"/>
      <c r="IM89"/>
      <c r="IN89"/>
      <c r="IO89"/>
      <c r="IP89"/>
      <c r="IQ89"/>
      <c r="IR89"/>
      <c r="IS89"/>
      <c r="IT89"/>
      <c r="IU89"/>
    </row>
    <row r="90" spans="1:255" ht="21" customHeight="1">
      <c r="C90" s="2615"/>
      <c r="D90" s="1548" t="s">
        <v>1064</v>
      </c>
      <c r="E90" s="1545" t="s">
        <v>1072</v>
      </c>
      <c r="F90" s="2252">
        <v>105</v>
      </c>
      <c r="G90" s="1782" t="s">
        <v>1073</v>
      </c>
      <c r="H90" s="1783">
        <v>120</v>
      </c>
      <c r="I90" s="1452" t="s">
        <v>1977</v>
      </c>
      <c r="J90" s="1451">
        <v>150</v>
      </c>
      <c r="K90" s="1527">
        <v>120</v>
      </c>
      <c r="L90" s="1528">
        <v>140</v>
      </c>
      <c r="M90" s="1546">
        <v>100</v>
      </c>
      <c r="N90" s="1453">
        <v>80</v>
      </c>
      <c r="O90" s="1451">
        <v>45</v>
      </c>
      <c r="P90" s="1783">
        <v>65</v>
      </c>
      <c r="Q90" s="1451">
        <v>80</v>
      </c>
      <c r="R90" s="1454" t="s">
        <v>1061</v>
      </c>
      <c r="S90" s="1547" t="s">
        <v>1061</v>
      </c>
      <c r="T90" s="1546">
        <v>255</v>
      </c>
      <c r="U90" s="1450">
        <v>215</v>
      </c>
      <c r="V90" s="1455">
        <v>130</v>
      </c>
      <c r="W90" s="1783">
        <v>170</v>
      </c>
      <c r="X90" s="1456">
        <v>215</v>
      </c>
      <c r="Y90" s="1454" t="s">
        <v>1061</v>
      </c>
      <c r="Z90" s="1547" t="s">
        <v>1061</v>
      </c>
      <c r="AB90" s="1542"/>
      <c r="AC90" s="1542"/>
      <c r="AD90" s="1542"/>
      <c r="AE90" s="1542"/>
      <c r="AF90" s="1279"/>
      <c r="AM90" s="2371" t="s">
        <v>77</v>
      </c>
      <c r="AN90" s="2352">
        <v>45</v>
      </c>
      <c r="AO90" s="2283" t="s">
        <v>1201</v>
      </c>
      <c r="AP90" s="2352">
        <v>45</v>
      </c>
      <c r="AQ90" s="2283" t="s">
        <v>1201</v>
      </c>
      <c r="AR90" s="2352">
        <v>45</v>
      </c>
      <c r="AS90" s="2283" t="s">
        <v>1201</v>
      </c>
      <c r="AT90" s="2348">
        <v>45</v>
      </c>
      <c r="AU90" s="2285" t="s">
        <v>1201</v>
      </c>
      <c r="AV90" s="2348">
        <v>45</v>
      </c>
      <c r="AW90" s="2285" t="s">
        <v>1201</v>
      </c>
      <c r="AX90" s="2345">
        <v>45</v>
      </c>
      <c r="AY90" s="2278" t="s">
        <v>1201</v>
      </c>
      <c r="AZ90" s="2350">
        <v>45</v>
      </c>
      <c r="BA90" s="2303" t="s">
        <v>1201</v>
      </c>
      <c r="BE90" s="2371" t="s">
        <v>77</v>
      </c>
      <c r="BF90" s="577">
        <v>15</v>
      </c>
      <c r="BG90" s="577">
        <v>15</v>
      </c>
      <c r="BH90" s="577">
        <v>15</v>
      </c>
      <c r="BI90" s="2401"/>
      <c r="BJ90" s="2371" t="s">
        <v>77</v>
      </c>
      <c r="BK90" s="578">
        <v>55</v>
      </c>
      <c r="BL90" s="577">
        <v>60</v>
      </c>
      <c r="BM90" s="577">
        <v>70</v>
      </c>
      <c r="BN90" s="2399"/>
      <c r="BO90" s="525"/>
      <c r="BP90" s="458"/>
      <c r="BQ90" s="458"/>
      <c r="BR90" s="458"/>
      <c r="BS90" s="2461" t="s">
        <v>83</v>
      </c>
      <c r="BT90" s="2463" t="str">
        <f>IFERROR(INDEX(Liste_Ackerkulturen_Gemüse_DropDown[Ackerkulturen],_xlfn.AGGREGATE(15,6,(ROW(Liste_Ackerkulturen_Gemüse_DropDown[Ackerkulturen])-1)/(--(SEARCH(BU$2,Liste_Ackerkulturen_Gemüse_DropDown[Ackerkulturen])&gt;0)),ROW()-2),1),"")</f>
        <v>Kanariensaat</v>
      </c>
      <c r="BU90" s="2463"/>
      <c r="BV90" s="2463" t="str">
        <f>IFERROR(INDEX(Liste_Ackerkulturen_Gemüse_DropDown[Ackerkulturen],_xlfn.AGGREGATE(15,6,(ROW(Liste_Ackerkulturen_Gemüse_DropDown[Ackerkulturen])-1)/(--(SEARCH(BW$2,Liste_Ackerkulturen_Gemüse_DropDown[Ackerkulturen])&gt;0)),ROW()-2),1),"")</f>
        <v>Kanariensaat</v>
      </c>
      <c r="BW90" s="2463"/>
      <c r="BX90" s="2463" t="str">
        <f>IFERROR(INDEX(Liste_Ackerkulturen_Gemüse_DropDown[Ackerkulturen],_xlfn.AGGREGATE(15,6,(ROW(Liste_Ackerkulturen_Gemüse_DropDown[Ackerkulturen])-1)/(--(SEARCH(BY$2,Liste_Ackerkulturen_Gemüse_DropDown[Ackerkulturen])&gt;0)),ROW()-2),1),"")</f>
        <v>Kanariensaat</v>
      </c>
      <c r="BY90" s="2463"/>
      <c r="BZ90" s="2463" t="str">
        <f>IFERROR(INDEX(Liste_Ackerkulturen_Gemüse_DropDown[Ackerkulturen],_xlfn.AGGREGATE(15,6,(ROW(Liste_Ackerkulturen_Gemüse_DropDown[Ackerkulturen])-1)/(--(SEARCH(CA$2,Liste_Ackerkulturen_Gemüse_DropDown[Ackerkulturen])&gt;0)),ROW()-2),1),"")</f>
        <v>Kanariensaat</v>
      </c>
      <c r="CA90" s="2463"/>
      <c r="CB90" s="2463" t="str">
        <f>IFERROR(INDEX(Liste_Ackerkulturen_Gemüse_DropDown[Ackerkulturen],_xlfn.AGGREGATE(15,6,(ROW(Liste_Ackerkulturen_Gemüse_DropDown[Ackerkulturen])-1)/(--(SEARCH(CC$2,Liste_Ackerkulturen_Gemüse_DropDown[Ackerkulturen])&gt;0)),ROW()-2),1),"")</f>
        <v>Kanariensaat</v>
      </c>
      <c r="CC90" s="2463"/>
      <c r="CD90" s="2464" t="str">
        <f>IFERROR(INDEX(Liste_Ackerkulturen_Gemüse_DropDown[Ackerkulturen],_xlfn.AGGREGATE(15,6,(ROW(Liste_Ackerkulturen_Gemüse_DropDown[Ackerkulturen])-1)/(--(SEARCH(CE$2,Liste_Ackerkulturen_Gemüse_DropDown[Ackerkulturen])&gt;0)),ROW()-2),1),"")</f>
        <v>Kanariensaat</v>
      </c>
      <c r="CE90" s="2464"/>
      <c r="CF90" s="2464" t="str">
        <f>IFERROR(INDEX(Liste_Ackerkulturen_Gemüse_DropDown[Ackerkulturen],_xlfn.AGGREGATE(15,6,(ROW(Liste_Ackerkulturen_Gemüse_DropDown[Ackerkulturen])-1)/(--(SEARCH(CG$2,Liste_Ackerkulturen_Gemüse_DropDown[Ackerkulturen])&gt;0)),ROW()-2),1),"")</f>
        <v>Kanariensaat</v>
      </c>
      <c r="CG90" s="2464"/>
      <c r="CH90" s="2464" t="str">
        <f>IFERROR(INDEX(Liste_Ackerkulturen_Gemüse_DropDown[Ackerkulturen],_xlfn.AGGREGATE(15,6,(ROW(Liste_Ackerkulturen_Gemüse_DropDown[Ackerkulturen])-1)/(--(SEARCH(CI$2,Liste_Ackerkulturen_Gemüse_DropDown[Ackerkulturen])&gt;0)),ROW()-2),1),"")</f>
        <v>Kanariensaat</v>
      </c>
      <c r="CI90" s="2464"/>
      <c r="CJ90" s="2464" t="str">
        <f>IFERROR(INDEX(Liste_Ackerkulturen_Gemüse_DropDown[Ackerkulturen],_xlfn.AGGREGATE(15,6,(ROW(Liste_Ackerkulturen_Gemüse_DropDown[Ackerkulturen])-1)/(--(SEARCH(CK$2,Liste_Ackerkulturen_Gemüse_DropDown[Ackerkulturen])&gt;0)),ROW()-2),1),"")</f>
        <v>Kanariensaat</v>
      </c>
      <c r="CK90" s="2464"/>
      <c r="CL90" s="2464" t="str">
        <f>IFERROR(INDEX(Liste_Ackerkulturen_Gemüse_DropDown[Ackerkulturen],_xlfn.AGGREGATE(15,6,(ROW(Liste_Ackerkulturen_Gemüse_DropDown[Ackerkulturen])-1)/(--(SEARCH(CM$2,Liste_Ackerkulturen_Gemüse_DropDown[Ackerkulturen])&gt;0)),ROW()-2),1),"")</f>
        <v>Kanariensaat</v>
      </c>
      <c r="CM90" s="2464"/>
      <c r="CN90" s="2464" t="str">
        <f>IFERROR(INDEX(Liste_Ackerkulturen_Gemüse_DropDown[Ackerkulturen],_xlfn.AGGREGATE(15,6,(ROW(Liste_Ackerkulturen_Gemüse_DropDown[Ackerkulturen])-1)/(--(SEARCH(CO$2,Liste_Ackerkulturen_Gemüse_DropDown[Ackerkulturen])&gt;0)),ROW()-2),1),"")</f>
        <v>Kanariensaat</v>
      </c>
      <c r="CO90" s="2464"/>
      <c r="CP90" s="2464" t="str">
        <f>IFERROR(INDEX(Liste_Ackerkulturen_Gemüse_DropDown[Ackerkulturen],_xlfn.AGGREGATE(15,6,(ROW(Liste_Ackerkulturen_Gemüse_DropDown[Ackerkulturen])-1)/(--(SEARCH(CQ$2,Liste_Ackerkulturen_Gemüse_DropDown[Ackerkulturen])&gt;0)),ROW()-2),1),"")</f>
        <v>Kanariensaat</v>
      </c>
      <c r="CQ90" s="2464"/>
      <c r="CR90" s="2464" t="str">
        <f>IFERROR(INDEX(Liste_Ackerkulturen_Gemüse_DropDown[Ackerkulturen],_xlfn.AGGREGATE(15,6,(ROW(Liste_Ackerkulturen_Gemüse_DropDown[Ackerkulturen])-1)/(--(SEARCH(CS$2,Liste_Ackerkulturen_Gemüse_DropDown[Ackerkulturen])&gt;0)),ROW()-2),1),"")</f>
        <v>Kanariensaat</v>
      </c>
      <c r="CS90" s="2464"/>
      <c r="CT90"/>
      <c r="CU90"/>
      <c r="CV90"/>
      <c r="CW90"/>
      <c r="CX90"/>
      <c r="CY90"/>
      <c r="CZ90"/>
      <c r="DA90"/>
      <c r="DB90"/>
      <c r="DC90"/>
      <c r="DD90"/>
      <c r="DE90"/>
      <c r="DF90"/>
      <c r="DG90"/>
      <c r="DH90"/>
      <c r="DN90"/>
      <c r="DO90"/>
      <c r="DP90"/>
      <c r="DQ90"/>
      <c r="DR90"/>
      <c r="DS90"/>
      <c r="DT90"/>
      <c r="DU90"/>
      <c r="DV90"/>
      <c r="DW90"/>
      <c r="DX90"/>
      <c r="DY90"/>
      <c r="DZ90"/>
      <c r="EA90"/>
      <c r="EB90"/>
      <c r="EC90"/>
      <c r="ED90"/>
      <c r="EE90"/>
      <c r="EF90"/>
      <c r="EG90"/>
      <c r="EH90"/>
      <c r="EI90"/>
      <c r="EJ90"/>
      <c r="EK90"/>
      <c r="EL90"/>
      <c r="EM90"/>
      <c r="EN90"/>
      <c r="EO90"/>
      <c r="EP90"/>
      <c r="EQ90"/>
      <c r="ER90"/>
      <c r="ES90"/>
      <c r="ET90"/>
      <c r="EU90"/>
      <c r="EV90"/>
      <c r="EW90"/>
      <c r="EX90"/>
      <c r="EY90"/>
      <c r="EZ90"/>
      <c r="FA90"/>
      <c r="FB90"/>
      <c r="FC90"/>
      <c r="FD90"/>
      <c r="FE90"/>
      <c r="FF90"/>
      <c r="FG90"/>
      <c r="FH90"/>
      <c r="FI90"/>
      <c r="FJ90"/>
      <c r="FK90"/>
      <c r="FL90"/>
      <c r="FM90"/>
      <c r="FN90"/>
      <c r="FO90"/>
      <c r="FP90"/>
      <c r="FQ90"/>
      <c r="FR90"/>
      <c r="FS90"/>
      <c r="FT90"/>
      <c r="FU90"/>
      <c r="FV90"/>
      <c r="FW90"/>
      <c r="FX90"/>
      <c r="FY90"/>
      <c r="FZ90"/>
      <c r="GA90"/>
      <c r="GB90"/>
      <c r="GC90"/>
      <c r="GD90"/>
      <c r="GE90"/>
      <c r="GF90"/>
      <c r="GG90"/>
      <c r="GH90"/>
      <c r="GI90"/>
      <c r="GJ90"/>
      <c r="GK90"/>
      <c r="GL90"/>
      <c r="GM90"/>
      <c r="GN90"/>
      <c r="GO90"/>
      <c r="GP90"/>
      <c r="GQ90"/>
      <c r="GR90"/>
      <c r="GS90"/>
      <c r="GT90"/>
      <c r="GU90"/>
      <c r="GV90"/>
      <c r="GW90"/>
      <c r="GX90"/>
      <c r="GY90"/>
      <c r="GZ90"/>
      <c r="HA90"/>
      <c r="HB90"/>
      <c r="HC90"/>
      <c r="HD90"/>
      <c r="HE90"/>
      <c r="HF90"/>
      <c r="HG90"/>
      <c r="HH90"/>
      <c r="HI90"/>
      <c r="HJ90"/>
      <c r="HK90"/>
      <c r="HL90"/>
      <c r="HM90"/>
      <c r="HN90"/>
      <c r="HO90"/>
      <c r="HP90"/>
      <c r="HQ90"/>
      <c r="HR90"/>
      <c r="HS90"/>
      <c r="HT90"/>
      <c r="HU90"/>
      <c r="HV90"/>
      <c r="HW90"/>
      <c r="HX90"/>
      <c r="HY90"/>
      <c r="HZ90"/>
      <c r="IA90"/>
      <c r="IB90"/>
      <c r="IC90"/>
      <c r="ID90"/>
      <c r="IE90"/>
      <c r="IF90"/>
      <c r="IG90"/>
      <c r="IH90"/>
      <c r="II90"/>
      <c r="IJ90"/>
      <c r="IK90"/>
      <c r="IL90"/>
      <c r="IM90"/>
      <c r="IN90"/>
      <c r="IO90"/>
      <c r="IP90"/>
      <c r="IQ90"/>
      <c r="IR90"/>
      <c r="IS90"/>
      <c r="IT90"/>
      <c r="IU90"/>
    </row>
    <row r="91" spans="1:255" ht="21" customHeight="1">
      <c r="C91" s="2615"/>
      <c r="D91" s="1548" t="s">
        <v>1067</v>
      </c>
      <c r="E91" s="1545" t="s">
        <v>1201</v>
      </c>
      <c r="F91" s="2252"/>
      <c r="G91" s="1782" t="s">
        <v>1074</v>
      </c>
      <c r="H91" s="1783">
        <v>160</v>
      </c>
      <c r="I91" s="1452" t="s">
        <v>1075</v>
      </c>
      <c r="J91" s="1451">
        <v>200</v>
      </c>
      <c r="K91" s="1527">
        <v>160</v>
      </c>
      <c r="L91" s="1528">
        <v>190</v>
      </c>
      <c r="M91" s="1546">
        <v>120</v>
      </c>
      <c r="N91" s="1453">
        <v>100</v>
      </c>
      <c r="O91" s="1451"/>
      <c r="P91" s="1783">
        <v>80</v>
      </c>
      <c r="Q91" s="1451">
        <v>90</v>
      </c>
      <c r="R91" s="1454" t="s">
        <v>1061</v>
      </c>
      <c r="S91" s="1547" t="s">
        <v>1061</v>
      </c>
      <c r="T91" s="1546">
        <v>310</v>
      </c>
      <c r="U91" s="1450">
        <v>255</v>
      </c>
      <c r="V91" s="1455"/>
      <c r="W91" s="1783">
        <v>205</v>
      </c>
      <c r="X91" s="1456">
        <v>260</v>
      </c>
      <c r="Y91" s="1454" t="s">
        <v>1061</v>
      </c>
      <c r="Z91" s="1547" t="s">
        <v>1061</v>
      </c>
      <c r="AB91" s="1542"/>
      <c r="AC91" s="1542"/>
      <c r="AD91" s="1542"/>
      <c r="AE91" s="1542"/>
      <c r="AF91" s="1279"/>
      <c r="AM91" s="2371" t="s">
        <v>78</v>
      </c>
      <c r="AN91" s="2352">
        <v>60</v>
      </c>
      <c r="AO91" s="2283" t="s">
        <v>57</v>
      </c>
      <c r="AP91" s="2352">
        <v>80</v>
      </c>
      <c r="AQ91" s="2283" t="s">
        <v>79</v>
      </c>
      <c r="AR91" s="2352">
        <v>100</v>
      </c>
      <c r="AS91" s="2283" t="s">
        <v>80</v>
      </c>
      <c r="AT91" s="2348">
        <v>100</v>
      </c>
      <c r="AU91" s="2285" t="s">
        <v>81</v>
      </c>
      <c r="AV91" s="2348">
        <v>100</v>
      </c>
      <c r="AW91" s="2285" t="s">
        <v>82</v>
      </c>
      <c r="AX91" s="2345">
        <v>100</v>
      </c>
      <c r="AY91" s="2278" t="s">
        <v>79</v>
      </c>
      <c r="AZ91" s="2350">
        <v>100</v>
      </c>
      <c r="BA91" s="2303" t="s">
        <v>447</v>
      </c>
      <c r="BE91" s="2371" t="s">
        <v>78</v>
      </c>
      <c r="BF91" s="577">
        <v>50</v>
      </c>
      <c r="BG91" s="577">
        <v>55</v>
      </c>
      <c r="BH91" s="577">
        <v>65</v>
      </c>
      <c r="BI91" s="2401"/>
      <c r="BJ91" s="2371" t="s">
        <v>78</v>
      </c>
      <c r="BK91" s="578">
        <v>45</v>
      </c>
      <c r="BL91" s="577">
        <v>50</v>
      </c>
      <c r="BM91" s="577">
        <v>60</v>
      </c>
      <c r="BN91" s="2399"/>
      <c r="BO91" s="525"/>
      <c r="BP91" s="458"/>
      <c r="BQ91" s="458"/>
      <c r="BR91" s="458"/>
      <c r="BS91" s="2461" t="s">
        <v>87</v>
      </c>
      <c r="BT91" s="2463" t="str">
        <f>IFERROR(INDEX(Liste_Ackerkulturen_Gemüse_DropDown[Ackerkulturen],_xlfn.AGGREGATE(15,6,(ROW(Liste_Ackerkulturen_Gemüse_DropDown[Ackerkulturen])-1)/(--(SEARCH(BU$2,Liste_Ackerkulturen_Gemüse_DropDown[Ackerkulturen])&gt;0)),ROW()-2),1),"")</f>
        <v>Kichererbsen</v>
      </c>
      <c r="BU91" s="2463"/>
      <c r="BV91" s="2463" t="str">
        <f>IFERROR(INDEX(Liste_Ackerkulturen_Gemüse_DropDown[Ackerkulturen],_xlfn.AGGREGATE(15,6,(ROW(Liste_Ackerkulturen_Gemüse_DropDown[Ackerkulturen])-1)/(--(SEARCH(BW$2,Liste_Ackerkulturen_Gemüse_DropDown[Ackerkulturen])&gt;0)),ROW()-2),1),"")</f>
        <v>Kichererbsen</v>
      </c>
      <c r="BW91" s="2463"/>
      <c r="BX91" s="2463" t="str">
        <f>IFERROR(INDEX(Liste_Ackerkulturen_Gemüse_DropDown[Ackerkulturen],_xlfn.AGGREGATE(15,6,(ROW(Liste_Ackerkulturen_Gemüse_DropDown[Ackerkulturen])-1)/(--(SEARCH(BY$2,Liste_Ackerkulturen_Gemüse_DropDown[Ackerkulturen])&gt;0)),ROW()-2),1),"")</f>
        <v>Kichererbsen</v>
      </c>
      <c r="BY91" s="2463"/>
      <c r="BZ91" s="2463" t="str">
        <f>IFERROR(INDEX(Liste_Ackerkulturen_Gemüse_DropDown[Ackerkulturen],_xlfn.AGGREGATE(15,6,(ROW(Liste_Ackerkulturen_Gemüse_DropDown[Ackerkulturen])-1)/(--(SEARCH(CA$2,Liste_Ackerkulturen_Gemüse_DropDown[Ackerkulturen])&gt;0)),ROW()-2),1),"")</f>
        <v>Kichererbsen</v>
      </c>
      <c r="CA91" s="2463"/>
      <c r="CB91" s="2463" t="str">
        <f>IFERROR(INDEX(Liste_Ackerkulturen_Gemüse_DropDown[Ackerkulturen],_xlfn.AGGREGATE(15,6,(ROW(Liste_Ackerkulturen_Gemüse_DropDown[Ackerkulturen])-1)/(--(SEARCH(CC$2,Liste_Ackerkulturen_Gemüse_DropDown[Ackerkulturen])&gt;0)),ROW()-2),1),"")</f>
        <v>Kichererbsen</v>
      </c>
      <c r="CC91" s="2463"/>
      <c r="CD91" s="2464" t="str">
        <f>IFERROR(INDEX(Liste_Ackerkulturen_Gemüse_DropDown[Ackerkulturen],_xlfn.AGGREGATE(15,6,(ROW(Liste_Ackerkulturen_Gemüse_DropDown[Ackerkulturen])-1)/(--(SEARCH(CE$2,Liste_Ackerkulturen_Gemüse_DropDown[Ackerkulturen])&gt;0)),ROW()-2),1),"")</f>
        <v>Kichererbsen</v>
      </c>
      <c r="CE91" s="2464"/>
      <c r="CF91" s="2464" t="str">
        <f>IFERROR(INDEX(Liste_Ackerkulturen_Gemüse_DropDown[Ackerkulturen],_xlfn.AGGREGATE(15,6,(ROW(Liste_Ackerkulturen_Gemüse_DropDown[Ackerkulturen])-1)/(--(SEARCH(CG$2,Liste_Ackerkulturen_Gemüse_DropDown[Ackerkulturen])&gt;0)),ROW()-2),1),"")</f>
        <v>Kichererbsen</v>
      </c>
      <c r="CG91" s="2464"/>
      <c r="CH91" s="2464" t="str">
        <f>IFERROR(INDEX(Liste_Ackerkulturen_Gemüse_DropDown[Ackerkulturen],_xlfn.AGGREGATE(15,6,(ROW(Liste_Ackerkulturen_Gemüse_DropDown[Ackerkulturen])-1)/(--(SEARCH(CI$2,Liste_Ackerkulturen_Gemüse_DropDown[Ackerkulturen])&gt;0)),ROW()-2),1),"")</f>
        <v>Kichererbsen</v>
      </c>
      <c r="CI91" s="2464"/>
      <c r="CJ91" s="2464" t="str">
        <f>IFERROR(INDEX(Liste_Ackerkulturen_Gemüse_DropDown[Ackerkulturen],_xlfn.AGGREGATE(15,6,(ROW(Liste_Ackerkulturen_Gemüse_DropDown[Ackerkulturen])-1)/(--(SEARCH(CK$2,Liste_Ackerkulturen_Gemüse_DropDown[Ackerkulturen])&gt;0)),ROW()-2),1),"")</f>
        <v>Kichererbsen</v>
      </c>
      <c r="CK91" s="2464"/>
      <c r="CL91" s="2464" t="str">
        <f>IFERROR(INDEX(Liste_Ackerkulturen_Gemüse_DropDown[Ackerkulturen],_xlfn.AGGREGATE(15,6,(ROW(Liste_Ackerkulturen_Gemüse_DropDown[Ackerkulturen])-1)/(--(SEARCH(CM$2,Liste_Ackerkulturen_Gemüse_DropDown[Ackerkulturen])&gt;0)),ROW()-2),1),"")</f>
        <v>Kichererbsen</v>
      </c>
      <c r="CM91" s="2464"/>
      <c r="CN91" s="2464" t="str">
        <f>IFERROR(INDEX(Liste_Ackerkulturen_Gemüse_DropDown[Ackerkulturen],_xlfn.AGGREGATE(15,6,(ROW(Liste_Ackerkulturen_Gemüse_DropDown[Ackerkulturen])-1)/(--(SEARCH(CO$2,Liste_Ackerkulturen_Gemüse_DropDown[Ackerkulturen])&gt;0)),ROW()-2),1),"")</f>
        <v>Kichererbsen</v>
      </c>
      <c r="CO91" s="2464"/>
      <c r="CP91" s="2464" t="str">
        <f>IFERROR(INDEX(Liste_Ackerkulturen_Gemüse_DropDown[Ackerkulturen],_xlfn.AGGREGATE(15,6,(ROW(Liste_Ackerkulturen_Gemüse_DropDown[Ackerkulturen])-1)/(--(SEARCH(CQ$2,Liste_Ackerkulturen_Gemüse_DropDown[Ackerkulturen])&gt;0)),ROW()-2),1),"")</f>
        <v>Kichererbsen</v>
      </c>
      <c r="CQ91" s="2464"/>
      <c r="CR91" s="2464" t="str">
        <f>IFERROR(INDEX(Liste_Ackerkulturen_Gemüse_DropDown[Ackerkulturen],_xlfn.AGGREGATE(15,6,(ROW(Liste_Ackerkulturen_Gemüse_DropDown[Ackerkulturen])-1)/(--(SEARCH(CS$2,Liste_Ackerkulturen_Gemüse_DropDown[Ackerkulturen])&gt;0)),ROW()-2),1),"")</f>
        <v>Kichererbsen</v>
      </c>
      <c r="CS91" s="2464"/>
      <c r="CT91"/>
      <c r="CU91"/>
      <c r="CV91"/>
      <c r="CW91"/>
      <c r="CX91"/>
      <c r="CY91"/>
      <c r="CZ91"/>
      <c r="DA91"/>
      <c r="DB91"/>
      <c r="DC91"/>
      <c r="DD91"/>
      <c r="DE91"/>
      <c r="DF91"/>
      <c r="DG91"/>
      <c r="DH91"/>
      <c r="DN91"/>
      <c r="DO91"/>
      <c r="DP91"/>
      <c r="DQ91"/>
      <c r="DR91"/>
      <c r="DS91"/>
      <c r="DT91"/>
      <c r="DU91"/>
      <c r="DV91"/>
      <c r="DW91"/>
      <c r="DX91"/>
      <c r="DY91"/>
      <c r="DZ91"/>
      <c r="EA91"/>
      <c r="EB91"/>
      <c r="EC91"/>
      <c r="ED91"/>
      <c r="EE91"/>
      <c r="EF91"/>
      <c r="EG91"/>
      <c r="EH91"/>
      <c r="EI91"/>
      <c r="EJ91"/>
      <c r="EK91"/>
      <c r="EL91"/>
      <c r="EM91"/>
      <c r="EN91"/>
      <c r="EO91"/>
      <c r="EP91"/>
      <c r="EQ91"/>
      <c r="ER91"/>
      <c r="ES91"/>
      <c r="ET91"/>
      <c r="EU91"/>
      <c r="EV91"/>
      <c r="EW91"/>
      <c r="EX91"/>
      <c r="EY91"/>
      <c r="EZ91"/>
      <c r="FA91"/>
      <c r="FB91"/>
      <c r="FC91"/>
      <c r="FD91"/>
      <c r="FE91"/>
      <c r="FF91"/>
      <c r="FG91"/>
      <c r="FH91"/>
      <c r="FI91"/>
      <c r="FJ91"/>
      <c r="FK91"/>
      <c r="FL91"/>
      <c r="FM91"/>
      <c r="FN91"/>
      <c r="FO91"/>
      <c r="FP91"/>
      <c r="FQ91"/>
      <c r="FR91"/>
      <c r="FS91"/>
      <c r="FT91"/>
      <c r="FU91"/>
      <c r="FV91"/>
      <c r="FW91"/>
      <c r="FX91"/>
      <c r="FY91"/>
      <c r="FZ91"/>
      <c r="GA91"/>
      <c r="GB91"/>
      <c r="GC91"/>
      <c r="GD91"/>
      <c r="GE91"/>
      <c r="GF91"/>
      <c r="GG91"/>
      <c r="GH91"/>
      <c r="GI91"/>
      <c r="GJ91"/>
      <c r="GK91"/>
      <c r="GL91"/>
      <c r="GM91"/>
      <c r="GN91"/>
      <c r="GO91"/>
      <c r="GP91"/>
      <c r="GQ91"/>
      <c r="GR91"/>
      <c r="GS91"/>
      <c r="GT91"/>
      <c r="GU91"/>
      <c r="GV91"/>
      <c r="GW91"/>
      <c r="GX91"/>
      <c r="GY91"/>
      <c r="GZ91"/>
      <c r="HA91"/>
      <c r="HB91"/>
      <c r="HC91"/>
      <c r="HD91"/>
      <c r="HE91"/>
      <c r="HF91"/>
      <c r="HG91"/>
      <c r="HH91"/>
      <c r="HI91"/>
      <c r="HJ91"/>
      <c r="HK91"/>
      <c r="HL91"/>
      <c r="HM91"/>
      <c r="HN91"/>
      <c r="HO91"/>
      <c r="HP91"/>
      <c r="HQ91"/>
      <c r="HR91"/>
      <c r="HS91"/>
      <c r="HT91"/>
      <c r="HU91"/>
      <c r="HV91"/>
      <c r="HW91"/>
      <c r="HX91"/>
      <c r="HY91"/>
      <c r="HZ91"/>
      <c r="IA91"/>
      <c r="IB91"/>
      <c r="IC91"/>
      <c r="ID91"/>
      <c r="IE91"/>
      <c r="IF91"/>
      <c r="IG91"/>
      <c r="IH91"/>
      <c r="II91"/>
      <c r="IJ91"/>
      <c r="IK91"/>
      <c r="IL91"/>
      <c r="IM91"/>
      <c r="IN91"/>
      <c r="IO91"/>
      <c r="IP91"/>
      <c r="IQ91"/>
      <c r="IR91"/>
      <c r="IS91"/>
      <c r="IT91"/>
      <c r="IU91"/>
    </row>
    <row r="92" spans="1:255" ht="21" customHeight="1">
      <c r="C92" s="2615"/>
      <c r="D92" s="1548" t="s">
        <v>1068</v>
      </c>
      <c r="E92" s="1545" t="s">
        <v>1201</v>
      </c>
      <c r="F92" s="2252"/>
      <c r="G92" s="1782" t="s">
        <v>1076</v>
      </c>
      <c r="H92" s="1783">
        <v>200</v>
      </c>
      <c r="I92" s="1452" t="s">
        <v>1077</v>
      </c>
      <c r="J92" s="1451">
        <v>240</v>
      </c>
      <c r="K92" s="1527">
        <v>210</v>
      </c>
      <c r="L92" s="1528">
        <v>210</v>
      </c>
      <c r="M92" s="1546">
        <v>130</v>
      </c>
      <c r="N92" s="1453">
        <v>105</v>
      </c>
      <c r="O92" s="1451"/>
      <c r="P92" s="1783">
        <v>85</v>
      </c>
      <c r="Q92" s="1451">
        <v>105</v>
      </c>
      <c r="R92" s="1454" t="s">
        <v>1061</v>
      </c>
      <c r="S92" s="1547" t="s">
        <v>1061</v>
      </c>
      <c r="T92" s="1546">
        <v>345</v>
      </c>
      <c r="U92" s="1450">
        <v>290</v>
      </c>
      <c r="V92" s="1455"/>
      <c r="W92" s="1783">
        <v>230</v>
      </c>
      <c r="X92" s="1456">
        <v>300</v>
      </c>
      <c r="Y92" s="1454" t="s">
        <v>1061</v>
      </c>
      <c r="Z92" s="1547" t="s">
        <v>1061</v>
      </c>
      <c r="AB92" s="1542"/>
      <c r="AC92" s="1542"/>
      <c r="AD92" s="1542"/>
      <c r="AE92" s="1542"/>
      <c r="AF92" s="1279"/>
      <c r="AM92" s="2371" t="s">
        <v>83</v>
      </c>
      <c r="AN92" s="2352">
        <v>60</v>
      </c>
      <c r="AO92" s="2283" t="s">
        <v>1957</v>
      </c>
      <c r="AP92" s="2352">
        <v>60</v>
      </c>
      <c r="AQ92" s="2283" t="s">
        <v>84</v>
      </c>
      <c r="AR92" s="2352">
        <v>60</v>
      </c>
      <c r="AS92" s="2283" t="s">
        <v>85</v>
      </c>
      <c r="AT92" s="2348">
        <v>60</v>
      </c>
      <c r="AU92" s="2285" t="s">
        <v>86</v>
      </c>
      <c r="AV92" s="2348">
        <v>60</v>
      </c>
      <c r="AW92" s="2285" t="s">
        <v>1977</v>
      </c>
      <c r="AX92" s="2345">
        <v>0</v>
      </c>
      <c r="AY92" s="2278" t="s">
        <v>84</v>
      </c>
      <c r="AZ92" s="2350">
        <v>0</v>
      </c>
      <c r="BA92" s="2303" t="s">
        <v>2330</v>
      </c>
      <c r="BE92" s="2371" t="s">
        <v>83</v>
      </c>
      <c r="BF92" s="577">
        <v>50</v>
      </c>
      <c r="BG92" s="577">
        <v>55</v>
      </c>
      <c r="BH92" s="577">
        <v>65</v>
      </c>
      <c r="BI92" s="2401"/>
      <c r="BJ92" s="2371" t="s">
        <v>83</v>
      </c>
      <c r="BK92" s="578">
        <v>90</v>
      </c>
      <c r="BL92" s="577">
        <v>100</v>
      </c>
      <c r="BM92" s="577">
        <v>115</v>
      </c>
      <c r="BN92" s="2399"/>
      <c r="BO92" s="525"/>
      <c r="BP92" s="458"/>
      <c r="BQ92" s="458"/>
      <c r="BR92" s="458"/>
      <c r="BS92" s="2461" t="s">
        <v>91</v>
      </c>
      <c r="BT92" s="2463" t="str">
        <f>IFERROR(INDEX(Liste_Ackerkulturen_Gemüse_DropDown[Ackerkulturen],_xlfn.AGGREGATE(15,6,(ROW(Liste_Ackerkulturen_Gemüse_DropDown[Ackerkulturen])-1)/(--(SEARCH(BU$2,Liste_Ackerkulturen_Gemüse_DropDown[Ackerkulturen])&gt;0)),ROW()-2),1),"")</f>
        <v>Leindotter</v>
      </c>
      <c r="BU92" s="2463"/>
      <c r="BV92" s="2463" t="str">
        <f>IFERROR(INDEX(Liste_Ackerkulturen_Gemüse_DropDown[Ackerkulturen],_xlfn.AGGREGATE(15,6,(ROW(Liste_Ackerkulturen_Gemüse_DropDown[Ackerkulturen])-1)/(--(SEARCH(BW$2,Liste_Ackerkulturen_Gemüse_DropDown[Ackerkulturen])&gt;0)),ROW()-2),1),"")</f>
        <v>Leindotter</v>
      </c>
      <c r="BW92" s="2463"/>
      <c r="BX92" s="2463" t="str">
        <f>IFERROR(INDEX(Liste_Ackerkulturen_Gemüse_DropDown[Ackerkulturen],_xlfn.AGGREGATE(15,6,(ROW(Liste_Ackerkulturen_Gemüse_DropDown[Ackerkulturen])-1)/(--(SEARCH(BY$2,Liste_Ackerkulturen_Gemüse_DropDown[Ackerkulturen])&gt;0)),ROW()-2),1),"")</f>
        <v>Leindotter</v>
      </c>
      <c r="BY92" s="2463"/>
      <c r="BZ92" s="2463" t="str">
        <f>IFERROR(INDEX(Liste_Ackerkulturen_Gemüse_DropDown[Ackerkulturen],_xlfn.AGGREGATE(15,6,(ROW(Liste_Ackerkulturen_Gemüse_DropDown[Ackerkulturen])-1)/(--(SEARCH(CA$2,Liste_Ackerkulturen_Gemüse_DropDown[Ackerkulturen])&gt;0)),ROW()-2),1),"")</f>
        <v>Leindotter</v>
      </c>
      <c r="CA92" s="2463"/>
      <c r="CB92" s="2463" t="str">
        <f>IFERROR(INDEX(Liste_Ackerkulturen_Gemüse_DropDown[Ackerkulturen],_xlfn.AGGREGATE(15,6,(ROW(Liste_Ackerkulturen_Gemüse_DropDown[Ackerkulturen])-1)/(--(SEARCH(CC$2,Liste_Ackerkulturen_Gemüse_DropDown[Ackerkulturen])&gt;0)),ROW()-2),1),"")</f>
        <v>Leindotter</v>
      </c>
      <c r="CC92" s="2463"/>
      <c r="CD92" s="2464" t="str">
        <f>IFERROR(INDEX(Liste_Ackerkulturen_Gemüse_DropDown[Ackerkulturen],_xlfn.AGGREGATE(15,6,(ROW(Liste_Ackerkulturen_Gemüse_DropDown[Ackerkulturen])-1)/(--(SEARCH(CE$2,Liste_Ackerkulturen_Gemüse_DropDown[Ackerkulturen])&gt;0)),ROW()-2),1),"")</f>
        <v>Leindotter</v>
      </c>
      <c r="CE92" s="2464"/>
      <c r="CF92" s="2464" t="str">
        <f>IFERROR(INDEX(Liste_Ackerkulturen_Gemüse_DropDown[Ackerkulturen],_xlfn.AGGREGATE(15,6,(ROW(Liste_Ackerkulturen_Gemüse_DropDown[Ackerkulturen])-1)/(--(SEARCH(CG$2,Liste_Ackerkulturen_Gemüse_DropDown[Ackerkulturen])&gt;0)),ROW()-2),1),"")</f>
        <v>Leindotter</v>
      </c>
      <c r="CG92" s="2464"/>
      <c r="CH92" s="2464" t="str">
        <f>IFERROR(INDEX(Liste_Ackerkulturen_Gemüse_DropDown[Ackerkulturen],_xlfn.AGGREGATE(15,6,(ROW(Liste_Ackerkulturen_Gemüse_DropDown[Ackerkulturen])-1)/(--(SEARCH(CI$2,Liste_Ackerkulturen_Gemüse_DropDown[Ackerkulturen])&gt;0)),ROW()-2),1),"")</f>
        <v>Leindotter</v>
      </c>
      <c r="CI92" s="2464"/>
      <c r="CJ92" s="2464" t="str">
        <f>IFERROR(INDEX(Liste_Ackerkulturen_Gemüse_DropDown[Ackerkulturen],_xlfn.AGGREGATE(15,6,(ROW(Liste_Ackerkulturen_Gemüse_DropDown[Ackerkulturen])-1)/(--(SEARCH(CK$2,Liste_Ackerkulturen_Gemüse_DropDown[Ackerkulturen])&gt;0)),ROW()-2),1),"")</f>
        <v>Leindotter</v>
      </c>
      <c r="CK92" s="2464"/>
      <c r="CL92" s="2464" t="str">
        <f>IFERROR(INDEX(Liste_Ackerkulturen_Gemüse_DropDown[Ackerkulturen],_xlfn.AGGREGATE(15,6,(ROW(Liste_Ackerkulturen_Gemüse_DropDown[Ackerkulturen])-1)/(--(SEARCH(CM$2,Liste_Ackerkulturen_Gemüse_DropDown[Ackerkulturen])&gt;0)),ROW()-2),1),"")</f>
        <v>Leindotter</v>
      </c>
      <c r="CM92" s="2464"/>
      <c r="CN92" s="2464" t="str">
        <f>IFERROR(INDEX(Liste_Ackerkulturen_Gemüse_DropDown[Ackerkulturen],_xlfn.AGGREGATE(15,6,(ROW(Liste_Ackerkulturen_Gemüse_DropDown[Ackerkulturen])-1)/(--(SEARCH(CO$2,Liste_Ackerkulturen_Gemüse_DropDown[Ackerkulturen])&gt;0)),ROW()-2),1),"")</f>
        <v>Leindotter</v>
      </c>
      <c r="CO92" s="2464"/>
      <c r="CP92" s="2464" t="str">
        <f>IFERROR(INDEX(Liste_Ackerkulturen_Gemüse_DropDown[Ackerkulturen],_xlfn.AGGREGATE(15,6,(ROW(Liste_Ackerkulturen_Gemüse_DropDown[Ackerkulturen])-1)/(--(SEARCH(CQ$2,Liste_Ackerkulturen_Gemüse_DropDown[Ackerkulturen])&gt;0)),ROW()-2),1),"")</f>
        <v>Leindotter</v>
      </c>
      <c r="CQ92" s="2464"/>
      <c r="CR92" s="2464" t="str">
        <f>IFERROR(INDEX(Liste_Ackerkulturen_Gemüse_DropDown[Ackerkulturen],_xlfn.AGGREGATE(15,6,(ROW(Liste_Ackerkulturen_Gemüse_DropDown[Ackerkulturen])-1)/(--(SEARCH(CS$2,Liste_Ackerkulturen_Gemüse_DropDown[Ackerkulturen])&gt;0)),ROW()-2),1),"")</f>
        <v>Leindotter</v>
      </c>
      <c r="CS92" s="2464"/>
      <c r="CT92"/>
      <c r="CU92"/>
      <c r="CV92"/>
      <c r="CW92"/>
      <c r="CX92"/>
      <c r="CY92"/>
      <c r="CZ92"/>
      <c r="DA92"/>
      <c r="DB92"/>
      <c r="DC92"/>
      <c r="DD92"/>
      <c r="DE92"/>
      <c r="DF92"/>
      <c r="DG92"/>
      <c r="DH92"/>
      <c r="DN92"/>
      <c r="DO92"/>
      <c r="DP92"/>
      <c r="DQ92"/>
      <c r="DR92"/>
      <c r="DS92"/>
      <c r="DT92"/>
      <c r="DU92"/>
      <c r="DV92"/>
      <c r="DW92"/>
      <c r="DX92"/>
      <c r="DY92"/>
      <c r="DZ92"/>
      <c r="EA92"/>
      <c r="EB92"/>
      <c r="EC92"/>
      <c r="ED92"/>
      <c r="EE92"/>
      <c r="EF92"/>
      <c r="EG92"/>
      <c r="EH92"/>
      <c r="EI92"/>
      <c r="EJ92"/>
      <c r="EK92"/>
      <c r="EL92"/>
      <c r="EM92"/>
      <c r="EN92"/>
      <c r="EO92"/>
      <c r="EP92"/>
      <c r="EQ92"/>
      <c r="ER92"/>
      <c r="ES92"/>
      <c r="ET92"/>
      <c r="EU92"/>
      <c r="EV92"/>
      <c r="EW92"/>
      <c r="EX92"/>
      <c r="EY92"/>
      <c r="EZ92"/>
      <c r="FA92"/>
      <c r="FB92"/>
      <c r="FC92"/>
      <c r="FD92"/>
      <c r="FE92"/>
      <c r="FF92"/>
      <c r="FG92"/>
      <c r="FH92"/>
      <c r="FI92"/>
      <c r="FJ92"/>
      <c r="FK92"/>
      <c r="FL92"/>
      <c r="FM92"/>
      <c r="FN92"/>
      <c r="FO92"/>
      <c r="FP92"/>
      <c r="FQ92"/>
      <c r="FR92"/>
      <c r="FS92"/>
      <c r="FT92"/>
      <c r="FU92"/>
      <c r="FV92"/>
      <c r="FW92"/>
      <c r="FX92"/>
      <c r="FY92"/>
      <c r="FZ92"/>
      <c r="GA92"/>
      <c r="GB92"/>
      <c r="GC92"/>
      <c r="GD92"/>
      <c r="GE92"/>
      <c r="GF92"/>
      <c r="GG92"/>
      <c r="GH92"/>
      <c r="GI92"/>
      <c r="GJ92"/>
      <c r="GK92"/>
      <c r="GL92"/>
      <c r="GM92"/>
      <c r="GN92"/>
      <c r="GO92"/>
      <c r="GP92"/>
      <c r="GQ92"/>
      <c r="GR92"/>
      <c r="GS92"/>
      <c r="GT92"/>
      <c r="GU92"/>
      <c r="GV92"/>
      <c r="GW92"/>
      <c r="GX92"/>
      <c r="GY92"/>
      <c r="GZ92"/>
      <c r="HA92"/>
      <c r="HB92"/>
      <c r="HC92"/>
      <c r="HD92"/>
      <c r="HE92"/>
      <c r="HF92"/>
      <c r="HG92"/>
      <c r="HH92"/>
      <c r="HI92"/>
      <c r="HJ92"/>
      <c r="HK92"/>
      <c r="HL92"/>
      <c r="HM92"/>
      <c r="HN92"/>
      <c r="HO92"/>
      <c r="HP92"/>
      <c r="HQ92"/>
      <c r="HR92"/>
      <c r="HS92"/>
      <c r="HT92"/>
      <c r="HU92"/>
      <c r="HV92"/>
      <c r="HW92"/>
      <c r="HX92"/>
      <c r="HY92"/>
      <c r="HZ92"/>
      <c r="IA92"/>
      <c r="IB92"/>
      <c r="IC92"/>
      <c r="ID92"/>
      <c r="IE92"/>
      <c r="IF92"/>
      <c r="IG92"/>
      <c r="IH92"/>
      <c r="II92"/>
      <c r="IJ92"/>
      <c r="IK92"/>
      <c r="IL92"/>
      <c r="IM92"/>
      <c r="IN92"/>
      <c r="IO92"/>
      <c r="IP92"/>
      <c r="IQ92"/>
      <c r="IR92"/>
      <c r="IS92"/>
      <c r="IT92"/>
      <c r="IU92"/>
    </row>
    <row r="93" spans="1:255" ht="21" customHeight="1">
      <c r="C93" s="2615"/>
      <c r="D93" s="1548" t="s">
        <v>1069</v>
      </c>
      <c r="E93" s="1545" t="s">
        <v>1201</v>
      </c>
      <c r="F93" s="2252"/>
      <c r="G93" s="1782" t="s">
        <v>1201</v>
      </c>
      <c r="H93" s="1783"/>
      <c r="I93" s="1452" t="s">
        <v>1078</v>
      </c>
      <c r="J93" s="1451">
        <v>270</v>
      </c>
      <c r="K93" s="1527">
        <v>210</v>
      </c>
      <c r="L93" s="1528">
        <v>210</v>
      </c>
      <c r="M93" s="1546"/>
      <c r="N93" s="1453"/>
      <c r="O93" s="1451"/>
      <c r="P93" s="1783"/>
      <c r="Q93" s="1451">
        <v>120</v>
      </c>
      <c r="R93" s="1454" t="s">
        <v>1061</v>
      </c>
      <c r="S93" s="1547" t="s">
        <v>1061</v>
      </c>
      <c r="T93" s="1546"/>
      <c r="U93" s="1450"/>
      <c r="V93" s="1455"/>
      <c r="W93" s="1783"/>
      <c r="X93" s="1456">
        <v>340</v>
      </c>
      <c r="Y93" s="1454" t="s">
        <v>1061</v>
      </c>
      <c r="Z93" s="1547" t="s">
        <v>1061</v>
      </c>
      <c r="AB93" s="1542"/>
      <c r="AC93" s="1542"/>
      <c r="AD93" s="1542"/>
      <c r="AE93" s="1542"/>
      <c r="AF93" s="1279"/>
      <c r="AM93" s="2371" t="s">
        <v>87</v>
      </c>
      <c r="AN93" s="2352">
        <v>75</v>
      </c>
      <c r="AO93" s="2283" t="s">
        <v>57</v>
      </c>
      <c r="AP93" s="2352">
        <v>100</v>
      </c>
      <c r="AQ93" s="2283" t="s">
        <v>88</v>
      </c>
      <c r="AR93" s="2352">
        <v>115</v>
      </c>
      <c r="AS93" s="2283" t="s">
        <v>89</v>
      </c>
      <c r="AT93" s="2348">
        <v>125</v>
      </c>
      <c r="AU93" s="2285" t="s">
        <v>90</v>
      </c>
      <c r="AV93" s="2348">
        <v>135</v>
      </c>
      <c r="AW93" s="2285" t="s">
        <v>1961</v>
      </c>
      <c r="AX93" s="2345">
        <v>80</v>
      </c>
      <c r="AY93" s="2278" t="s">
        <v>88</v>
      </c>
      <c r="AZ93" s="2350">
        <v>80</v>
      </c>
      <c r="BA93" s="2303" t="s">
        <v>2331</v>
      </c>
      <c r="BE93" s="2371" t="s">
        <v>87</v>
      </c>
      <c r="BF93" s="577">
        <v>50</v>
      </c>
      <c r="BG93" s="577">
        <v>55</v>
      </c>
      <c r="BH93" s="577">
        <v>65</v>
      </c>
      <c r="BI93" s="2401"/>
      <c r="BJ93" s="2371" t="s">
        <v>87</v>
      </c>
      <c r="BK93" s="578">
        <v>70</v>
      </c>
      <c r="BL93" s="577">
        <v>80</v>
      </c>
      <c r="BM93" s="577">
        <v>90</v>
      </c>
      <c r="BN93" s="2399"/>
      <c r="BO93" s="525"/>
      <c r="BP93" s="458"/>
      <c r="BQ93" s="458"/>
      <c r="BR93" s="458"/>
      <c r="BS93" s="2461" t="s">
        <v>93</v>
      </c>
      <c r="BT93" s="2463" t="str">
        <f>IFERROR(INDEX(Liste_Ackerkulturen_Gemüse_DropDown[Ackerkulturen],_xlfn.AGGREGATE(15,6,(ROW(Liste_Ackerkulturen_Gemüse_DropDown[Ackerkulturen])-1)/(--(SEARCH(BU$2,Liste_Ackerkulturen_Gemüse_DropDown[Ackerkulturen])&gt;0)),ROW()-2),1),"")</f>
        <v>Linsen</v>
      </c>
      <c r="BU93" s="2463"/>
      <c r="BV93" s="2463" t="str">
        <f>IFERROR(INDEX(Liste_Ackerkulturen_Gemüse_DropDown[Ackerkulturen],_xlfn.AGGREGATE(15,6,(ROW(Liste_Ackerkulturen_Gemüse_DropDown[Ackerkulturen])-1)/(--(SEARCH(BW$2,Liste_Ackerkulturen_Gemüse_DropDown[Ackerkulturen])&gt;0)),ROW()-2),1),"")</f>
        <v>Linsen</v>
      </c>
      <c r="BW93" s="2463"/>
      <c r="BX93" s="2463" t="str">
        <f>IFERROR(INDEX(Liste_Ackerkulturen_Gemüse_DropDown[Ackerkulturen],_xlfn.AGGREGATE(15,6,(ROW(Liste_Ackerkulturen_Gemüse_DropDown[Ackerkulturen])-1)/(--(SEARCH(BY$2,Liste_Ackerkulturen_Gemüse_DropDown[Ackerkulturen])&gt;0)),ROW()-2),1),"")</f>
        <v>Linsen</v>
      </c>
      <c r="BY93" s="2463"/>
      <c r="BZ93" s="2463" t="str">
        <f>IFERROR(INDEX(Liste_Ackerkulturen_Gemüse_DropDown[Ackerkulturen],_xlfn.AGGREGATE(15,6,(ROW(Liste_Ackerkulturen_Gemüse_DropDown[Ackerkulturen])-1)/(--(SEARCH(CA$2,Liste_Ackerkulturen_Gemüse_DropDown[Ackerkulturen])&gt;0)),ROW()-2),1),"")</f>
        <v>Linsen</v>
      </c>
      <c r="CA93" s="2463"/>
      <c r="CB93" s="2463" t="str">
        <f>IFERROR(INDEX(Liste_Ackerkulturen_Gemüse_DropDown[Ackerkulturen],_xlfn.AGGREGATE(15,6,(ROW(Liste_Ackerkulturen_Gemüse_DropDown[Ackerkulturen])-1)/(--(SEARCH(CC$2,Liste_Ackerkulturen_Gemüse_DropDown[Ackerkulturen])&gt;0)),ROW()-2),1),"")</f>
        <v>Linsen</v>
      </c>
      <c r="CC93" s="2463"/>
      <c r="CD93" s="2464" t="str">
        <f>IFERROR(INDEX(Liste_Ackerkulturen_Gemüse_DropDown[Ackerkulturen],_xlfn.AGGREGATE(15,6,(ROW(Liste_Ackerkulturen_Gemüse_DropDown[Ackerkulturen])-1)/(--(SEARCH(CE$2,Liste_Ackerkulturen_Gemüse_DropDown[Ackerkulturen])&gt;0)),ROW()-2),1),"")</f>
        <v>Linsen</v>
      </c>
      <c r="CE93" s="2464"/>
      <c r="CF93" s="2464" t="str">
        <f>IFERROR(INDEX(Liste_Ackerkulturen_Gemüse_DropDown[Ackerkulturen],_xlfn.AGGREGATE(15,6,(ROW(Liste_Ackerkulturen_Gemüse_DropDown[Ackerkulturen])-1)/(--(SEARCH(CG$2,Liste_Ackerkulturen_Gemüse_DropDown[Ackerkulturen])&gt;0)),ROW()-2),1),"")</f>
        <v>Linsen</v>
      </c>
      <c r="CG93" s="2464"/>
      <c r="CH93" s="2464" t="str">
        <f>IFERROR(INDEX(Liste_Ackerkulturen_Gemüse_DropDown[Ackerkulturen],_xlfn.AGGREGATE(15,6,(ROW(Liste_Ackerkulturen_Gemüse_DropDown[Ackerkulturen])-1)/(--(SEARCH(CI$2,Liste_Ackerkulturen_Gemüse_DropDown[Ackerkulturen])&gt;0)),ROW()-2),1),"")</f>
        <v>Linsen</v>
      </c>
      <c r="CI93" s="2464"/>
      <c r="CJ93" s="2464" t="str">
        <f>IFERROR(INDEX(Liste_Ackerkulturen_Gemüse_DropDown[Ackerkulturen],_xlfn.AGGREGATE(15,6,(ROW(Liste_Ackerkulturen_Gemüse_DropDown[Ackerkulturen])-1)/(--(SEARCH(CK$2,Liste_Ackerkulturen_Gemüse_DropDown[Ackerkulturen])&gt;0)),ROW()-2),1),"")</f>
        <v>Linsen</v>
      </c>
      <c r="CK93" s="2464"/>
      <c r="CL93" s="2464" t="str">
        <f>IFERROR(INDEX(Liste_Ackerkulturen_Gemüse_DropDown[Ackerkulturen],_xlfn.AGGREGATE(15,6,(ROW(Liste_Ackerkulturen_Gemüse_DropDown[Ackerkulturen])-1)/(--(SEARCH(CM$2,Liste_Ackerkulturen_Gemüse_DropDown[Ackerkulturen])&gt;0)),ROW()-2),1),"")</f>
        <v>Linsen</v>
      </c>
      <c r="CM93" s="2464"/>
      <c r="CN93" s="2464" t="str">
        <f>IFERROR(INDEX(Liste_Ackerkulturen_Gemüse_DropDown[Ackerkulturen],_xlfn.AGGREGATE(15,6,(ROW(Liste_Ackerkulturen_Gemüse_DropDown[Ackerkulturen])-1)/(--(SEARCH(CO$2,Liste_Ackerkulturen_Gemüse_DropDown[Ackerkulturen])&gt;0)),ROW()-2),1),"")</f>
        <v>Linsen</v>
      </c>
      <c r="CO93" s="2464"/>
      <c r="CP93" s="2464" t="str">
        <f>IFERROR(INDEX(Liste_Ackerkulturen_Gemüse_DropDown[Ackerkulturen],_xlfn.AGGREGATE(15,6,(ROW(Liste_Ackerkulturen_Gemüse_DropDown[Ackerkulturen])-1)/(--(SEARCH(CQ$2,Liste_Ackerkulturen_Gemüse_DropDown[Ackerkulturen])&gt;0)),ROW()-2),1),"")</f>
        <v>Linsen</v>
      </c>
      <c r="CQ93" s="2464"/>
      <c r="CR93" s="2464" t="str">
        <f>IFERROR(INDEX(Liste_Ackerkulturen_Gemüse_DropDown[Ackerkulturen],_xlfn.AGGREGATE(15,6,(ROW(Liste_Ackerkulturen_Gemüse_DropDown[Ackerkulturen])-1)/(--(SEARCH(CS$2,Liste_Ackerkulturen_Gemüse_DropDown[Ackerkulturen])&gt;0)),ROW()-2),1),"")</f>
        <v>Linsen</v>
      </c>
      <c r="CS93" s="2464"/>
      <c r="CT93"/>
      <c r="CU93"/>
      <c r="CV93"/>
      <c r="CW93"/>
      <c r="CX93"/>
      <c r="CY93"/>
      <c r="CZ93"/>
      <c r="DA93"/>
      <c r="DB93"/>
      <c r="DC93"/>
      <c r="DD93"/>
      <c r="DE93"/>
      <c r="DF93"/>
      <c r="DG93"/>
      <c r="DH93"/>
      <c r="DN93"/>
      <c r="DO93"/>
      <c r="DP93"/>
      <c r="DQ93"/>
      <c r="DR93"/>
      <c r="DS93"/>
      <c r="DT93"/>
      <c r="DU93"/>
      <c r="DV93"/>
      <c r="DW93"/>
      <c r="DX93"/>
      <c r="DY93"/>
      <c r="DZ93"/>
      <c r="EA93"/>
      <c r="EB93"/>
      <c r="EC93"/>
      <c r="ED93"/>
      <c r="EE93"/>
      <c r="EF93"/>
      <c r="EG93"/>
      <c r="EH93"/>
      <c r="EI93"/>
      <c r="EJ93"/>
      <c r="EK93"/>
      <c r="EL93"/>
      <c r="EM93"/>
      <c r="EN93"/>
      <c r="EO93"/>
      <c r="EP93"/>
      <c r="EQ93"/>
      <c r="ER93"/>
      <c r="ES93"/>
      <c r="ET93"/>
      <c r="EU93"/>
      <c r="EV93"/>
      <c r="EW93"/>
      <c r="EX93"/>
      <c r="EY93"/>
      <c r="EZ93"/>
      <c r="FA93"/>
      <c r="FB93"/>
      <c r="FC93"/>
      <c r="FD93"/>
      <c r="FE93"/>
      <c r="FF93"/>
      <c r="FG93"/>
      <c r="FH93"/>
      <c r="FI93"/>
      <c r="FJ93"/>
      <c r="FK93"/>
      <c r="FL93"/>
      <c r="FM93"/>
      <c r="FN93"/>
      <c r="FO93"/>
      <c r="FP93"/>
      <c r="FQ93"/>
      <c r="FR93"/>
      <c r="FS93"/>
      <c r="FT93"/>
      <c r="FU93"/>
      <c r="FV93"/>
      <c r="FW93"/>
      <c r="FX93"/>
      <c r="FY93"/>
      <c r="FZ93"/>
      <c r="GA93"/>
      <c r="GB93"/>
      <c r="GC93"/>
      <c r="GD93"/>
      <c r="GE93"/>
      <c r="GF93"/>
      <c r="GG93"/>
      <c r="GH93"/>
      <c r="GI93"/>
      <c r="GJ93"/>
      <c r="GK93"/>
      <c r="GL93"/>
      <c r="GM93"/>
      <c r="GN93"/>
      <c r="GO93"/>
      <c r="GP93"/>
      <c r="GQ93"/>
      <c r="GR93"/>
      <c r="GS93"/>
      <c r="GT93"/>
      <c r="GU93"/>
      <c r="GV93"/>
      <c r="GW93"/>
      <c r="GX93"/>
      <c r="GY93"/>
      <c r="GZ93"/>
      <c r="HA93"/>
      <c r="HB93"/>
      <c r="HC93"/>
      <c r="HD93"/>
      <c r="HE93"/>
      <c r="HF93"/>
      <c r="HG93"/>
      <c r="HH93"/>
      <c r="HI93"/>
      <c r="HJ93"/>
      <c r="HK93"/>
      <c r="HL93"/>
      <c r="HM93"/>
      <c r="HN93"/>
      <c r="HO93"/>
      <c r="HP93"/>
      <c r="HQ93"/>
      <c r="HR93"/>
      <c r="HS93"/>
      <c r="HT93"/>
      <c r="HU93"/>
      <c r="HV93"/>
      <c r="HW93"/>
      <c r="HX93"/>
      <c r="HY93"/>
      <c r="HZ93"/>
      <c r="IA93"/>
      <c r="IB93"/>
      <c r="IC93"/>
      <c r="ID93"/>
      <c r="IE93"/>
      <c r="IF93"/>
      <c r="IG93"/>
      <c r="IH93"/>
      <c r="II93"/>
      <c r="IJ93"/>
      <c r="IK93"/>
      <c r="IL93"/>
      <c r="IM93"/>
      <c r="IN93"/>
      <c r="IO93"/>
      <c r="IP93"/>
      <c r="IQ93"/>
      <c r="IR93"/>
      <c r="IS93"/>
      <c r="IT93"/>
      <c r="IU93"/>
    </row>
    <row r="94" spans="1:255" ht="21" customHeight="1">
      <c r="C94" s="2615" t="s">
        <v>6</v>
      </c>
      <c r="D94" s="1548" t="s">
        <v>1059</v>
      </c>
      <c r="E94" s="1545" t="s">
        <v>1997</v>
      </c>
      <c r="F94" s="2252">
        <v>20</v>
      </c>
      <c r="G94" s="1782" t="s">
        <v>1060</v>
      </c>
      <c r="H94" s="1783">
        <v>30</v>
      </c>
      <c r="I94" s="1452" t="s">
        <v>1201</v>
      </c>
      <c r="J94" s="1451"/>
      <c r="K94" s="1527">
        <v>25</v>
      </c>
      <c r="L94" s="1528">
        <v>25</v>
      </c>
      <c r="M94" s="1546">
        <v>45</v>
      </c>
      <c r="N94" s="1453">
        <v>40</v>
      </c>
      <c r="O94" s="1451">
        <v>15</v>
      </c>
      <c r="P94" s="1783">
        <v>30</v>
      </c>
      <c r="Q94" s="1451"/>
      <c r="R94" s="1454" t="s">
        <v>1061</v>
      </c>
      <c r="S94" s="1547" t="s">
        <v>1061</v>
      </c>
      <c r="T94" s="1546">
        <v>120</v>
      </c>
      <c r="U94" s="1450">
        <v>100</v>
      </c>
      <c r="V94" s="1455">
        <v>45</v>
      </c>
      <c r="W94" s="1783">
        <v>80</v>
      </c>
      <c r="X94" s="1456"/>
      <c r="Y94" s="1454" t="s">
        <v>1061</v>
      </c>
      <c r="Z94" s="1547" t="s">
        <v>1061</v>
      </c>
      <c r="AB94" s="1542"/>
      <c r="AC94" s="1542"/>
      <c r="AD94" s="1542"/>
      <c r="AE94" s="1542"/>
      <c r="AF94" s="1279"/>
      <c r="AM94" s="2371" t="s">
        <v>91</v>
      </c>
      <c r="AN94" s="2352">
        <v>60</v>
      </c>
      <c r="AO94" s="2283" t="s">
        <v>57</v>
      </c>
      <c r="AP94" s="2352">
        <v>60</v>
      </c>
      <c r="AQ94" s="2283" t="s">
        <v>88</v>
      </c>
      <c r="AR94" s="2352">
        <v>60</v>
      </c>
      <c r="AS94" s="2283" t="s">
        <v>89</v>
      </c>
      <c r="AT94" s="2348">
        <v>60</v>
      </c>
      <c r="AU94" s="2285" t="s">
        <v>90</v>
      </c>
      <c r="AV94" s="2348">
        <v>60</v>
      </c>
      <c r="AW94" s="2285" t="s">
        <v>1961</v>
      </c>
      <c r="AX94" s="2345">
        <v>0</v>
      </c>
      <c r="AY94" s="2278" t="s">
        <v>88</v>
      </c>
      <c r="AZ94" s="2350">
        <v>0</v>
      </c>
      <c r="BA94" s="2303" t="s">
        <v>2331</v>
      </c>
      <c r="BE94" s="2371" t="s">
        <v>91</v>
      </c>
      <c r="BF94" s="577">
        <v>60</v>
      </c>
      <c r="BG94" s="577">
        <v>65</v>
      </c>
      <c r="BH94" s="577">
        <v>75</v>
      </c>
      <c r="BI94" s="2401"/>
      <c r="BJ94" s="2371" t="s">
        <v>91</v>
      </c>
      <c r="BK94" s="578">
        <v>45</v>
      </c>
      <c r="BL94" s="577">
        <v>50</v>
      </c>
      <c r="BM94" s="577">
        <v>60</v>
      </c>
      <c r="BN94" s="2399"/>
      <c r="BO94" s="525"/>
      <c r="BP94" s="458"/>
      <c r="BQ94" s="458"/>
      <c r="BR94" s="458"/>
      <c r="BS94" s="2461" t="s">
        <v>97</v>
      </c>
      <c r="BT94" s="2463" t="str">
        <f>IFERROR(INDEX(Liste_Ackerkulturen_Gemüse_DropDown[Ackerkulturen],_xlfn.AGGREGATE(15,6,(ROW(Liste_Ackerkulturen_Gemüse_DropDown[Ackerkulturen])-1)/(--(SEARCH(BU$2,Liste_Ackerkulturen_Gemüse_DropDown[Ackerkulturen])&gt;0)),ROW()-2),1),"")</f>
        <v>Mariendisteln</v>
      </c>
      <c r="BU94" s="2463"/>
      <c r="BV94" s="2463" t="str">
        <f>IFERROR(INDEX(Liste_Ackerkulturen_Gemüse_DropDown[Ackerkulturen],_xlfn.AGGREGATE(15,6,(ROW(Liste_Ackerkulturen_Gemüse_DropDown[Ackerkulturen])-1)/(--(SEARCH(BW$2,Liste_Ackerkulturen_Gemüse_DropDown[Ackerkulturen])&gt;0)),ROW()-2),1),"")</f>
        <v>Mariendisteln</v>
      </c>
      <c r="BW94" s="2463"/>
      <c r="BX94" s="2463" t="str">
        <f>IFERROR(INDEX(Liste_Ackerkulturen_Gemüse_DropDown[Ackerkulturen],_xlfn.AGGREGATE(15,6,(ROW(Liste_Ackerkulturen_Gemüse_DropDown[Ackerkulturen])-1)/(--(SEARCH(BY$2,Liste_Ackerkulturen_Gemüse_DropDown[Ackerkulturen])&gt;0)),ROW()-2),1),"")</f>
        <v>Mariendisteln</v>
      </c>
      <c r="BY94" s="2463"/>
      <c r="BZ94" s="2463" t="str">
        <f>IFERROR(INDEX(Liste_Ackerkulturen_Gemüse_DropDown[Ackerkulturen],_xlfn.AGGREGATE(15,6,(ROW(Liste_Ackerkulturen_Gemüse_DropDown[Ackerkulturen])-1)/(--(SEARCH(CA$2,Liste_Ackerkulturen_Gemüse_DropDown[Ackerkulturen])&gt;0)),ROW()-2),1),"")</f>
        <v>Mariendisteln</v>
      </c>
      <c r="CA94" s="2463"/>
      <c r="CB94" s="2463" t="str">
        <f>IFERROR(INDEX(Liste_Ackerkulturen_Gemüse_DropDown[Ackerkulturen],_xlfn.AGGREGATE(15,6,(ROW(Liste_Ackerkulturen_Gemüse_DropDown[Ackerkulturen])-1)/(--(SEARCH(CC$2,Liste_Ackerkulturen_Gemüse_DropDown[Ackerkulturen])&gt;0)),ROW()-2),1),"")</f>
        <v>Mariendisteln</v>
      </c>
      <c r="CC94" s="2463"/>
      <c r="CD94" s="2464" t="str">
        <f>IFERROR(INDEX(Liste_Ackerkulturen_Gemüse_DropDown[Ackerkulturen],_xlfn.AGGREGATE(15,6,(ROW(Liste_Ackerkulturen_Gemüse_DropDown[Ackerkulturen])-1)/(--(SEARCH(CE$2,Liste_Ackerkulturen_Gemüse_DropDown[Ackerkulturen])&gt;0)),ROW()-2),1),"")</f>
        <v>Mariendisteln</v>
      </c>
      <c r="CE94" s="2464"/>
      <c r="CF94" s="2464" t="str">
        <f>IFERROR(INDEX(Liste_Ackerkulturen_Gemüse_DropDown[Ackerkulturen],_xlfn.AGGREGATE(15,6,(ROW(Liste_Ackerkulturen_Gemüse_DropDown[Ackerkulturen])-1)/(--(SEARCH(CG$2,Liste_Ackerkulturen_Gemüse_DropDown[Ackerkulturen])&gt;0)),ROW()-2),1),"")</f>
        <v>Mariendisteln</v>
      </c>
      <c r="CG94" s="2464"/>
      <c r="CH94" s="2464" t="str">
        <f>IFERROR(INDEX(Liste_Ackerkulturen_Gemüse_DropDown[Ackerkulturen],_xlfn.AGGREGATE(15,6,(ROW(Liste_Ackerkulturen_Gemüse_DropDown[Ackerkulturen])-1)/(--(SEARCH(CI$2,Liste_Ackerkulturen_Gemüse_DropDown[Ackerkulturen])&gt;0)),ROW()-2),1),"")</f>
        <v>Mariendisteln</v>
      </c>
      <c r="CI94" s="2464"/>
      <c r="CJ94" s="2464" t="str">
        <f>IFERROR(INDEX(Liste_Ackerkulturen_Gemüse_DropDown[Ackerkulturen],_xlfn.AGGREGATE(15,6,(ROW(Liste_Ackerkulturen_Gemüse_DropDown[Ackerkulturen])-1)/(--(SEARCH(CK$2,Liste_Ackerkulturen_Gemüse_DropDown[Ackerkulturen])&gt;0)),ROW()-2),1),"")</f>
        <v>Mariendisteln</v>
      </c>
      <c r="CK94" s="2464"/>
      <c r="CL94" s="2464" t="str">
        <f>IFERROR(INDEX(Liste_Ackerkulturen_Gemüse_DropDown[Ackerkulturen],_xlfn.AGGREGATE(15,6,(ROW(Liste_Ackerkulturen_Gemüse_DropDown[Ackerkulturen])-1)/(--(SEARCH(CM$2,Liste_Ackerkulturen_Gemüse_DropDown[Ackerkulturen])&gt;0)),ROW()-2),1),"")</f>
        <v>Mariendisteln</v>
      </c>
      <c r="CM94" s="2464"/>
      <c r="CN94" s="2464" t="str">
        <f>IFERROR(INDEX(Liste_Ackerkulturen_Gemüse_DropDown[Ackerkulturen],_xlfn.AGGREGATE(15,6,(ROW(Liste_Ackerkulturen_Gemüse_DropDown[Ackerkulturen])-1)/(--(SEARCH(CO$2,Liste_Ackerkulturen_Gemüse_DropDown[Ackerkulturen])&gt;0)),ROW()-2),1),"")</f>
        <v>Mariendisteln</v>
      </c>
      <c r="CO94" s="2464"/>
      <c r="CP94" s="2464" t="str">
        <f>IFERROR(INDEX(Liste_Ackerkulturen_Gemüse_DropDown[Ackerkulturen],_xlfn.AGGREGATE(15,6,(ROW(Liste_Ackerkulturen_Gemüse_DropDown[Ackerkulturen])-1)/(--(SEARCH(CQ$2,Liste_Ackerkulturen_Gemüse_DropDown[Ackerkulturen])&gt;0)),ROW()-2),1),"")</f>
        <v>Mariendisteln</v>
      </c>
      <c r="CQ94" s="2464"/>
      <c r="CR94" s="2464" t="str">
        <f>IFERROR(INDEX(Liste_Ackerkulturen_Gemüse_DropDown[Ackerkulturen],_xlfn.AGGREGATE(15,6,(ROW(Liste_Ackerkulturen_Gemüse_DropDown[Ackerkulturen])-1)/(--(SEARCH(CS$2,Liste_Ackerkulturen_Gemüse_DropDown[Ackerkulturen])&gt;0)),ROW()-2),1),"")</f>
        <v>Mariendisteln</v>
      </c>
      <c r="CS94" s="2464"/>
      <c r="CT94"/>
      <c r="CU94"/>
      <c r="CV94"/>
      <c r="CW94"/>
      <c r="CX94"/>
      <c r="CY94"/>
      <c r="CZ94"/>
      <c r="DA94"/>
      <c r="DB94"/>
      <c r="DC94"/>
      <c r="DD94"/>
      <c r="DE94"/>
      <c r="DF94"/>
      <c r="DG94"/>
      <c r="DH94"/>
      <c r="DN94"/>
      <c r="DO94"/>
      <c r="DP94"/>
      <c r="DQ94"/>
      <c r="DR94"/>
      <c r="DS94"/>
      <c r="DT94"/>
      <c r="DU94"/>
      <c r="DV94"/>
      <c r="DW94"/>
      <c r="DX94"/>
      <c r="DY94"/>
      <c r="DZ94"/>
      <c r="EA94"/>
      <c r="EB94"/>
      <c r="EC94"/>
      <c r="ED94"/>
      <c r="EE94"/>
      <c r="EF94"/>
      <c r="EG94"/>
      <c r="EH94"/>
      <c r="EI94"/>
      <c r="EJ94"/>
      <c r="EK94"/>
      <c r="EL94"/>
      <c r="EM94"/>
      <c r="EN94"/>
      <c r="EO94"/>
      <c r="EP94"/>
      <c r="EQ94"/>
      <c r="ER94"/>
      <c r="ES94"/>
      <c r="ET94"/>
      <c r="EU94"/>
      <c r="EV94"/>
      <c r="EW94"/>
      <c r="EX94"/>
      <c r="EY94"/>
      <c r="EZ94"/>
      <c r="FA94"/>
      <c r="FB94"/>
      <c r="FC94"/>
      <c r="FD94"/>
      <c r="FE94"/>
      <c r="FF94"/>
      <c r="FG94"/>
      <c r="FH94"/>
      <c r="FI94"/>
      <c r="FJ94"/>
      <c r="FK94"/>
      <c r="FL94"/>
      <c r="FM94"/>
      <c r="FN94"/>
      <c r="FO94"/>
      <c r="FP94"/>
      <c r="FQ94"/>
      <c r="FR94"/>
      <c r="FS94"/>
      <c r="FT94"/>
      <c r="FU94"/>
      <c r="FV94"/>
      <c r="FW94"/>
      <c r="FX94"/>
      <c r="FY94"/>
      <c r="FZ94"/>
      <c r="GA94"/>
      <c r="GB94"/>
      <c r="GC94"/>
      <c r="GD94"/>
      <c r="GE94"/>
      <c r="GF94"/>
      <c r="GG94"/>
      <c r="GH94"/>
      <c r="GI94"/>
      <c r="GJ94"/>
      <c r="GK94"/>
      <c r="GL94"/>
      <c r="GM94"/>
      <c r="GN94"/>
      <c r="GO94"/>
      <c r="GP94"/>
      <c r="GQ94"/>
      <c r="GR94"/>
      <c r="GS94"/>
      <c r="GT94"/>
      <c r="GU94"/>
      <c r="GV94"/>
      <c r="GW94"/>
      <c r="GX94"/>
      <c r="GY94"/>
      <c r="GZ94"/>
      <c r="HA94"/>
      <c r="HB94"/>
      <c r="HC94"/>
      <c r="HD94"/>
      <c r="HE94"/>
      <c r="HF94"/>
      <c r="HG94"/>
      <c r="HH94"/>
      <c r="HI94"/>
      <c r="HJ94"/>
      <c r="HK94"/>
      <c r="HL94"/>
      <c r="HM94"/>
      <c r="HN94"/>
      <c r="HO94"/>
      <c r="HP94"/>
      <c r="HQ94"/>
      <c r="HR94"/>
      <c r="HS94"/>
      <c r="HT94"/>
      <c r="HU94"/>
      <c r="HV94"/>
      <c r="HW94"/>
      <c r="HX94"/>
      <c r="HY94"/>
      <c r="HZ94"/>
      <c r="IA94"/>
      <c r="IB94"/>
      <c r="IC94"/>
      <c r="ID94"/>
      <c r="IE94"/>
      <c r="IF94"/>
      <c r="IG94"/>
      <c r="IH94"/>
      <c r="II94"/>
      <c r="IJ94"/>
      <c r="IK94"/>
      <c r="IL94"/>
      <c r="IM94"/>
      <c r="IN94"/>
      <c r="IO94"/>
      <c r="IP94"/>
      <c r="IQ94"/>
      <c r="IR94"/>
      <c r="IS94"/>
      <c r="IT94"/>
      <c r="IU94"/>
    </row>
    <row r="95" spans="1:255" ht="21" customHeight="1">
      <c r="C95" s="2615"/>
      <c r="D95" s="1548" t="s">
        <v>1062</v>
      </c>
      <c r="E95" s="1545" t="s">
        <v>1071</v>
      </c>
      <c r="F95" s="2252">
        <v>60</v>
      </c>
      <c r="G95" s="1782" t="s">
        <v>1063</v>
      </c>
      <c r="H95" s="1783">
        <v>90</v>
      </c>
      <c r="I95" s="1452" t="s">
        <v>1201</v>
      </c>
      <c r="J95" s="1451"/>
      <c r="K95" s="1527">
        <v>70</v>
      </c>
      <c r="L95" s="1528">
        <v>70</v>
      </c>
      <c r="M95" s="1546">
        <v>70</v>
      </c>
      <c r="N95" s="1453">
        <v>55</v>
      </c>
      <c r="O95" s="1451">
        <v>30</v>
      </c>
      <c r="P95" s="1783">
        <v>45</v>
      </c>
      <c r="Q95" s="1451"/>
      <c r="R95" s="1454" t="s">
        <v>1061</v>
      </c>
      <c r="S95" s="1547" t="s">
        <v>1061</v>
      </c>
      <c r="T95" s="1546">
        <v>180</v>
      </c>
      <c r="U95" s="1450">
        <v>150</v>
      </c>
      <c r="V95" s="1455">
        <v>80</v>
      </c>
      <c r="W95" s="1783">
        <v>120</v>
      </c>
      <c r="X95" s="1456"/>
      <c r="Y95" s="1454" t="s">
        <v>1061</v>
      </c>
      <c r="Z95" s="1547" t="s">
        <v>1061</v>
      </c>
      <c r="AB95" s="1542"/>
      <c r="AC95" s="1542"/>
      <c r="AD95" s="1542"/>
      <c r="AE95" s="1542"/>
      <c r="AF95" s="1279"/>
      <c r="AM95" s="2371" t="s">
        <v>93</v>
      </c>
      <c r="AN95" s="2352">
        <v>80</v>
      </c>
      <c r="AO95" s="2283" t="s">
        <v>94</v>
      </c>
      <c r="AP95" s="2352">
        <v>80</v>
      </c>
      <c r="AQ95" s="2283" t="s">
        <v>43</v>
      </c>
      <c r="AR95" s="2352">
        <v>80</v>
      </c>
      <c r="AS95" s="2283" t="s">
        <v>44</v>
      </c>
      <c r="AT95" s="2348">
        <v>80</v>
      </c>
      <c r="AU95" s="2285" t="s">
        <v>95</v>
      </c>
      <c r="AV95" s="2348">
        <v>80</v>
      </c>
      <c r="AW95" s="2285" t="s">
        <v>96</v>
      </c>
      <c r="AX95" s="2345">
        <v>60</v>
      </c>
      <c r="AY95" s="2278" t="s">
        <v>43</v>
      </c>
      <c r="AZ95" s="2350">
        <v>60</v>
      </c>
      <c r="BA95" s="2303" t="s">
        <v>2321</v>
      </c>
      <c r="BE95" s="2371" t="s">
        <v>93</v>
      </c>
      <c r="BF95" s="577">
        <v>50</v>
      </c>
      <c r="BG95" s="577">
        <v>55</v>
      </c>
      <c r="BH95" s="577">
        <v>65</v>
      </c>
      <c r="BI95" s="2401"/>
      <c r="BJ95" s="2371" t="s">
        <v>93</v>
      </c>
      <c r="BK95" s="578">
        <v>135</v>
      </c>
      <c r="BL95" s="577">
        <v>150</v>
      </c>
      <c r="BM95" s="577">
        <v>175</v>
      </c>
      <c r="BN95" s="2399"/>
      <c r="BO95" s="525"/>
      <c r="BP95" s="458"/>
      <c r="BQ95" s="458"/>
      <c r="BR95" s="458"/>
      <c r="BS95" s="2461" t="s">
        <v>98</v>
      </c>
      <c r="BT95" s="2463" t="str">
        <f>IFERROR(INDEX(Liste_Ackerkulturen_Gemüse_DropDown[Ackerkulturen],_xlfn.AGGREGATE(15,6,(ROW(Liste_Ackerkulturen_Gemüse_DropDown[Ackerkulturen])-1)/(--(SEARCH(BU$2,Liste_Ackerkulturen_Gemüse_DropDown[Ackerkulturen])&gt;0)),ROW()-2),1),"")</f>
        <v>Öllein</v>
      </c>
      <c r="BU95" s="2463"/>
      <c r="BV95" s="2463" t="str">
        <f>IFERROR(INDEX(Liste_Ackerkulturen_Gemüse_DropDown[Ackerkulturen],_xlfn.AGGREGATE(15,6,(ROW(Liste_Ackerkulturen_Gemüse_DropDown[Ackerkulturen])-1)/(--(SEARCH(BW$2,Liste_Ackerkulturen_Gemüse_DropDown[Ackerkulturen])&gt;0)),ROW()-2),1),"")</f>
        <v>Öllein</v>
      </c>
      <c r="BW95" s="2463"/>
      <c r="BX95" s="2463" t="str">
        <f>IFERROR(INDEX(Liste_Ackerkulturen_Gemüse_DropDown[Ackerkulturen],_xlfn.AGGREGATE(15,6,(ROW(Liste_Ackerkulturen_Gemüse_DropDown[Ackerkulturen])-1)/(--(SEARCH(BY$2,Liste_Ackerkulturen_Gemüse_DropDown[Ackerkulturen])&gt;0)),ROW()-2),1),"")</f>
        <v>Öllein</v>
      </c>
      <c r="BY95" s="2463"/>
      <c r="BZ95" s="2463" t="str">
        <f>IFERROR(INDEX(Liste_Ackerkulturen_Gemüse_DropDown[Ackerkulturen],_xlfn.AGGREGATE(15,6,(ROW(Liste_Ackerkulturen_Gemüse_DropDown[Ackerkulturen])-1)/(--(SEARCH(CA$2,Liste_Ackerkulturen_Gemüse_DropDown[Ackerkulturen])&gt;0)),ROW()-2),1),"")</f>
        <v>Öllein</v>
      </c>
      <c r="CA95" s="2463"/>
      <c r="CB95" s="2463" t="str">
        <f>IFERROR(INDEX(Liste_Ackerkulturen_Gemüse_DropDown[Ackerkulturen],_xlfn.AGGREGATE(15,6,(ROW(Liste_Ackerkulturen_Gemüse_DropDown[Ackerkulturen])-1)/(--(SEARCH(CC$2,Liste_Ackerkulturen_Gemüse_DropDown[Ackerkulturen])&gt;0)),ROW()-2),1),"")</f>
        <v>Öllein</v>
      </c>
      <c r="CC95" s="2463"/>
      <c r="CD95" s="2464" t="str">
        <f>IFERROR(INDEX(Liste_Ackerkulturen_Gemüse_DropDown[Ackerkulturen],_xlfn.AGGREGATE(15,6,(ROW(Liste_Ackerkulturen_Gemüse_DropDown[Ackerkulturen])-1)/(--(SEARCH(CE$2,Liste_Ackerkulturen_Gemüse_DropDown[Ackerkulturen])&gt;0)),ROW()-2),1),"")</f>
        <v>Öllein</v>
      </c>
      <c r="CE95" s="2464"/>
      <c r="CF95" s="2464" t="str">
        <f>IFERROR(INDEX(Liste_Ackerkulturen_Gemüse_DropDown[Ackerkulturen],_xlfn.AGGREGATE(15,6,(ROW(Liste_Ackerkulturen_Gemüse_DropDown[Ackerkulturen])-1)/(--(SEARCH(CG$2,Liste_Ackerkulturen_Gemüse_DropDown[Ackerkulturen])&gt;0)),ROW()-2),1),"")</f>
        <v>Öllein</v>
      </c>
      <c r="CG95" s="2464"/>
      <c r="CH95" s="2464" t="str">
        <f>IFERROR(INDEX(Liste_Ackerkulturen_Gemüse_DropDown[Ackerkulturen],_xlfn.AGGREGATE(15,6,(ROW(Liste_Ackerkulturen_Gemüse_DropDown[Ackerkulturen])-1)/(--(SEARCH(CI$2,Liste_Ackerkulturen_Gemüse_DropDown[Ackerkulturen])&gt;0)),ROW()-2),1),"")</f>
        <v>Öllein</v>
      </c>
      <c r="CI95" s="2464"/>
      <c r="CJ95" s="2464" t="str">
        <f>IFERROR(INDEX(Liste_Ackerkulturen_Gemüse_DropDown[Ackerkulturen],_xlfn.AGGREGATE(15,6,(ROW(Liste_Ackerkulturen_Gemüse_DropDown[Ackerkulturen])-1)/(--(SEARCH(CK$2,Liste_Ackerkulturen_Gemüse_DropDown[Ackerkulturen])&gt;0)),ROW()-2),1),"")</f>
        <v>Öllein</v>
      </c>
      <c r="CK95" s="2464"/>
      <c r="CL95" s="2464" t="str">
        <f>IFERROR(INDEX(Liste_Ackerkulturen_Gemüse_DropDown[Ackerkulturen],_xlfn.AGGREGATE(15,6,(ROW(Liste_Ackerkulturen_Gemüse_DropDown[Ackerkulturen])-1)/(--(SEARCH(CM$2,Liste_Ackerkulturen_Gemüse_DropDown[Ackerkulturen])&gt;0)),ROW()-2),1),"")</f>
        <v>Öllein</v>
      </c>
      <c r="CM95" s="2464"/>
      <c r="CN95" s="2464" t="str">
        <f>IFERROR(INDEX(Liste_Ackerkulturen_Gemüse_DropDown[Ackerkulturen],_xlfn.AGGREGATE(15,6,(ROW(Liste_Ackerkulturen_Gemüse_DropDown[Ackerkulturen])-1)/(--(SEARCH(CO$2,Liste_Ackerkulturen_Gemüse_DropDown[Ackerkulturen])&gt;0)),ROW()-2),1),"")</f>
        <v>Öllein</v>
      </c>
      <c r="CO95" s="2464"/>
      <c r="CP95" s="2464" t="str">
        <f>IFERROR(INDEX(Liste_Ackerkulturen_Gemüse_DropDown[Ackerkulturen],_xlfn.AGGREGATE(15,6,(ROW(Liste_Ackerkulturen_Gemüse_DropDown[Ackerkulturen])-1)/(--(SEARCH(CQ$2,Liste_Ackerkulturen_Gemüse_DropDown[Ackerkulturen])&gt;0)),ROW()-2),1),"")</f>
        <v>Öllein</v>
      </c>
      <c r="CQ95" s="2464"/>
      <c r="CR95" s="2464" t="str">
        <f>IFERROR(INDEX(Liste_Ackerkulturen_Gemüse_DropDown[Ackerkulturen],_xlfn.AGGREGATE(15,6,(ROW(Liste_Ackerkulturen_Gemüse_DropDown[Ackerkulturen])-1)/(--(SEARCH(CS$2,Liste_Ackerkulturen_Gemüse_DropDown[Ackerkulturen])&gt;0)),ROW()-2),1),"")</f>
        <v>Öllein</v>
      </c>
      <c r="CS95" s="2464"/>
      <c r="CT95"/>
      <c r="CU95"/>
      <c r="CV95"/>
      <c r="CW95"/>
      <c r="CX95"/>
      <c r="CY95"/>
      <c r="CZ95"/>
      <c r="DA95"/>
      <c r="DB95"/>
      <c r="DC95"/>
      <c r="DD95"/>
      <c r="DE95"/>
      <c r="DF95"/>
      <c r="DG95"/>
      <c r="DH95"/>
      <c r="DN95"/>
      <c r="DO95"/>
      <c r="DP95"/>
      <c r="DQ95"/>
      <c r="DR95"/>
      <c r="DS95"/>
      <c r="DT95"/>
      <c r="DU95"/>
      <c r="DV95"/>
      <c r="DW95"/>
      <c r="DX95"/>
      <c r="DY95"/>
      <c r="DZ95"/>
      <c r="EA95"/>
      <c r="EB95"/>
      <c r="EC95"/>
      <c r="ED95"/>
      <c r="EE95"/>
      <c r="EF95"/>
      <c r="EG95"/>
      <c r="EH95"/>
      <c r="EI95"/>
      <c r="EJ95"/>
      <c r="EK95"/>
      <c r="EL95"/>
      <c r="EM95"/>
      <c r="EN95"/>
      <c r="EO95"/>
      <c r="EP95"/>
      <c r="EQ95"/>
      <c r="ER95"/>
      <c r="ES95"/>
      <c r="ET95"/>
      <c r="EU95"/>
      <c r="EV95"/>
      <c r="EW95"/>
      <c r="EX95"/>
      <c r="EY95"/>
      <c r="EZ95"/>
      <c r="FA95"/>
      <c r="FB95"/>
      <c r="FC95"/>
      <c r="FD95"/>
      <c r="FE95"/>
      <c r="FF95"/>
      <c r="FG95"/>
      <c r="FH95"/>
      <c r="FI95"/>
      <c r="FJ95"/>
      <c r="FK95"/>
      <c r="FL95"/>
      <c r="FM95"/>
      <c r="FN95"/>
      <c r="FO95"/>
      <c r="FP95"/>
      <c r="FQ95"/>
      <c r="FR95"/>
      <c r="FS95"/>
      <c r="FT95"/>
      <c r="FU95"/>
      <c r="FV95"/>
      <c r="FW95"/>
      <c r="FX95"/>
      <c r="FY95"/>
      <c r="FZ95"/>
      <c r="GA95"/>
      <c r="GB95"/>
      <c r="GC95"/>
      <c r="GD95"/>
      <c r="GE95"/>
      <c r="GF95"/>
      <c r="GG95"/>
      <c r="GH95"/>
      <c r="GI95"/>
      <c r="GJ95"/>
      <c r="GK95"/>
      <c r="GL95"/>
      <c r="GM95"/>
      <c r="GN95"/>
      <c r="GO95"/>
      <c r="GP95"/>
      <c r="GQ95"/>
      <c r="GR95"/>
      <c r="GS95"/>
      <c r="GT95"/>
      <c r="GU95"/>
      <c r="GV95"/>
      <c r="GW95"/>
      <c r="GX95"/>
      <c r="GY95"/>
      <c r="GZ95"/>
      <c r="HA95"/>
      <c r="HB95"/>
      <c r="HC95"/>
      <c r="HD95"/>
      <c r="HE95"/>
      <c r="HF95"/>
      <c r="HG95"/>
      <c r="HH95"/>
      <c r="HI95"/>
      <c r="HJ95"/>
      <c r="HK95"/>
      <c r="HL95"/>
      <c r="HM95"/>
      <c r="HN95"/>
      <c r="HO95"/>
      <c r="HP95"/>
      <c r="HQ95"/>
      <c r="HR95"/>
      <c r="HS95"/>
      <c r="HT95"/>
      <c r="HU95"/>
      <c r="HV95"/>
      <c r="HW95"/>
      <c r="HX95"/>
      <c r="HY95"/>
      <c r="HZ95"/>
      <c r="IA95"/>
      <c r="IB95"/>
      <c r="IC95"/>
      <c r="ID95"/>
      <c r="IE95"/>
      <c r="IF95"/>
      <c r="IG95"/>
      <c r="IH95"/>
      <c r="II95"/>
      <c r="IJ95"/>
      <c r="IK95"/>
      <c r="IL95"/>
      <c r="IM95"/>
      <c r="IN95"/>
      <c r="IO95"/>
      <c r="IP95"/>
      <c r="IQ95"/>
      <c r="IR95"/>
      <c r="IS95"/>
      <c r="IT95"/>
      <c r="IU95"/>
    </row>
    <row r="96" spans="1:255" ht="21" customHeight="1">
      <c r="C96" s="2615"/>
      <c r="D96" s="1548" t="s">
        <v>1064</v>
      </c>
      <c r="E96" s="1545" t="s">
        <v>1072</v>
      </c>
      <c r="F96" s="2252">
        <v>80</v>
      </c>
      <c r="G96" s="1782" t="s">
        <v>1073</v>
      </c>
      <c r="H96" s="1783">
        <v>100</v>
      </c>
      <c r="I96" s="1452" t="s">
        <v>1977</v>
      </c>
      <c r="J96" s="1451">
        <v>120</v>
      </c>
      <c r="K96" s="1527">
        <v>90</v>
      </c>
      <c r="L96" s="1528">
        <v>105</v>
      </c>
      <c r="M96" s="1546">
        <v>100</v>
      </c>
      <c r="N96" s="1453">
        <v>80</v>
      </c>
      <c r="O96" s="1451">
        <v>45</v>
      </c>
      <c r="P96" s="1783">
        <v>65</v>
      </c>
      <c r="Q96" s="1451">
        <v>80</v>
      </c>
      <c r="R96" s="1454" t="s">
        <v>1061</v>
      </c>
      <c r="S96" s="1547" t="s">
        <v>1061</v>
      </c>
      <c r="T96" s="1546">
        <v>255</v>
      </c>
      <c r="U96" s="1450">
        <v>215</v>
      </c>
      <c r="V96" s="1455">
        <v>130</v>
      </c>
      <c r="W96" s="1783">
        <v>170</v>
      </c>
      <c r="X96" s="1456">
        <v>215</v>
      </c>
      <c r="Y96" s="1454" t="s">
        <v>1061</v>
      </c>
      <c r="Z96" s="1547" t="s">
        <v>1061</v>
      </c>
      <c r="AB96" s="1542"/>
      <c r="AC96" s="1542"/>
      <c r="AD96" s="1542"/>
      <c r="AE96" s="1542"/>
      <c r="AF96" s="1279"/>
      <c r="AM96" s="2371" t="s">
        <v>97</v>
      </c>
      <c r="AN96" s="2352">
        <v>50</v>
      </c>
      <c r="AO96" s="2283" t="s">
        <v>94</v>
      </c>
      <c r="AP96" s="2352">
        <v>50</v>
      </c>
      <c r="AQ96" s="2283" t="s">
        <v>43</v>
      </c>
      <c r="AR96" s="2352">
        <v>50</v>
      </c>
      <c r="AS96" s="2283" t="s">
        <v>44</v>
      </c>
      <c r="AT96" s="2348">
        <v>50</v>
      </c>
      <c r="AU96" s="2285" t="s">
        <v>95</v>
      </c>
      <c r="AV96" s="2348">
        <v>50</v>
      </c>
      <c r="AW96" s="2285" t="s">
        <v>96</v>
      </c>
      <c r="AX96" s="2345">
        <v>50</v>
      </c>
      <c r="AY96" s="2278" t="s">
        <v>43</v>
      </c>
      <c r="AZ96" s="2350">
        <v>50</v>
      </c>
      <c r="BA96" s="2303" t="s">
        <v>2321</v>
      </c>
      <c r="BE96" s="2371" t="s">
        <v>97</v>
      </c>
      <c r="BF96" s="577">
        <v>50</v>
      </c>
      <c r="BG96" s="577">
        <v>55</v>
      </c>
      <c r="BH96" s="577">
        <v>65</v>
      </c>
      <c r="BI96" s="2401"/>
      <c r="BJ96" s="2371" t="s">
        <v>97</v>
      </c>
      <c r="BK96" s="578">
        <v>65</v>
      </c>
      <c r="BL96" s="577">
        <v>70</v>
      </c>
      <c r="BM96" s="577">
        <v>80</v>
      </c>
      <c r="BN96" s="2399"/>
      <c r="BO96" s="525"/>
      <c r="BP96" s="458"/>
      <c r="BQ96" s="458"/>
      <c r="BR96" s="458"/>
      <c r="BS96" s="2461" t="s">
        <v>99</v>
      </c>
      <c r="BT96" s="2463" t="str">
        <f>IFERROR(INDEX(Liste_Ackerkulturen_Gemüse_DropDown[Ackerkulturen],_xlfn.AGGREGATE(15,6,(ROW(Liste_Ackerkulturen_Gemüse_DropDown[Ackerkulturen])-1)/(--(SEARCH(BU$2,Liste_Ackerkulturen_Gemüse_DropDown[Ackerkulturen])&gt;0)),ROW()-2),1),"")</f>
        <v>Ölrettich</v>
      </c>
      <c r="BU96" s="2463"/>
      <c r="BV96" s="2463" t="str">
        <f>IFERROR(INDEX(Liste_Ackerkulturen_Gemüse_DropDown[Ackerkulturen],_xlfn.AGGREGATE(15,6,(ROW(Liste_Ackerkulturen_Gemüse_DropDown[Ackerkulturen])-1)/(--(SEARCH(BW$2,Liste_Ackerkulturen_Gemüse_DropDown[Ackerkulturen])&gt;0)),ROW()-2),1),"")</f>
        <v>Ölrettich</v>
      </c>
      <c r="BW96" s="2463"/>
      <c r="BX96" s="2463" t="str">
        <f>IFERROR(INDEX(Liste_Ackerkulturen_Gemüse_DropDown[Ackerkulturen],_xlfn.AGGREGATE(15,6,(ROW(Liste_Ackerkulturen_Gemüse_DropDown[Ackerkulturen])-1)/(--(SEARCH(BY$2,Liste_Ackerkulturen_Gemüse_DropDown[Ackerkulturen])&gt;0)),ROW()-2),1),"")</f>
        <v>Ölrettich</v>
      </c>
      <c r="BY96" s="2463"/>
      <c r="BZ96" s="2463" t="str">
        <f>IFERROR(INDEX(Liste_Ackerkulturen_Gemüse_DropDown[Ackerkulturen],_xlfn.AGGREGATE(15,6,(ROW(Liste_Ackerkulturen_Gemüse_DropDown[Ackerkulturen])-1)/(--(SEARCH(CA$2,Liste_Ackerkulturen_Gemüse_DropDown[Ackerkulturen])&gt;0)),ROW()-2),1),"")</f>
        <v>Ölrettich</v>
      </c>
      <c r="CA96" s="2463"/>
      <c r="CB96" s="2463" t="str">
        <f>IFERROR(INDEX(Liste_Ackerkulturen_Gemüse_DropDown[Ackerkulturen],_xlfn.AGGREGATE(15,6,(ROW(Liste_Ackerkulturen_Gemüse_DropDown[Ackerkulturen])-1)/(--(SEARCH(CC$2,Liste_Ackerkulturen_Gemüse_DropDown[Ackerkulturen])&gt;0)),ROW()-2),1),"")</f>
        <v>Ölrettich</v>
      </c>
      <c r="CC96" s="2463"/>
      <c r="CD96" s="2464" t="str">
        <f>IFERROR(INDEX(Liste_Ackerkulturen_Gemüse_DropDown[Ackerkulturen],_xlfn.AGGREGATE(15,6,(ROW(Liste_Ackerkulturen_Gemüse_DropDown[Ackerkulturen])-1)/(--(SEARCH(CE$2,Liste_Ackerkulturen_Gemüse_DropDown[Ackerkulturen])&gt;0)),ROW()-2),1),"")</f>
        <v>Ölrettich</v>
      </c>
      <c r="CE96" s="2464"/>
      <c r="CF96" s="2464" t="str">
        <f>IFERROR(INDEX(Liste_Ackerkulturen_Gemüse_DropDown[Ackerkulturen],_xlfn.AGGREGATE(15,6,(ROW(Liste_Ackerkulturen_Gemüse_DropDown[Ackerkulturen])-1)/(--(SEARCH(CG$2,Liste_Ackerkulturen_Gemüse_DropDown[Ackerkulturen])&gt;0)),ROW()-2),1),"")</f>
        <v>Ölrettich</v>
      </c>
      <c r="CG96" s="2464"/>
      <c r="CH96" s="2464" t="str">
        <f>IFERROR(INDEX(Liste_Ackerkulturen_Gemüse_DropDown[Ackerkulturen],_xlfn.AGGREGATE(15,6,(ROW(Liste_Ackerkulturen_Gemüse_DropDown[Ackerkulturen])-1)/(--(SEARCH(CI$2,Liste_Ackerkulturen_Gemüse_DropDown[Ackerkulturen])&gt;0)),ROW()-2),1),"")</f>
        <v>Ölrettich</v>
      </c>
      <c r="CI96" s="2464"/>
      <c r="CJ96" s="2464" t="str">
        <f>IFERROR(INDEX(Liste_Ackerkulturen_Gemüse_DropDown[Ackerkulturen],_xlfn.AGGREGATE(15,6,(ROW(Liste_Ackerkulturen_Gemüse_DropDown[Ackerkulturen])-1)/(--(SEARCH(CK$2,Liste_Ackerkulturen_Gemüse_DropDown[Ackerkulturen])&gt;0)),ROW()-2),1),"")</f>
        <v>Ölrettich</v>
      </c>
      <c r="CK96" s="2464"/>
      <c r="CL96" s="2464" t="str">
        <f>IFERROR(INDEX(Liste_Ackerkulturen_Gemüse_DropDown[Ackerkulturen],_xlfn.AGGREGATE(15,6,(ROW(Liste_Ackerkulturen_Gemüse_DropDown[Ackerkulturen])-1)/(--(SEARCH(CM$2,Liste_Ackerkulturen_Gemüse_DropDown[Ackerkulturen])&gt;0)),ROW()-2),1),"")</f>
        <v>Ölrettich</v>
      </c>
      <c r="CM96" s="2464"/>
      <c r="CN96" s="2464" t="str">
        <f>IFERROR(INDEX(Liste_Ackerkulturen_Gemüse_DropDown[Ackerkulturen],_xlfn.AGGREGATE(15,6,(ROW(Liste_Ackerkulturen_Gemüse_DropDown[Ackerkulturen])-1)/(--(SEARCH(CO$2,Liste_Ackerkulturen_Gemüse_DropDown[Ackerkulturen])&gt;0)),ROW()-2),1),"")</f>
        <v>Ölrettich</v>
      </c>
      <c r="CO96" s="2464"/>
      <c r="CP96" s="2464" t="str">
        <f>IFERROR(INDEX(Liste_Ackerkulturen_Gemüse_DropDown[Ackerkulturen],_xlfn.AGGREGATE(15,6,(ROW(Liste_Ackerkulturen_Gemüse_DropDown[Ackerkulturen])-1)/(--(SEARCH(CQ$2,Liste_Ackerkulturen_Gemüse_DropDown[Ackerkulturen])&gt;0)),ROW()-2),1),"")</f>
        <v>Ölrettich</v>
      </c>
      <c r="CQ96" s="2464"/>
      <c r="CR96" s="2464" t="str">
        <f>IFERROR(INDEX(Liste_Ackerkulturen_Gemüse_DropDown[Ackerkulturen],_xlfn.AGGREGATE(15,6,(ROW(Liste_Ackerkulturen_Gemüse_DropDown[Ackerkulturen])-1)/(--(SEARCH(CS$2,Liste_Ackerkulturen_Gemüse_DropDown[Ackerkulturen])&gt;0)),ROW()-2),1),"")</f>
        <v>Ölrettich</v>
      </c>
      <c r="CS96" s="2464"/>
      <c r="CT96"/>
      <c r="CU96"/>
      <c r="CV96"/>
      <c r="CW96"/>
      <c r="CX96"/>
      <c r="CY96"/>
      <c r="CZ96"/>
      <c r="DA96"/>
      <c r="DB96"/>
      <c r="DC96"/>
      <c r="DD96"/>
      <c r="DE96"/>
      <c r="DF96"/>
      <c r="DG96"/>
      <c r="DH96"/>
      <c r="DN96"/>
      <c r="DO96"/>
      <c r="DP96"/>
      <c r="DQ96"/>
      <c r="DR96"/>
      <c r="DS96"/>
      <c r="DT96"/>
      <c r="DU96"/>
      <c r="DV96"/>
      <c r="DW96"/>
      <c r="DX96"/>
      <c r="DY96"/>
      <c r="DZ96"/>
      <c r="EA96"/>
      <c r="EB96"/>
      <c r="EC96"/>
      <c r="ED96"/>
      <c r="EE96"/>
      <c r="EF96"/>
      <c r="EG96"/>
      <c r="EH96"/>
      <c r="EI96"/>
      <c r="EJ96"/>
      <c r="EK96"/>
      <c r="EL96"/>
      <c r="EM96"/>
      <c r="EN96"/>
      <c r="EO96"/>
      <c r="EP96"/>
      <c r="EQ96"/>
      <c r="ER96"/>
      <c r="ES96"/>
      <c r="ET96"/>
      <c r="EU96"/>
      <c r="EV96"/>
      <c r="EW96"/>
      <c r="EX96"/>
      <c r="EY96"/>
      <c r="EZ96"/>
      <c r="FA96"/>
      <c r="FB96"/>
      <c r="FC96"/>
      <c r="FD96"/>
      <c r="FE96"/>
      <c r="FF96"/>
      <c r="FG96"/>
      <c r="FH96"/>
      <c r="FI96"/>
      <c r="FJ96"/>
      <c r="FK96"/>
      <c r="FL96"/>
      <c r="FM96"/>
      <c r="FN96"/>
      <c r="FO96"/>
      <c r="FP96"/>
      <c r="FQ96"/>
      <c r="FR96"/>
      <c r="FS96"/>
      <c r="FT96"/>
      <c r="FU96"/>
      <c r="FV96"/>
      <c r="FW96"/>
      <c r="FX96"/>
      <c r="FY96"/>
      <c r="FZ96"/>
      <c r="GA96"/>
      <c r="GB96"/>
      <c r="GC96"/>
      <c r="GD96"/>
      <c r="GE96"/>
      <c r="GF96"/>
      <c r="GG96"/>
      <c r="GH96"/>
      <c r="GI96"/>
      <c r="GJ96"/>
      <c r="GK96"/>
      <c r="GL96"/>
      <c r="GM96"/>
      <c r="GN96"/>
      <c r="GO96"/>
      <c r="GP96"/>
      <c r="GQ96"/>
      <c r="GR96"/>
      <c r="GS96"/>
      <c r="GT96"/>
      <c r="GU96"/>
      <c r="GV96"/>
      <c r="GW96"/>
      <c r="GX96"/>
      <c r="GY96"/>
      <c r="GZ96"/>
      <c r="HA96"/>
      <c r="HB96"/>
      <c r="HC96"/>
      <c r="HD96"/>
      <c r="HE96"/>
      <c r="HF96"/>
      <c r="HG96"/>
      <c r="HH96"/>
      <c r="HI96"/>
      <c r="HJ96"/>
      <c r="HK96"/>
      <c r="HL96"/>
      <c r="HM96"/>
      <c r="HN96"/>
      <c r="HO96"/>
      <c r="HP96"/>
      <c r="HQ96"/>
      <c r="HR96"/>
      <c r="HS96"/>
      <c r="HT96"/>
      <c r="HU96"/>
      <c r="HV96"/>
      <c r="HW96"/>
      <c r="HX96"/>
      <c r="HY96"/>
      <c r="HZ96"/>
      <c r="IA96"/>
      <c r="IB96"/>
      <c r="IC96"/>
      <c r="ID96"/>
      <c r="IE96"/>
      <c r="IF96"/>
      <c r="IG96"/>
      <c r="IH96"/>
      <c r="II96"/>
      <c r="IJ96"/>
      <c r="IK96"/>
      <c r="IL96"/>
      <c r="IM96"/>
      <c r="IN96"/>
      <c r="IO96"/>
      <c r="IP96"/>
      <c r="IQ96"/>
      <c r="IR96"/>
      <c r="IS96"/>
      <c r="IT96"/>
      <c r="IU96"/>
    </row>
    <row r="97" spans="1:255" ht="21" customHeight="1">
      <c r="C97" s="2615"/>
      <c r="D97" s="1548" t="s">
        <v>1067</v>
      </c>
      <c r="E97" s="1545" t="s">
        <v>1201</v>
      </c>
      <c r="F97" s="2252"/>
      <c r="G97" s="1782" t="s">
        <v>1074</v>
      </c>
      <c r="H97" s="1783">
        <v>120</v>
      </c>
      <c r="I97" s="1452" t="s">
        <v>1075</v>
      </c>
      <c r="J97" s="1451">
        <v>150</v>
      </c>
      <c r="K97" s="1527">
        <v>120</v>
      </c>
      <c r="L97" s="1528">
        <v>145</v>
      </c>
      <c r="M97" s="1546">
        <v>120</v>
      </c>
      <c r="N97" s="1453">
        <v>100</v>
      </c>
      <c r="O97" s="1451"/>
      <c r="P97" s="1783">
        <v>80</v>
      </c>
      <c r="Q97" s="1451">
        <v>90</v>
      </c>
      <c r="R97" s="1454" t="s">
        <v>1061</v>
      </c>
      <c r="S97" s="1547" t="s">
        <v>1061</v>
      </c>
      <c r="T97" s="1546">
        <v>310</v>
      </c>
      <c r="U97" s="1450">
        <v>255</v>
      </c>
      <c r="V97" s="1455"/>
      <c r="W97" s="1783">
        <v>205</v>
      </c>
      <c r="X97" s="1456">
        <v>260</v>
      </c>
      <c r="Y97" s="1454" t="s">
        <v>1061</v>
      </c>
      <c r="Z97" s="1547" t="s">
        <v>1061</v>
      </c>
      <c r="AB97" s="1542"/>
      <c r="AC97" s="1542"/>
      <c r="AD97" s="1542"/>
      <c r="AE97" s="1542"/>
      <c r="AF97" s="1279"/>
      <c r="AM97" s="2371" t="s">
        <v>98</v>
      </c>
      <c r="AN97" s="2352">
        <v>130</v>
      </c>
      <c r="AO97" s="2283" t="s">
        <v>473</v>
      </c>
      <c r="AP97" s="2352">
        <v>130</v>
      </c>
      <c r="AQ97" s="2283" t="s">
        <v>42</v>
      </c>
      <c r="AR97" s="2352">
        <v>130</v>
      </c>
      <c r="AS97" s="2283" t="s">
        <v>43</v>
      </c>
      <c r="AT97" s="2348">
        <v>130</v>
      </c>
      <c r="AU97" s="2285" t="s">
        <v>44</v>
      </c>
      <c r="AV97" s="2348">
        <v>130</v>
      </c>
      <c r="AW97" s="2285" t="s">
        <v>1060</v>
      </c>
      <c r="AX97" s="2345">
        <v>130</v>
      </c>
      <c r="AY97" s="2278" t="s">
        <v>42</v>
      </c>
      <c r="AZ97" s="2350">
        <v>130</v>
      </c>
      <c r="BA97" s="2303" t="s">
        <v>2323</v>
      </c>
      <c r="BE97" s="2371" t="s">
        <v>98</v>
      </c>
      <c r="BF97" s="577">
        <v>50</v>
      </c>
      <c r="BG97" s="577">
        <v>55</v>
      </c>
      <c r="BH97" s="577">
        <v>65</v>
      </c>
      <c r="BI97" s="2401"/>
      <c r="BJ97" s="2371" t="s">
        <v>98</v>
      </c>
      <c r="BK97" s="578">
        <v>180</v>
      </c>
      <c r="BL97" s="577">
        <v>200</v>
      </c>
      <c r="BM97" s="577">
        <v>230</v>
      </c>
      <c r="BN97" s="2399"/>
      <c r="BO97" s="525"/>
      <c r="BP97" s="458"/>
      <c r="BQ97" s="458"/>
      <c r="BR97" s="458"/>
      <c r="BS97" s="2461" t="s">
        <v>100</v>
      </c>
      <c r="BT97" s="2463" t="str">
        <f>IFERROR(INDEX(Liste_Ackerkulturen_Gemüse_DropDown[Ackerkulturen],_xlfn.AGGREGATE(15,6,(ROW(Liste_Ackerkulturen_Gemüse_DropDown[Ackerkulturen])-1)/(--(SEARCH(BU$2,Liste_Ackerkulturen_Gemüse_DropDown[Ackerkulturen])&gt;0)),ROW()-2),1),"")</f>
        <v>Phacelia</v>
      </c>
      <c r="BU97" s="2463"/>
      <c r="BV97" s="2463" t="str">
        <f>IFERROR(INDEX(Liste_Ackerkulturen_Gemüse_DropDown[Ackerkulturen],_xlfn.AGGREGATE(15,6,(ROW(Liste_Ackerkulturen_Gemüse_DropDown[Ackerkulturen])-1)/(--(SEARCH(BW$2,Liste_Ackerkulturen_Gemüse_DropDown[Ackerkulturen])&gt;0)),ROW()-2),1),"")</f>
        <v>Phacelia</v>
      </c>
      <c r="BW97" s="2463"/>
      <c r="BX97" s="2463" t="str">
        <f>IFERROR(INDEX(Liste_Ackerkulturen_Gemüse_DropDown[Ackerkulturen],_xlfn.AGGREGATE(15,6,(ROW(Liste_Ackerkulturen_Gemüse_DropDown[Ackerkulturen])-1)/(--(SEARCH(BY$2,Liste_Ackerkulturen_Gemüse_DropDown[Ackerkulturen])&gt;0)),ROW()-2),1),"")</f>
        <v>Phacelia</v>
      </c>
      <c r="BY97" s="2463"/>
      <c r="BZ97" s="2463" t="str">
        <f>IFERROR(INDEX(Liste_Ackerkulturen_Gemüse_DropDown[Ackerkulturen],_xlfn.AGGREGATE(15,6,(ROW(Liste_Ackerkulturen_Gemüse_DropDown[Ackerkulturen])-1)/(--(SEARCH(CA$2,Liste_Ackerkulturen_Gemüse_DropDown[Ackerkulturen])&gt;0)),ROW()-2),1),"")</f>
        <v>Phacelia</v>
      </c>
      <c r="CA97" s="2463"/>
      <c r="CB97" s="2463" t="str">
        <f>IFERROR(INDEX(Liste_Ackerkulturen_Gemüse_DropDown[Ackerkulturen],_xlfn.AGGREGATE(15,6,(ROW(Liste_Ackerkulturen_Gemüse_DropDown[Ackerkulturen])-1)/(--(SEARCH(CC$2,Liste_Ackerkulturen_Gemüse_DropDown[Ackerkulturen])&gt;0)),ROW()-2),1),"")</f>
        <v>Phacelia</v>
      </c>
      <c r="CC97" s="2463"/>
      <c r="CD97" s="2464" t="str">
        <f>IFERROR(INDEX(Liste_Ackerkulturen_Gemüse_DropDown[Ackerkulturen],_xlfn.AGGREGATE(15,6,(ROW(Liste_Ackerkulturen_Gemüse_DropDown[Ackerkulturen])-1)/(--(SEARCH(CE$2,Liste_Ackerkulturen_Gemüse_DropDown[Ackerkulturen])&gt;0)),ROW()-2),1),"")</f>
        <v>Phacelia</v>
      </c>
      <c r="CE97" s="2464"/>
      <c r="CF97" s="2464" t="str">
        <f>IFERROR(INDEX(Liste_Ackerkulturen_Gemüse_DropDown[Ackerkulturen],_xlfn.AGGREGATE(15,6,(ROW(Liste_Ackerkulturen_Gemüse_DropDown[Ackerkulturen])-1)/(--(SEARCH(CG$2,Liste_Ackerkulturen_Gemüse_DropDown[Ackerkulturen])&gt;0)),ROW()-2),1),"")</f>
        <v>Phacelia</v>
      </c>
      <c r="CG97" s="2464"/>
      <c r="CH97" s="2464" t="str">
        <f>IFERROR(INDEX(Liste_Ackerkulturen_Gemüse_DropDown[Ackerkulturen],_xlfn.AGGREGATE(15,6,(ROW(Liste_Ackerkulturen_Gemüse_DropDown[Ackerkulturen])-1)/(--(SEARCH(CI$2,Liste_Ackerkulturen_Gemüse_DropDown[Ackerkulturen])&gt;0)),ROW()-2),1),"")</f>
        <v>Phacelia</v>
      </c>
      <c r="CI97" s="2464"/>
      <c r="CJ97" s="2464" t="str">
        <f>IFERROR(INDEX(Liste_Ackerkulturen_Gemüse_DropDown[Ackerkulturen],_xlfn.AGGREGATE(15,6,(ROW(Liste_Ackerkulturen_Gemüse_DropDown[Ackerkulturen])-1)/(--(SEARCH(CK$2,Liste_Ackerkulturen_Gemüse_DropDown[Ackerkulturen])&gt;0)),ROW()-2),1),"")</f>
        <v>Phacelia</v>
      </c>
      <c r="CK97" s="2464"/>
      <c r="CL97" s="2464" t="str">
        <f>IFERROR(INDEX(Liste_Ackerkulturen_Gemüse_DropDown[Ackerkulturen],_xlfn.AGGREGATE(15,6,(ROW(Liste_Ackerkulturen_Gemüse_DropDown[Ackerkulturen])-1)/(--(SEARCH(CM$2,Liste_Ackerkulturen_Gemüse_DropDown[Ackerkulturen])&gt;0)),ROW()-2),1),"")</f>
        <v>Phacelia</v>
      </c>
      <c r="CM97" s="2464"/>
      <c r="CN97" s="2464" t="str">
        <f>IFERROR(INDEX(Liste_Ackerkulturen_Gemüse_DropDown[Ackerkulturen],_xlfn.AGGREGATE(15,6,(ROW(Liste_Ackerkulturen_Gemüse_DropDown[Ackerkulturen])-1)/(--(SEARCH(CO$2,Liste_Ackerkulturen_Gemüse_DropDown[Ackerkulturen])&gt;0)),ROW()-2),1),"")</f>
        <v>Phacelia</v>
      </c>
      <c r="CO97" s="2464"/>
      <c r="CP97" s="2464" t="str">
        <f>IFERROR(INDEX(Liste_Ackerkulturen_Gemüse_DropDown[Ackerkulturen],_xlfn.AGGREGATE(15,6,(ROW(Liste_Ackerkulturen_Gemüse_DropDown[Ackerkulturen])-1)/(--(SEARCH(CQ$2,Liste_Ackerkulturen_Gemüse_DropDown[Ackerkulturen])&gt;0)),ROW()-2),1),"")</f>
        <v>Phacelia</v>
      </c>
      <c r="CQ97" s="2464"/>
      <c r="CR97" s="2464" t="str">
        <f>IFERROR(INDEX(Liste_Ackerkulturen_Gemüse_DropDown[Ackerkulturen],_xlfn.AGGREGATE(15,6,(ROW(Liste_Ackerkulturen_Gemüse_DropDown[Ackerkulturen])-1)/(--(SEARCH(CS$2,Liste_Ackerkulturen_Gemüse_DropDown[Ackerkulturen])&gt;0)),ROW()-2),1),"")</f>
        <v>Phacelia</v>
      </c>
      <c r="CS97" s="2464"/>
      <c r="CT97"/>
      <c r="CU97"/>
      <c r="CV97"/>
      <c r="CW97"/>
      <c r="CX97"/>
      <c r="CY97"/>
      <c r="CZ97"/>
      <c r="DA97"/>
      <c r="DB97"/>
      <c r="DC97"/>
      <c r="DD97"/>
      <c r="DE97"/>
      <c r="DF97"/>
      <c r="DG97"/>
      <c r="DH97"/>
      <c r="DN97"/>
      <c r="DO97"/>
      <c r="DP97"/>
      <c r="DQ97"/>
      <c r="DR97"/>
      <c r="DS97"/>
      <c r="DT97"/>
      <c r="DU97"/>
      <c r="DV97"/>
      <c r="DW97"/>
      <c r="DX97"/>
      <c r="DY97"/>
      <c r="DZ97"/>
      <c r="EA97"/>
      <c r="EB97"/>
      <c r="EC97"/>
      <c r="ED97"/>
      <c r="EE97"/>
      <c r="EF97"/>
      <c r="EG97"/>
      <c r="EH97"/>
      <c r="EI97"/>
      <c r="EJ97"/>
      <c r="EK97"/>
      <c r="EL97"/>
      <c r="EM97"/>
      <c r="EN97"/>
      <c r="EO97"/>
      <c r="EP97"/>
      <c r="EQ97"/>
      <c r="ER97"/>
      <c r="ES97"/>
      <c r="ET97"/>
      <c r="EU97"/>
      <c r="EV97"/>
      <c r="EW97"/>
      <c r="EX97"/>
      <c r="EY97"/>
      <c r="EZ97"/>
      <c r="FA97"/>
      <c r="FB97"/>
      <c r="FC97"/>
      <c r="FD97"/>
      <c r="FE97"/>
      <c r="FF97"/>
      <c r="FG97"/>
      <c r="FH97"/>
      <c r="FI97"/>
      <c r="FJ97"/>
      <c r="FK97"/>
      <c r="FL97"/>
      <c r="FM97"/>
      <c r="FN97"/>
      <c r="FO97"/>
      <c r="FP97"/>
      <c r="FQ97"/>
      <c r="FR97"/>
      <c r="FS97"/>
      <c r="FT97"/>
      <c r="FU97"/>
      <c r="FV97"/>
      <c r="FW97"/>
      <c r="FX97"/>
      <c r="FY97"/>
      <c r="FZ97"/>
      <c r="GA97"/>
      <c r="GB97"/>
      <c r="GC97"/>
      <c r="GD97"/>
      <c r="GE97"/>
      <c r="GF97"/>
      <c r="GG97"/>
      <c r="GH97"/>
      <c r="GI97"/>
      <c r="GJ97"/>
      <c r="GK97"/>
      <c r="GL97"/>
      <c r="GM97"/>
      <c r="GN97"/>
      <c r="GO97"/>
      <c r="GP97"/>
      <c r="GQ97"/>
      <c r="GR97"/>
      <c r="GS97"/>
      <c r="GT97"/>
      <c r="GU97"/>
      <c r="GV97"/>
      <c r="GW97"/>
      <c r="GX97"/>
      <c r="GY97"/>
      <c r="GZ97"/>
      <c r="HA97"/>
      <c r="HB97"/>
      <c r="HC97"/>
      <c r="HD97"/>
      <c r="HE97"/>
      <c r="HF97"/>
      <c r="HG97"/>
      <c r="HH97"/>
      <c r="HI97"/>
      <c r="HJ97"/>
      <c r="HK97"/>
      <c r="HL97"/>
      <c r="HM97"/>
      <c r="HN97"/>
      <c r="HO97"/>
      <c r="HP97"/>
      <c r="HQ97"/>
      <c r="HR97"/>
      <c r="HS97"/>
      <c r="HT97"/>
      <c r="HU97"/>
      <c r="HV97"/>
      <c r="HW97"/>
      <c r="HX97"/>
      <c r="HY97"/>
      <c r="HZ97"/>
      <c r="IA97"/>
      <c r="IB97"/>
      <c r="IC97"/>
      <c r="ID97"/>
      <c r="IE97"/>
      <c r="IF97"/>
      <c r="IG97"/>
      <c r="IH97"/>
      <c r="II97"/>
      <c r="IJ97"/>
      <c r="IK97"/>
      <c r="IL97"/>
      <c r="IM97"/>
      <c r="IN97"/>
      <c r="IO97"/>
      <c r="IP97"/>
      <c r="IQ97"/>
      <c r="IR97"/>
      <c r="IS97"/>
      <c r="IT97"/>
      <c r="IU97"/>
    </row>
    <row r="98" spans="1:255" ht="21" customHeight="1">
      <c r="C98" s="2615"/>
      <c r="D98" s="1548" t="s">
        <v>1068</v>
      </c>
      <c r="E98" s="1545" t="s">
        <v>1201</v>
      </c>
      <c r="F98" s="2252"/>
      <c r="G98" s="1782" t="s">
        <v>1076</v>
      </c>
      <c r="H98" s="1783">
        <v>200</v>
      </c>
      <c r="I98" s="1452" t="s">
        <v>1077</v>
      </c>
      <c r="J98" s="1451">
        <v>240</v>
      </c>
      <c r="K98" s="1527">
        <v>160</v>
      </c>
      <c r="L98" s="1528">
        <v>160</v>
      </c>
      <c r="M98" s="1546">
        <v>130</v>
      </c>
      <c r="N98" s="1453">
        <v>105</v>
      </c>
      <c r="O98" s="1451"/>
      <c r="P98" s="1783">
        <v>85</v>
      </c>
      <c r="Q98" s="1451">
        <v>105</v>
      </c>
      <c r="R98" s="1454" t="s">
        <v>1061</v>
      </c>
      <c r="S98" s="1547" t="s">
        <v>1061</v>
      </c>
      <c r="T98" s="1546">
        <v>345</v>
      </c>
      <c r="U98" s="1450">
        <v>290</v>
      </c>
      <c r="V98" s="1455"/>
      <c r="W98" s="1783">
        <v>230</v>
      </c>
      <c r="X98" s="1456">
        <v>300</v>
      </c>
      <c r="Y98" s="1454" t="s">
        <v>1061</v>
      </c>
      <c r="Z98" s="1547" t="s">
        <v>1061</v>
      </c>
      <c r="AB98" s="1542"/>
      <c r="AC98" s="1542"/>
      <c r="AD98" s="1542"/>
      <c r="AE98" s="1542"/>
      <c r="AF98" s="1279"/>
      <c r="AM98" s="2371" t="s">
        <v>99</v>
      </c>
      <c r="AN98" s="2352">
        <v>100</v>
      </c>
      <c r="AO98" s="2283" t="s">
        <v>473</v>
      </c>
      <c r="AP98" s="2352">
        <v>100</v>
      </c>
      <c r="AQ98" s="2283" t="s">
        <v>42</v>
      </c>
      <c r="AR98" s="2352">
        <v>100</v>
      </c>
      <c r="AS98" s="2283" t="s">
        <v>43</v>
      </c>
      <c r="AT98" s="2348">
        <v>100</v>
      </c>
      <c r="AU98" s="2285" t="s">
        <v>44</v>
      </c>
      <c r="AV98" s="2348">
        <v>100</v>
      </c>
      <c r="AW98" s="2285" t="s">
        <v>1060</v>
      </c>
      <c r="AX98" s="2345">
        <v>100</v>
      </c>
      <c r="AY98" s="2278" t="s">
        <v>42</v>
      </c>
      <c r="AZ98" s="2350">
        <v>100</v>
      </c>
      <c r="BA98" s="2303" t="s">
        <v>2323</v>
      </c>
      <c r="BE98" s="2371" t="s">
        <v>99</v>
      </c>
      <c r="BF98" s="577">
        <v>50</v>
      </c>
      <c r="BG98" s="577">
        <v>55</v>
      </c>
      <c r="BH98" s="577">
        <v>65</v>
      </c>
      <c r="BI98" s="2401"/>
      <c r="BJ98" s="2371" t="s">
        <v>99</v>
      </c>
      <c r="BK98" s="578">
        <v>40</v>
      </c>
      <c r="BL98" s="577">
        <v>45</v>
      </c>
      <c r="BM98" s="577">
        <v>50</v>
      </c>
      <c r="BN98" s="2399"/>
      <c r="BO98" s="525"/>
      <c r="BP98" s="458"/>
      <c r="BQ98" s="458"/>
      <c r="BR98" s="458"/>
      <c r="BS98" s="2461" t="s">
        <v>102</v>
      </c>
      <c r="BT98" s="2463" t="str">
        <f>IFERROR(INDEX(Liste_Ackerkulturen_Gemüse_DropDown[Ackerkulturen],_xlfn.AGGREGATE(15,6,(ROW(Liste_Ackerkulturen_Gemüse_DropDown[Ackerkulturen])-1)/(--(SEARCH(BU$2,Liste_Ackerkulturen_Gemüse_DropDown[Ackerkulturen])&gt;0)),ROW()-2),1),"")</f>
        <v>Platterbsen</v>
      </c>
      <c r="BU98" s="2463"/>
      <c r="BV98" s="2463" t="str">
        <f>IFERROR(INDEX(Liste_Ackerkulturen_Gemüse_DropDown[Ackerkulturen],_xlfn.AGGREGATE(15,6,(ROW(Liste_Ackerkulturen_Gemüse_DropDown[Ackerkulturen])-1)/(--(SEARCH(BW$2,Liste_Ackerkulturen_Gemüse_DropDown[Ackerkulturen])&gt;0)),ROW()-2),1),"")</f>
        <v>Platterbsen</v>
      </c>
      <c r="BW98" s="2463"/>
      <c r="BX98" s="2463" t="str">
        <f>IFERROR(INDEX(Liste_Ackerkulturen_Gemüse_DropDown[Ackerkulturen],_xlfn.AGGREGATE(15,6,(ROW(Liste_Ackerkulturen_Gemüse_DropDown[Ackerkulturen])-1)/(--(SEARCH(BY$2,Liste_Ackerkulturen_Gemüse_DropDown[Ackerkulturen])&gt;0)),ROW()-2),1),"")</f>
        <v>Platterbsen</v>
      </c>
      <c r="BY98" s="2463"/>
      <c r="BZ98" s="2463" t="str">
        <f>IFERROR(INDEX(Liste_Ackerkulturen_Gemüse_DropDown[Ackerkulturen],_xlfn.AGGREGATE(15,6,(ROW(Liste_Ackerkulturen_Gemüse_DropDown[Ackerkulturen])-1)/(--(SEARCH(CA$2,Liste_Ackerkulturen_Gemüse_DropDown[Ackerkulturen])&gt;0)),ROW()-2),1),"")</f>
        <v>Platterbsen</v>
      </c>
      <c r="CA98" s="2463"/>
      <c r="CB98" s="2463" t="str">
        <f>IFERROR(INDEX(Liste_Ackerkulturen_Gemüse_DropDown[Ackerkulturen],_xlfn.AGGREGATE(15,6,(ROW(Liste_Ackerkulturen_Gemüse_DropDown[Ackerkulturen])-1)/(--(SEARCH(CC$2,Liste_Ackerkulturen_Gemüse_DropDown[Ackerkulturen])&gt;0)),ROW()-2),1),"")</f>
        <v>Platterbsen</v>
      </c>
      <c r="CC98" s="2463"/>
      <c r="CD98" s="2464" t="str">
        <f>IFERROR(INDEX(Liste_Ackerkulturen_Gemüse_DropDown[Ackerkulturen],_xlfn.AGGREGATE(15,6,(ROW(Liste_Ackerkulturen_Gemüse_DropDown[Ackerkulturen])-1)/(--(SEARCH(CE$2,Liste_Ackerkulturen_Gemüse_DropDown[Ackerkulturen])&gt;0)),ROW()-2),1),"")</f>
        <v>Platterbsen</v>
      </c>
      <c r="CE98" s="2464"/>
      <c r="CF98" s="2464" t="str">
        <f>IFERROR(INDEX(Liste_Ackerkulturen_Gemüse_DropDown[Ackerkulturen],_xlfn.AGGREGATE(15,6,(ROW(Liste_Ackerkulturen_Gemüse_DropDown[Ackerkulturen])-1)/(--(SEARCH(CG$2,Liste_Ackerkulturen_Gemüse_DropDown[Ackerkulturen])&gt;0)),ROW()-2),1),"")</f>
        <v>Platterbsen</v>
      </c>
      <c r="CG98" s="2464"/>
      <c r="CH98" s="2464" t="str">
        <f>IFERROR(INDEX(Liste_Ackerkulturen_Gemüse_DropDown[Ackerkulturen],_xlfn.AGGREGATE(15,6,(ROW(Liste_Ackerkulturen_Gemüse_DropDown[Ackerkulturen])-1)/(--(SEARCH(CI$2,Liste_Ackerkulturen_Gemüse_DropDown[Ackerkulturen])&gt;0)),ROW()-2),1),"")</f>
        <v>Platterbsen</v>
      </c>
      <c r="CI98" s="2464"/>
      <c r="CJ98" s="2464" t="str">
        <f>IFERROR(INDEX(Liste_Ackerkulturen_Gemüse_DropDown[Ackerkulturen],_xlfn.AGGREGATE(15,6,(ROW(Liste_Ackerkulturen_Gemüse_DropDown[Ackerkulturen])-1)/(--(SEARCH(CK$2,Liste_Ackerkulturen_Gemüse_DropDown[Ackerkulturen])&gt;0)),ROW()-2),1),"")</f>
        <v>Platterbsen</v>
      </c>
      <c r="CK98" s="2464"/>
      <c r="CL98" s="2464" t="str">
        <f>IFERROR(INDEX(Liste_Ackerkulturen_Gemüse_DropDown[Ackerkulturen],_xlfn.AGGREGATE(15,6,(ROW(Liste_Ackerkulturen_Gemüse_DropDown[Ackerkulturen])-1)/(--(SEARCH(CM$2,Liste_Ackerkulturen_Gemüse_DropDown[Ackerkulturen])&gt;0)),ROW()-2),1),"")</f>
        <v>Platterbsen</v>
      </c>
      <c r="CM98" s="2464"/>
      <c r="CN98" s="2464" t="str">
        <f>IFERROR(INDEX(Liste_Ackerkulturen_Gemüse_DropDown[Ackerkulturen],_xlfn.AGGREGATE(15,6,(ROW(Liste_Ackerkulturen_Gemüse_DropDown[Ackerkulturen])-1)/(--(SEARCH(CO$2,Liste_Ackerkulturen_Gemüse_DropDown[Ackerkulturen])&gt;0)),ROW()-2),1),"")</f>
        <v>Platterbsen</v>
      </c>
      <c r="CO98" s="2464"/>
      <c r="CP98" s="2464" t="str">
        <f>IFERROR(INDEX(Liste_Ackerkulturen_Gemüse_DropDown[Ackerkulturen],_xlfn.AGGREGATE(15,6,(ROW(Liste_Ackerkulturen_Gemüse_DropDown[Ackerkulturen])-1)/(--(SEARCH(CQ$2,Liste_Ackerkulturen_Gemüse_DropDown[Ackerkulturen])&gt;0)),ROW()-2),1),"")</f>
        <v>Platterbsen</v>
      </c>
      <c r="CQ98" s="2464"/>
      <c r="CR98" s="2464" t="str">
        <f>IFERROR(INDEX(Liste_Ackerkulturen_Gemüse_DropDown[Ackerkulturen],_xlfn.AGGREGATE(15,6,(ROW(Liste_Ackerkulturen_Gemüse_DropDown[Ackerkulturen])-1)/(--(SEARCH(CS$2,Liste_Ackerkulturen_Gemüse_DropDown[Ackerkulturen])&gt;0)),ROW()-2),1),"")</f>
        <v>Platterbsen</v>
      </c>
      <c r="CS98" s="2464"/>
      <c r="CT98"/>
      <c r="CU98"/>
      <c r="CV98"/>
      <c r="CW98"/>
      <c r="CX98"/>
      <c r="CY98"/>
      <c r="CZ98"/>
      <c r="DA98"/>
      <c r="DB98"/>
      <c r="DC98"/>
      <c r="DD98"/>
      <c r="DE98"/>
      <c r="DF98"/>
      <c r="DG98"/>
      <c r="DH98"/>
      <c r="DN98"/>
      <c r="DO98"/>
      <c r="DP98"/>
      <c r="DQ98"/>
      <c r="DR98"/>
      <c r="DS98"/>
      <c r="DT98"/>
      <c r="DU98"/>
      <c r="DV98"/>
      <c r="DW98"/>
      <c r="DX98"/>
      <c r="DY98"/>
      <c r="DZ98"/>
      <c r="EA98"/>
      <c r="EB98"/>
      <c r="EC98"/>
      <c r="ED98"/>
      <c r="EE98"/>
      <c r="EF98"/>
      <c r="EG98"/>
      <c r="EH98"/>
      <c r="EI98"/>
      <c r="EJ98"/>
      <c r="EK98"/>
      <c r="EL98"/>
      <c r="EM98"/>
      <c r="EN98"/>
      <c r="EO98"/>
      <c r="EP98"/>
      <c r="EQ98"/>
      <c r="ER98"/>
      <c r="ES98"/>
      <c r="ET98"/>
      <c r="EU98"/>
      <c r="EV98"/>
      <c r="EW98"/>
      <c r="EX98"/>
      <c r="EY98"/>
      <c r="EZ98"/>
      <c r="FA98"/>
      <c r="FB98"/>
      <c r="FC98"/>
      <c r="FD98"/>
      <c r="FE98"/>
      <c r="FF98"/>
      <c r="FG98"/>
      <c r="FH98"/>
      <c r="FI98"/>
      <c r="FJ98"/>
      <c r="FK98"/>
      <c r="FL98"/>
      <c r="FM98"/>
      <c r="FN98"/>
      <c r="FO98"/>
      <c r="FP98"/>
      <c r="FQ98"/>
      <c r="FR98"/>
      <c r="FS98"/>
      <c r="FT98"/>
      <c r="FU98"/>
      <c r="FV98"/>
      <c r="FW98"/>
      <c r="FX98"/>
      <c r="FY98"/>
      <c r="FZ98"/>
      <c r="GA98"/>
      <c r="GB98"/>
      <c r="GC98"/>
      <c r="GD98"/>
      <c r="GE98"/>
      <c r="GF98"/>
      <c r="GG98"/>
      <c r="GH98"/>
      <c r="GI98"/>
      <c r="GJ98"/>
      <c r="GK98"/>
      <c r="GL98"/>
      <c r="GM98"/>
      <c r="GN98"/>
      <c r="GO98"/>
      <c r="GP98"/>
      <c r="GQ98"/>
      <c r="GR98"/>
      <c r="GS98"/>
      <c r="GT98"/>
      <c r="GU98"/>
      <c r="GV98"/>
      <c r="GW98"/>
      <c r="GX98"/>
      <c r="GY98"/>
      <c r="GZ98"/>
      <c r="HA98"/>
      <c r="HB98"/>
      <c r="HC98"/>
      <c r="HD98"/>
      <c r="HE98"/>
      <c r="HF98"/>
      <c r="HG98"/>
      <c r="HH98"/>
      <c r="HI98"/>
      <c r="HJ98"/>
      <c r="HK98"/>
      <c r="HL98"/>
      <c r="HM98"/>
      <c r="HN98"/>
      <c r="HO98"/>
      <c r="HP98"/>
      <c r="HQ98"/>
      <c r="HR98"/>
      <c r="HS98"/>
      <c r="HT98"/>
      <c r="HU98"/>
      <c r="HV98"/>
      <c r="HW98"/>
      <c r="HX98"/>
      <c r="HY98"/>
      <c r="HZ98"/>
      <c r="IA98"/>
      <c r="IB98"/>
      <c r="IC98"/>
      <c r="ID98"/>
      <c r="IE98"/>
      <c r="IF98"/>
      <c r="IG98"/>
      <c r="IH98"/>
      <c r="II98"/>
      <c r="IJ98"/>
      <c r="IK98"/>
      <c r="IL98"/>
      <c r="IM98"/>
      <c r="IN98"/>
      <c r="IO98"/>
      <c r="IP98"/>
      <c r="IQ98"/>
      <c r="IR98"/>
      <c r="IS98"/>
      <c r="IT98"/>
      <c r="IU98"/>
    </row>
    <row r="99" spans="1:255" ht="21" customHeight="1">
      <c r="C99" s="2615"/>
      <c r="D99" s="1548" t="s">
        <v>1069</v>
      </c>
      <c r="E99" s="1545" t="s">
        <v>1201</v>
      </c>
      <c r="F99" s="2252"/>
      <c r="G99" s="1782" t="s">
        <v>1201</v>
      </c>
      <c r="H99" s="1783"/>
      <c r="I99" s="1452" t="s">
        <v>1078</v>
      </c>
      <c r="J99" s="1451">
        <v>270</v>
      </c>
      <c r="K99" s="1527">
        <v>160</v>
      </c>
      <c r="L99" s="1528">
        <v>160</v>
      </c>
      <c r="M99" s="1546"/>
      <c r="N99" s="1453"/>
      <c r="O99" s="1451"/>
      <c r="P99" s="1783"/>
      <c r="Q99" s="1451">
        <v>120</v>
      </c>
      <c r="R99" s="1454" t="s">
        <v>1061</v>
      </c>
      <c r="S99" s="1547" t="s">
        <v>1061</v>
      </c>
      <c r="T99" s="1546"/>
      <c r="U99" s="1450"/>
      <c r="V99" s="1455"/>
      <c r="W99" s="1783"/>
      <c r="X99" s="1456">
        <v>340</v>
      </c>
      <c r="Y99" s="1454" t="s">
        <v>1061</v>
      </c>
      <c r="Z99" s="1547" t="s">
        <v>1061</v>
      </c>
      <c r="AB99" s="1542"/>
      <c r="AC99" s="1542"/>
      <c r="AD99" s="1542"/>
      <c r="AE99" s="1542"/>
      <c r="AF99" s="1279"/>
      <c r="AM99" s="2371" t="s">
        <v>100</v>
      </c>
      <c r="AN99" s="2352">
        <v>60</v>
      </c>
      <c r="AO99" s="2283" t="s">
        <v>1997</v>
      </c>
      <c r="AP99" s="2352">
        <v>60</v>
      </c>
      <c r="AQ99" s="2283" t="s">
        <v>101</v>
      </c>
      <c r="AR99" s="2352">
        <v>60</v>
      </c>
      <c r="AS99" s="2283" t="s">
        <v>48</v>
      </c>
      <c r="AT99" s="2348">
        <v>60</v>
      </c>
      <c r="AU99" s="2285" t="s">
        <v>49</v>
      </c>
      <c r="AV99" s="2348">
        <v>60</v>
      </c>
      <c r="AW99" s="2285" t="s">
        <v>50</v>
      </c>
      <c r="AX99" s="2345">
        <v>0</v>
      </c>
      <c r="AY99" s="2278" t="s">
        <v>101</v>
      </c>
      <c r="AZ99" s="2350">
        <v>0</v>
      </c>
      <c r="BA99" s="2303" t="s">
        <v>2322</v>
      </c>
      <c r="BE99" s="2371" t="s">
        <v>100</v>
      </c>
      <c r="BF99" s="577">
        <v>60</v>
      </c>
      <c r="BG99" s="577">
        <v>65</v>
      </c>
      <c r="BH99" s="577">
        <v>75</v>
      </c>
      <c r="BI99" s="2401"/>
      <c r="BJ99" s="2371" t="s">
        <v>100</v>
      </c>
      <c r="BK99" s="578">
        <v>90</v>
      </c>
      <c r="BL99" s="577">
        <v>100</v>
      </c>
      <c r="BM99" s="577">
        <v>115</v>
      </c>
      <c r="BN99" s="2399"/>
      <c r="BO99" s="525"/>
      <c r="BP99" s="458"/>
      <c r="BQ99" s="458"/>
      <c r="BR99" s="458"/>
      <c r="BS99" s="2461" t="s">
        <v>103</v>
      </c>
      <c r="BT99" s="2463" t="str">
        <f>IFERROR(INDEX(Liste_Ackerkulturen_Gemüse_DropDown[Ackerkulturen],_xlfn.AGGREGATE(15,6,(ROW(Liste_Ackerkulturen_Gemüse_DropDown[Ackerkulturen])-1)/(--(SEARCH(BU$2,Liste_Ackerkulturen_Gemüse_DropDown[Ackerkulturen])&gt;0)),ROW()-2),1),"")</f>
        <v>Quinoa</v>
      </c>
      <c r="BU99" s="2463"/>
      <c r="BV99" s="2463" t="str">
        <f>IFERROR(INDEX(Liste_Ackerkulturen_Gemüse_DropDown[Ackerkulturen],_xlfn.AGGREGATE(15,6,(ROW(Liste_Ackerkulturen_Gemüse_DropDown[Ackerkulturen])-1)/(--(SEARCH(BW$2,Liste_Ackerkulturen_Gemüse_DropDown[Ackerkulturen])&gt;0)),ROW()-2),1),"")</f>
        <v>Quinoa</v>
      </c>
      <c r="BW99" s="2463"/>
      <c r="BX99" s="2463" t="str">
        <f>IFERROR(INDEX(Liste_Ackerkulturen_Gemüse_DropDown[Ackerkulturen],_xlfn.AGGREGATE(15,6,(ROW(Liste_Ackerkulturen_Gemüse_DropDown[Ackerkulturen])-1)/(--(SEARCH(BY$2,Liste_Ackerkulturen_Gemüse_DropDown[Ackerkulturen])&gt;0)),ROW()-2),1),"")</f>
        <v>Quinoa</v>
      </c>
      <c r="BY99" s="2463"/>
      <c r="BZ99" s="2463" t="str">
        <f>IFERROR(INDEX(Liste_Ackerkulturen_Gemüse_DropDown[Ackerkulturen],_xlfn.AGGREGATE(15,6,(ROW(Liste_Ackerkulturen_Gemüse_DropDown[Ackerkulturen])-1)/(--(SEARCH(CA$2,Liste_Ackerkulturen_Gemüse_DropDown[Ackerkulturen])&gt;0)),ROW()-2),1),"")</f>
        <v>Quinoa</v>
      </c>
      <c r="CA99" s="2463"/>
      <c r="CB99" s="2463" t="str">
        <f>IFERROR(INDEX(Liste_Ackerkulturen_Gemüse_DropDown[Ackerkulturen],_xlfn.AGGREGATE(15,6,(ROW(Liste_Ackerkulturen_Gemüse_DropDown[Ackerkulturen])-1)/(--(SEARCH(CC$2,Liste_Ackerkulturen_Gemüse_DropDown[Ackerkulturen])&gt;0)),ROW()-2),1),"")</f>
        <v>Quinoa</v>
      </c>
      <c r="CC99" s="2463"/>
      <c r="CD99" s="2464" t="str">
        <f>IFERROR(INDEX(Liste_Ackerkulturen_Gemüse_DropDown[Ackerkulturen],_xlfn.AGGREGATE(15,6,(ROW(Liste_Ackerkulturen_Gemüse_DropDown[Ackerkulturen])-1)/(--(SEARCH(CE$2,Liste_Ackerkulturen_Gemüse_DropDown[Ackerkulturen])&gt;0)),ROW()-2),1),"")</f>
        <v>Quinoa</v>
      </c>
      <c r="CE99" s="2464"/>
      <c r="CF99" s="2464" t="str">
        <f>IFERROR(INDEX(Liste_Ackerkulturen_Gemüse_DropDown[Ackerkulturen],_xlfn.AGGREGATE(15,6,(ROW(Liste_Ackerkulturen_Gemüse_DropDown[Ackerkulturen])-1)/(--(SEARCH(CG$2,Liste_Ackerkulturen_Gemüse_DropDown[Ackerkulturen])&gt;0)),ROW()-2),1),"")</f>
        <v>Quinoa</v>
      </c>
      <c r="CG99" s="2464"/>
      <c r="CH99" s="2464" t="str">
        <f>IFERROR(INDEX(Liste_Ackerkulturen_Gemüse_DropDown[Ackerkulturen],_xlfn.AGGREGATE(15,6,(ROW(Liste_Ackerkulturen_Gemüse_DropDown[Ackerkulturen])-1)/(--(SEARCH(CI$2,Liste_Ackerkulturen_Gemüse_DropDown[Ackerkulturen])&gt;0)),ROW()-2),1),"")</f>
        <v>Quinoa</v>
      </c>
      <c r="CI99" s="2464"/>
      <c r="CJ99" s="2464" t="str">
        <f>IFERROR(INDEX(Liste_Ackerkulturen_Gemüse_DropDown[Ackerkulturen],_xlfn.AGGREGATE(15,6,(ROW(Liste_Ackerkulturen_Gemüse_DropDown[Ackerkulturen])-1)/(--(SEARCH(CK$2,Liste_Ackerkulturen_Gemüse_DropDown[Ackerkulturen])&gt;0)),ROW()-2),1),"")</f>
        <v>Quinoa</v>
      </c>
      <c r="CK99" s="2464"/>
      <c r="CL99" s="2464" t="str">
        <f>IFERROR(INDEX(Liste_Ackerkulturen_Gemüse_DropDown[Ackerkulturen],_xlfn.AGGREGATE(15,6,(ROW(Liste_Ackerkulturen_Gemüse_DropDown[Ackerkulturen])-1)/(--(SEARCH(CM$2,Liste_Ackerkulturen_Gemüse_DropDown[Ackerkulturen])&gt;0)),ROW()-2),1),"")</f>
        <v>Quinoa</v>
      </c>
      <c r="CM99" s="2464"/>
      <c r="CN99" s="2464" t="str">
        <f>IFERROR(INDEX(Liste_Ackerkulturen_Gemüse_DropDown[Ackerkulturen],_xlfn.AGGREGATE(15,6,(ROW(Liste_Ackerkulturen_Gemüse_DropDown[Ackerkulturen])-1)/(--(SEARCH(CO$2,Liste_Ackerkulturen_Gemüse_DropDown[Ackerkulturen])&gt;0)),ROW()-2),1),"")</f>
        <v>Quinoa</v>
      </c>
      <c r="CO99" s="2464"/>
      <c r="CP99" s="2464" t="str">
        <f>IFERROR(INDEX(Liste_Ackerkulturen_Gemüse_DropDown[Ackerkulturen],_xlfn.AGGREGATE(15,6,(ROW(Liste_Ackerkulturen_Gemüse_DropDown[Ackerkulturen])-1)/(--(SEARCH(CQ$2,Liste_Ackerkulturen_Gemüse_DropDown[Ackerkulturen])&gt;0)),ROW()-2),1),"")</f>
        <v>Quinoa</v>
      </c>
      <c r="CQ99" s="2464"/>
      <c r="CR99" s="2464" t="str">
        <f>IFERROR(INDEX(Liste_Ackerkulturen_Gemüse_DropDown[Ackerkulturen],_xlfn.AGGREGATE(15,6,(ROW(Liste_Ackerkulturen_Gemüse_DropDown[Ackerkulturen])-1)/(--(SEARCH(CS$2,Liste_Ackerkulturen_Gemüse_DropDown[Ackerkulturen])&gt;0)),ROW()-2),1),"")</f>
        <v>Quinoa</v>
      </c>
      <c r="CS99" s="2464"/>
      <c r="CT99"/>
      <c r="CU99"/>
      <c r="CV99"/>
      <c r="CW99"/>
      <c r="CX99"/>
      <c r="CY99"/>
      <c r="CZ99"/>
      <c r="DA99"/>
      <c r="DB99"/>
      <c r="DC99"/>
      <c r="DD99"/>
      <c r="DE99"/>
      <c r="DF99"/>
      <c r="DG99"/>
      <c r="DH99"/>
      <c r="DN99"/>
      <c r="DO99"/>
      <c r="DP99"/>
      <c r="DQ99"/>
      <c r="DR99"/>
      <c r="DS99"/>
      <c r="DT99"/>
      <c r="DU99"/>
      <c r="DV99"/>
      <c r="DW99"/>
      <c r="DX99"/>
      <c r="DY99"/>
      <c r="DZ99"/>
      <c r="EA99"/>
      <c r="EB99"/>
      <c r="EC99"/>
      <c r="ED99"/>
      <c r="EE99"/>
      <c r="EF99"/>
      <c r="EG99"/>
      <c r="EH99"/>
      <c r="EI99"/>
      <c r="EJ99"/>
      <c r="EK99"/>
      <c r="EL99"/>
      <c r="EM99"/>
      <c r="EN99"/>
      <c r="EO99"/>
      <c r="EP99"/>
      <c r="EQ99"/>
      <c r="ER99"/>
      <c r="ES99"/>
      <c r="ET99"/>
      <c r="EU99"/>
      <c r="EV99"/>
      <c r="EW99"/>
      <c r="EX99"/>
      <c r="EY99"/>
      <c r="EZ99"/>
      <c r="FA99"/>
      <c r="FB99"/>
      <c r="FC99"/>
      <c r="FD99"/>
      <c r="FE99"/>
      <c r="FF99"/>
      <c r="FG99"/>
      <c r="FH99"/>
      <c r="FI99"/>
      <c r="FJ99"/>
      <c r="FK99"/>
      <c r="FL99"/>
      <c r="FM99"/>
      <c r="FN99"/>
      <c r="FO99"/>
      <c r="FP99"/>
      <c r="FQ99"/>
      <c r="FR99"/>
      <c r="FS99"/>
      <c r="FT99"/>
      <c r="FU99"/>
      <c r="FV99"/>
      <c r="FW99"/>
      <c r="FX99"/>
      <c r="FY99"/>
      <c r="FZ99"/>
      <c r="GA99"/>
      <c r="GB99"/>
      <c r="GC99"/>
      <c r="GD99"/>
      <c r="GE99"/>
      <c r="GF99"/>
      <c r="GG99"/>
      <c r="GH99"/>
      <c r="GI99"/>
      <c r="GJ99"/>
      <c r="GK99"/>
      <c r="GL99"/>
      <c r="GM99"/>
      <c r="GN99"/>
      <c r="GO99"/>
      <c r="GP99"/>
      <c r="GQ99"/>
      <c r="GR99"/>
      <c r="GS99"/>
      <c r="GT99"/>
      <c r="GU99"/>
      <c r="GV99"/>
      <c r="GW99"/>
      <c r="GX99"/>
      <c r="GY99"/>
      <c r="GZ99"/>
      <c r="HA99"/>
      <c r="HB99"/>
      <c r="HC99"/>
      <c r="HD99"/>
      <c r="HE99"/>
      <c r="HF99"/>
      <c r="HG99"/>
      <c r="HH99"/>
      <c r="HI99"/>
      <c r="HJ99"/>
      <c r="HK99"/>
      <c r="HL99"/>
      <c r="HM99"/>
      <c r="HN99"/>
      <c r="HO99"/>
      <c r="HP99"/>
      <c r="HQ99"/>
      <c r="HR99"/>
      <c r="HS99"/>
      <c r="HT99"/>
      <c r="HU99"/>
      <c r="HV99"/>
      <c r="HW99"/>
      <c r="HX99"/>
      <c r="HY99"/>
      <c r="HZ99"/>
      <c r="IA99"/>
      <c r="IB99"/>
      <c r="IC99"/>
      <c r="ID99"/>
      <c r="IE99"/>
      <c r="IF99"/>
      <c r="IG99"/>
      <c r="IH99"/>
      <c r="II99"/>
      <c r="IJ99"/>
      <c r="IK99"/>
      <c r="IL99"/>
      <c r="IM99"/>
      <c r="IN99"/>
      <c r="IO99"/>
      <c r="IP99"/>
      <c r="IQ99"/>
      <c r="IR99"/>
      <c r="IS99"/>
      <c r="IT99"/>
      <c r="IU99"/>
    </row>
    <row r="100" spans="1:255" ht="22.5" customHeight="1">
      <c r="C100" s="2615" t="s">
        <v>7</v>
      </c>
      <c r="D100" s="1548" t="s">
        <v>1059</v>
      </c>
      <c r="E100" s="1545" t="s">
        <v>1997</v>
      </c>
      <c r="F100" s="2252">
        <v>15</v>
      </c>
      <c r="G100" s="1782" t="s">
        <v>1060</v>
      </c>
      <c r="H100" s="1783">
        <v>25</v>
      </c>
      <c r="I100" s="1452" t="s">
        <v>1201</v>
      </c>
      <c r="J100" s="1451"/>
      <c r="K100" s="1527">
        <v>25</v>
      </c>
      <c r="L100" s="1528">
        <v>25</v>
      </c>
      <c r="M100" s="1546">
        <v>45</v>
      </c>
      <c r="N100" s="1453">
        <v>40</v>
      </c>
      <c r="O100" s="1451">
        <v>15</v>
      </c>
      <c r="P100" s="1783">
        <v>30</v>
      </c>
      <c r="Q100" s="1451"/>
      <c r="R100" s="1454" t="s">
        <v>1061</v>
      </c>
      <c r="S100" s="1547" t="s">
        <v>1061</v>
      </c>
      <c r="T100" s="1546">
        <v>120</v>
      </c>
      <c r="U100" s="1450">
        <v>100</v>
      </c>
      <c r="V100" s="1455">
        <v>45</v>
      </c>
      <c r="W100" s="1783">
        <v>80</v>
      </c>
      <c r="X100" s="1456"/>
      <c r="Y100" s="1454" t="s">
        <v>1061</v>
      </c>
      <c r="Z100" s="1547" t="s">
        <v>1061</v>
      </c>
      <c r="AB100" s="1542"/>
      <c r="AC100" s="1542"/>
      <c r="AD100" s="1542"/>
      <c r="AE100" s="1542"/>
      <c r="AF100" s="1279"/>
      <c r="AM100" s="2371" t="s">
        <v>102</v>
      </c>
      <c r="AN100" s="2352">
        <v>80</v>
      </c>
      <c r="AO100" s="2283" t="s">
        <v>1201</v>
      </c>
      <c r="AP100" s="2352">
        <v>80</v>
      </c>
      <c r="AQ100" s="2283" t="s">
        <v>1201</v>
      </c>
      <c r="AR100" s="2352">
        <v>80</v>
      </c>
      <c r="AS100" s="2283" t="s">
        <v>1201</v>
      </c>
      <c r="AT100" s="2348">
        <v>80</v>
      </c>
      <c r="AU100" s="2285" t="s">
        <v>1201</v>
      </c>
      <c r="AV100" s="2348">
        <v>80</v>
      </c>
      <c r="AW100" s="2285" t="s">
        <v>1201</v>
      </c>
      <c r="AX100" s="2345">
        <v>50</v>
      </c>
      <c r="AY100" s="2278" t="s">
        <v>1201</v>
      </c>
      <c r="AZ100" s="2350">
        <v>50</v>
      </c>
      <c r="BA100" s="2303" t="s">
        <v>1201</v>
      </c>
      <c r="BE100" s="2371" t="s">
        <v>102</v>
      </c>
      <c r="BF100" s="577">
        <v>55</v>
      </c>
      <c r="BG100" s="577">
        <v>55</v>
      </c>
      <c r="BH100" s="577">
        <v>55</v>
      </c>
      <c r="BI100" s="2401"/>
      <c r="BJ100" s="2371" t="s">
        <v>102</v>
      </c>
      <c r="BK100" s="578">
        <v>80</v>
      </c>
      <c r="BL100" s="577">
        <v>80</v>
      </c>
      <c r="BM100" s="577">
        <v>80</v>
      </c>
      <c r="BN100" s="2399"/>
      <c r="BO100" s="525"/>
      <c r="BP100" s="458"/>
      <c r="BQ100" s="458"/>
      <c r="BR100" s="458"/>
      <c r="BS100" s="2461" t="s">
        <v>104</v>
      </c>
      <c r="BT100" s="2463" t="str">
        <f>IFERROR(INDEX(Liste_Ackerkulturen_Gemüse_DropDown[Ackerkulturen],_xlfn.AGGREGATE(15,6,(ROW(Liste_Ackerkulturen_Gemüse_DropDown[Ackerkulturen])-1)/(--(SEARCH(BU$2,Liste_Ackerkulturen_Gemüse_DropDown[Ackerkulturen])&gt;0)),ROW()-2),1),"")</f>
        <v>Rollrasen</v>
      </c>
      <c r="BU100" s="2463"/>
      <c r="BV100" s="2463" t="str">
        <f>IFERROR(INDEX(Liste_Ackerkulturen_Gemüse_DropDown[Ackerkulturen],_xlfn.AGGREGATE(15,6,(ROW(Liste_Ackerkulturen_Gemüse_DropDown[Ackerkulturen])-1)/(--(SEARCH(BW$2,Liste_Ackerkulturen_Gemüse_DropDown[Ackerkulturen])&gt;0)),ROW()-2),1),"")</f>
        <v>Rollrasen</v>
      </c>
      <c r="BW100" s="2463"/>
      <c r="BX100" s="2463" t="str">
        <f>IFERROR(INDEX(Liste_Ackerkulturen_Gemüse_DropDown[Ackerkulturen],_xlfn.AGGREGATE(15,6,(ROW(Liste_Ackerkulturen_Gemüse_DropDown[Ackerkulturen])-1)/(--(SEARCH(BY$2,Liste_Ackerkulturen_Gemüse_DropDown[Ackerkulturen])&gt;0)),ROW()-2),1),"")</f>
        <v>Rollrasen</v>
      </c>
      <c r="BY100" s="2463"/>
      <c r="BZ100" s="2463" t="str">
        <f>IFERROR(INDEX(Liste_Ackerkulturen_Gemüse_DropDown[Ackerkulturen],_xlfn.AGGREGATE(15,6,(ROW(Liste_Ackerkulturen_Gemüse_DropDown[Ackerkulturen])-1)/(--(SEARCH(CA$2,Liste_Ackerkulturen_Gemüse_DropDown[Ackerkulturen])&gt;0)),ROW()-2),1),"")</f>
        <v>Rollrasen</v>
      </c>
      <c r="CA100" s="2463"/>
      <c r="CB100" s="2463" t="str">
        <f>IFERROR(INDEX(Liste_Ackerkulturen_Gemüse_DropDown[Ackerkulturen],_xlfn.AGGREGATE(15,6,(ROW(Liste_Ackerkulturen_Gemüse_DropDown[Ackerkulturen])-1)/(--(SEARCH(CC$2,Liste_Ackerkulturen_Gemüse_DropDown[Ackerkulturen])&gt;0)),ROW()-2),1),"")</f>
        <v>Rollrasen</v>
      </c>
      <c r="CC100" s="2463"/>
      <c r="CD100" s="2464" t="str">
        <f>IFERROR(INDEX(Liste_Ackerkulturen_Gemüse_DropDown[Ackerkulturen],_xlfn.AGGREGATE(15,6,(ROW(Liste_Ackerkulturen_Gemüse_DropDown[Ackerkulturen])-1)/(--(SEARCH(CE$2,Liste_Ackerkulturen_Gemüse_DropDown[Ackerkulturen])&gt;0)),ROW()-2),1),"")</f>
        <v>Rollrasen</v>
      </c>
      <c r="CE100" s="2464"/>
      <c r="CF100" s="2464" t="str">
        <f>IFERROR(INDEX(Liste_Ackerkulturen_Gemüse_DropDown[Ackerkulturen],_xlfn.AGGREGATE(15,6,(ROW(Liste_Ackerkulturen_Gemüse_DropDown[Ackerkulturen])-1)/(--(SEARCH(CG$2,Liste_Ackerkulturen_Gemüse_DropDown[Ackerkulturen])&gt;0)),ROW()-2),1),"")</f>
        <v>Rollrasen</v>
      </c>
      <c r="CG100" s="2464"/>
      <c r="CH100" s="2464" t="str">
        <f>IFERROR(INDEX(Liste_Ackerkulturen_Gemüse_DropDown[Ackerkulturen],_xlfn.AGGREGATE(15,6,(ROW(Liste_Ackerkulturen_Gemüse_DropDown[Ackerkulturen])-1)/(--(SEARCH(CI$2,Liste_Ackerkulturen_Gemüse_DropDown[Ackerkulturen])&gt;0)),ROW()-2),1),"")</f>
        <v>Rollrasen</v>
      </c>
      <c r="CI100" s="2464"/>
      <c r="CJ100" s="2464" t="str">
        <f>IFERROR(INDEX(Liste_Ackerkulturen_Gemüse_DropDown[Ackerkulturen],_xlfn.AGGREGATE(15,6,(ROW(Liste_Ackerkulturen_Gemüse_DropDown[Ackerkulturen])-1)/(--(SEARCH(CK$2,Liste_Ackerkulturen_Gemüse_DropDown[Ackerkulturen])&gt;0)),ROW()-2),1),"")</f>
        <v>Rollrasen</v>
      </c>
      <c r="CK100" s="2464"/>
      <c r="CL100" s="2464" t="str">
        <f>IFERROR(INDEX(Liste_Ackerkulturen_Gemüse_DropDown[Ackerkulturen],_xlfn.AGGREGATE(15,6,(ROW(Liste_Ackerkulturen_Gemüse_DropDown[Ackerkulturen])-1)/(--(SEARCH(CM$2,Liste_Ackerkulturen_Gemüse_DropDown[Ackerkulturen])&gt;0)),ROW()-2),1),"")</f>
        <v>Rollrasen</v>
      </c>
      <c r="CM100" s="2464"/>
      <c r="CN100" s="2464" t="str">
        <f>IFERROR(INDEX(Liste_Ackerkulturen_Gemüse_DropDown[Ackerkulturen],_xlfn.AGGREGATE(15,6,(ROW(Liste_Ackerkulturen_Gemüse_DropDown[Ackerkulturen])-1)/(--(SEARCH(CO$2,Liste_Ackerkulturen_Gemüse_DropDown[Ackerkulturen])&gt;0)),ROW()-2),1),"")</f>
        <v>Rollrasen</v>
      </c>
      <c r="CO100" s="2464"/>
      <c r="CP100" s="2464" t="str">
        <f>IFERROR(INDEX(Liste_Ackerkulturen_Gemüse_DropDown[Ackerkulturen],_xlfn.AGGREGATE(15,6,(ROW(Liste_Ackerkulturen_Gemüse_DropDown[Ackerkulturen])-1)/(--(SEARCH(CQ$2,Liste_Ackerkulturen_Gemüse_DropDown[Ackerkulturen])&gt;0)),ROW()-2),1),"")</f>
        <v>Rollrasen</v>
      </c>
      <c r="CQ100" s="2464"/>
      <c r="CR100" s="2464" t="str">
        <f>IFERROR(INDEX(Liste_Ackerkulturen_Gemüse_DropDown[Ackerkulturen],_xlfn.AGGREGATE(15,6,(ROW(Liste_Ackerkulturen_Gemüse_DropDown[Ackerkulturen])-1)/(--(SEARCH(CS$2,Liste_Ackerkulturen_Gemüse_DropDown[Ackerkulturen])&gt;0)),ROW()-2),1),"")</f>
        <v>Rollrasen</v>
      </c>
      <c r="CS100" s="2464"/>
      <c r="CT100"/>
      <c r="CU100"/>
      <c r="CV100"/>
      <c r="CW100"/>
      <c r="CX100"/>
      <c r="CY100"/>
      <c r="CZ100"/>
      <c r="DA100"/>
      <c r="DB100"/>
      <c r="DC100"/>
      <c r="DD100"/>
      <c r="DE100"/>
      <c r="DF100"/>
      <c r="DG100"/>
      <c r="DH100"/>
      <c r="DN100"/>
      <c r="DO100"/>
      <c r="DP100"/>
      <c r="DQ100"/>
      <c r="DR100"/>
      <c r="DS100"/>
      <c r="DT100"/>
      <c r="DU100"/>
      <c r="DV100"/>
      <c r="DW100"/>
      <c r="DX100"/>
      <c r="DY100"/>
      <c r="DZ100"/>
      <c r="EA100"/>
      <c r="EB100"/>
      <c r="EC100"/>
      <c r="ED100"/>
      <c r="EE100"/>
      <c r="EF100"/>
      <c r="EG100"/>
      <c r="EH100"/>
      <c r="EI100"/>
      <c r="EJ100"/>
      <c r="EK100"/>
      <c r="EL100"/>
      <c r="EM100"/>
      <c r="EN100"/>
      <c r="EO100"/>
      <c r="EP100"/>
      <c r="EQ100"/>
      <c r="ER100"/>
      <c r="ES100"/>
      <c r="ET100"/>
      <c r="EU100"/>
      <c r="EV100"/>
      <c r="EW100"/>
      <c r="EX100"/>
      <c r="EY100"/>
      <c r="EZ100"/>
      <c r="FA100"/>
      <c r="FB100"/>
      <c r="FC100"/>
      <c r="FD100"/>
      <c r="FE100"/>
      <c r="FF100"/>
      <c r="FG100"/>
      <c r="FH100"/>
      <c r="FI100"/>
      <c r="FJ100"/>
      <c r="FK100"/>
      <c r="FL100"/>
      <c r="FM100"/>
      <c r="FN100"/>
      <c r="FO100"/>
      <c r="FP100"/>
      <c r="FQ100"/>
      <c r="FR100"/>
      <c r="FS100"/>
      <c r="FT100"/>
      <c r="FU100"/>
      <c r="FV100"/>
      <c r="FW100"/>
      <c r="FX100"/>
      <c r="FY100"/>
      <c r="FZ100"/>
      <c r="GA100"/>
      <c r="GB100"/>
      <c r="GC100"/>
      <c r="GD100"/>
      <c r="GE100"/>
      <c r="GF100"/>
      <c r="GG100"/>
      <c r="GH100"/>
      <c r="GI100"/>
      <c r="GJ100"/>
      <c r="GK100"/>
      <c r="GL100"/>
      <c r="GM100"/>
      <c r="GN100"/>
      <c r="GO100"/>
      <c r="GP100"/>
      <c r="GQ100"/>
      <c r="GR100"/>
      <c r="GS100"/>
      <c r="GT100"/>
      <c r="GU100"/>
      <c r="GV100"/>
      <c r="GW100"/>
      <c r="GX100"/>
      <c r="GY100"/>
      <c r="GZ100"/>
      <c r="HA100"/>
      <c r="HB100"/>
      <c r="HC100"/>
      <c r="HD100"/>
      <c r="HE100"/>
      <c r="HF100"/>
      <c r="HG100"/>
      <c r="HH100"/>
      <c r="HI100"/>
      <c r="HJ100"/>
      <c r="HK100"/>
      <c r="HL100"/>
      <c r="HM100"/>
      <c r="HN100"/>
      <c r="HO100"/>
      <c r="HP100"/>
      <c r="HQ100"/>
      <c r="HR100"/>
      <c r="HS100"/>
      <c r="HT100"/>
      <c r="HU100"/>
      <c r="HV100"/>
      <c r="HW100"/>
      <c r="HX100"/>
      <c r="HY100"/>
      <c r="HZ100"/>
      <c r="IA100"/>
      <c r="IB100"/>
      <c r="IC100"/>
      <c r="ID100"/>
      <c r="IE100"/>
      <c r="IF100"/>
      <c r="IG100"/>
      <c r="IH100"/>
      <c r="II100"/>
      <c r="IJ100"/>
      <c r="IK100"/>
      <c r="IL100"/>
      <c r="IM100"/>
      <c r="IN100"/>
      <c r="IO100"/>
      <c r="IP100"/>
      <c r="IQ100"/>
      <c r="IR100"/>
      <c r="IS100"/>
      <c r="IT100"/>
      <c r="IU100"/>
    </row>
    <row r="101" spans="1:255" ht="22.5" customHeight="1">
      <c r="C101" s="2615"/>
      <c r="D101" s="1548" t="s">
        <v>1062</v>
      </c>
      <c r="E101" s="1545" t="s">
        <v>1071</v>
      </c>
      <c r="F101" s="2252">
        <v>45</v>
      </c>
      <c r="G101" s="1782" t="s">
        <v>1063</v>
      </c>
      <c r="H101" s="1783">
        <v>70</v>
      </c>
      <c r="I101" s="1452" t="s">
        <v>1201</v>
      </c>
      <c r="J101" s="1451"/>
      <c r="K101" s="1527">
        <v>70</v>
      </c>
      <c r="L101" s="1528">
        <v>70</v>
      </c>
      <c r="M101" s="1546">
        <v>70</v>
      </c>
      <c r="N101" s="1453">
        <v>55</v>
      </c>
      <c r="O101" s="1451">
        <v>30</v>
      </c>
      <c r="P101" s="1783">
        <v>45</v>
      </c>
      <c r="Q101" s="1451"/>
      <c r="R101" s="1454" t="s">
        <v>1061</v>
      </c>
      <c r="S101" s="1547" t="s">
        <v>1061</v>
      </c>
      <c r="T101" s="1546">
        <v>180</v>
      </c>
      <c r="U101" s="1450">
        <v>150</v>
      </c>
      <c r="V101" s="1455">
        <v>80</v>
      </c>
      <c r="W101" s="1783">
        <v>120</v>
      </c>
      <c r="X101" s="1456"/>
      <c r="Y101" s="1454" t="s">
        <v>1061</v>
      </c>
      <c r="Z101" s="1547" t="s">
        <v>1061</v>
      </c>
      <c r="AB101" s="1542"/>
      <c r="AC101" s="1542"/>
      <c r="AD101" s="1542"/>
      <c r="AE101" s="1542"/>
      <c r="AF101" s="1279"/>
      <c r="AG101" s="523"/>
      <c r="AH101" s="523"/>
      <c r="AI101" s="523"/>
      <c r="AJ101" s="523"/>
      <c r="AK101" s="523"/>
      <c r="AL101" s="523"/>
      <c r="AM101" s="2371" t="s">
        <v>103</v>
      </c>
      <c r="AN101" s="2352">
        <v>210</v>
      </c>
      <c r="AO101" s="2283" t="s">
        <v>1967</v>
      </c>
      <c r="AP101" s="2352">
        <v>210</v>
      </c>
      <c r="AQ101" s="2283" t="s">
        <v>1968</v>
      </c>
      <c r="AR101" s="2352">
        <v>210</v>
      </c>
      <c r="AS101" s="2283" t="s">
        <v>1972</v>
      </c>
      <c r="AT101" s="2348">
        <v>210</v>
      </c>
      <c r="AU101" s="2285" t="s">
        <v>1973</v>
      </c>
      <c r="AV101" s="2348">
        <v>210</v>
      </c>
      <c r="AW101" s="2285" t="s">
        <v>1974</v>
      </c>
      <c r="AX101" s="2345">
        <v>200</v>
      </c>
      <c r="AY101" s="2278" t="s">
        <v>1968</v>
      </c>
      <c r="AZ101" s="2350">
        <v>200</v>
      </c>
      <c r="BA101" s="2303" t="s">
        <v>2328</v>
      </c>
      <c r="BE101" s="2371" t="s">
        <v>103</v>
      </c>
      <c r="BF101" s="577">
        <v>50</v>
      </c>
      <c r="BG101" s="577">
        <v>55</v>
      </c>
      <c r="BH101" s="577">
        <v>65</v>
      </c>
      <c r="BI101" s="2401"/>
      <c r="BJ101" s="2371" t="s">
        <v>103</v>
      </c>
      <c r="BK101" s="2400">
        <v>0</v>
      </c>
      <c r="BL101" s="577">
        <v>0</v>
      </c>
      <c r="BM101" s="577">
        <v>0</v>
      </c>
      <c r="BN101" s="2399"/>
      <c r="BO101" s="525"/>
      <c r="BP101" s="458"/>
      <c r="BQ101" s="458"/>
      <c r="BR101" s="458"/>
      <c r="BS101" s="2461" t="s">
        <v>108</v>
      </c>
      <c r="BT101" s="2463" t="str">
        <f>IFERROR(INDEX(Liste_Ackerkulturen_Gemüse_DropDown[Ackerkulturen],_xlfn.AGGREGATE(15,6,(ROW(Liste_Ackerkulturen_Gemüse_DropDown[Ackerkulturen])-1)/(--(SEARCH(BU$2,Liste_Ackerkulturen_Gemüse_DropDown[Ackerkulturen])&gt;0)),ROW()-2),1),"")</f>
        <v>Saatgutvermehrung Zuckerrübe</v>
      </c>
      <c r="BU101" s="2463"/>
      <c r="BV101" s="2463" t="str">
        <f>IFERROR(INDEX(Liste_Ackerkulturen_Gemüse_DropDown[Ackerkulturen],_xlfn.AGGREGATE(15,6,(ROW(Liste_Ackerkulturen_Gemüse_DropDown[Ackerkulturen])-1)/(--(SEARCH(BW$2,Liste_Ackerkulturen_Gemüse_DropDown[Ackerkulturen])&gt;0)),ROW()-2),1),"")</f>
        <v>Saatgutvermehrung Zuckerrübe</v>
      </c>
      <c r="BW101" s="2463"/>
      <c r="BX101" s="2463" t="str">
        <f>IFERROR(INDEX(Liste_Ackerkulturen_Gemüse_DropDown[Ackerkulturen],_xlfn.AGGREGATE(15,6,(ROW(Liste_Ackerkulturen_Gemüse_DropDown[Ackerkulturen])-1)/(--(SEARCH(BY$2,Liste_Ackerkulturen_Gemüse_DropDown[Ackerkulturen])&gt;0)),ROW()-2),1),"")</f>
        <v>Saatgutvermehrung Zuckerrübe</v>
      </c>
      <c r="BY101" s="2463"/>
      <c r="BZ101" s="2463" t="str">
        <f>IFERROR(INDEX(Liste_Ackerkulturen_Gemüse_DropDown[Ackerkulturen],_xlfn.AGGREGATE(15,6,(ROW(Liste_Ackerkulturen_Gemüse_DropDown[Ackerkulturen])-1)/(--(SEARCH(CA$2,Liste_Ackerkulturen_Gemüse_DropDown[Ackerkulturen])&gt;0)),ROW()-2),1),"")</f>
        <v>Saatgutvermehrung Zuckerrübe</v>
      </c>
      <c r="CA101" s="2463"/>
      <c r="CB101" s="2463" t="str">
        <f>IFERROR(INDEX(Liste_Ackerkulturen_Gemüse_DropDown[Ackerkulturen],_xlfn.AGGREGATE(15,6,(ROW(Liste_Ackerkulturen_Gemüse_DropDown[Ackerkulturen])-1)/(--(SEARCH(CC$2,Liste_Ackerkulturen_Gemüse_DropDown[Ackerkulturen])&gt;0)),ROW()-2),1),"")</f>
        <v>Saatgutvermehrung Zuckerrübe</v>
      </c>
      <c r="CC101" s="2463"/>
      <c r="CD101" s="2464" t="str">
        <f>IFERROR(INDEX(Liste_Ackerkulturen_Gemüse_DropDown[Ackerkulturen],_xlfn.AGGREGATE(15,6,(ROW(Liste_Ackerkulturen_Gemüse_DropDown[Ackerkulturen])-1)/(--(SEARCH(CE$2,Liste_Ackerkulturen_Gemüse_DropDown[Ackerkulturen])&gt;0)),ROW()-2),1),"")</f>
        <v>Saatgutvermehrung Zuckerrübe</v>
      </c>
      <c r="CE101" s="2464"/>
      <c r="CF101" s="2464" t="str">
        <f>IFERROR(INDEX(Liste_Ackerkulturen_Gemüse_DropDown[Ackerkulturen],_xlfn.AGGREGATE(15,6,(ROW(Liste_Ackerkulturen_Gemüse_DropDown[Ackerkulturen])-1)/(--(SEARCH(CG$2,Liste_Ackerkulturen_Gemüse_DropDown[Ackerkulturen])&gt;0)),ROW()-2),1),"")</f>
        <v>Saatgutvermehrung Zuckerrübe</v>
      </c>
      <c r="CG101" s="2464"/>
      <c r="CH101" s="2464" t="str">
        <f>IFERROR(INDEX(Liste_Ackerkulturen_Gemüse_DropDown[Ackerkulturen],_xlfn.AGGREGATE(15,6,(ROW(Liste_Ackerkulturen_Gemüse_DropDown[Ackerkulturen])-1)/(--(SEARCH(CI$2,Liste_Ackerkulturen_Gemüse_DropDown[Ackerkulturen])&gt;0)),ROW()-2),1),"")</f>
        <v>Saatgutvermehrung Zuckerrübe</v>
      </c>
      <c r="CI101" s="2464"/>
      <c r="CJ101" s="2464" t="str">
        <f>IFERROR(INDEX(Liste_Ackerkulturen_Gemüse_DropDown[Ackerkulturen],_xlfn.AGGREGATE(15,6,(ROW(Liste_Ackerkulturen_Gemüse_DropDown[Ackerkulturen])-1)/(--(SEARCH(CK$2,Liste_Ackerkulturen_Gemüse_DropDown[Ackerkulturen])&gt;0)),ROW()-2),1),"")</f>
        <v>Saatgutvermehrung Zuckerrübe</v>
      </c>
      <c r="CK101" s="2464"/>
      <c r="CL101" s="2464" t="str">
        <f>IFERROR(INDEX(Liste_Ackerkulturen_Gemüse_DropDown[Ackerkulturen],_xlfn.AGGREGATE(15,6,(ROW(Liste_Ackerkulturen_Gemüse_DropDown[Ackerkulturen])-1)/(--(SEARCH(CM$2,Liste_Ackerkulturen_Gemüse_DropDown[Ackerkulturen])&gt;0)),ROW()-2),1),"")</f>
        <v>Saatgutvermehrung Zuckerrübe</v>
      </c>
      <c r="CM101" s="2464"/>
      <c r="CN101" s="2464" t="str">
        <f>IFERROR(INDEX(Liste_Ackerkulturen_Gemüse_DropDown[Ackerkulturen],_xlfn.AGGREGATE(15,6,(ROW(Liste_Ackerkulturen_Gemüse_DropDown[Ackerkulturen])-1)/(--(SEARCH(CO$2,Liste_Ackerkulturen_Gemüse_DropDown[Ackerkulturen])&gt;0)),ROW()-2),1),"")</f>
        <v>Saatgutvermehrung Zuckerrübe</v>
      </c>
      <c r="CO101" s="2464"/>
      <c r="CP101" s="2464" t="str">
        <f>IFERROR(INDEX(Liste_Ackerkulturen_Gemüse_DropDown[Ackerkulturen],_xlfn.AGGREGATE(15,6,(ROW(Liste_Ackerkulturen_Gemüse_DropDown[Ackerkulturen])-1)/(--(SEARCH(CQ$2,Liste_Ackerkulturen_Gemüse_DropDown[Ackerkulturen])&gt;0)),ROW()-2),1),"")</f>
        <v>Saatgutvermehrung Zuckerrübe</v>
      </c>
      <c r="CQ101" s="2464"/>
      <c r="CR101" s="2464" t="str">
        <f>IFERROR(INDEX(Liste_Ackerkulturen_Gemüse_DropDown[Ackerkulturen],_xlfn.AGGREGATE(15,6,(ROW(Liste_Ackerkulturen_Gemüse_DropDown[Ackerkulturen])-1)/(--(SEARCH(CS$2,Liste_Ackerkulturen_Gemüse_DropDown[Ackerkulturen])&gt;0)),ROW()-2),1),"")</f>
        <v>Saatgutvermehrung Zuckerrübe</v>
      </c>
      <c r="CS101" s="2464"/>
      <c r="CT101"/>
      <c r="CU101"/>
      <c r="CV101"/>
      <c r="CW101"/>
      <c r="CX101"/>
      <c r="CY101"/>
      <c r="CZ101"/>
      <c r="DA101"/>
      <c r="DB101"/>
      <c r="DC101"/>
      <c r="DD101"/>
      <c r="DE101"/>
      <c r="DF101"/>
      <c r="DG101"/>
      <c r="DH101"/>
      <c r="DN101"/>
      <c r="DO101"/>
      <c r="DP101"/>
      <c r="DQ101"/>
      <c r="DR101"/>
      <c r="DS101"/>
      <c r="DT101"/>
      <c r="DU101"/>
      <c r="DV101"/>
      <c r="DW101"/>
      <c r="DX101"/>
      <c r="DY101"/>
      <c r="DZ101"/>
      <c r="EA101"/>
      <c r="EB101"/>
      <c r="EC101"/>
      <c r="ED101"/>
      <c r="EE101"/>
      <c r="EF101"/>
      <c r="EG101"/>
      <c r="EH101"/>
      <c r="EI101"/>
      <c r="EJ101"/>
      <c r="EK101"/>
      <c r="EL101"/>
      <c r="EM101"/>
      <c r="EN101"/>
      <c r="EO101"/>
      <c r="EP101"/>
      <c r="EQ101"/>
      <c r="ER101"/>
      <c r="ES101"/>
      <c r="ET101"/>
      <c r="EU101"/>
      <c r="EV101"/>
      <c r="EW101"/>
      <c r="EX101"/>
      <c r="EY101"/>
      <c r="EZ101"/>
      <c r="FA101"/>
      <c r="FB101"/>
      <c r="FC101"/>
      <c r="FD101"/>
      <c r="FE101"/>
      <c r="FF101"/>
      <c r="FG101"/>
      <c r="FH101"/>
      <c r="FI101"/>
      <c r="FJ101"/>
      <c r="FK101"/>
      <c r="FL101"/>
      <c r="FM101"/>
      <c r="FN101"/>
      <c r="FO101"/>
      <c r="FP101"/>
      <c r="FQ101"/>
      <c r="FR101"/>
      <c r="FS101"/>
      <c r="FT101"/>
      <c r="FU101"/>
      <c r="FV101"/>
      <c r="FW101"/>
      <c r="FX101"/>
      <c r="FY101"/>
      <c r="FZ101"/>
      <c r="GA101"/>
      <c r="GB101"/>
      <c r="GC101"/>
      <c r="GD101"/>
      <c r="GE101"/>
      <c r="GF101"/>
      <c r="GG101"/>
      <c r="GH101"/>
      <c r="GI101"/>
      <c r="GJ101"/>
      <c r="GK101"/>
      <c r="GL101"/>
      <c r="GM101"/>
      <c r="GN101"/>
      <c r="GO101"/>
      <c r="GP101"/>
      <c r="GQ101"/>
      <c r="GR101"/>
      <c r="GS101"/>
      <c r="GT101"/>
      <c r="GU101"/>
      <c r="GV101"/>
      <c r="GW101"/>
      <c r="GX101"/>
      <c r="GY101"/>
      <c r="GZ101"/>
      <c r="HA101"/>
      <c r="HB101"/>
      <c r="HC101"/>
      <c r="HD101"/>
      <c r="HE101"/>
      <c r="HF101"/>
      <c r="HG101"/>
      <c r="HH101"/>
      <c r="HI101"/>
      <c r="HJ101"/>
      <c r="HK101"/>
      <c r="HL101"/>
      <c r="HM101"/>
      <c r="HN101"/>
      <c r="HO101"/>
      <c r="HP101"/>
      <c r="HQ101"/>
      <c r="HR101"/>
      <c r="HS101"/>
      <c r="HT101"/>
      <c r="HU101"/>
      <c r="HV101"/>
      <c r="HW101"/>
      <c r="HX101"/>
      <c r="HY101"/>
      <c r="HZ101"/>
      <c r="IA101"/>
      <c r="IB101"/>
      <c r="IC101"/>
      <c r="ID101"/>
      <c r="IE101"/>
      <c r="IF101"/>
      <c r="IG101"/>
      <c r="IH101"/>
      <c r="II101"/>
      <c r="IJ101"/>
      <c r="IK101"/>
      <c r="IL101"/>
      <c r="IM101"/>
      <c r="IN101"/>
      <c r="IO101"/>
      <c r="IP101"/>
      <c r="IQ101"/>
      <c r="IR101"/>
      <c r="IS101"/>
      <c r="IT101"/>
      <c r="IU101"/>
    </row>
    <row r="102" spans="1:255" ht="19.5" customHeight="1">
      <c r="A102" s="596"/>
      <c r="B102" s="596"/>
      <c r="C102" s="2615"/>
      <c r="D102" s="1548" t="s">
        <v>1064</v>
      </c>
      <c r="E102" s="1545" t="s">
        <v>1072</v>
      </c>
      <c r="F102" s="2252">
        <v>80</v>
      </c>
      <c r="G102" s="1782" t="s">
        <v>1073</v>
      </c>
      <c r="H102" s="1783">
        <v>90</v>
      </c>
      <c r="I102" s="1452" t="s">
        <v>1977</v>
      </c>
      <c r="J102" s="1451">
        <v>115</v>
      </c>
      <c r="K102" s="1527">
        <v>90</v>
      </c>
      <c r="L102" s="1528">
        <v>105</v>
      </c>
      <c r="M102" s="1546">
        <v>100</v>
      </c>
      <c r="N102" s="1453">
        <v>80</v>
      </c>
      <c r="O102" s="1451">
        <v>45</v>
      </c>
      <c r="P102" s="1783">
        <v>65</v>
      </c>
      <c r="Q102" s="1451">
        <v>80</v>
      </c>
      <c r="R102" s="1454" t="s">
        <v>1061</v>
      </c>
      <c r="S102" s="1547" t="s">
        <v>1061</v>
      </c>
      <c r="T102" s="1546">
        <v>255</v>
      </c>
      <c r="U102" s="1450">
        <v>215</v>
      </c>
      <c r="V102" s="1455">
        <v>130</v>
      </c>
      <c r="W102" s="1783">
        <v>170</v>
      </c>
      <c r="X102" s="1456">
        <v>215</v>
      </c>
      <c r="Y102" s="1454" t="s">
        <v>1061</v>
      </c>
      <c r="Z102" s="1547" t="s">
        <v>1061</v>
      </c>
      <c r="AB102" s="1542"/>
      <c r="AC102" s="1542"/>
      <c r="AD102" s="1542"/>
      <c r="AE102" s="1542"/>
      <c r="AF102" s="1279"/>
      <c r="AG102" s="596"/>
      <c r="AH102" s="596"/>
      <c r="AI102" s="596"/>
      <c r="AJ102" s="596"/>
      <c r="AK102" s="596"/>
      <c r="AL102" s="596"/>
      <c r="AM102" s="2371" t="s">
        <v>104</v>
      </c>
      <c r="AN102" s="2352">
        <v>170</v>
      </c>
      <c r="AO102" s="2283" t="s">
        <v>105</v>
      </c>
      <c r="AP102" s="2352">
        <v>190</v>
      </c>
      <c r="AQ102" s="2283" t="s">
        <v>453</v>
      </c>
      <c r="AR102" s="2352">
        <v>210</v>
      </c>
      <c r="AS102" s="2283" t="s">
        <v>106</v>
      </c>
      <c r="AT102" s="2348">
        <v>210</v>
      </c>
      <c r="AU102" s="2285" t="s">
        <v>107</v>
      </c>
      <c r="AV102" s="2348">
        <v>210</v>
      </c>
      <c r="AW102" s="2285" t="s">
        <v>2001</v>
      </c>
      <c r="AX102" s="2345">
        <v>110</v>
      </c>
      <c r="AY102" s="2278" t="s">
        <v>453</v>
      </c>
      <c r="AZ102" s="2350">
        <v>130</v>
      </c>
      <c r="BA102" s="2303" t="s">
        <v>2309</v>
      </c>
      <c r="BE102" s="2371" t="s">
        <v>104</v>
      </c>
      <c r="BF102" s="577">
        <v>100</v>
      </c>
      <c r="BG102" s="577">
        <v>110</v>
      </c>
      <c r="BH102" s="577">
        <v>125</v>
      </c>
      <c r="BI102" s="2401"/>
      <c r="BJ102" s="2371" t="s">
        <v>104</v>
      </c>
      <c r="BK102" s="578">
        <v>290</v>
      </c>
      <c r="BL102" s="577">
        <v>320</v>
      </c>
      <c r="BM102" s="577">
        <v>370</v>
      </c>
      <c r="BN102" s="2399"/>
      <c r="BO102" s="525"/>
      <c r="BP102" s="458"/>
      <c r="BQ102" s="458"/>
      <c r="BR102" s="458"/>
      <c r="BS102" s="2461" t="s">
        <v>109</v>
      </c>
      <c r="BT102" s="2463" t="str">
        <f>IFERROR(INDEX(Liste_Ackerkulturen_Gemüse_DropDown[Ackerkulturen],_xlfn.AGGREGATE(15,6,(ROW(Liste_Ackerkulturen_Gemüse_DropDown[Ackerkulturen])-1)/(--(SEARCH(BU$2,Liste_Ackerkulturen_Gemüse_DropDown[Ackerkulturen])&gt;0)),ROW()-2),1),"")</f>
        <v>Saatkartoffeln, Pflanzkartoffeln</v>
      </c>
      <c r="BU102" s="2463"/>
      <c r="BV102" s="2463" t="str">
        <f>IFERROR(INDEX(Liste_Ackerkulturen_Gemüse_DropDown[Ackerkulturen],_xlfn.AGGREGATE(15,6,(ROW(Liste_Ackerkulturen_Gemüse_DropDown[Ackerkulturen])-1)/(--(SEARCH(BW$2,Liste_Ackerkulturen_Gemüse_DropDown[Ackerkulturen])&gt;0)),ROW()-2),1),"")</f>
        <v>Saatkartoffeln, Pflanzkartoffeln</v>
      </c>
      <c r="BW102" s="2463"/>
      <c r="BX102" s="2463" t="str">
        <f>IFERROR(INDEX(Liste_Ackerkulturen_Gemüse_DropDown[Ackerkulturen],_xlfn.AGGREGATE(15,6,(ROW(Liste_Ackerkulturen_Gemüse_DropDown[Ackerkulturen])-1)/(--(SEARCH(BY$2,Liste_Ackerkulturen_Gemüse_DropDown[Ackerkulturen])&gt;0)),ROW()-2),1),"")</f>
        <v>Saatkartoffeln, Pflanzkartoffeln</v>
      </c>
      <c r="BY102" s="2463"/>
      <c r="BZ102" s="2463" t="str">
        <f>IFERROR(INDEX(Liste_Ackerkulturen_Gemüse_DropDown[Ackerkulturen],_xlfn.AGGREGATE(15,6,(ROW(Liste_Ackerkulturen_Gemüse_DropDown[Ackerkulturen])-1)/(--(SEARCH(CA$2,Liste_Ackerkulturen_Gemüse_DropDown[Ackerkulturen])&gt;0)),ROW()-2),1),"")</f>
        <v>Saatkartoffeln, Pflanzkartoffeln</v>
      </c>
      <c r="CA102" s="2463"/>
      <c r="CB102" s="2463" t="str">
        <f>IFERROR(INDEX(Liste_Ackerkulturen_Gemüse_DropDown[Ackerkulturen],_xlfn.AGGREGATE(15,6,(ROW(Liste_Ackerkulturen_Gemüse_DropDown[Ackerkulturen])-1)/(--(SEARCH(CC$2,Liste_Ackerkulturen_Gemüse_DropDown[Ackerkulturen])&gt;0)),ROW()-2),1),"")</f>
        <v>Saatkartoffeln, Pflanzkartoffeln</v>
      </c>
      <c r="CC102" s="2463"/>
      <c r="CD102" s="2464" t="str">
        <f>IFERROR(INDEX(Liste_Ackerkulturen_Gemüse_DropDown[Ackerkulturen],_xlfn.AGGREGATE(15,6,(ROW(Liste_Ackerkulturen_Gemüse_DropDown[Ackerkulturen])-1)/(--(SEARCH(CE$2,Liste_Ackerkulturen_Gemüse_DropDown[Ackerkulturen])&gt;0)),ROW()-2),1),"")</f>
        <v>Saatkartoffeln, Pflanzkartoffeln</v>
      </c>
      <c r="CE102" s="2464"/>
      <c r="CF102" s="2464" t="str">
        <f>IFERROR(INDEX(Liste_Ackerkulturen_Gemüse_DropDown[Ackerkulturen],_xlfn.AGGREGATE(15,6,(ROW(Liste_Ackerkulturen_Gemüse_DropDown[Ackerkulturen])-1)/(--(SEARCH(CG$2,Liste_Ackerkulturen_Gemüse_DropDown[Ackerkulturen])&gt;0)),ROW()-2),1),"")</f>
        <v>Saatkartoffeln, Pflanzkartoffeln</v>
      </c>
      <c r="CG102" s="2464"/>
      <c r="CH102" s="2464" t="str">
        <f>IFERROR(INDEX(Liste_Ackerkulturen_Gemüse_DropDown[Ackerkulturen],_xlfn.AGGREGATE(15,6,(ROW(Liste_Ackerkulturen_Gemüse_DropDown[Ackerkulturen])-1)/(--(SEARCH(CI$2,Liste_Ackerkulturen_Gemüse_DropDown[Ackerkulturen])&gt;0)),ROW()-2),1),"")</f>
        <v>Saatkartoffeln, Pflanzkartoffeln</v>
      </c>
      <c r="CI102" s="2464"/>
      <c r="CJ102" s="2464" t="str">
        <f>IFERROR(INDEX(Liste_Ackerkulturen_Gemüse_DropDown[Ackerkulturen],_xlfn.AGGREGATE(15,6,(ROW(Liste_Ackerkulturen_Gemüse_DropDown[Ackerkulturen])-1)/(--(SEARCH(CK$2,Liste_Ackerkulturen_Gemüse_DropDown[Ackerkulturen])&gt;0)),ROW()-2),1),"")</f>
        <v>Saatkartoffeln, Pflanzkartoffeln</v>
      </c>
      <c r="CK102" s="2464"/>
      <c r="CL102" s="2464" t="str">
        <f>IFERROR(INDEX(Liste_Ackerkulturen_Gemüse_DropDown[Ackerkulturen],_xlfn.AGGREGATE(15,6,(ROW(Liste_Ackerkulturen_Gemüse_DropDown[Ackerkulturen])-1)/(--(SEARCH(CM$2,Liste_Ackerkulturen_Gemüse_DropDown[Ackerkulturen])&gt;0)),ROW()-2),1),"")</f>
        <v>Saatkartoffeln, Pflanzkartoffeln</v>
      </c>
      <c r="CM102" s="2464"/>
      <c r="CN102" s="2464" t="str">
        <f>IFERROR(INDEX(Liste_Ackerkulturen_Gemüse_DropDown[Ackerkulturen],_xlfn.AGGREGATE(15,6,(ROW(Liste_Ackerkulturen_Gemüse_DropDown[Ackerkulturen])-1)/(--(SEARCH(CO$2,Liste_Ackerkulturen_Gemüse_DropDown[Ackerkulturen])&gt;0)),ROW()-2),1),"")</f>
        <v>Saatkartoffeln, Pflanzkartoffeln</v>
      </c>
      <c r="CO102" s="2464"/>
      <c r="CP102" s="2464" t="str">
        <f>IFERROR(INDEX(Liste_Ackerkulturen_Gemüse_DropDown[Ackerkulturen],_xlfn.AGGREGATE(15,6,(ROW(Liste_Ackerkulturen_Gemüse_DropDown[Ackerkulturen])-1)/(--(SEARCH(CQ$2,Liste_Ackerkulturen_Gemüse_DropDown[Ackerkulturen])&gt;0)),ROW()-2),1),"")</f>
        <v>Saatkartoffeln, Pflanzkartoffeln</v>
      </c>
      <c r="CQ102" s="2464"/>
      <c r="CR102" s="2464" t="str">
        <f>IFERROR(INDEX(Liste_Ackerkulturen_Gemüse_DropDown[Ackerkulturen],_xlfn.AGGREGATE(15,6,(ROW(Liste_Ackerkulturen_Gemüse_DropDown[Ackerkulturen])-1)/(--(SEARCH(CS$2,Liste_Ackerkulturen_Gemüse_DropDown[Ackerkulturen])&gt;0)),ROW()-2),1),"")</f>
        <v>Saatkartoffeln, Pflanzkartoffeln</v>
      </c>
      <c r="CS102" s="2464"/>
      <c r="CT102"/>
      <c r="CU102"/>
      <c r="CV102"/>
      <c r="CW102"/>
      <c r="CX102"/>
      <c r="CY102"/>
      <c r="CZ102"/>
      <c r="DA102"/>
      <c r="DB102"/>
      <c r="DC102"/>
      <c r="DD102"/>
      <c r="DE102"/>
      <c r="DF102"/>
      <c r="DG102"/>
      <c r="DH102"/>
      <c r="DN102"/>
      <c r="DO102"/>
      <c r="DP102"/>
      <c r="DQ102"/>
      <c r="DR102"/>
      <c r="DS102"/>
      <c r="DT102"/>
      <c r="DU102"/>
      <c r="DV102"/>
      <c r="DW102"/>
      <c r="DX102"/>
      <c r="DY102"/>
      <c r="DZ102"/>
      <c r="EA102"/>
      <c r="EB102"/>
      <c r="EC102"/>
      <c r="ED102"/>
      <c r="EE102"/>
      <c r="EF102"/>
      <c r="EG102"/>
      <c r="EH102"/>
      <c r="EI102"/>
      <c r="EJ102"/>
      <c r="EK102"/>
      <c r="EL102"/>
      <c r="EM102"/>
      <c r="EN102"/>
      <c r="EO102"/>
      <c r="EP102"/>
      <c r="EQ102"/>
      <c r="ER102"/>
      <c r="ES102"/>
      <c r="ET102"/>
      <c r="EU102"/>
      <c r="EV102"/>
      <c r="EW102"/>
      <c r="EX102"/>
      <c r="EY102"/>
      <c r="EZ102"/>
      <c r="FA102"/>
      <c r="FB102"/>
      <c r="FC102"/>
      <c r="FD102"/>
      <c r="FE102"/>
      <c r="FF102"/>
      <c r="FG102"/>
      <c r="FH102"/>
      <c r="FI102"/>
      <c r="FJ102"/>
      <c r="FK102"/>
      <c r="FL102"/>
      <c r="FM102"/>
      <c r="FN102"/>
      <c r="FO102"/>
      <c r="FP102"/>
      <c r="FQ102"/>
      <c r="FR102"/>
      <c r="FS102"/>
      <c r="FT102"/>
      <c r="FU102"/>
      <c r="FV102"/>
      <c r="FW102"/>
      <c r="FX102"/>
      <c r="FY102"/>
      <c r="FZ102"/>
      <c r="GA102"/>
      <c r="GB102"/>
      <c r="GC102"/>
      <c r="GD102"/>
      <c r="GE102"/>
      <c r="GF102"/>
      <c r="GG102"/>
      <c r="GH102"/>
      <c r="GI102"/>
      <c r="GJ102"/>
      <c r="GK102"/>
      <c r="GL102"/>
      <c r="GM102"/>
      <c r="GN102"/>
      <c r="GO102"/>
      <c r="GP102"/>
      <c r="GQ102"/>
      <c r="GR102"/>
      <c r="GS102"/>
      <c r="GT102"/>
      <c r="GU102"/>
      <c r="GV102"/>
      <c r="GW102"/>
      <c r="GX102"/>
      <c r="GY102"/>
      <c r="GZ102"/>
      <c r="HA102"/>
      <c r="HB102"/>
      <c r="HC102"/>
      <c r="HD102"/>
      <c r="HE102"/>
      <c r="HF102"/>
      <c r="HG102"/>
      <c r="HH102"/>
      <c r="HI102"/>
      <c r="HJ102"/>
      <c r="HK102"/>
      <c r="HL102"/>
      <c r="HM102"/>
      <c r="HN102"/>
      <c r="HO102"/>
      <c r="HP102"/>
      <c r="HQ102"/>
      <c r="HR102"/>
      <c r="HS102"/>
      <c r="HT102"/>
      <c r="HU102"/>
      <c r="HV102"/>
      <c r="HW102"/>
      <c r="HX102"/>
      <c r="HY102"/>
      <c r="HZ102"/>
      <c r="IA102"/>
      <c r="IB102"/>
      <c r="IC102"/>
      <c r="ID102"/>
      <c r="IE102"/>
      <c r="IF102"/>
      <c r="IG102"/>
      <c r="IH102"/>
      <c r="II102"/>
      <c r="IJ102"/>
      <c r="IK102"/>
      <c r="IL102"/>
      <c r="IM102"/>
      <c r="IN102"/>
      <c r="IO102"/>
      <c r="IP102"/>
      <c r="IQ102"/>
      <c r="IR102"/>
      <c r="IS102"/>
      <c r="IT102"/>
      <c r="IU102"/>
    </row>
    <row r="103" spans="1:255" ht="22.5" customHeight="1">
      <c r="C103" s="2615"/>
      <c r="D103" s="1548" t="s">
        <v>1067</v>
      </c>
      <c r="E103" s="1545" t="s">
        <v>1201</v>
      </c>
      <c r="F103" s="2252"/>
      <c r="G103" s="1782" t="s">
        <v>1074</v>
      </c>
      <c r="H103" s="1783">
        <v>120</v>
      </c>
      <c r="I103" s="1452" t="s">
        <v>1075</v>
      </c>
      <c r="J103" s="1451">
        <v>150</v>
      </c>
      <c r="K103" s="1527">
        <v>120</v>
      </c>
      <c r="L103" s="1528">
        <v>145</v>
      </c>
      <c r="M103" s="1546">
        <v>120</v>
      </c>
      <c r="N103" s="1453">
        <v>100</v>
      </c>
      <c r="O103" s="1451"/>
      <c r="P103" s="1783">
        <v>80</v>
      </c>
      <c r="Q103" s="1451">
        <v>90</v>
      </c>
      <c r="R103" s="1454" t="s">
        <v>1061</v>
      </c>
      <c r="S103" s="1547" t="s">
        <v>1061</v>
      </c>
      <c r="T103" s="1546">
        <v>310</v>
      </c>
      <c r="U103" s="1450">
        <v>255</v>
      </c>
      <c r="V103" s="1455"/>
      <c r="W103" s="1783">
        <v>205</v>
      </c>
      <c r="X103" s="1456">
        <v>260</v>
      </c>
      <c r="Y103" s="1454" t="s">
        <v>1061</v>
      </c>
      <c r="Z103" s="1547" t="s">
        <v>1061</v>
      </c>
      <c r="AB103" s="1542"/>
      <c r="AC103" s="1542"/>
      <c r="AD103" s="1542"/>
      <c r="AE103" s="1542"/>
      <c r="AF103" s="1279"/>
      <c r="AM103" s="2371" t="s">
        <v>108</v>
      </c>
      <c r="AN103" s="2352">
        <v>90</v>
      </c>
      <c r="AO103" s="2283" t="s">
        <v>462</v>
      </c>
      <c r="AP103" s="2352">
        <v>120</v>
      </c>
      <c r="AQ103" s="2283" t="s">
        <v>463</v>
      </c>
      <c r="AR103" s="2352">
        <v>145</v>
      </c>
      <c r="AS103" s="2283" t="s">
        <v>464</v>
      </c>
      <c r="AT103" s="2348">
        <v>145</v>
      </c>
      <c r="AU103" s="2285"/>
      <c r="AV103" s="2348">
        <v>145</v>
      </c>
      <c r="AW103" s="2285"/>
      <c r="AX103" s="2345">
        <v>110</v>
      </c>
      <c r="AY103" s="2278" t="s">
        <v>463</v>
      </c>
      <c r="AZ103" s="2350">
        <v>125</v>
      </c>
      <c r="BA103" s="2303" t="s">
        <v>2324</v>
      </c>
      <c r="BE103" s="2371" t="s">
        <v>108</v>
      </c>
      <c r="BF103" s="577">
        <v>55</v>
      </c>
      <c r="BG103" s="577">
        <v>60</v>
      </c>
      <c r="BH103" s="577">
        <v>70</v>
      </c>
      <c r="BI103" s="2401"/>
      <c r="BJ103" s="2371" t="s">
        <v>108</v>
      </c>
      <c r="BK103" s="578">
        <v>160</v>
      </c>
      <c r="BL103" s="577">
        <v>180</v>
      </c>
      <c r="BM103" s="577">
        <v>205</v>
      </c>
      <c r="BN103" s="2399"/>
      <c r="BO103" s="525"/>
      <c r="BP103" s="458"/>
      <c r="BQ103" s="458"/>
      <c r="BR103" s="458"/>
      <c r="BS103" s="2461" t="s">
        <v>112</v>
      </c>
      <c r="BT103" s="2463" t="str">
        <f>IFERROR(INDEX(Liste_Ackerkulturen_Gemüse_DropDown[Ackerkulturen],_xlfn.AGGREGATE(15,6,(ROW(Liste_Ackerkulturen_Gemüse_DropDown[Ackerkulturen])-1)/(--(SEARCH(BU$2,Liste_Ackerkulturen_Gemüse_DropDown[Ackerkulturen])&gt;0)),ROW()-2),1),"")</f>
        <v>Senf</v>
      </c>
      <c r="BU103" s="2463"/>
      <c r="BV103" s="2463" t="str">
        <f>IFERROR(INDEX(Liste_Ackerkulturen_Gemüse_DropDown[Ackerkulturen],_xlfn.AGGREGATE(15,6,(ROW(Liste_Ackerkulturen_Gemüse_DropDown[Ackerkulturen])-1)/(--(SEARCH(BW$2,Liste_Ackerkulturen_Gemüse_DropDown[Ackerkulturen])&gt;0)),ROW()-2),1),"")</f>
        <v>Senf</v>
      </c>
      <c r="BW103" s="2463"/>
      <c r="BX103" s="2463" t="str">
        <f>IFERROR(INDEX(Liste_Ackerkulturen_Gemüse_DropDown[Ackerkulturen],_xlfn.AGGREGATE(15,6,(ROW(Liste_Ackerkulturen_Gemüse_DropDown[Ackerkulturen])-1)/(--(SEARCH(BY$2,Liste_Ackerkulturen_Gemüse_DropDown[Ackerkulturen])&gt;0)),ROW()-2),1),"")</f>
        <v>Senf</v>
      </c>
      <c r="BY103" s="2463"/>
      <c r="BZ103" s="2463" t="str">
        <f>IFERROR(INDEX(Liste_Ackerkulturen_Gemüse_DropDown[Ackerkulturen],_xlfn.AGGREGATE(15,6,(ROW(Liste_Ackerkulturen_Gemüse_DropDown[Ackerkulturen])-1)/(--(SEARCH(CA$2,Liste_Ackerkulturen_Gemüse_DropDown[Ackerkulturen])&gt;0)),ROW()-2),1),"")</f>
        <v>Senf</v>
      </c>
      <c r="CA103" s="2463"/>
      <c r="CB103" s="2463" t="str">
        <f>IFERROR(INDEX(Liste_Ackerkulturen_Gemüse_DropDown[Ackerkulturen],_xlfn.AGGREGATE(15,6,(ROW(Liste_Ackerkulturen_Gemüse_DropDown[Ackerkulturen])-1)/(--(SEARCH(CC$2,Liste_Ackerkulturen_Gemüse_DropDown[Ackerkulturen])&gt;0)),ROW()-2),1),"")</f>
        <v>Senf</v>
      </c>
      <c r="CC103" s="2463"/>
      <c r="CD103" s="2464" t="str">
        <f>IFERROR(INDEX(Liste_Ackerkulturen_Gemüse_DropDown[Ackerkulturen],_xlfn.AGGREGATE(15,6,(ROW(Liste_Ackerkulturen_Gemüse_DropDown[Ackerkulturen])-1)/(--(SEARCH(CE$2,Liste_Ackerkulturen_Gemüse_DropDown[Ackerkulturen])&gt;0)),ROW()-2),1),"")</f>
        <v>Senf</v>
      </c>
      <c r="CE103" s="2464"/>
      <c r="CF103" s="2464" t="str">
        <f>IFERROR(INDEX(Liste_Ackerkulturen_Gemüse_DropDown[Ackerkulturen],_xlfn.AGGREGATE(15,6,(ROW(Liste_Ackerkulturen_Gemüse_DropDown[Ackerkulturen])-1)/(--(SEARCH(CG$2,Liste_Ackerkulturen_Gemüse_DropDown[Ackerkulturen])&gt;0)),ROW()-2),1),"")</f>
        <v>Senf</v>
      </c>
      <c r="CG103" s="2464"/>
      <c r="CH103" s="2464" t="str">
        <f>IFERROR(INDEX(Liste_Ackerkulturen_Gemüse_DropDown[Ackerkulturen],_xlfn.AGGREGATE(15,6,(ROW(Liste_Ackerkulturen_Gemüse_DropDown[Ackerkulturen])-1)/(--(SEARCH(CI$2,Liste_Ackerkulturen_Gemüse_DropDown[Ackerkulturen])&gt;0)),ROW()-2),1),"")</f>
        <v>Senf</v>
      </c>
      <c r="CI103" s="2464"/>
      <c r="CJ103" s="2464" t="str">
        <f>IFERROR(INDEX(Liste_Ackerkulturen_Gemüse_DropDown[Ackerkulturen],_xlfn.AGGREGATE(15,6,(ROW(Liste_Ackerkulturen_Gemüse_DropDown[Ackerkulturen])-1)/(--(SEARCH(CK$2,Liste_Ackerkulturen_Gemüse_DropDown[Ackerkulturen])&gt;0)),ROW()-2),1),"")</f>
        <v>Senf</v>
      </c>
      <c r="CK103" s="2464"/>
      <c r="CL103" s="2464" t="str">
        <f>IFERROR(INDEX(Liste_Ackerkulturen_Gemüse_DropDown[Ackerkulturen],_xlfn.AGGREGATE(15,6,(ROW(Liste_Ackerkulturen_Gemüse_DropDown[Ackerkulturen])-1)/(--(SEARCH(CM$2,Liste_Ackerkulturen_Gemüse_DropDown[Ackerkulturen])&gt;0)),ROW()-2),1),"")</f>
        <v>Senf</v>
      </c>
      <c r="CM103" s="2464"/>
      <c r="CN103" s="2464" t="str">
        <f>IFERROR(INDEX(Liste_Ackerkulturen_Gemüse_DropDown[Ackerkulturen],_xlfn.AGGREGATE(15,6,(ROW(Liste_Ackerkulturen_Gemüse_DropDown[Ackerkulturen])-1)/(--(SEARCH(CO$2,Liste_Ackerkulturen_Gemüse_DropDown[Ackerkulturen])&gt;0)),ROW()-2),1),"")</f>
        <v>Senf</v>
      </c>
      <c r="CO103" s="2464"/>
      <c r="CP103" s="2464" t="str">
        <f>IFERROR(INDEX(Liste_Ackerkulturen_Gemüse_DropDown[Ackerkulturen],_xlfn.AGGREGATE(15,6,(ROW(Liste_Ackerkulturen_Gemüse_DropDown[Ackerkulturen])-1)/(--(SEARCH(CQ$2,Liste_Ackerkulturen_Gemüse_DropDown[Ackerkulturen])&gt;0)),ROW()-2),1),"")</f>
        <v>Senf</v>
      </c>
      <c r="CQ103" s="2464"/>
      <c r="CR103" s="2464" t="str">
        <f>IFERROR(INDEX(Liste_Ackerkulturen_Gemüse_DropDown[Ackerkulturen],_xlfn.AGGREGATE(15,6,(ROW(Liste_Ackerkulturen_Gemüse_DropDown[Ackerkulturen])-1)/(--(SEARCH(CS$2,Liste_Ackerkulturen_Gemüse_DropDown[Ackerkulturen])&gt;0)),ROW()-2),1),"")</f>
        <v>Senf</v>
      </c>
      <c r="CS103" s="2464"/>
      <c r="CT103"/>
      <c r="CU103"/>
      <c r="CV103"/>
      <c r="CW103"/>
      <c r="CX103"/>
      <c r="CY103"/>
      <c r="CZ103"/>
      <c r="DA103"/>
      <c r="DB103"/>
      <c r="DC103"/>
      <c r="DD103"/>
      <c r="DE103"/>
      <c r="DF103"/>
      <c r="DG103"/>
      <c r="DH103"/>
      <c r="DN103"/>
      <c r="DO103"/>
      <c r="DP103"/>
      <c r="DQ103"/>
      <c r="DR103"/>
      <c r="DS103"/>
      <c r="DT103"/>
      <c r="DU103"/>
      <c r="DV103"/>
      <c r="DW103"/>
      <c r="DX103"/>
      <c r="DY103"/>
      <c r="DZ103"/>
      <c r="EA103"/>
      <c r="EB103"/>
      <c r="EC103"/>
      <c r="ED103"/>
      <c r="EE103"/>
      <c r="EF103"/>
      <c r="EG103"/>
      <c r="EH103"/>
      <c r="EI103"/>
      <c r="EJ103"/>
      <c r="EK103"/>
      <c r="EL103"/>
      <c r="EM103"/>
      <c r="EN103"/>
      <c r="EO103"/>
      <c r="EP103"/>
      <c r="EQ103"/>
      <c r="ER103"/>
      <c r="ES103"/>
      <c r="ET103"/>
      <c r="EU103"/>
      <c r="EV103"/>
      <c r="EW103"/>
      <c r="EX103"/>
      <c r="EY103"/>
      <c r="EZ103"/>
      <c r="FA103"/>
      <c r="FB103"/>
      <c r="FC103"/>
      <c r="FD103"/>
      <c r="FE103"/>
      <c r="FF103"/>
      <c r="FG103"/>
      <c r="FH103"/>
      <c r="FI103"/>
      <c r="FJ103"/>
      <c r="FK103"/>
      <c r="FL103"/>
      <c r="FM103"/>
      <c r="FN103"/>
      <c r="FO103"/>
      <c r="FP103"/>
      <c r="FQ103"/>
      <c r="FR103"/>
      <c r="FS103"/>
      <c r="FT103"/>
      <c r="FU103"/>
      <c r="FV103"/>
      <c r="FW103"/>
      <c r="FX103"/>
      <c r="FY103"/>
      <c r="FZ103"/>
      <c r="GA103"/>
      <c r="GB103"/>
      <c r="GC103"/>
      <c r="GD103"/>
      <c r="GE103"/>
      <c r="GF103"/>
      <c r="GG103"/>
      <c r="GH103"/>
      <c r="GI103"/>
      <c r="GJ103"/>
      <c r="GK103"/>
      <c r="GL103"/>
      <c r="GM103"/>
      <c r="GN103"/>
      <c r="GO103"/>
      <c r="GP103"/>
      <c r="GQ103"/>
      <c r="GR103"/>
      <c r="GS103"/>
      <c r="GT103"/>
      <c r="GU103"/>
      <c r="GV103"/>
      <c r="GW103"/>
      <c r="GX103"/>
      <c r="GY103"/>
      <c r="GZ103"/>
      <c r="HA103"/>
      <c r="HB103"/>
      <c r="HC103"/>
      <c r="HD103"/>
      <c r="HE103"/>
      <c r="HF103"/>
      <c r="HG103"/>
      <c r="HH103"/>
      <c r="HI103"/>
      <c r="HJ103"/>
      <c r="HK103"/>
      <c r="HL103"/>
      <c r="HM103"/>
      <c r="HN103"/>
      <c r="HO103"/>
      <c r="HP103"/>
      <c r="HQ103"/>
      <c r="HR103"/>
      <c r="HS103"/>
      <c r="HT103"/>
      <c r="HU103"/>
      <c r="HV103"/>
      <c r="HW103"/>
      <c r="HX103"/>
      <c r="HY103"/>
      <c r="HZ103"/>
      <c r="IA103"/>
      <c r="IB103"/>
      <c r="IC103"/>
      <c r="ID103"/>
      <c r="IE103"/>
      <c r="IF103"/>
      <c r="IG103"/>
      <c r="IH103"/>
      <c r="II103"/>
      <c r="IJ103"/>
      <c r="IK103"/>
      <c r="IL103"/>
      <c r="IM103"/>
      <c r="IN103"/>
      <c r="IO103"/>
      <c r="IP103"/>
      <c r="IQ103"/>
      <c r="IR103"/>
      <c r="IS103"/>
      <c r="IT103"/>
      <c r="IU103"/>
    </row>
    <row r="104" spans="1:255" ht="15.75" customHeight="1">
      <c r="C104" s="2615"/>
      <c r="D104" s="1548" t="s">
        <v>1068</v>
      </c>
      <c r="E104" s="1545" t="s">
        <v>1201</v>
      </c>
      <c r="F104" s="2252"/>
      <c r="G104" s="1782" t="s">
        <v>1076</v>
      </c>
      <c r="H104" s="1783">
        <v>150</v>
      </c>
      <c r="I104" s="1452" t="s">
        <v>1077</v>
      </c>
      <c r="J104" s="1451">
        <v>190</v>
      </c>
      <c r="K104" s="1527">
        <v>160</v>
      </c>
      <c r="L104" s="1528">
        <v>160</v>
      </c>
      <c r="M104" s="1546">
        <v>130</v>
      </c>
      <c r="N104" s="1453">
        <v>105</v>
      </c>
      <c r="O104" s="1451"/>
      <c r="P104" s="1783">
        <v>85</v>
      </c>
      <c r="Q104" s="1451">
        <v>105</v>
      </c>
      <c r="R104" s="1454" t="s">
        <v>1061</v>
      </c>
      <c r="S104" s="1547" t="s">
        <v>1061</v>
      </c>
      <c r="T104" s="1546">
        <v>345</v>
      </c>
      <c r="U104" s="1450">
        <v>290</v>
      </c>
      <c r="V104" s="1455"/>
      <c r="W104" s="1783">
        <v>230</v>
      </c>
      <c r="X104" s="1456">
        <v>300</v>
      </c>
      <c r="Y104" s="1454" t="s">
        <v>1061</v>
      </c>
      <c r="Z104" s="1547" t="s">
        <v>1061</v>
      </c>
      <c r="AB104" s="1542"/>
      <c r="AC104" s="1542"/>
      <c r="AD104" s="1542"/>
      <c r="AE104" s="1542"/>
      <c r="AF104" s="1279"/>
      <c r="AM104" s="2371" t="s">
        <v>109</v>
      </c>
      <c r="AN104" s="2352">
        <v>100</v>
      </c>
      <c r="AO104" s="2283" t="s">
        <v>1201</v>
      </c>
      <c r="AP104" s="2352">
        <v>100</v>
      </c>
      <c r="AQ104" s="2283" t="s">
        <v>1201</v>
      </c>
      <c r="AR104" s="2352">
        <v>100</v>
      </c>
      <c r="AS104" s="2283" t="s">
        <v>1201</v>
      </c>
      <c r="AT104" s="2348">
        <v>100</v>
      </c>
      <c r="AU104" s="2285" t="s">
        <v>1201</v>
      </c>
      <c r="AV104" s="2348">
        <v>100</v>
      </c>
      <c r="AW104" s="2285" t="s">
        <v>1201</v>
      </c>
      <c r="AX104" s="2345">
        <v>100</v>
      </c>
      <c r="AY104" s="2278" t="s">
        <v>1201</v>
      </c>
      <c r="AZ104" s="2350">
        <v>100</v>
      </c>
      <c r="BA104" s="2303" t="s">
        <v>1201</v>
      </c>
      <c r="BE104" s="2371" t="s">
        <v>109</v>
      </c>
      <c r="BF104" s="577">
        <v>55</v>
      </c>
      <c r="BG104" s="577">
        <v>60</v>
      </c>
      <c r="BH104" s="577">
        <v>70</v>
      </c>
      <c r="BI104" s="2401"/>
      <c r="BJ104" s="2371" t="s">
        <v>109</v>
      </c>
      <c r="BK104" s="578">
        <v>65</v>
      </c>
      <c r="BL104" s="577">
        <v>70</v>
      </c>
      <c r="BM104" s="577">
        <v>80</v>
      </c>
      <c r="BN104" s="2399"/>
      <c r="BO104" s="525"/>
      <c r="BP104" s="458"/>
      <c r="BQ104" s="458"/>
      <c r="BR104" s="458"/>
      <c r="BS104" s="2461" t="s">
        <v>113</v>
      </c>
      <c r="BT104" s="2463" t="str">
        <f>IFERROR(INDEX(Liste_Ackerkulturen_Gemüse_DropDown[Ackerkulturen],_xlfn.AGGREGATE(15,6,(ROW(Liste_Ackerkulturen_Gemüse_DropDown[Ackerkulturen])-1)/(--(SEARCH(BU$2,Liste_Ackerkulturen_Gemüse_DropDown[Ackerkulturen])&gt;0)),ROW()-2),1),"")</f>
        <v>Sommerrübsen</v>
      </c>
      <c r="BU104" s="2463"/>
      <c r="BV104" s="2463" t="str">
        <f>IFERROR(INDEX(Liste_Ackerkulturen_Gemüse_DropDown[Ackerkulturen],_xlfn.AGGREGATE(15,6,(ROW(Liste_Ackerkulturen_Gemüse_DropDown[Ackerkulturen])-1)/(--(SEARCH(BW$2,Liste_Ackerkulturen_Gemüse_DropDown[Ackerkulturen])&gt;0)),ROW()-2),1),"")</f>
        <v>Sommerrübsen</v>
      </c>
      <c r="BW104" s="2463"/>
      <c r="BX104" s="2463" t="str">
        <f>IFERROR(INDEX(Liste_Ackerkulturen_Gemüse_DropDown[Ackerkulturen],_xlfn.AGGREGATE(15,6,(ROW(Liste_Ackerkulturen_Gemüse_DropDown[Ackerkulturen])-1)/(--(SEARCH(BY$2,Liste_Ackerkulturen_Gemüse_DropDown[Ackerkulturen])&gt;0)),ROW()-2),1),"")</f>
        <v>Sommerrübsen</v>
      </c>
      <c r="BY104" s="2463"/>
      <c r="BZ104" s="2463" t="str">
        <f>IFERROR(INDEX(Liste_Ackerkulturen_Gemüse_DropDown[Ackerkulturen],_xlfn.AGGREGATE(15,6,(ROW(Liste_Ackerkulturen_Gemüse_DropDown[Ackerkulturen])-1)/(--(SEARCH(CA$2,Liste_Ackerkulturen_Gemüse_DropDown[Ackerkulturen])&gt;0)),ROW()-2),1),"")</f>
        <v>Sommerrübsen</v>
      </c>
      <c r="CA104" s="2463"/>
      <c r="CB104" s="2463" t="str">
        <f>IFERROR(INDEX(Liste_Ackerkulturen_Gemüse_DropDown[Ackerkulturen],_xlfn.AGGREGATE(15,6,(ROW(Liste_Ackerkulturen_Gemüse_DropDown[Ackerkulturen])-1)/(--(SEARCH(CC$2,Liste_Ackerkulturen_Gemüse_DropDown[Ackerkulturen])&gt;0)),ROW()-2),1),"")</f>
        <v>Sommerrübsen</v>
      </c>
      <c r="CC104" s="2463"/>
      <c r="CD104" s="2464" t="str">
        <f>IFERROR(INDEX(Liste_Ackerkulturen_Gemüse_DropDown[Ackerkulturen],_xlfn.AGGREGATE(15,6,(ROW(Liste_Ackerkulturen_Gemüse_DropDown[Ackerkulturen])-1)/(--(SEARCH(CE$2,Liste_Ackerkulturen_Gemüse_DropDown[Ackerkulturen])&gt;0)),ROW()-2),1),"")</f>
        <v>Sommerrübsen</v>
      </c>
      <c r="CE104" s="2464"/>
      <c r="CF104" s="2464" t="str">
        <f>IFERROR(INDEX(Liste_Ackerkulturen_Gemüse_DropDown[Ackerkulturen],_xlfn.AGGREGATE(15,6,(ROW(Liste_Ackerkulturen_Gemüse_DropDown[Ackerkulturen])-1)/(--(SEARCH(CG$2,Liste_Ackerkulturen_Gemüse_DropDown[Ackerkulturen])&gt;0)),ROW()-2),1),"")</f>
        <v>Sommerrübsen</v>
      </c>
      <c r="CG104" s="2464"/>
      <c r="CH104" s="2464" t="str">
        <f>IFERROR(INDEX(Liste_Ackerkulturen_Gemüse_DropDown[Ackerkulturen],_xlfn.AGGREGATE(15,6,(ROW(Liste_Ackerkulturen_Gemüse_DropDown[Ackerkulturen])-1)/(--(SEARCH(CI$2,Liste_Ackerkulturen_Gemüse_DropDown[Ackerkulturen])&gt;0)),ROW()-2),1),"")</f>
        <v>Sommerrübsen</v>
      </c>
      <c r="CI104" s="2464"/>
      <c r="CJ104" s="2464" t="str">
        <f>IFERROR(INDEX(Liste_Ackerkulturen_Gemüse_DropDown[Ackerkulturen],_xlfn.AGGREGATE(15,6,(ROW(Liste_Ackerkulturen_Gemüse_DropDown[Ackerkulturen])-1)/(--(SEARCH(CK$2,Liste_Ackerkulturen_Gemüse_DropDown[Ackerkulturen])&gt;0)),ROW()-2),1),"")</f>
        <v>Sommerrübsen</v>
      </c>
      <c r="CK104" s="2464"/>
      <c r="CL104" s="2464" t="str">
        <f>IFERROR(INDEX(Liste_Ackerkulturen_Gemüse_DropDown[Ackerkulturen],_xlfn.AGGREGATE(15,6,(ROW(Liste_Ackerkulturen_Gemüse_DropDown[Ackerkulturen])-1)/(--(SEARCH(CM$2,Liste_Ackerkulturen_Gemüse_DropDown[Ackerkulturen])&gt;0)),ROW()-2),1),"")</f>
        <v>Sommerrübsen</v>
      </c>
      <c r="CM104" s="2464"/>
      <c r="CN104" s="2464" t="str">
        <f>IFERROR(INDEX(Liste_Ackerkulturen_Gemüse_DropDown[Ackerkulturen],_xlfn.AGGREGATE(15,6,(ROW(Liste_Ackerkulturen_Gemüse_DropDown[Ackerkulturen])-1)/(--(SEARCH(CO$2,Liste_Ackerkulturen_Gemüse_DropDown[Ackerkulturen])&gt;0)),ROW()-2),1),"")</f>
        <v>Sommerrübsen</v>
      </c>
      <c r="CO104" s="2464"/>
      <c r="CP104" s="2464" t="str">
        <f>IFERROR(INDEX(Liste_Ackerkulturen_Gemüse_DropDown[Ackerkulturen],_xlfn.AGGREGATE(15,6,(ROW(Liste_Ackerkulturen_Gemüse_DropDown[Ackerkulturen])-1)/(--(SEARCH(CQ$2,Liste_Ackerkulturen_Gemüse_DropDown[Ackerkulturen])&gt;0)),ROW()-2),1),"")</f>
        <v>Sommerrübsen</v>
      </c>
      <c r="CQ104" s="2464"/>
      <c r="CR104" s="2464" t="str">
        <f>IFERROR(INDEX(Liste_Ackerkulturen_Gemüse_DropDown[Ackerkulturen],_xlfn.AGGREGATE(15,6,(ROW(Liste_Ackerkulturen_Gemüse_DropDown[Ackerkulturen])-1)/(--(SEARCH(CS$2,Liste_Ackerkulturen_Gemüse_DropDown[Ackerkulturen])&gt;0)),ROW()-2),1),"")</f>
        <v>Sommerrübsen</v>
      </c>
      <c r="CS104" s="2464"/>
      <c r="CT104"/>
      <c r="CU104"/>
      <c r="CV104"/>
      <c r="CW104"/>
      <c r="CX104"/>
      <c r="CY104"/>
      <c r="CZ104"/>
      <c r="DA104"/>
      <c r="DB104"/>
      <c r="DC104"/>
      <c r="DD104"/>
      <c r="DE104"/>
      <c r="DF104"/>
      <c r="DG104"/>
      <c r="DH104"/>
      <c r="DN104"/>
      <c r="DO104"/>
      <c r="DP104"/>
      <c r="DQ104"/>
      <c r="DR104"/>
      <c r="DS104"/>
      <c r="DT104"/>
      <c r="DU104"/>
      <c r="DV104"/>
      <c r="DW104"/>
      <c r="DX104"/>
      <c r="DY104"/>
      <c r="DZ104"/>
      <c r="EA104"/>
      <c r="EB104"/>
      <c r="EC104"/>
      <c r="ED104"/>
      <c r="EE104"/>
      <c r="EF104"/>
      <c r="EG104"/>
      <c r="EH104"/>
      <c r="EI104"/>
      <c r="EJ104"/>
      <c r="EK104"/>
      <c r="EL104"/>
      <c r="EM104"/>
      <c r="EN104"/>
      <c r="EO104"/>
      <c r="EP104"/>
      <c r="EQ104"/>
      <c r="ER104"/>
      <c r="ES104"/>
      <c r="ET104"/>
      <c r="EU104"/>
      <c r="EV104"/>
      <c r="EW104"/>
      <c r="EX104"/>
      <c r="EY104"/>
      <c r="EZ104"/>
      <c r="FA104"/>
      <c r="FB104"/>
      <c r="FC104"/>
      <c r="FD104"/>
      <c r="FE104"/>
      <c r="FF104"/>
      <c r="FG104"/>
      <c r="FH104"/>
      <c r="FI104"/>
      <c r="FJ104"/>
      <c r="FK104"/>
      <c r="FL104"/>
      <c r="FM104"/>
      <c r="FN104"/>
      <c r="FO104"/>
      <c r="FP104"/>
      <c r="FQ104"/>
      <c r="FR104"/>
      <c r="FS104"/>
      <c r="FT104"/>
      <c r="FU104"/>
      <c r="FV104"/>
      <c r="FW104"/>
      <c r="FX104"/>
      <c r="FY104"/>
      <c r="FZ104"/>
      <c r="GA104"/>
      <c r="GB104"/>
      <c r="GC104"/>
      <c r="GD104"/>
      <c r="GE104"/>
      <c r="GF104"/>
      <c r="GG104"/>
      <c r="GH104"/>
      <c r="GI104"/>
      <c r="GJ104"/>
      <c r="GK104"/>
      <c r="GL104"/>
      <c r="GM104"/>
      <c r="GN104"/>
      <c r="GO104"/>
      <c r="GP104"/>
      <c r="GQ104"/>
      <c r="GR104"/>
      <c r="GS104"/>
      <c r="GT104"/>
      <c r="GU104"/>
      <c r="GV104"/>
      <c r="GW104"/>
      <c r="GX104"/>
      <c r="GY104"/>
      <c r="GZ104"/>
      <c r="HA104"/>
      <c r="HB104"/>
      <c r="HC104"/>
      <c r="HD104"/>
      <c r="HE104"/>
      <c r="HF104"/>
      <c r="HG104"/>
      <c r="HH104"/>
      <c r="HI104"/>
      <c r="HJ104"/>
      <c r="HK104"/>
      <c r="HL104"/>
      <c r="HM104"/>
      <c r="HN104"/>
      <c r="HO104"/>
      <c r="HP104"/>
      <c r="HQ104"/>
      <c r="HR104"/>
      <c r="HS104"/>
      <c r="HT104"/>
      <c r="HU104"/>
      <c r="HV104"/>
      <c r="HW104"/>
      <c r="HX104"/>
      <c r="HY104"/>
      <c r="HZ104"/>
      <c r="IA104"/>
      <c r="IB104"/>
      <c r="IC104"/>
      <c r="ID104"/>
      <c r="IE104"/>
      <c r="IF104"/>
      <c r="IG104"/>
      <c r="IH104"/>
      <c r="II104"/>
      <c r="IJ104"/>
      <c r="IK104"/>
      <c r="IL104"/>
      <c r="IM104"/>
      <c r="IN104"/>
      <c r="IO104"/>
      <c r="IP104"/>
      <c r="IQ104"/>
      <c r="IR104"/>
      <c r="IS104"/>
      <c r="IT104"/>
      <c r="IU104"/>
    </row>
    <row r="105" spans="1:255" s="192" customFormat="1" ht="24" customHeight="1">
      <c r="A105" s="517"/>
      <c r="B105" s="517"/>
      <c r="C105" s="2615"/>
      <c r="D105" s="1548" t="s">
        <v>1069</v>
      </c>
      <c r="E105" s="1545" t="s">
        <v>1201</v>
      </c>
      <c r="F105" s="2252"/>
      <c r="G105" s="1782" t="s">
        <v>1201</v>
      </c>
      <c r="H105" s="1783"/>
      <c r="I105" s="1452" t="s">
        <v>1078</v>
      </c>
      <c r="J105" s="1451">
        <v>210</v>
      </c>
      <c r="K105" s="1527">
        <v>160</v>
      </c>
      <c r="L105" s="1528">
        <v>160</v>
      </c>
      <c r="M105" s="1546"/>
      <c r="N105" s="1453"/>
      <c r="O105" s="1451"/>
      <c r="P105" s="1783"/>
      <c r="Q105" s="1451">
        <v>120</v>
      </c>
      <c r="R105" s="1454" t="s">
        <v>1061</v>
      </c>
      <c r="S105" s="1547" t="s">
        <v>1061</v>
      </c>
      <c r="T105" s="1546"/>
      <c r="U105" s="1450"/>
      <c r="V105" s="1455"/>
      <c r="W105" s="1783"/>
      <c r="X105" s="1456">
        <v>340</v>
      </c>
      <c r="Y105" s="1454" t="s">
        <v>1061</v>
      </c>
      <c r="Z105" s="1547" t="s">
        <v>1061</v>
      </c>
      <c r="AB105" s="1542"/>
      <c r="AC105" s="1542"/>
      <c r="AD105" s="1542"/>
      <c r="AE105" s="1542"/>
      <c r="AF105" s="1279"/>
      <c r="AG105" s="176"/>
      <c r="AH105" s="176"/>
      <c r="AI105" s="176"/>
      <c r="AM105" s="2371" t="s">
        <v>112</v>
      </c>
      <c r="AN105" s="2352">
        <v>130</v>
      </c>
      <c r="AO105" s="2283" t="s">
        <v>473</v>
      </c>
      <c r="AP105" s="2352">
        <v>130</v>
      </c>
      <c r="AQ105" s="2283" t="s">
        <v>42</v>
      </c>
      <c r="AR105" s="2352">
        <v>130</v>
      </c>
      <c r="AS105" s="2283" t="s">
        <v>43</v>
      </c>
      <c r="AT105" s="2348">
        <v>130</v>
      </c>
      <c r="AU105" s="2285" t="s">
        <v>44</v>
      </c>
      <c r="AV105" s="2348">
        <v>130</v>
      </c>
      <c r="AW105" s="2285" t="s">
        <v>1060</v>
      </c>
      <c r="AX105" s="2345">
        <v>130</v>
      </c>
      <c r="AY105" s="2278" t="s">
        <v>42</v>
      </c>
      <c r="AZ105" s="2350">
        <v>130</v>
      </c>
      <c r="BA105" s="2303" t="s">
        <v>2323</v>
      </c>
      <c r="BE105" s="2371" t="s">
        <v>112</v>
      </c>
      <c r="BF105" s="577">
        <v>70</v>
      </c>
      <c r="BG105" s="577">
        <v>75</v>
      </c>
      <c r="BH105" s="577">
        <v>85</v>
      </c>
      <c r="BI105" s="2401"/>
      <c r="BJ105" s="2371" t="s">
        <v>112</v>
      </c>
      <c r="BK105" s="578">
        <v>70</v>
      </c>
      <c r="BL105" s="577">
        <v>80</v>
      </c>
      <c r="BM105" s="577">
        <v>90</v>
      </c>
      <c r="BN105" s="2399"/>
      <c r="BO105" s="525"/>
      <c r="BP105" s="2243"/>
      <c r="BQ105" s="2243"/>
      <c r="BR105" s="2243"/>
      <c r="BS105" s="2461" t="s">
        <v>114</v>
      </c>
      <c r="BT105" s="2463" t="str">
        <f>IFERROR(INDEX(Liste_Ackerkulturen_Gemüse_DropDown[Ackerkulturen],_xlfn.AGGREGATE(15,6,(ROW(Liste_Ackerkulturen_Gemüse_DropDown[Ackerkulturen])-1)/(--(SEARCH(BU$2,Liste_Ackerkulturen_Gemüse_DropDown[Ackerkulturen])&gt;0)),ROW()-2),1),"")</f>
        <v>Speiseindustriekartoffeln</v>
      </c>
      <c r="BU105" s="2463"/>
      <c r="BV105" s="2463" t="str">
        <f>IFERROR(INDEX(Liste_Ackerkulturen_Gemüse_DropDown[Ackerkulturen],_xlfn.AGGREGATE(15,6,(ROW(Liste_Ackerkulturen_Gemüse_DropDown[Ackerkulturen])-1)/(--(SEARCH(BW$2,Liste_Ackerkulturen_Gemüse_DropDown[Ackerkulturen])&gt;0)),ROW()-2),1),"")</f>
        <v>Speiseindustriekartoffeln</v>
      </c>
      <c r="BW105" s="2463"/>
      <c r="BX105" s="2463" t="str">
        <f>IFERROR(INDEX(Liste_Ackerkulturen_Gemüse_DropDown[Ackerkulturen],_xlfn.AGGREGATE(15,6,(ROW(Liste_Ackerkulturen_Gemüse_DropDown[Ackerkulturen])-1)/(--(SEARCH(BY$2,Liste_Ackerkulturen_Gemüse_DropDown[Ackerkulturen])&gt;0)),ROW()-2),1),"")</f>
        <v>Speiseindustriekartoffeln</v>
      </c>
      <c r="BY105" s="2463"/>
      <c r="BZ105" s="2463" t="str">
        <f>IFERROR(INDEX(Liste_Ackerkulturen_Gemüse_DropDown[Ackerkulturen],_xlfn.AGGREGATE(15,6,(ROW(Liste_Ackerkulturen_Gemüse_DropDown[Ackerkulturen])-1)/(--(SEARCH(CA$2,Liste_Ackerkulturen_Gemüse_DropDown[Ackerkulturen])&gt;0)),ROW()-2),1),"")</f>
        <v>Speiseindustriekartoffeln</v>
      </c>
      <c r="CA105" s="2463"/>
      <c r="CB105" s="2463" t="str">
        <f>IFERROR(INDEX(Liste_Ackerkulturen_Gemüse_DropDown[Ackerkulturen],_xlfn.AGGREGATE(15,6,(ROW(Liste_Ackerkulturen_Gemüse_DropDown[Ackerkulturen])-1)/(--(SEARCH(CC$2,Liste_Ackerkulturen_Gemüse_DropDown[Ackerkulturen])&gt;0)),ROW()-2),1),"")</f>
        <v>Speiseindustriekartoffeln</v>
      </c>
      <c r="CC105" s="2463"/>
      <c r="CD105" s="2464" t="str">
        <f>IFERROR(INDEX(Liste_Ackerkulturen_Gemüse_DropDown[Ackerkulturen],_xlfn.AGGREGATE(15,6,(ROW(Liste_Ackerkulturen_Gemüse_DropDown[Ackerkulturen])-1)/(--(SEARCH(CE$2,Liste_Ackerkulturen_Gemüse_DropDown[Ackerkulturen])&gt;0)),ROW()-2),1),"")</f>
        <v>Speiseindustriekartoffeln</v>
      </c>
      <c r="CE105" s="2464"/>
      <c r="CF105" s="2464" t="str">
        <f>IFERROR(INDEX(Liste_Ackerkulturen_Gemüse_DropDown[Ackerkulturen],_xlfn.AGGREGATE(15,6,(ROW(Liste_Ackerkulturen_Gemüse_DropDown[Ackerkulturen])-1)/(--(SEARCH(CG$2,Liste_Ackerkulturen_Gemüse_DropDown[Ackerkulturen])&gt;0)),ROW()-2),1),"")</f>
        <v>Speiseindustriekartoffeln</v>
      </c>
      <c r="CG105" s="2464"/>
      <c r="CH105" s="2464" t="str">
        <f>IFERROR(INDEX(Liste_Ackerkulturen_Gemüse_DropDown[Ackerkulturen],_xlfn.AGGREGATE(15,6,(ROW(Liste_Ackerkulturen_Gemüse_DropDown[Ackerkulturen])-1)/(--(SEARCH(CI$2,Liste_Ackerkulturen_Gemüse_DropDown[Ackerkulturen])&gt;0)),ROW()-2),1),"")</f>
        <v>Speiseindustriekartoffeln</v>
      </c>
      <c r="CI105" s="2464"/>
      <c r="CJ105" s="2464" t="str">
        <f>IFERROR(INDEX(Liste_Ackerkulturen_Gemüse_DropDown[Ackerkulturen],_xlfn.AGGREGATE(15,6,(ROW(Liste_Ackerkulturen_Gemüse_DropDown[Ackerkulturen])-1)/(--(SEARCH(CK$2,Liste_Ackerkulturen_Gemüse_DropDown[Ackerkulturen])&gt;0)),ROW()-2),1),"")</f>
        <v>Speiseindustriekartoffeln</v>
      </c>
      <c r="CK105" s="2464"/>
      <c r="CL105" s="2464" t="str">
        <f>IFERROR(INDEX(Liste_Ackerkulturen_Gemüse_DropDown[Ackerkulturen],_xlfn.AGGREGATE(15,6,(ROW(Liste_Ackerkulturen_Gemüse_DropDown[Ackerkulturen])-1)/(--(SEARCH(CM$2,Liste_Ackerkulturen_Gemüse_DropDown[Ackerkulturen])&gt;0)),ROW()-2),1),"")</f>
        <v>Speiseindustriekartoffeln</v>
      </c>
      <c r="CM105" s="2464"/>
      <c r="CN105" s="2464" t="str">
        <f>IFERROR(INDEX(Liste_Ackerkulturen_Gemüse_DropDown[Ackerkulturen],_xlfn.AGGREGATE(15,6,(ROW(Liste_Ackerkulturen_Gemüse_DropDown[Ackerkulturen])-1)/(--(SEARCH(CO$2,Liste_Ackerkulturen_Gemüse_DropDown[Ackerkulturen])&gt;0)),ROW()-2),1),"")</f>
        <v>Speiseindustriekartoffeln</v>
      </c>
      <c r="CO105" s="2464"/>
      <c r="CP105" s="2464" t="str">
        <f>IFERROR(INDEX(Liste_Ackerkulturen_Gemüse_DropDown[Ackerkulturen],_xlfn.AGGREGATE(15,6,(ROW(Liste_Ackerkulturen_Gemüse_DropDown[Ackerkulturen])-1)/(--(SEARCH(CQ$2,Liste_Ackerkulturen_Gemüse_DropDown[Ackerkulturen])&gt;0)),ROW()-2),1),"")</f>
        <v>Speiseindustriekartoffeln</v>
      </c>
      <c r="CQ105" s="2464"/>
      <c r="CR105" s="2464" t="str">
        <f>IFERROR(INDEX(Liste_Ackerkulturen_Gemüse_DropDown[Ackerkulturen],_xlfn.AGGREGATE(15,6,(ROW(Liste_Ackerkulturen_Gemüse_DropDown[Ackerkulturen])-1)/(--(SEARCH(CS$2,Liste_Ackerkulturen_Gemüse_DropDown[Ackerkulturen])&gt;0)),ROW()-2),1),"")</f>
        <v>Speiseindustriekartoffeln</v>
      </c>
      <c r="CS105" s="2464"/>
      <c r="CT105" s="269"/>
      <c r="CU105" s="269"/>
      <c r="CV105" s="269"/>
      <c r="CW105" s="269"/>
      <c r="CX105" s="269"/>
      <c r="CY105" s="269"/>
      <c r="CZ105" s="269"/>
      <c r="DA105" s="269"/>
      <c r="DB105" s="269"/>
      <c r="DC105" s="269"/>
      <c r="DD105" s="269"/>
      <c r="DE105" s="269"/>
      <c r="DF105" s="269"/>
      <c r="DG105" s="269"/>
      <c r="DH105" s="269"/>
      <c r="DI105" s="1541"/>
      <c r="DJ105" s="1541"/>
      <c r="DK105" s="1541"/>
      <c r="DL105" s="1541"/>
      <c r="DM105" s="1541"/>
      <c r="DN105" s="269"/>
      <c r="DO105" s="269"/>
      <c r="DP105" s="269"/>
      <c r="DQ105" s="269"/>
      <c r="DR105" s="269"/>
      <c r="DS105" s="269"/>
      <c r="DT105" s="269"/>
      <c r="DU105" s="269"/>
      <c r="DV105" s="269"/>
      <c r="DW105" s="269"/>
      <c r="DX105" s="269"/>
      <c r="DY105" s="269"/>
      <c r="DZ105" s="269"/>
      <c r="EA105" s="269"/>
      <c r="EB105" s="269"/>
      <c r="EC105" s="269"/>
      <c r="ED105" s="269"/>
      <c r="EE105" s="269"/>
      <c r="EF105" s="269"/>
      <c r="EG105" s="269"/>
      <c r="EH105" s="269"/>
      <c r="EI105" s="269"/>
      <c r="EJ105" s="269"/>
      <c r="EK105" s="269"/>
      <c r="EL105" s="269"/>
      <c r="EM105" s="269"/>
      <c r="EN105" s="269"/>
      <c r="EO105" s="269"/>
      <c r="EP105" s="269"/>
      <c r="EQ105" s="269"/>
      <c r="ER105" s="269"/>
      <c r="ES105" s="269"/>
      <c r="ET105" s="269"/>
      <c r="EU105" s="269"/>
      <c r="EV105" s="269"/>
      <c r="EW105" s="269"/>
      <c r="EX105" s="269"/>
      <c r="EY105" s="269"/>
      <c r="EZ105" s="269"/>
      <c r="FA105" s="269"/>
      <c r="FB105" s="269"/>
      <c r="FC105" s="269"/>
      <c r="FD105" s="269"/>
      <c r="FE105" s="269"/>
      <c r="FF105" s="269"/>
      <c r="FG105" s="269"/>
      <c r="FH105" s="269"/>
      <c r="FI105" s="269"/>
      <c r="FJ105" s="269"/>
      <c r="FK105" s="269"/>
      <c r="FL105" s="269"/>
      <c r="FM105" s="269"/>
      <c r="FN105" s="269"/>
      <c r="FO105" s="269"/>
      <c r="FP105" s="269"/>
      <c r="FQ105" s="269"/>
      <c r="FR105" s="269"/>
      <c r="FS105" s="269"/>
      <c r="FT105" s="269"/>
      <c r="FU105" s="269"/>
      <c r="FV105" s="269"/>
      <c r="FW105" s="269"/>
      <c r="FX105" s="269"/>
      <c r="FY105" s="269"/>
      <c r="FZ105" s="269"/>
      <c r="GA105" s="269"/>
      <c r="GB105" s="269"/>
      <c r="GC105" s="269"/>
      <c r="GD105" s="269"/>
      <c r="GE105" s="269"/>
      <c r="GF105" s="269"/>
      <c r="GG105" s="269"/>
      <c r="GH105" s="269"/>
      <c r="GI105" s="269"/>
      <c r="GJ105" s="269"/>
      <c r="GK105" s="269"/>
      <c r="GL105" s="269"/>
      <c r="GM105" s="269"/>
      <c r="GN105" s="269"/>
      <c r="GO105" s="269"/>
      <c r="GP105" s="269"/>
      <c r="GQ105" s="269"/>
      <c r="GR105" s="269"/>
      <c r="GS105" s="269"/>
      <c r="GT105" s="269"/>
      <c r="GU105" s="269"/>
      <c r="GV105" s="269"/>
      <c r="GW105" s="269"/>
      <c r="GX105" s="269"/>
      <c r="GY105" s="269"/>
      <c r="GZ105" s="269"/>
      <c r="HA105" s="269"/>
      <c r="HB105" s="269"/>
      <c r="HC105" s="269"/>
      <c r="HD105" s="269"/>
      <c r="HE105" s="269"/>
      <c r="HF105" s="269"/>
      <c r="HG105" s="269"/>
      <c r="HH105" s="269"/>
      <c r="HI105" s="269"/>
      <c r="HJ105" s="269"/>
      <c r="HK105" s="269"/>
      <c r="HL105" s="269"/>
      <c r="HM105" s="269"/>
      <c r="HN105" s="269"/>
      <c r="HO105" s="269"/>
      <c r="HP105" s="269"/>
      <c r="HQ105" s="269"/>
      <c r="HR105" s="269"/>
      <c r="HS105" s="269"/>
      <c r="HT105" s="269"/>
      <c r="HU105" s="269"/>
      <c r="HV105" s="269"/>
      <c r="HW105" s="269"/>
      <c r="HX105" s="269"/>
      <c r="HY105" s="269"/>
      <c r="HZ105" s="269"/>
      <c r="IA105" s="269"/>
      <c r="IB105" s="269"/>
      <c r="IC105" s="269"/>
      <c r="ID105" s="269"/>
      <c r="IE105" s="269"/>
      <c r="IF105" s="269"/>
      <c r="IG105" s="269"/>
      <c r="IH105" s="269"/>
      <c r="II105" s="269"/>
      <c r="IJ105" s="269"/>
      <c r="IK105" s="269"/>
      <c r="IL105" s="269"/>
      <c r="IM105" s="269"/>
      <c r="IN105" s="269"/>
      <c r="IO105" s="269"/>
      <c r="IP105" s="269"/>
      <c r="IQ105" s="269"/>
      <c r="IR105" s="269"/>
      <c r="IS105" s="269"/>
      <c r="IT105" s="269"/>
      <c r="IU105" s="269"/>
    </row>
    <row r="106" spans="1:255" ht="21" customHeight="1">
      <c r="C106" s="2615" t="s">
        <v>8</v>
      </c>
      <c r="D106" s="1548" t="s">
        <v>1059</v>
      </c>
      <c r="E106" s="1545" t="s">
        <v>1997</v>
      </c>
      <c r="F106" s="2252">
        <v>15</v>
      </c>
      <c r="G106" s="1782" t="s">
        <v>1060</v>
      </c>
      <c r="H106" s="1783">
        <v>25</v>
      </c>
      <c r="I106" s="1452" t="s">
        <v>1201</v>
      </c>
      <c r="J106" s="1451"/>
      <c r="K106" s="1527">
        <v>0</v>
      </c>
      <c r="L106" s="1528">
        <v>0</v>
      </c>
      <c r="M106" s="1546">
        <v>45</v>
      </c>
      <c r="N106" s="1453">
        <v>40</v>
      </c>
      <c r="O106" s="1451">
        <v>15</v>
      </c>
      <c r="P106" s="1783">
        <v>30</v>
      </c>
      <c r="Q106" s="1451"/>
      <c r="R106" s="1454" t="s">
        <v>1061</v>
      </c>
      <c r="S106" s="1547" t="s">
        <v>1061</v>
      </c>
      <c r="T106" s="1546">
        <v>120</v>
      </c>
      <c r="U106" s="1450">
        <v>100</v>
      </c>
      <c r="V106" s="1455">
        <v>45</v>
      </c>
      <c r="W106" s="1783">
        <v>80</v>
      </c>
      <c r="X106" s="1456"/>
      <c r="Y106" s="1454" t="s">
        <v>1061</v>
      </c>
      <c r="Z106" s="1547" t="s">
        <v>1061</v>
      </c>
      <c r="AB106" s="1542"/>
      <c r="AC106" s="1542"/>
      <c r="AD106" s="1542"/>
      <c r="AE106" s="1542"/>
      <c r="AF106" s="1279"/>
      <c r="AM106" s="2371" t="s">
        <v>113</v>
      </c>
      <c r="AN106" s="2352">
        <v>120</v>
      </c>
      <c r="AO106" s="2283" t="s">
        <v>465</v>
      </c>
      <c r="AP106" s="2352">
        <v>165</v>
      </c>
      <c r="AQ106" s="2283" t="s">
        <v>466</v>
      </c>
      <c r="AR106" s="2352">
        <v>195</v>
      </c>
      <c r="AS106" s="2283" t="s">
        <v>467</v>
      </c>
      <c r="AT106" s="2348">
        <v>210</v>
      </c>
      <c r="AU106" s="2285" t="s">
        <v>468</v>
      </c>
      <c r="AV106" s="2348">
        <v>225</v>
      </c>
      <c r="AW106" s="2285" t="s">
        <v>469</v>
      </c>
      <c r="AX106" s="2345">
        <v>130</v>
      </c>
      <c r="AY106" s="2278" t="s">
        <v>466</v>
      </c>
      <c r="AZ106" s="2350">
        <v>150</v>
      </c>
      <c r="BA106" s="2303" t="s">
        <v>2332</v>
      </c>
      <c r="BE106" s="2371" t="s">
        <v>113</v>
      </c>
      <c r="BF106" s="577">
        <v>60</v>
      </c>
      <c r="BG106" s="577">
        <v>65</v>
      </c>
      <c r="BH106" s="577">
        <v>75</v>
      </c>
      <c r="BI106" s="2401"/>
      <c r="BJ106" s="2371" t="s">
        <v>113</v>
      </c>
      <c r="BK106" s="578">
        <v>180</v>
      </c>
      <c r="BL106" s="577">
        <v>200</v>
      </c>
      <c r="BM106" s="577">
        <v>230</v>
      </c>
      <c r="BN106" s="2399"/>
      <c r="BO106" s="525"/>
      <c r="BP106" s="458"/>
      <c r="BQ106" s="458"/>
      <c r="BR106" s="458"/>
      <c r="BS106" s="2461" t="s">
        <v>115</v>
      </c>
      <c r="BT106" s="2463" t="str">
        <f>IFERROR(INDEX(Liste_Ackerkulturen_Gemüse_DropDown[Ackerkulturen],_xlfn.AGGREGATE(15,6,(ROW(Liste_Ackerkulturen_Gemüse_DropDown[Ackerkulturen])-1)/(--(SEARCH(BU$2,Liste_Ackerkulturen_Gemüse_DropDown[Ackerkulturen])&gt;0)),ROW()-2),1),"")</f>
        <v>Stärkeindustriekartoffeln</v>
      </c>
      <c r="BU106" s="2463"/>
      <c r="BV106" s="2463" t="str">
        <f>IFERROR(INDEX(Liste_Ackerkulturen_Gemüse_DropDown[Ackerkulturen],_xlfn.AGGREGATE(15,6,(ROW(Liste_Ackerkulturen_Gemüse_DropDown[Ackerkulturen])-1)/(--(SEARCH(BW$2,Liste_Ackerkulturen_Gemüse_DropDown[Ackerkulturen])&gt;0)),ROW()-2),1),"")</f>
        <v>Stärkeindustriekartoffeln</v>
      </c>
      <c r="BW106" s="2463"/>
      <c r="BX106" s="2463" t="str">
        <f>IFERROR(INDEX(Liste_Ackerkulturen_Gemüse_DropDown[Ackerkulturen],_xlfn.AGGREGATE(15,6,(ROW(Liste_Ackerkulturen_Gemüse_DropDown[Ackerkulturen])-1)/(--(SEARCH(BY$2,Liste_Ackerkulturen_Gemüse_DropDown[Ackerkulturen])&gt;0)),ROW()-2),1),"")</f>
        <v>Stärkeindustriekartoffeln</v>
      </c>
      <c r="BY106" s="2463"/>
      <c r="BZ106" s="2463" t="str">
        <f>IFERROR(INDEX(Liste_Ackerkulturen_Gemüse_DropDown[Ackerkulturen],_xlfn.AGGREGATE(15,6,(ROW(Liste_Ackerkulturen_Gemüse_DropDown[Ackerkulturen])-1)/(--(SEARCH(CA$2,Liste_Ackerkulturen_Gemüse_DropDown[Ackerkulturen])&gt;0)),ROW()-2),1),"")</f>
        <v>Stärkeindustriekartoffeln</v>
      </c>
      <c r="CA106" s="2463"/>
      <c r="CB106" s="2463" t="str">
        <f>IFERROR(INDEX(Liste_Ackerkulturen_Gemüse_DropDown[Ackerkulturen],_xlfn.AGGREGATE(15,6,(ROW(Liste_Ackerkulturen_Gemüse_DropDown[Ackerkulturen])-1)/(--(SEARCH(CC$2,Liste_Ackerkulturen_Gemüse_DropDown[Ackerkulturen])&gt;0)),ROW()-2),1),"")</f>
        <v>Stärkeindustriekartoffeln</v>
      </c>
      <c r="CC106" s="2463"/>
      <c r="CD106" s="2464" t="str">
        <f>IFERROR(INDEX(Liste_Ackerkulturen_Gemüse_DropDown[Ackerkulturen],_xlfn.AGGREGATE(15,6,(ROW(Liste_Ackerkulturen_Gemüse_DropDown[Ackerkulturen])-1)/(--(SEARCH(CE$2,Liste_Ackerkulturen_Gemüse_DropDown[Ackerkulturen])&gt;0)),ROW()-2),1),"")</f>
        <v>Stärkeindustriekartoffeln</v>
      </c>
      <c r="CE106" s="2464"/>
      <c r="CF106" s="2464" t="str">
        <f>IFERROR(INDEX(Liste_Ackerkulturen_Gemüse_DropDown[Ackerkulturen],_xlfn.AGGREGATE(15,6,(ROW(Liste_Ackerkulturen_Gemüse_DropDown[Ackerkulturen])-1)/(--(SEARCH(CG$2,Liste_Ackerkulturen_Gemüse_DropDown[Ackerkulturen])&gt;0)),ROW()-2),1),"")</f>
        <v>Stärkeindustriekartoffeln</v>
      </c>
      <c r="CG106" s="2464"/>
      <c r="CH106" s="2464" t="str">
        <f>IFERROR(INDEX(Liste_Ackerkulturen_Gemüse_DropDown[Ackerkulturen],_xlfn.AGGREGATE(15,6,(ROW(Liste_Ackerkulturen_Gemüse_DropDown[Ackerkulturen])-1)/(--(SEARCH(CI$2,Liste_Ackerkulturen_Gemüse_DropDown[Ackerkulturen])&gt;0)),ROW()-2),1),"")</f>
        <v>Stärkeindustriekartoffeln</v>
      </c>
      <c r="CI106" s="2464"/>
      <c r="CJ106" s="2464" t="str">
        <f>IFERROR(INDEX(Liste_Ackerkulturen_Gemüse_DropDown[Ackerkulturen],_xlfn.AGGREGATE(15,6,(ROW(Liste_Ackerkulturen_Gemüse_DropDown[Ackerkulturen])-1)/(--(SEARCH(CK$2,Liste_Ackerkulturen_Gemüse_DropDown[Ackerkulturen])&gt;0)),ROW()-2),1),"")</f>
        <v>Stärkeindustriekartoffeln</v>
      </c>
      <c r="CK106" s="2464"/>
      <c r="CL106" s="2464" t="str">
        <f>IFERROR(INDEX(Liste_Ackerkulturen_Gemüse_DropDown[Ackerkulturen],_xlfn.AGGREGATE(15,6,(ROW(Liste_Ackerkulturen_Gemüse_DropDown[Ackerkulturen])-1)/(--(SEARCH(CM$2,Liste_Ackerkulturen_Gemüse_DropDown[Ackerkulturen])&gt;0)),ROW()-2),1),"")</f>
        <v>Stärkeindustriekartoffeln</v>
      </c>
      <c r="CM106" s="2464"/>
      <c r="CN106" s="2464" t="str">
        <f>IFERROR(INDEX(Liste_Ackerkulturen_Gemüse_DropDown[Ackerkulturen],_xlfn.AGGREGATE(15,6,(ROW(Liste_Ackerkulturen_Gemüse_DropDown[Ackerkulturen])-1)/(--(SEARCH(CO$2,Liste_Ackerkulturen_Gemüse_DropDown[Ackerkulturen])&gt;0)),ROW()-2),1),"")</f>
        <v>Stärkeindustriekartoffeln</v>
      </c>
      <c r="CO106" s="2464"/>
      <c r="CP106" s="2464" t="str">
        <f>IFERROR(INDEX(Liste_Ackerkulturen_Gemüse_DropDown[Ackerkulturen],_xlfn.AGGREGATE(15,6,(ROW(Liste_Ackerkulturen_Gemüse_DropDown[Ackerkulturen])-1)/(--(SEARCH(CQ$2,Liste_Ackerkulturen_Gemüse_DropDown[Ackerkulturen])&gt;0)),ROW()-2),1),"")</f>
        <v>Stärkeindustriekartoffeln</v>
      </c>
      <c r="CQ106" s="2464"/>
      <c r="CR106" s="2464" t="str">
        <f>IFERROR(INDEX(Liste_Ackerkulturen_Gemüse_DropDown[Ackerkulturen],_xlfn.AGGREGATE(15,6,(ROW(Liste_Ackerkulturen_Gemüse_DropDown[Ackerkulturen])-1)/(--(SEARCH(CS$2,Liste_Ackerkulturen_Gemüse_DropDown[Ackerkulturen])&gt;0)),ROW()-2),1),"")</f>
        <v>Stärkeindustriekartoffeln</v>
      </c>
      <c r="CS106" s="2464"/>
      <c r="CT106"/>
      <c r="CU106"/>
      <c r="CV106"/>
      <c r="CW106"/>
      <c r="CX106"/>
      <c r="CY106"/>
      <c r="CZ106"/>
      <c r="DA106"/>
      <c r="DB106"/>
      <c r="DC106"/>
      <c r="DD106"/>
      <c r="DE106"/>
      <c r="DF106"/>
      <c r="DG106"/>
      <c r="DH106"/>
      <c r="DN106"/>
      <c r="DO106"/>
      <c r="DP106"/>
      <c r="DQ106"/>
      <c r="DR106"/>
      <c r="DS106"/>
      <c r="DT106"/>
      <c r="DU106"/>
      <c r="DV106"/>
      <c r="DW106"/>
      <c r="DX106"/>
      <c r="DY106"/>
      <c r="DZ106"/>
      <c r="EA106"/>
      <c r="EB106"/>
      <c r="EC106"/>
      <c r="ED106"/>
      <c r="EE106"/>
      <c r="EF106"/>
      <c r="EG106"/>
      <c r="EH106"/>
      <c r="EI106"/>
      <c r="EJ106"/>
      <c r="EK106"/>
      <c r="EL106"/>
      <c r="EM106"/>
      <c r="EN106"/>
      <c r="EO106"/>
      <c r="EP106"/>
      <c r="EQ106"/>
      <c r="ER106"/>
      <c r="ES106"/>
      <c r="ET106"/>
      <c r="EU106"/>
      <c r="EV106"/>
      <c r="EW106"/>
      <c r="EX106"/>
      <c r="EY106"/>
      <c r="EZ106"/>
      <c r="FA106"/>
      <c r="FB106"/>
      <c r="FC106"/>
      <c r="FD106"/>
      <c r="FE106"/>
      <c r="FF106"/>
      <c r="FG106"/>
      <c r="FH106"/>
      <c r="FI106"/>
      <c r="FJ106"/>
      <c r="FK106"/>
      <c r="FL106"/>
      <c r="FM106"/>
      <c r="FN106"/>
      <c r="FO106"/>
      <c r="FP106"/>
      <c r="FQ106"/>
      <c r="FR106"/>
      <c r="FS106"/>
      <c r="FT106"/>
      <c r="FU106"/>
      <c r="FV106"/>
      <c r="FW106"/>
      <c r="FX106"/>
      <c r="FY106"/>
      <c r="FZ106"/>
      <c r="GA106"/>
      <c r="GB106"/>
      <c r="GC106"/>
      <c r="GD106"/>
      <c r="GE106"/>
      <c r="GF106"/>
      <c r="GG106"/>
      <c r="GH106"/>
      <c r="GI106"/>
      <c r="GJ106"/>
      <c r="GK106"/>
      <c r="GL106"/>
      <c r="GM106"/>
      <c r="GN106"/>
      <c r="GO106"/>
      <c r="GP106"/>
      <c r="GQ106"/>
      <c r="GR106"/>
      <c r="GS106"/>
      <c r="GT106"/>
      <c r="GU106"/>
      <c r="GV106"/>
      <c r="GW106"/>
      <c r="GX106"/>
      <c r="GY106"/>
      <c r="GZ106"/>
      <c r="HA106"/>
      <c r="HB106"/>
      <c r="HC106"/>
      <c r="HD106"/>
      <c r="HE106"/>
      <c r="HF106"/>
      <c r="HG106"/>
      <c r="HH106"/>
      <c r="HI106"/>
      <c r="HJ106"/>
      <c r="HK106"/>
      <c r="HL106"/>
      <c r="HM106"/>
      <c r="HN106"/>
      <c r="HO106"/>
      <c r="HP106"/>
      <c r="HQ106"/>
      <c r="HR106"/>
      <c r="HS106"/>
      <c r="HT106"/>
      <c r="HU106"/>
      <c r="HV106"/>
      <c r="HW106"/>
      <c r="HX106"/>
      <c r="HY106"/>
      <c r="HZ106"/>
      <c r="IA106"/>
      <c r="IB106"/>
      <c r="IC106"/>
      <c r="ID106"/>
      <c r="IE106"/>
      <c r="IF106"/>
      <c r="IG106"/>
      <c r="IH106"/>
      <c r="II106"/>
      <c r="IJ106"/>
      <c r="IK106"/>
      <c r="IL106"/>
      <c r="IM106"/>
      <c r="IN106"/>
      <c r="IO106"/>
      <c r="IP106"/>
      <c r="IQ106"/>
      <c r="IR106"/>
      <c r="IS106"/>
      <c r="IT106"/>
      <c r="IU106"/>
    </row>
    <row r="107" spans="1:255" ht="21" customHeight="1">
      <c r="C107" s="2615"/>
      <c r="D107" s="1548" t="s">
        <v>1062</v>
      </c>
      <c r="E107" s="1545" t="s">
        <v>1071</v>
      </c>
      <c r="F107" s="2252">
        <v>40</v>
      </c>
      <c r="G107" s="1782" t="s">
        <v>1063</v>
      </c>
      <c r="H107" s="1783">
        <v>40</v>
      </c>
      <c r="I107" s="1452" t="s">
        <v>1201</v>
      </c>
      <c r="J107" s="1451"/>
      <c r="K107" s="1527">
        <v>0</v>
      </c>
      <c r="L107" s="1528">
        <v>0</v>
      </c>
      <c r="M107" s="1546">
        <v>70</v>
      </c>
      <c r="N107" s="1453">
        <v>55</v>
      </c>
      <c r="O107" s="1451">
        <v>30</v>
      </c>
      <c r="P107" s="1783">
        <v>45</v>
      </c>
      <c r="Q107" s="1451"/>
      <c r="R107" s="1454" t="s">
        <v>1061</v>
      </c>
      <c r="S107" s="1547" t="s">
        <v>1061</v>
      </c>
      <c r="T107" s="1546">
        <v>180</v>
      </c>
      <c r="U107" s="1450">
        <v>150</v>
      </c>
      <c r="V107" s="1455">
        <v>80</v>
      </c>
      <c r="W107" s="1783">
        <v>120</v>
      </c>
      <c r="X107" s="1456"/>
      <c r="Y107" s="1454" t="s">
        <v>1061</v>
      </c>
      <c r="Z107" s="1547" t="s">
        <v>1061</v>
      </c>
      <c r="AB107" s="1542"/>
      <c r="AC107" s="1542"/>
      <c r="AD107" s="1542"/>
      <c r="AE107" s="1542"/>
      <c r="AF107" s="1279"/>
      <c r="AM107" s="2371" t="s">
        <v>114</v>
      </c>
      <c r="AN107" s="2352">
        <v>120</v>
      </c>
      <c r="AO107" s="2283" t="s">
        <v>465</v>
      </c>
      <c r="AP107" s="2352">
        <v>165</v>
      </c>
      <c r="AQ107" s="2283" t="s">
        <v>466</v>
      </c>
      <c r="AR107" s="2352">
        <v>195</v>
      </c>
      <c r="AS107" s="2283" t="s">
        <v>467</v>
      </c>
      <c r="AT107" s="2348">
        <v>210</v>
      </c>
      <c r="AU107" s="2285" t="s">
        <v>468</v>
      </c>
      <c r="AV107" s="2348">
        <v>225</v>
      </c>
      <c r="AW107" s="2285" t="s">
        <v>469</v>
      </c>
      <c r="AX107" s="2345">
        <v>130</v>
      </c>
      <c r="AY107" s="2278" t="s">
        <v>466</v>
      </c>
      <c r="AZ107" s="2350">
        <v>150</v>
      </c>
      <c r="BA107" s="2303" t="s">
        <v>2332</v>
      </c>
      <c r="BE107" s="2371" t="s">
        <v>114</v>
      </c>
      <c r="BF107" s="577">
        <v>60</v>
      </c>
      <c r="BG107" s="577">
        <v>65</v>
      </c>
      <c r="BH107" s="577">
        <v>75</v>
      </c>
      <c r="BI107" s="2401"/>
      <c r="BJ107" s="2371" t="s">
        <v>114</v>
      </c>
      <c r="BK107" s="578">
        <v>180</v>
      </c>
      <c r="BL107" s="577">
        <v>200</v>
      </c>
      <c r="BM107" s="577">
        <v>230</v>
      </c>
      <c r="BN107" s="2399"/>
      <c r="BO107" s="525"/>
      <c r="BP107" s="458"/>
      <c r="BQ107" s="458"/>
      <c r="BR107" s="458"/>
      <c r="BS107" s="2461" t="s">
        <v>117</v>
      </c>
      <c r="BT107" s="2463" t="str">
        <f>IFERROR(INDEX(Liste_Ackerkulturen_Gemüse_DropDown[Ackerkulturen],_xlfn.AGGREGATE(15,6,(ROW(Liste_Ackerkulturen_Gemüse_DropDown[Ackerkulturen])-1)/(--(SEARCH(BU$2,Liste_Ackerkulturen_Gemüse_DropDown[Ackerkulturen])&gt;0)),ROW()-2),1),"")</f>
        <v>Sudangras</v>
      </c>
      <c r="BU107" s="2463"/>
      <c r="BV107" s="2463" t="str">
        <f>IFERROR(INDEX(Liste_Ackerkulturen_Gemüse_DropDown[Ackerkulturen],_xlfn.AGGREGATE(15,6,(ROW(Liste_Ackerkulturen_Gemüse_DropDown[Ackerkulturen])-1)/(--(SEARCH(BW$2,Liste_Ackerkulturen_Gemüse_DropDown[Ackerkulturen])&gt;0)),ROW()-2),1),"")</f>
        <v>Sudangras</v>
      </c>
      <c r="BW107" s="2463"/>
      <c r="BX107" s="2463" t="str">
        <f>IFERROR(INDEX(Liste_Ackerkulturen_Gemüse_DropDown[Ackerkulturen],_xlfn.AGGREGATE(15,6,(ROW(Liste_Ackerkulturen_Gemüse_DropDown[Ackerkulturen])-1)/(--(SEARCH(BY$2,Liste_Ackerkulturen_Gemüse_DropDown[Ackerkulturen])&gt;0)),ROW()-2),1),"")</f>
        <v>Sudangras</v>
      </c>
      <c r="BY107" s="2463"/>
      <c r="BZ107" s="2463" t="str">
        <f>IFERROR(INDEX(Liste_Ackerkulturen_Gemüse_DropDown[Ackerkulturen],_xlfn.AGGREGATE(15,6,(ROW(Liste_Ackerkulturen_Gemüse_DropDown[Ackerkulturen])-1)/(--(SEARCH(CA$2,Liste_Ackerkulturen_Gemüse_DropDown[Ackerkulturen])&gt;0)),ROW()-2),1),"")</f>
        <v>Sudangras</v>
      </c>
      <c r="CA107" s="2463"/>
      <c r="CB107" s="2463" t="str">
        <f>IFERROR(INDEX(Liste_Ackerkulturen_Gemüse_DropDown[Ackerkulturen],_xlfn.AGGREGATE(15,6,(ROW(Liste_Ackerkulturen_Gemüse_DropDown[Ackerkulturen])-1)/(--(SEARCH(CC$2,Liste_Ackerkulturen_Gemüse_DropDown[Ackerkulturen])&gt;0)),ROW()-2),1),"")</f>
        <v>Sudangras</v>
      </c>
      <c r="CC107" s="2463"/>
      <c r="CD107" s="2464" t="str">
        <f>IFERROR(INDEX(Liste_Ackerkulturen_Gemüse_DropDown[Ackerkulturen],_xlfn.AGGREGATE(15,6,(ROW(Liste_Ackerkulturen_Gemüse_DropDown[Ackerkulturen])-1)/(--(SEARCH(CE$2,Liste_Ackerkulturen_Gemüse_DropDown[Ackerkulturen])&gt;0)),ROW()-2),1),"")</f>
        <v>Sudangras</v>
      </c>
      <c r="CE107" s="2464"/>
      <c r="CF107" s="2464" t="str">
        <f>IFERROR(INDEX(Liste_Ackerkulturen_Gemüse_DropDown[Ackerkulturen],_xlfn.AGGREGATE(15,6,(ROW(Liste_Ackerkulturen_Gemüse_DropDown[Ackerkulturen])-1)/(--(SEARCH(CG$2,Liste_Ackerkulturen_Gemüse_DropDown[Ackerkulturen])&gt;0)),ROW()-2),1),"")</f>
        <v>Sudangras</v>
      </c>
      <c r="CG107" s="2464"/>
      <c r="CH107" s="2464" t="str">
        <f>IFERROR(INDEX(Liste_Ackerkulturen_Gemüse_DropDown[Ackerkulturen],_xlfn.AGGREGATE(15,6,(ROW(Liste_Ackerkulturen_Gemüse_DropDown[Ackerkulturen])-1)/(--(SEARCH(CI$2,Liste_Ackerkulturen_Gemüse_DropDown[Ackerkulturen])&gt;0)),ROW()-2),1),"")</f>
        <v>Sudangras</v>
      </c>
      <c r="CI107" s="2464"/>
      <c r="CJ107" s="2464" t="str">
        <f>IFERROR(INDEX(Liste_Ackerkulturen_Gemüse_DropDown[Ackerkulturen],_xlfn.AGGREGATE(15,6,(ROW(Liste_Ackerkulturen_Gemüse_DropDown[Ackerkulturen])-1)/(--(SEARCH(CK$2,Liste_Ackerkulturen_Gemüse_DropDown[Ackerkulturen])&gt;0)),ROW()-2),1),"")</f>
        <v>Sudangras</v>
      </c>
      <c r="CK107" s="2464"/>
      <c r="CL107" s="2464" t="str">
        <f>IFERROR(INDEX(Liste_Ackerkulturen_Gemüse_DropDown[Ackerkulturen],_xlfn.AGGREGATE(15,6,(ROW(Liste_Ackerkulturen_Gemüse_DropDown[Ackerkulturen])-1)/(--(SEARCH(CM$2,Liste_Ackerkulturen_Gemüse_DropDown[Ackerkulturen])&gt;0)),ROW()-2),1),"")</f>
        <v>Sudangras</v>
      </c>
      <c r="CM107" s="2464"/>
      <c r="CN107" s="2464" t="str">
        <f>IFERROR(INDEX(Liste_Ackerkulturen_Gemüse_DropDown[Ackerkulturen],_xlfn.AGGREGATE(15,6,(ROW(Liste_Ackerkulturen_Gemüse_DropDown[Ackerkulturen])-1)/(--(SEARCH(CO$2,Liste_Ackerkulturen_Gemüse_DropDown[Ackerkulturen])&gt;0)),ROW()-2),1),"")</f>
        <v>Sudangras</v>
      </c>
      <c r="CO107" s="2464"/>
      <c r="CP107" s="2464" t="str">
        <f>IFERROR(INDEX(Liste_Ackerkulturen_Gemüse_DropDown[Ackerkulturen],_xlfn.AGGREGATE(15,6,(ROW(Liste_Ackerkulturen_Gemüse_DropDown[Ackerkulturen])-1)/(--(SEARCH(CQ$2,Liste_Ackerkulturen_Gemüse_DropDown[Ackerkulturen])&gt;0)),ROW()-2),1),"")</f>
        <v>Sudangras</v>
      </c>
      <c r="CQ107" s="2464"/>
      <c r="CR107" s="2464" t="str">
        <f>IFERROR(INDEX(Liste_Ackerkulturen_Gemüse_DropDown[Ackerkulturen],_xlfn.AGGREGATE(15,6,(ROW(Liste_Ackerkulturen_Gemüse_DropDown[Ackerkulturen])-1)/(--(SEARCH(CS$2,Liste_Ackerkulturen_Gemüse_DropDown[Ackerkulturen])&gt;0)),ROW()-2),1),"")</f>
        <v>Sudangras</v>
      </c>
      <c r="CS107" s="2464"/>
      <c r="CT107"/>
      <c r="CU107"/>
      <c r="CV107"/>
      <c r="CW107"/>
      <c r="CX107"/>
      <c r="CY107"/>
      <c r="CZ107"/>
      <c r="DA107"/>
      <c r="DB107"/>
      <c r="DC107"/>
      <c r="DD107"/>
      <c r="DE107"/>
      <c r="DF107"/>
      <c r="DG107"/>
      <c r="DH107"/>
      <c r="DN107"/>
      <c r="DO107"/>
      <c r="DP107"/>
      <c r="DQ107"/>
      <c r="DR107"/>
      <c r="DS107"/>
      <c r="DT107"/>
      <c r="DU107"/>
      <c r="DV107"/>
      <c r="DW107"/>
      <c r="DX107"/>
      <c r="DY107"/>
      <c r="DZ107"/>
      <c r="EA107"/>
      <c r="EB107"/>
      <c r="EC107"/>
      <c r="ED107"/>
      <c r="EE107"/>
      <c r="EF107"/>
      <c r="EG107"/>
      <c r="EH107"/>
      <c r="EI107"/>
      <c r="EJ107"/>
      <c r="EK107"/>
      <c r="EL107"/>
      <c r="EM107"/>
      <c r="EN107"/>
      <c r="EO107"/>
      <c r="EP107"/>
      <c r="EQ107"/>
      <c r="ER107"/>
      <c r="ES107"/>
      <c r="ET107"/>
      <c r="EU107"/>
      <c r="EV107"/>
      <c r="EW107"/>
      <c r="EX107"/>
      <c r="EY107"/>
      <c r="EZ107"/>
      <c r="FA107"/>
      <c r="FB107"/>
      <c r="FC107"/>
      <c r="FD107"/>
      <c r="FE107"/>
      <c r="FF107"/>
      <c r="FG107"/>
      <c r="FH107"/>
      <c r="FI107"/>
      <c r="FJ107"/>
      <c r="FK107"/>
      <c r="FL107"/>
      <c r="FM107"/>
      <c r="FN107"/>
      <c r="FO107"/>
      <c r="FP107"/>
      <c r="FQ107"/>
      <c r="FR107"/>
      <c r="FS107"/>
      <c r="FT107"/>
      <c r="FU107"/>
      <c r="FV107"/>
      <c r="FW107"/>
      <c r="FX107"/>
      <c r="FY107"/>
      <c r="FZ107"/>
      <c r="GA107"/>
      <c r="GB107"/>
      <c r="GC107"/>
      <c r="GD107"/>
      <c r="GE107"/>
      <c r="GF107"/>
      <c r="GG107"/>
      <c r="GH107"/>
      <c r="GI107"/>
      <c r="GJ107"/>
      <c r="GK107"/>
      <c r="GL107"/>
      <c r="GM107"/>
      <c r="GN107"/>
      <c r="GO107"/>
      <c r="GP107"/>
      <c r="GQ107"/>
      <c r="GR107"/>
      <c r="GS107"/>
      <c r="GT107"/>
      <c r="GU107"/>
      <c r="GV107"/>
      <c r="GW107"/>
      <c r="GX107"/>
      <c r="GY107"/>
      <c r="GZ107"/>
      <c r="HA107"/>
      <c r="HB107"/>
      <c r="HC107"/>
      <c r="HD107"/>
      <c r="HE107"/>
      <c r="HF107"/>
      <c r="HG107"/>
      <c r="HH107"/>
      <c r="HI107"/>
      <c r="HJ107"/>
      <c r="HK107"/>
      <c r="HL107"/>
      <c r="HM107"/>
      <c r="HN107"/>
      <c r="HO107"/>
      <c r="HP107"/>
      <c r="HQ107"/>
      <c r="HR107"/>
      <c r="HS107"/>
      <c r="HT107"/>
      <c r="HU107"/>
      <c r="HV107"/>
      <c r="HW107"/>
      <c r="HX107"/>
      <c r="HY107"/>
      <c r="HZ107"/>
      <c r="IA107"/>
      <c r="IB107"/>
      <c r="IC107"/>
      <c r="ID107"/>
      <c r="IE107"/>
      <c r="IF107"/>
      <c r="IG107"/>
      <c r="IH107"/>
      <c r="II107"/>
      <c r="IJ107"/>
      <c r="IK107"/>
      <c r="IL107"/>
      <c r="IM107"/>
      <c r="IN107"/>
      <c r="IO107"/>
      <c r="IP107"/>
      <c r="IQ107"/>
      <c r="IR107"/>
      <c r="IS107"/>
      <c r="IT107"/>
      <c r="IU107"/>
    </row>
    <row r="108" spans="1:255" ht="21" customHeight="1">
      <c r="C108" s="2615"/>
      <c r="D108" s="1548" t="s">
        <v>1064</v>
      </c>
      <c r="E108" s="1545" t="s">
        <v>1072</v>
      </c>
      <c r="F108" s="2252">
        <v>40</v>
      </c>
      <c r="G108" s="1782" t="s">
        <v>1073</v>
      </c>
      <c r="H108" s="1783">
        <v>40</v>
      </c>
      <c r="I108" s="1452" t="s">
        <v>1977</v>
      </c>
      <c r="J108" s="1451">
        <v>40</v>
      </c>
      <c r="K108" s="1527">
        <v>0</v>
      </c>
      <c r="L108" s="1528">
        <v>0</v>
      </c>
      <c r="M108" s="1546">
        <v>100</v>
      </c>
      <c r="N108" s="1453">
        <v>80</v>
      </c>
      <c r="O108" s="1451">
        <v>45</v>
      </c>
      <c r="P108" s="1783">
        <v>65</v>
      </c>
      <c r="Q108" s="1451">
        <v>80</v>
      </c>
      <c r="R108" s="1454" t="s">
        <v>1061</v>
      </c>
      <c r="S108" s="1547" t="s">
        <v>1061</v>
      </c>
      <c r="T108" s="1546">
        <v>255</v>
      </c>
      <c r="U108" s="1450">
        <v>215</v>
      </c>
      <c r="V108" s="1455">
        <v>130</v>
      </c>
      <c r="W108" s="1783">
        <v>170</v>
      </c>
      <c r="X108" s="1456">
        <v>215</v>
      </c>
      <c r="Y108" s="1454" t="s">
        <v>1061</v>
      </c>
      <c r="Z108" s="1547" t="s">
        <v>1061</v>
      </c>
      <c r="AB108" s="1542"/>
      <c r="AC108" s="1542"/>
      <c r="AD108" s="1542"/>
      <c r="AE108" s="1542"/>
      <c r="AF108" s="1279"/>
      <c r="AM108" s="2371" t="s">
        <v>115</v>
      </c>
      <c r="AN108" s="2352">
        <v>130</v>
      </c>
      <c r="AO108" s="2283" t="s">
        <v>1983</v>
      </c>
      <c r="AP108" s="2352">
        <v>175</v>
      </c>
      <c r="AQ108" s="2283" t="s">
        <v>1984</v>
      </c>
      <c r="AR108" s="2352">
        <v>210</v>
      </c>
      <c r="AS108" s="2283" t="s">
        <v>1985</v>
      </c>
      <c r="AT108" s="2348">
        <v>225</v>
      </c>
      <c r="AU108" s="2285" t="s">
        <v>116</v>
      </c>
      <c r="AV108" s="2348">
        <v>240</v>
      </c>
      <c r="AW108" s="2285" t="s">
        <v>469</v>
      </c>
      <c r="AX108" s="2345">
        <v>160</v>
      </c>
      <c r="AY108" s="2278" t="s">
        <v>1984</v>
      </c>
      <c r="AZ108" s="2350">
        <v>180</v>
      </c>
      <c r="BA108" s="2303" t="s">
        <v>2327</v>
      </c>
      <c r="BE108" s="2371" t="s">
        <v>115</v>
      </c>
      <c r="BF108" s="577">
        <v>80</v>
      </c>
      <c r="BG108" s="577">
        <v>90</v>
      </c>
      <c r="BH108" s="577">
        <v>105</v>
      </c>
      <c r="BI108" s="2401"/>
      <c r="BJ108" s="2371" t="s">
        <v>115</v>
      </c>
      <c r="BK108" s="578">
        <v>205</v>
      </c>
      <c r="BL108" s="577">
        <v>225</v>
      </c>
      <c r="BM108" s="577">
        <v>260</v>
      </c>
      <c r="BN108" s="2399"/>
      <c r="BO108" s="525"/>
      <c r="BP108" s="458"/>
      <c r="BQ108" s="458"/>
      <c r="BR108" s="458"/>
      <c r="BS108" s="2461" t="s">
        <v>118</v>
      </c>
      <c r="BT108" s="2463" t="str">
        <f>IFERROR(INDEX(Liste_Ackerkulturen_Gemüse_DropDown[Ackerkulturen],_xlfn.AGGREGATE(15,6,(ROW(Liste_Ackerkulturen_Gemüse_DropDown[Ackerkulturen])-1)/(--(SEARCH(BU$2,Liste_Ackerkulturen_Gemüse_DropDown[Ackerkulturen])&gt;0)),ROW()-2),1),"")</f>
        <v>Süßlupinen</v>
      </c>
      <c r="BU108" s="2463"/>
      <c r="BV108" s="2463" t="str">
        <f>IFERROR(INDEX(Liste_Ackerkulturen_Gemüse_DropDown[Ackerkulturen],_xlfn.AGGREGATE(15,6,(ROW(Liste_Ackerkulturen_Gemüse_DropDown[Ackerkulturen])-1)/(--(SEARCH(BW$2,Liste_Ackerkulturen_Gemüse_DropDown[Ackerkulturen])&gt;0)),ROW()-2),1),"")</f>
        <v>Süßlupinen</v>
      </c>
      <c r="BW108" s="2463"/>
      <c r="BX108" s="2463" t="str">
        <f>IFERROR(INDEX(Liste_Ackerkulturen_Gemüse_DropDown[Ackerkulturen],_xlfn.AGGREGATE(15,6,(ROW(Liste_Ackerkulturen_Gemüse_DropDown[Ackerkulturen])-1)/(--(SEARCH(BY$2,Liste_Ackerkulturen_Gemüse_DropDown[Ackerkulturen])&gt;0)),ROW()-2),1),"")</f>
        <v>Süßlupinen</v>
      </c>
      <c r="BY108" s="2463"/>
      <c r="BZ108" s="2463" t="str">
        <f>IFERROR(INDEX(Liste_Ackerkulturen_Gemüse_DropDown[Ackerkulturen],_xlfn.AGGREGATE(15,6,(ROW(Liste_Ackerkulturen_Gemüse_DropDown[Ackerkulturen])-1)/(--(SEARCH(CA$2,Liste_Ackerkulturen_Gemüse_DropDown[Ackerkulturen])&gt;0)),ROW()-2),1),"")</f>
        <v>Süßlupinen</v>
      </c>
      <c r="CA108" s="2463"/>
      <c r="CB108" s="2463" t="str">
        <f>IFERROR(INDEX(Liste_Ackerkulturen_Gemüse_DropDown[Ackerkulturen],_xlfn.AGGREGATE(15,6,(ROW(Liste_Ackerkulturen_Gemüse_DropDown[Ackerkulturen])-1)/(--(SEARCH(CC$2,Liste_Ackerkulturen_Gemüse_DropDown[Ackerkulturen])&gt;0)),ROW()-2),1),"")</f>
        <v>Süßlupinen</v>
      </c>
      <c r="CC108" s="2463"/>
      <c r="CD108" s="2464" t="str">
        <f>IFERROR(INDEX(Liste_Ackerkulturen_Gemüse_DropDown[Ackerkulturen],_xlfn.AGGREGATE(15,6,(ROW(Liste_Ackerkulturen_Gemüse_DropDown[Ackerkulturen])-1)/(--(SEARCH(CE$2,Liste_Ackerkulturen_Gemüse_DropDown[Ackerkulturen])&gt;0)),ROW()-2),1),"")</f>
        <v>Süßlupinen</v>
      </c>
      <c r="CE108" s="2464"/>
      <c r="CF108" s="2464" t="str">
        <f>IFERROR(INDEX(Liste_Ackerkulturen_Gemüse_DropDown[Ackerkulturen],_xlfn.AGGREGATE(15,6,(ROW(Liste_Ackerkulturen_Gemüse_DropDown[Ackerkulturen])-1)/(--(SEARCH(CG$2,Liste_Ackerkulturen_Gemüse_DropDown[Ackerkulturen])&gt;0)),ROW()-2),1),"")</f>
        <v>Süßlupinen</v>
      </c>
      <c r="CG108" s="2464"/>
      <c r="CH108" s="2464" t="str">
        <f>IFERROR(INDEX(Liste_Ackerkulturen_Gemüse_DropDown[Ackerkulturen],_xlfn.AGGREGATE(15,6,(ROW(Liste_Ackerkulturen_Gemüse_DropDown[Ackerkulturen])-1)/(--(SEARCH(CI$2,Liste_Ackerkulturen_Gemüse_DropDown[Ackerkulturen])&gt;0)),ROW()-2),1),"")</f>
        <v>Süßlupinen</v>
      </c>
      <c r="CI108" s="2464"/>
      <c r="CJ108" s="2464" t="str">
        <f>IFERROR(INDEX(Liste_Ackerkulturen_Gemüse_DropDown[Ackerkulturen],_xlfn.AGGREGATE(15,6,(ROW(Liste_Ackerkulturen_Gemüse_DropDown[Ackerkulturen])-1)/(--(SEARCH(CK$2,Liste_Ackerkulturen_Gemüse_DropDown[Ackerkulturen])&gt;0)),ROW()-2),1),"")</f>
        <v>Süßlupinen</v>
      </c>
      <c r="CK108" s="2464"/>
      <c r="CL108" s="2464" t="str">
        <f>IFERROR(INDEX(Liste_Ackerkulturen_Gemüse_DropDown[Ackerkulturen],_xlfn.AGGREGATE(15,6,(ROW(Liste_Ackerkulturen_Gemüse_DropDown[Ackerkulturen])-1)/(--(SEARCH(CM$2,Liste_Ackerkulturen_Gemüse_DropDown[Ackerkulturen])&gt;0)),ROW()-2),1),"")</f>
        <v>Süßlupinen</v>
      </c>
      <c r="CM108" s="2464"/>
      <c r="CN108" s="2464" t="str">
        <f>IFERROR(INDEX(Liste_Ackerkulturen_Gemüse_DropDown[Ackerkulturen],_xlfn.AGGREGATE(15,6,(ROW(Liste_Ackerkulturen_Gemüse_DropDown[Ackerkulturen])-1)/(--(SEARCH(CO$2,Liste_Ackerkulturen_Gemüse_DropDown[Ackerkulturen])&gt;0)),ROW()-2),1),"")</f>
        <v>Süßlupinen</v>
      </c>
      <c r="CO108" s="2464"/>
      <c r="CP108" s="2464" t="str">
        <f>IFERROR(INDEX(Liste_Ackerkulturen_Gemüse_DropDown[Ackerkulturen],_xlfn.AGGREGATE(15,6,(ROW(Liste_Ackerkulturen_Gemüse_DropDown[Ackerkulturen])-1)/(--(SEARCH(CQ$2,Liste_Ackerkulturen_Gemüse_DropDown[Ackerkulturen])&gt;0)),ROW()-2),1),"")</f>
        <v>Süßlupinen</v>
      </c>
      <c r="CQ108" s="2464"/>
      <c r="CR108" s="2464" t="str">
        <f>IFERROR(INDEX(Liste_Ackerkulturen_Gemüse_DropDown[Ackerkulturen],_xlfn.AGGREGATE(15,6,(ROW(Liste_Ackerkulturen_Gemüse_DropDown[Ackerkulturen])-1)/(--(SEARCH(CS$2,Liste_Ackerkulturen_Gemüse_DropDown[Ackerkulturen])&gt;0)),ROW()-2),1),"")</f>
        <v>Süßlupinen</v>
      </c>
      <c r="CS108" s="2464"/>
      <c r="CT108"/>
      <c r="CU108"/>
      <c r="CV108"/>
      <c r="CW108"/>
      <c r="CX108"/>
      <c r="CY108"/>
      <c r="CZ108"/>
      <c r="DA108"/>
      <c r="DB108"/>
      <c r="DC108"/>
      <c r="DD108"/>
      <c r="DE108"/>
      <c r="DF108"/>
      <c r="DG108"/>
      <c r="DH108"/>
      <c r="DN108"/>
      <c r="DO108"/>
      <c r="DP108"/>
      <c r="DQ108"/>
      <c r="DR108"/>
      <c r="DS108"/>
      <c r="DT108"/>
      <c r="DU108"/>
      <c r="DV108"/>
      <c r="DW108"/>
      <c r="DX108"/>
      <c r="DY108"/>
      <c r="DZ108"/>
      <c r="EA108"/>
      <c r="EB108"/>
      <c r="EC108"/>
      <c r="ED108"/>
      <c r="EE108"/>
      <c r="EF108"/>
      <c r="EG108"/>
      <c r="EH108"/>
      <c r="EI108"/>
      <c r="EJ108"/>
      <c r="EK108"/>
      <c r="EL108"/>
      <c r="EM108"/>
      <c r="EN108"/>
      <c r="EO108"/>
      <c r="EP108"/>
      <c r="EQ108"/>
      <c r="ER108"/>
      <c r="ES108"/>
      <c r="ET108"/>
      <c r="EU108"/>
      <c r="EV108"/>
      <c r="EW108"/>
      <c r="EX108"/>
      <c r="EY108"/>
      <c r="EZ108"/>
      <c r="FA108"/>
      <c r="FB108"/>
      <c r="FC108"/>
      <c r="FD108"/>
      <c r="FE108"/>
      <c r="FF108"/>
      <c r="FG108"/>
      <c r="FH108"/>
      <c r="FI108"/>
      <c r="FJ108"/>
      <c r="FK108"/>
      <c r="FL108"/>
      <c r="FM108"/>
      <c r="FN108"/>
      <c r="FO108"/>
      <c r="FP108"/>
      <c r="FQ108"/>
      <c r="FR108"/>
      <c r="FS108"/>
      <c r="FT108"/>
      <c r="FU108"/>
      <c r="FV108"/>
      <c r="FW108"/>
      <c r="FX108"/>
      <c r="FY108"/>
      <c r="FZ108"/>
      <c r="GA108"/>
      <c r="GB108"/>
      <c r="GC108"/>
      <c r="GD108"/>
      <c r="GE108"/>
      <c r="GF108"/>
      <c r="GG108"/>
      <c r="GH108"/>
      <c r="GI108"/>
      <c r="GJ108"/>
      <c r="GK108"/>
      <c r="GL108"/>
      <c r="GM108"/>
      <c r="GN108"/>
      <c r="GO108"/>
      <c r="GP108"/>
      <c r="GQ108"/>
      <c r="GR108"/>
      <c r="GS108"/>
      <c r="GT108"/>
      <c r="GU108"/>
      <c r="GV108"/>
      <c r="GW108"/>
      <c r="GX108"/>
      <c r="GY108"/>
      <c r="GZ108"/>
      <c r="HA108"/>
      <c r="HB108"/>
      <c r="HC108"/>
      <c r="HD108"/>
      <c r="HE108"/>
      <c r="HF108"/>
      <c r="HG108"/>
      <c r="HH108"/>
      <c r="HI108"/>
      <c r="HJ108"/>
      <c r="HK108"/>
      <c r="HL108"/>
      <c r="HM108"/>
      <c r="HN108"/>
      <c r="HO108"/>
      <c r="HP108"/>
      <c r="HQ108"/>
      <c r="HR108"/>
      <c r="HS108"/>
      <c r="HT108"/>
      <c r="HU108"/>
      <c r="HV108"/>
      <c r="HW108"/>
      <c r="HX108"/>
      <c r="HY108"/>
      <c r="HZ108"/>
      <c r="IA108"/>
      <c r="IB108"/>
      <c r="IC108"/>
      <c r="ID108"/>
      <c r="IE108"/>
      <c r="IF108"/>
      <c r="IG108"/>
      <c r="IH108"/>
      <c r="II108"/>
      <c r="IJ108"/>
      <c r="IK108"/>
      <c r="IL108"/>
      <c r="IM108"/>
      <c r="IN108"/>
      <c r="IO108"/>
      <c r="IP108"/>
      <c r="IQ108"/>
      <c r="IR108"/>
      <c r="IS108"/>
      <c r="IT108"/>
      <c r="IU108"/>
    </row>
    <row r="109" spans="1:255" ht="21" customHeight="1">
      <c r="C109" s="2615"/>
      <c r="D109" s="1548" t="s">
        <v>1067</v>
      </c>
      <c r="E109" s="1545" t="s">
        <v>1201</v>
      </c>
      <c r="F109" s="2252"/>
      <c r="G109" s="1782" t="s">
        <v>1074</v>
      </c>
      <c r="H109" s="1783">
        <v>40</v>
      </c>
      <c r="I109" s="1452" t="s">
        <v>1075</v>
      </c>
      <c r="J109" s="1451">
        <v>40</v>
      </c>
      <c r="K109" s="1527">
        <v>0</v>
      </c>
      <c r="L109" s="1528">
        <v>0</v>
      </c>
      <c r="M109" s="1546">
        <v>120</v>
      </c>
      <c r="N109" s="1453">
        <v>100</v>
      </c>
      <c r="O109" s="1451"/>
      <c r="P109" s="1783">
        <v>80</v>
      </c>
      <c r="Q109" s="1451">
        <v>90</v>
      </c>
      <c r="R109" s="1454" t="s">
        <v>1061</v>
      </c>
      <c r="S109" s="1547" t="s">
        <v>1061</v>
      </c>
      <c r="T109" s="1546">
        <v>310</v>
      </c>
      <c r="U109" s="1450">
        <v>255</v>
      </c>
      <c r="V109" s="1455"/>
      <c r="W109" s="1783">
        <v>205</v>
      </c>
      <c r="X109" s="1456">
        <v>260</v>
      </c>
      <c r="Y109" s="1454" t="s">
        <v>1061</v>
      </c>
      <c r="Z109" s="1547" t="s">
        <v>1061</v>
      </c>
      <c r="AB109" s="1542"/>
      <c r="AC109" s="1542"/>
      <c r="AD109" s="1542"/>
      <c r="AE109" s="1542"/>
      <c r="AF109" s="1279"/>
      <c r="AM109" s="2371" t="s">
        <v>117</v>
      </c>
      <c r="AN109" s="2352">
        <v>60</v>
      </c>
      <c r="AO109" s="2283" t="s">
        <v>1201</v>
      </c>
      <c r="AP109" s="2352">
        <v>60</v>
      </c>
      <c r="AQ109" s="2283" t="s">
        <v>1201</v>
      </c>
      <c r="AR109" s="2352">
        <v>60</v>
      </c>
      <c r="AS109" s="2283" t="s">
        <v>1201</v>
      </c>
      <c r="AT109" s="2348">
        <v>60</v>
      </c>
      <c r="AU109" s="2285" t="s">
        <v>1201</v>
      </c>
      <c r="AV109" s="2348">
        <v>60</v>
      </c>
      <c r="AW109" s="2285" t="s">
        <v>1201</v>
      </c>
      <c r="AX109" s="2345">
        <v>0</v>
      </c>
      <c r="AY109" s="2278" t="s">
        <v>1201</v>
      </c>
      <c r="AZ109" s="2350">
        <v>0</v>
      </c>
      <c r="BA109" s="2303" t="s">
        <v>1201</v>
      </c>
      <c r="BE109" s="2371" t="s">
        <v>117</v>
      </c>
      <c r="BF109" s="577">
        <v>60</v>
      </c>
      <c r="BG109" s="577">
        <v>65</v>
      </c>
      <c r="BH109" s="577">
        <v>75</v>
      </c>
      <c r="BI109" s="2401"/>
      <c r="BJ109" s="2371" t="s">
        <v>117</v>
      </c>
      <c r="BK109" s="578">
        <v>90</v>
      </c>
      <c r="BL109" s="577">
        <v>100</v>
      </c>
      <c r="BM109" s="577">
        <v>115</v>
      </c>
      <c r="BN109" s="2399"/>
      <c r="BO109" s="525"/>
      <c r="BP109" s="458"/>
      <c r="BQ109" s="458"/>
      <c r="BR109" s="458"/>
      <c r="BS109" s="2461" t="s">
        <v>121</v>
      </c>
      <c r="BT109" s="2463" t="str">
        <f>IFERROR(INDEX(Liste_Ackerkulturen_Gemüse_DropDown[Ackerkulturen],_xlfn.AGGREGATE(15,6,(ROW(Liste_Ackerkulturen_Gemüse_DropDown[Ackerkulturen])-1)/(--(SEARCH(BU$2,Liste_Ackerkulturen_Gemüse_DropDown[Ackerkulturen])&gt;0)),ROW()-2),1),"")</f>
        <v>Topinambur (Süßkartoffel)</v>
      </c>
      <c r="BU109" s="2463"/>
      <c r="BV109" s="2463" t="str">
        <f>IFERROR(INDEX(Liste_Ackerkulturen_Gemüse_DropDown[Ackerkulturen],_xlfn.AGGREGATE(15,6,(ROW(Liste_Ackerkulturen_Gemüse_DropDown[Ackerkulturen])-1)/(--(SEARCH(BW$2,Liste_Ackerkulturen_Gemüse_DropDown[Ackerkulturen])&gt;0)),ROW()-2),1),"")</f>
        <v>Topinambur (Süßkartoffel)</v>
      </c>
      <c r="BW109" s="2463"/>
      <c r="BX109" s="2463" t="str">
        <f>IFERROR(INDEX(Liste_Ackerkulturen_Gemüse_DropDown[Ackerkulturen],_xlfn.AGGREGATE(15,6,(ROW(Liste_Ackerkulturen_Gemüse_DropDown[Ackerkulturen])-1)/(--(SEARCH(BY$2,Liste_Ackerkulturen_Gemüse_DropDown[Ackerkulturen])&gt;0)),ROW()-2),1),"")</f>
        <v>Topinambur (Süßkartoffel)</v>
      </c>
      <c r="BY109" s="2463"/>
      <c r="BZ109" s="2463" t="str">
        <f>IFERROR(INDEX(Liste_Ackerkulturen_Gemüse_DropDown[Ackerkulturen],_xlfn.AGGREGATE(15,6,(ROW(Liste_Ackerkulturen_Gemüse_DropDown[Ackerkulturen])-1)/(--(SEARCH(CA$2,Liste_Ackerkulturen_Gemüse_DropDown[Ackerkulturen])&gt;0)),ROW()-2),1),"")</f>
        <v>Topinambur (Süßkartoffel)</v>
      </c>
      <c r="CA109" s="2463"/>
      <c r="CB109" s="2463" t="str">
        <f>IFERROR(INDEX(Liste_Ackerkulturen_Gemüse_DropDown[Ackerkulturen],_xlfn.AGGREGATE(15,6,(ROW(Liste_Ackerkulturen_Gemüse_DropDown[Ackerkulturen])-1)/(--(SEARCH(CC$2,Liste_Ackerkulturen_Gemüse_DropDown[Ackerkulturen])&gt;0)),ROW()-2),1),"")</f>
        <v>Topinambur (Süßkartoffel)</v>
      </c>
      <c r="CC109" s="2463"/>
      <c r="CD109" s="2464" t="str">
        <f>IFERROR(INDEX(Liste_Ackerkulturen_Gemüse_DropDown[Ackerkulturen],_xlfn.AGGREGATE(15,6,(ROW(Liste_Ackerkulturen_Gemüse_DropDown[Ackerkulturen])-1)/(--(SEARCH(CE$2,Liste_Ackerkulturen_Gemüse_DropDown[Ackerkulturen])&gt;0)),ROW()-2),1),"")</f>
        <v>Topinambur (Süßkartoffel)</v>
      </c>
      <c r="CE109" s="2464"/>
      <c r="CF109" s="2464" t="str">
        <f>IFERROR(INDEX(Liste_Ackerkulturen_Gemüse_DropDown[Ackerkulturen],_xlfn.AGGREGATE(15,6,(ROW(Liste_Ackerkulturen_Gemüse_DropDown[Ackerkulturen])-1)/(--(SEARCH(CG$2,Liste_Ackerkulturen_Gemüse_DropDown[Ackerkulturen])&gt;0)),ROW()-2),1),"")</f>
        <v>Topinambur (Süßkartoffel)</v>
      </c>
      <c r="CG109" s="2464"/>
      <c r="CH109" s="2464" t="str">
        <f>IFERROR(INDEX(Liste_Ackerkulturen_Gemüse_DropDown[Ackerkulturen],_xlfn.AGGREGATE(15,6,(ROW(Liste_Ackerkulturen_Gemüse_DropDown[Ackerkulturen])-1)/(--(SEARCH(CI$2,Liste_Ackerkulturen_Gemüse_DropDown[Ackerkulturen])&gt;0)),ROW()-2),1),"")</f>
        <v>Topinambur (Süßkartoffel)</v>
      </c>
      <c r="CI109" s="2464"/>
      <c r="CJ109" s="2464" t="str">
        <f>IFERROR(INDEX(Liste_Ackerkulturen_Gemüse_DropDown[Ackerkulturen],_xlfn.AGGREGATE(15,6,(ROW(Liste_Ackerkulturen_Gemüse_DropDown[Ackerkulturen])-1)/(--(SEARCH(CK$2,Liste_Ackerkulturen_Gemüse_DropDown[Ackerkulturen])&gt;0)),ROW()-2),1),"")</f>
        <v>Topinambur (Süßkartoffel)</v>
      </c>
      <c r="CK109" s="2464"/>
      <c r="CL109" s="2464" t="str">
        <f>IFERROR(INDEX(Liste_Ackerkulturen_Gemüse_DropDown[Ackerkulturen],_xlfn.AGGREGATE(15,6,(ROW(Liste_Ackerkulturen_Gemüse_DropDown[Ackerkulturen])-1)/(--(SEARCH(CM$2,Liste_Ackerkulturen_Gemüse_DropDown[Ackerkulturen])&gt;0)),ROW()-2),1),"")</f>
        <v>Topinambur (Süßkartoffel)</v>
      </c>
      <c r="CM109" s="2464"/>
      <c r="CN109" s="2464" t="str">
        <f>IFERROR(INDEX(Liste_Ackerkulturen_Gemüse_DropDown[Ackerkulturen],_xlfn.AGGREGATE(15,6,(ROW(Liste_Ackerkulturen_Gemüse_DropDown[Ackerkulturen])-1)/(--(SEARCH(CO$2,Liste_Ackerkulturen_Gemüse_DropDown[Ackerkulturen])&gt;0)),ROW()-2),1),"")</f>
        <v>Topinambur (Süßkartoffel)</v>
      </c>
      <c r="CO109" s="2464"/>
      <c r="CP109" s="2464" t="str">
        <f>IFERROR(INDEX(Liste_Ackerkulturen_Gemüse_DropDown[Ackerkulturen],_xlfn.AGGREGATE(15,6,(ROW(Liste_Ackerkulturen_Gemüse_DropDown[Ackerkulturen])-1)/(--(SEARCH(CQ$2,Liste_Ackerkulturen_Gemüse_DropDown[Ackerkulturen])&gt;0)),ROW()-2),1),"")</f>
        <v>Topinambur (Süßkartoffel)</v>
      </c>
      <c r="CQ109" s="2464"/>
      <c r="CR109" s="2464" t="str">
        <f>IFERROR(INDEX(Liste_Ackerkulturen_Gemüse_DropDown[Ackerkulturen],_xlfn.AGGREGATE(15,6,(ROW(Liste_Ackerkulturen_Gemüse_DropDown[Ackerkulturen])-1)/(--(SEARCH(CS$2,Liste_Ackerkulturen_Gemüse_DropDown[Ackerkulturen])&gt;0)),ROW()-2),1),"")</f>
        <v>Topinambur (Süßkartoffel)</v>
      </c>
      <c r="CS109" s="2464"/>
      <c r="CT109"/>
      <c r="CU109"/>
      <c r="CV109"/>
      <c r="CW109"/>
      <c r="CX109"/>
      <c r="CY109"/>
      <c r="CZ109"/>
      <c r="DA109"/>
      <c r="DB109"/>
      <c r="DC109"/>
      <c r="DD109"/>
      <c r="DE109"/>
      <c r="DF109"/>
      <c r="DG109"/>
      <c r="DH109"/>
      <c r="DN109"/>
      <c r="DO109"/>
      <c r="DP109"/>
      <c r="DQ109"/>
      <c r="DR109"/>
      <c r="DS109"/>
      <c r="DT109"/>
      <c r="DU109"/>
      <c r="DV109"/>
      <c r="DW109"/>
      <c r="DX109"/>
      <c r="DY109"/>
      <c r="DZ109"/>
      <c r="EA109"/>
      <c r="EB109"/>
      <c r="EC109"/>
      <c r="ED109"/>
      <c r="EE109"/>
      <c r="EF109"/>
      <c r="EG109"/>
      <c r="EH109"/>
      <c r="EI109"/>
      <c r="EJ109"/>
      <c r="EK109"/>
      <c r="EL109"/>
      <c r="EM109"/>
      <c r="EN109"/>
      <c r="EO109"/>
      <c r="EP109"/>
      <c r="EQ109"/>
      <c r="ER109"/>
      <c r="ES109"/>
      <c r="ET109"/>
      <c r="EU109"/>
      <c r="EV109"/>
      <c r="EW109"/>
      <c r="EX109"/>
      <c r="EY109"/>
      <c r="EZ109"/>
      <c r="FA109"/>
      <c r="FB109"/>
      <c r="FC109"/>
      <c r="FD109"/>
      <c r="FE109"/>
      <c r="FF109"/>
      <c r="FG109"/>
      <c r="FH109"/>
      <c r="FI109"/>
      <c r="FJ109"/>
      <c r="FK109"/>
      <c r="FL109"/>
      <c r="FM109"/>
      <c r="FN109"/>
      <c r="FO109"/>
      <c r="FP109"/>
      <c r="FQ109"/>
      <c r="FR109"/>
      <c r="FS109"/>
      <c r="FT109"/>
      <c r="FU109"/>
      <c r="FV109"/>
      <c r="FW109"/>
      <c r="FX109"/>
      <c r="FY109"/>
      <c r="FZ109"/>
      <c r="GA109"/>
      <c r="GB109"/>
      <c r="GC109"/>
      <c r="GD109"/>
      <c r="GE109"/>
      <c r="GF109"/>
      <c r="GG109"/>
      <c r="GH109"/>
      <c r="GI109"/>
      <c r="GJ109"/>
      <c r="GK109"/>
      <c r="GL109"/>
      <c r="GM109"/>
      <c r="GN109"/>
      <c r="GO109"/>
      <c r="GP109"/>
      <c r="GQ109"/>
      <c r="GR109"/>
      <c r="GS109"/>
      <c r="GT109"/>
      <c r="GU109"/>
      <c r="GV109"/>
      <c r="GW109"/>
      <c r="GX109"/>
      <c r="GY109"/>
      <c r="GZ109"/>
      <c r="HA109"/>
      <c r="HB109"/>
      <c r="HC109"/>
      <c r="HD109"/>
      <c r="HE109"/>
      <c r="HF109"/>
      <c r="HG109"/>
      <c r="HH109"/>
      <c r="HI109"/>
      <c r="HJ109"/>
      <c r="HK109"/>
      <c r="HL109"/>
      <c r="HM109"/>
      <c r="HN109"/>
      <c r="HO109"/>
      <c r="HP109"/>
      <c r="HQ109"/>
      <c r="HR109"/>
      <c r="HS109"/>
      <c r="HT109"/>
      <c r="HU109"/>
      <c r="HV109"/>
      <c r="HW109"/>
      <c r="HX109"/>
      <c r="HY109"/>
      <c r="HZ109"/>
      <c r="IA109"/>
      <c r="IB109"/>
      <c r="IC109"/>
      <c r="ID109"/>
      <c r="IE109"/>
      <c r="IF109"/>
      <c r="IG109"/>
      <c r="IH109"/>
      <c r="II109"/>
      <c r="IJ109"/>
      <c r="IK109"/>
      <c r="IL109"/>
      <c r="IM109"/>
      <c r="IN109"/>
      <c r="IO109"/>
      <c r="IP109"/>
      <c r="IQ109"/>
      <c r="IR109"/>
      <c r="IS109"/>
      <c r="IT109"/>
      <c r="IU109"/>
    </row>
    <row r="110" spans="1:255" ht="21" customHeight="1">
      <c r="C110" s="2615"/>
      <c r="D110" s="1548" t="s">
        <v>1068</v>
      </c>
      <c r="E110" s="1545" t="s">
        <v>1201</v>
      </c>
      <c r="F110" s="2252"/>
      <c r="G110" s="1782" t="s">
        <v>1076</v>
      </c>
      <c r="H110" s="1783">
        <v>40</v>
      </c>
      <c r="I110" s="1452" t="s">
        <v>1077</v>
      </c>
      <c r="J110" s="1451">
        <v>40</v>
      </c>
      <c r="K110" s="1527">
        <v>0</v>
      </c>
      <c r="L110" s="1528">
        <v>0</v>
      </c>
      <c r="M110" s="1546">
        <v>130</v>
      </c>
      <c r="N110" s="1453">
        <v>105</v>
      </c>
      <c r="O110" s="1451"/>
      <c r="P110" s="1783">
        <v>85</v>
      </c>
      <c r="Q110" s="1451">
        <v>105</v>
      </c>
      <c r="R110" s="1454" t="s">
        <v>1061</v>
      </c>
      <c r="S110" s="1547" t="s">
        <v>1061</v>
      </c>
      <c r="T110" s="1546">
        <v>345</v>
      </c>
      <c r="U110" s="1450">
        <v>290</v>
      </c>
      <c r="V110" s="1455"/>
      <c r="W110" s="1783">
        <v>230</v>
      </c>
      <c r="X110" s="1456">
        <v>300</v>
      </c>
      <c r="Y110" s="1454" t="s">
        <v>1061</v>
      </c>
      <c r="Z110" s="1547" t="s">
        <v>1061</v>
      </c>
      <c r="AB110" s="1542"/>
      <c r="AC110" s="1542"/>
      <c r="AD110" s="1542"/>
      <c r="AE110" s="1542"/>
      <c r="AF110" s="1279"/>
      <c r="AM110" s="2371" t="s">
        <v>118</v>
      </c>
      <c r="AN110" s="2352">
        <v>100</v>
      </c>
      <c r="AO110" s="2283" t="s">
        <v>1967</v>
      </c>
      <c r="AP110" s="2352">
        <v>100</v>
      </c>
      <c r="AQ110" s="2283" t="s">
        <v>119</v>
      </c>
      <c r="AR110" s="2352">
        <v>100</v>
      </c>
      <c r="AS110" s="2283" t="s">
        <v>1951</v>
      </c>
      <c r="AT110" s="2348">
        <v>100</v>
      </c>
      <c r="AU110" s="2285" t="s">
        <v>1952</v>
      </c>
      <c r="AV110" s="2348">
        <v>100</v>
      </c>
      <c r="AW110" s="2285" t="s">
        <v>1953</v>
      </c>
      <c r="AX110" s="2345">
        <v>100</v>
      </c>
      <c r="AY110" s="2278" t="s">
        <v>119</v>
      </c>
      <c r="AZ110" s="2350">
        <v>100</v>
      </c>
      <c r="BA110" s="2303" t="s">
        <v>2330</v>
      </c>
      <c r="BE110" s="2371" t="s">
        <v>118</v>
      </c>
      <c r="BF110" s="577">
        <v>50</v>
      </c>
      <c r="BG110" s="577">
        <v>55</v>
      </c>
      <c r="BH110" s="577">
        <v>65</v>
      </c>
      <c r="BI110" s="2401"/>
      <c r="BJ110" s="2371" t="s">
        <v>118</v>
      </c>
      <c r="BK110" s="578">
        <v>225</v>
      </c>
      <c r="BL110" s="577">
        <v>250</v>
      </c>
      <c r="BM110" s="577">
        <v>290</v>
      </c>
      <c r="BN110" s="2399"/>
      <c r="BO110" s="525"/>
      <c r="BP110" s="458"/>
      <c r="BQ110" s="458"/>
      <c r="BR110" s="458"/>
      <c r="BS110" s="2461" t="s">
        <v>122</v>
      </c>
      <c r="BT110" s="2463" t="str">
        <f>IFERROR(INDEX(Liste_Ackerkulturen_Gemüse_DropDown[Ackerkulturen],_xlfn.AGGREGATE(15,6,(ROW(Liste_Ackerkulturen_Gemüse_DropDown[Ackerkulturen])-1)/(--(SEARCH(BU$2,Liste_Ackerkulturen_Gemüse_DropDown[Ackerkulturen])&gt;0)),ROW()-2),1),"")</f>
        <v>Wintermenggetreide</v>
      </c>
      <c r="BU110" s="2463"/>
      <c r="BV110" s="2463" t="str">
        <f>IFERROR(INDEX(Liste_Ackerkulturen_Gemüse_DropDown[Ackerkulturen],_xlfn.AGGREGATE(15,6,(ROW(Liste_Ackerkulturen_Gemüse_DropDown[Ackerkulturen])-1)/(--(SEARCH(BW$2,Liste_Ackerkulturen_Gemüse_DropDown[Ackerkulturen])&gt;0)),ROW()-2),1),"")</f>
        <v>Wintermenggetreide</v>
      </c>
      <c r="BW110" s="2463"/>
      <c r="BX110" s="2463" t="str">
        <f>IFERROR(INDEX(Liste_Ackerkulturen_Gemüse_DropDown[Ackerkulturen],_xlfn.AGGREGATE(15,6,(ROW(Liste_Ackerkulturen_Gemüse_DropDown[Ackerkulturen])-1)/(--(SEARCH(BY$2,Liste_Ackerkulturen_Gemüse_DropDown[Ackerkulturen])&gt;0)),ROW()-2),1),"")</f>
        <v>Wintermenggetreide</v>
      </c>
      <c r="BY110" s="2463"/>
      <c r="BZ110" s="2463" t="str">
        <f>IFERROR(INDEX(Liste_Ackerkulturen_Gemüse_DropDown[Ackerkulturen],_xlfn.AGGREGATE(15,6,(ROW(Liste_Ackerkulturen_Gemüse_DropDown[Ackerkulturen])-1)/(--(SEARCH(CA$2,Liste_Ackerkulturen_Gemüse_DropDown[Ackerkulturen])&gt;0)),ROW()-2),1),"")</f>
        <v>Wintermenggetreide</v>
      </c>
      <c r="CA110" s="2463"/>
      <c r="CB110" s="2463" t="str">
        <f>IFERROR(INDEX(Liste_Ackerkulturen_Gemüse_DropDown[Ackerkulturen],_xlfn.AGGREGATE(15,6,(ROW(Liste_Ackerkulturen_Gemüse_DropDown[Ackerkulturen])-1)/(--(SEARCH(CC$2,Liste_Ackerkulturen_Gemüse_DropDown[Ackerkulturen])&gt;0)),ROW()-2),1),"")</f>
        <v>Wintermenggetreide</v>
      </c>
      <c r="CC110" s="2463"/>
      <c r="CD110" s="2464" t="str">
        <f>IFERROR(INDEX(Liste_Ackerkulturen_Gemüse_DropDown[Ackerkulturen],_xlfn.AGGREGATE(15,6,(ROW(Liste_Ackerkulturen_Gemüse_DropDown[Ackerkulturen])-1)/(--(SEARCH(CE$2,Liste_Ackerkulturen_Gemüse_DropDown[Ackerkulturen])&gt;0)),ROW()-2),1),"")</f>
        <v>Wintermenggetreide</v>
      </c>
      <c r="CE110" s="2464"/>
      <c r="CF110" s="2464" t="str">
        <f>IFERROR(INDEX(Liste_Ackerkulturen_Gemüse_DropDown[Ackerkulturen],_xlfn.AGGREGATE(15,6,(ROW(Liste_Ackerkulturen_Gemüse_DropDown[Ackerkulturen])-1)/(--(SEARCH(CG$2,Liste_Ackerkulturen_Gemüse_DropDown[Ackerkulturen])&gt;0)),ROW()-2),1),"")</f>
        <v>Wintermenggetreide</v>
      </c>
      <c r="CG110" s="2464"/>
      <c r="CH110" s="2464" t="str">
        <f>IFERROR(INDEX(Liste_Ackerkulturen_Gemüse_DropDown[Ackerkulturen],_xlfn.AGGREGATE(15,6,(ROW(Liste_Ackerkulturen_Gemüse_DropDown[Ackerkulturen])-1)/(--(SEARCH(CI$2,Liste_Ackerkulturen_Gemüse_DropDown[Ackerkulturen])&gt;0)),ROW()-2),1),"")</f>
        <v>Wintermenggetreide</v>
      </c>
      <c r="CI110" s="2464"/>
      <c r="CJ110" s="2464" t="str">
        <f>IFERROR(INDEX(Liste_Ackerkulturen_Gemüse_DropDown[Ackerkulturen],_xlfn.AGGREGATE(15,6,(ROW(Liste_Ackerkulturen_Gemüse_DropDown[Ackerkulturen])-1)/(--(SEARCH(CK$2,Liste_Ackerkulturen_Gemüse_DropDown[Ackerkulturen])&gt;0)),ROW()-2),1),"")</f>
        <v>Wintermenggetreide</v>
      </c>
      <c r="CK110" s="2464"/>
      <c r="CL110" s="2464" t="str">
        <f>IFERROR(INDEX(Liste_Ackerkulturen_Gemüse_DropDown[Ackerkulturen],_xlfn.AGGREGATE(15,6,(ROW(Liste_Ackerkulturen_Gemüse_DropDown[Ackerkulturen])-1)/(--(SEARCH(CM$2,Liste_Ackerkulturen_Gemüse_DropDown[Ackerkulturen])&gt;0)),ROW()-2),1),"")</f>
        <v>Wintermenggetreide</v>
      </c>
      <c r="CM110" s="2464"/>
      <c r="CN110" s="2464" t="str">
        <f>IFERROR(INDEX(Liste_Ackerkulturen_Gemüse_DropDown[Ackerkulturen],_xlfn.AGGREGATE(15,6,(ROW(Liste_Ackerkulturen_Gemüse_DropDown[Ackerkulturen])-1)/(--(SEARCH(CO$2,Liste_Ackerkulturen_Gemüse_DropDown[Ackerkulturen])&gt;0)),ROW()-2),1),"")</f>
        <v>Wintermenggetreide</v>
      </c>
      <c r="CO110" s="2464"/>
      <c r="CP110" s="2464" t="str">
        <f>IFERROR(INDEX(Liste_Ackerkulturen_Gemüse_DropDown[Ackerkulturen],_xlfn.AGGREGATE(15,6,(ROW(Liste_Ackerkulturen_Gemüse_DropDown[Ackerkulturen])-1)/(--(SEARCH(CQ$2,Liste_Ackerkulturen_Gemüse_DropDown[Ackerkulturen])&gt;0)),ROW()-2),1),"")</f>
        <v>Wintermenggetreide</v>
      </c>
      <c r="CQ110" s="2464"/>
      <c r="CR110" s="2464" t="str">
        <f>IFERROR(INDEX(Liste_Ackerkulturen_Gemüse_DropDown[Ackerkulturen],_xlfn.AGGREGATE(15,6,(ROW(Liste_Ackerkulturen_Gemüse_DropDown[Ackerkulturen])-1)/(--(SEARCH(CS$2,Liste_Ackerkulturen_Gemüse_DropDown[Ackerkulturen])&gt;0)),ROW()-2),1),"")</f>
        <v>Wintermenggetreide</v>
      </c>
      <c r="CS110" s="2464"/>
      <c r="CT110"/>
      <c r="CU110"/>
      <c r="CV110"/>
      <c r="CW110"/>
      <c r="CX110"/>
      <c r="CY110"/>
      <c r="CZ110"/>
      <c r="DA110"/>
      <c r="DB110"/>
      <c r="DC110"/>
      <c r="DD110"/>
      <c r="DE110"/>
      <c r="DF110"/>
      <c r="DG110"/>
      <c r="DH110"/>
      <c r="DN110"/>
      <c r="DO110"/>
      <c r="DP110"/>
      <c r="DQ110"/>
      <c r="DR110"/>
      <c r="DS110"/>
      <c r="DT110"/>
      <c r="DU110"/>
      <c r="DV110"/>
      <c r="DW110"/>
      <c r="DX110"/>
      <c r="DY110"/>
      <c r="DZ110"/>
      <c r="EA110"/>
      <c r="EB110"/>
      <c r="EC110"/>
      <c r="ED110"/>
      <c r="EE110"/>
      <c r="EF110"/>
      <c r="EG110"/>
      <c r="EH110"/>
      <c r="EI110"/>
      <c r="EJ110"/>
      <c r="EK110"/>
      <c r="EL110"/>
      <c r="EM110"/>
      <c r="EN110"/>
      <c r="EO110"/>
      <c r="EP110"/>
      <c r="EQ110"/>
      <c r="ER110"/>
      <c r="ES110"/>
      <c r="ET110"/>
      <c r="EU110"/>
      <c r="EV110"/>
      <c r="EW110"/>
      <c r="EX110"/>
      <c r="EY110"/>
      <c r="EZ110"/>
      <c r="FA110"/>
      <c r="FB110"/>
      <c r="FC110"/>
      <c r="FD110"/>
      <c r="FE110"/>
      <c r="FF110"/>
      <c r="FG110"/>
      <c r="FH110"/>
      <c r="FI110"/>
      <c r="FJ110"/>
      <c r="FK110"/>
      <c r="FL110"/>
      <c r="FM110"/>
      <c r="FN110"/>
      <c r="FO110"/>
      <c r="FP110"/>
      <c r="FQ110"/>
      <c r="FR110"/>
      <c r="FS110"/>
      <c r="FT110"/>
      <c r="FU110"/>
      <c r="FV110"/>
      <c r="FW110"/>
      <c r="FX110"/>
      <c r="FY110"/>
      <c r="FZ110"/>
      <c r="GA110"/>
      <c r="GB110"/>
      <c r="GC110"/>
      <c r="GD110"/>
      <c r="GE110"/>
      <c r="GF110"/>
      <c r="GG110"/>
      <c r="GH110"/>
      <c r="GI110"/>
      <c r="GJ110"/>
      <c r="GK110"/>
      <c r="GL110"/>
      <c r="GM110"/>
      <c r="GN110"/>
      <c r="GO110"/>
      <c r="GP110"/>
      <c r="GQ110"/>
      <c r="GR110"/>
      <c r="GS110"/>
      <c r="GT110"/>
      <c r="GU110"/>
      <c r="GV110"/>
      <c r="GW110"/>
      <c r="GX110"/>
      <c r="GY110"/>
      <c r="GZ110"/>
      <c r="HA110"/>
      <c r="HB110"/>
      <c r="HC110"/>
      <c r="HD110"/>
      <c r="HE110"/>
      <c r="HF110"/>
      <c r="HG110"/>
      <c r="HH110"/>
      <c r="HI110"/>
      <c r="HJ110"/>
      <c r="HK110"/>
      <c r="HL110"/>
      <c r="HM110"/>
      <c r="HN110"/>
      <c r="HO110"/>
      <c r="HP110"/>
      <c r="HQ110"/>
      <c r="HR110"/>
      <c r="HS110"/>
      <c r="HT110"/>
      <c r="HU110"/>
      <c r="HV110"/>
      <c r="HW110"/>
      <c r="HX110"/>
      <c r="HY110"/>
      <c r="HZ110"/>
      <c r="IA110"/>
      <c r="IB110"/>
      <c r="IC110"/>
      <c r="ID110"/>
      <c r="IE110"/>
      <c r="IF110"/>
      <c r="IG110"/>
      <c r="IH110"/>
      <c r="II110"/>
      <c r="IJ110"/>
      <c r="IK110"/>
      <c r="IL110"/>
      <c r="IM110"/>
      <c r="IN110"/>
      <c r="IO110"/>
      <c r="IP110"/>
      <c r="IQ110"/>
      <c r="IR110"/>
      <c r="IS110"/>
      <c r="IT110"/>
      <c r="IU110"/>
    </row>
    <row r="111" spans="1:255" ht="21" customHeight="1">
      <c r="C111" s="2615"/>
      <c r="D111" s="1548" t="s">
        <v>1069</v>
      </c>
      <c r="E111" s="1545" t="s">
        <v>1201</v>
      </c>
      <c r="F111" s="2252"/>
      <c r="G111" s="1782" t="s">
        <v>1201</v>
      </c>
      <c r="H111" s="1783"/>
      <c r="I111" s="1452" t="s">
        <v>1078</v>
      </c>
      <c r="J111" s="1451">
        <v>40</v>
      </c>
      <c r="K111" s="1527">
        <v>0</v>
      </c>
      <c r="L111" s="1528">
        <v>0</v>
      </c>
      <c r="M111" s="1546"/>
      <c r="N111" s="1453"/>
      <c r="O111" s="1451"/>
      <c r="P111" s="1783"/>
      <c r="Q111" s="1451">
        <v>120</v>
      </c>
      <c r="R111" s="1454" t="s">
        <v>1061</v>
      </c>
      <c r="S111" s="1547" t="s">
        <v>1061</v>
      </c>
      <c r="T111" s="1546"/>
      <c r="U111" s="1450"/>
      <c r="V111" s="1455"/>
      <c r="W111" s="1783"/>
      <c r="X111" s="1456">
        <v>340</v>
      </c>
      <c r="Y111" s="1454" t="s">
        <v>1061</v>
      </c>
      <c r="Z111" s="1547" t="s">
        <v>1061</v>
      </c>
      <c r="AB111" s="1542"/>
      <c r="AC111" s="1542"/>
      <c r="AD111" s="1542"/>
      <c r="AE111" s="1542"/>
      <c r="AF111" s="1279"/>
      <c r="AM111" s="2371" t="s">
        <v>121</v>
      </c>
      <c r="AN111" s="2352">
        <v>80</v>
      </c>
      <c r="AO111" s="2283" t="s">
        <v>1967</v>
      </c>
      <c r="AP111" s="2352">
        <v>110</v>
      </c>
      <c r="AQ111" s="2283" t="s">
        <v>1968</v>
      </c>
      <c r="AR111" s="2352">
        <v>130</v>
      </c>
      <c r="AS111" s="2283" t="s">
        <v>1972</v>
      </c>
      <c r="AT111" s="2348">
        <v>140</v>
      </c>
      <c r="AU111" s="2285" t="s">
        <v>1973</v>
      </c>
      <c r="AV111" s="2348">
        <v>150</v>
      </c>
      <c r="AW111" s="2285" t="s">
        <v>1974</v>
      </c>
      <c r="AX111" s="2345">
        <v>90</v>
      </c>
      <c r="AY111" s="2278" t="s">
        <v>1968</v>
      </c>
      <c r="AZ111" s="2350">
        <v>100</v>
      </c>
      <c r="BA111" s="2303" t="s">
        <v>2328</v>
      </c>
      <c r="BE111" s="2371" t="s">
        <v>121</v>
      </c>
      <c r="BF111" s="577">
        <v>50</v>
      </c>
      <c r="BG111" s="577">
        <v>55</v>
      </c>
      <c r="BH111" s="577">
        <v>65</v>
      </c>
      <c r="BI111" s="2401"/>
      <c r="BJ111" s="2371" t="s">
        <v>121</v>
      </c>
      <c r="BK111" s="578">
        <v>70</v>
      </c>
      <c r="BL111" s="577">
        <v>80</v>
      </c>
      <c r="BM111" s="577">
        <v>90</v>
      </c>
      <c r="BN111" s="2399"/>
      <c r="BO111" s="525"/>
      <c r="BP111" s="458"/>
      <c r="BQ111" s="458"/>
      <c r="BR111" s="458"/>
      <c r="BS111" s="2461" t="s">
        <v>123</v>
      </c>
      <c r="BT111" s="2463" t="str">
        <f>IFERROR(INDEX(Liste_Ackerkulturen_Gemüse_DropDown[Ackerkulturen],_xlfn.AGGREGATE(15,6,(ROW(Liste_Ackerkulturen_Gemüse_DropDown[Ackerkulturen])-1)/(--(SEARCH(BU$2,Liste_Ackerkulturen_Gemüse_DropDown[Ackerkulturen])&gt;0)),ROW()-2),1),"")</f>
        <v>Winterrübsen</v>
      </c>
      <c r="BU111" s="2463"/>
      <c r="BV111" s="2463" t="str">
        <f>IFERROR(INDEX(Liste_Ackerkulturen_Gemüse_DropDown[Ackerkulturen],_xlfn.AGGREGATE(15,6,(ROW(Liste_Ackerkulturen_Gemüse_DropDown[Ackerkulturen])-1)/(--(SEARCH(BW$2,Liste_Ackerkulturen_Gemüse_DropDown[Ackerkulturen])&gt;0)),ROW()-2),1),"")</f>
        <v>Winterrübsen</v>
      </c>
      <c r="BW111" s="2463"/>
      <c r="BX111" s="2463" t="str">
        <f>IFERROR(INDEX(Liste_Ackerkulturen_Gemüse_DropDown[Ackerkulturen],_xlfn.AGGREGATE(15,6,(ROW(Liste_Ackerkulturen_Gemüse_DropDown[Ackerkulturen])-1)/(--(SEARCH(BY$2,Liste_Ackerkulturen_Gemüse_DropDown[Ackerkulturen])&gt;0)),ROW()-2),1),"")</f>
        <v>Winterrübsen</v>
      </c>
      <c r="BY111" s="2463"/>
      <c r="BZ111" s="2463" t="str">
        <f>IFERROR(INDEX(Liste_Ackerkulturen_Gemüse_DropDown[Ackerkulturen],_xlfn.AGGREGATE(15,6,(ROW(Liste_Ackerkulturen_Gemüse_DropDown[Ackerkulturen])-1)/(--(SEARCH(CA$2,Liste_Ackerkulturen_Gemüse_DropDown[Ackerkulturen])&gt;0)),ROW()-2),1),"")</f>
        <v>Winterrübsen</v>
      </c>
      <c r="CA111" s="2463"/>
      <c r="CB111" s="2463" t="str">
        <f>IFERROR(INDEX(Liste_Ackerkulturen_Gemüse_DropDown[Ackerkulturen],_xlfn.AGGREGATE(15,6,(ROW(Liste_Ackerkulturen_Gemüse_DropDown[Ackerkulturen])-1)/(--(SEARCH(CC$2,Liste_Ackerkulturen_Gemüse_DropDown[Ackerkulturen])&gt;0)),ROW()-2),1),"")</f>
        <v>Winterrübsen</v>
      </c>
      <c r="CC111" s="2463"/>
      <c r="CD111" s="2464" t="str">
        <f>IFERROR(INDEX(Liste_Ackerkulturen_Gemüse_DropDown[Ackerkulturen],_xlfn.AGGREGATE(15,6,(ROW(Liste_Ackerkulturen_Gemüse_DropDown[Ackerkulturen])-1)/(--(SEARCH(CE$2,Liste_Ackerkulturen_Gemüse_DropDown[Ackerkulturen])&gt;0)),ROW()-2),1),"")</f>
        <v>Winterrübsen</v>
      </c>
      <c r="CE111" s="2464"/>
      <c r="CF111" s="2464" t="str">
        <f>IFERROR(INDEX(Liste_Ackerkulturen_Gemüse_DropDown[Ackerkulturen],_xlfn.AGGREGATE(15,6,(ROW(Liste_Ackerkulturen_Gemüse_DropDown[Ackerkulturen])-1)/(--(SEARCH(CG$2,Liste_Ackerkulturen_Gemüse_DropDown[Ackerkulturen])&gt;0)),ROW()-2),1),"")</f>
        <v>Winterrübsen</v>
      </c>
      <c r="CG111" s="2464"/>
      <c r="CH111" s="2464" t="str">
        <f>IFERROR(INDEX(Liste_Ackerkulturen_Gemüse_DropDown[Ackerkulturen],_xlfn.AGGREGATE(15,6,(ROW(Liste_Ackerkulturen_Gemüse_DropDown[Ackerkulturen])-1)/(--(SEARCH(CI$2,Liste_Ackerkulturen_Gemüse_DropDown[Ackerkulturen])&gt;0)),ROW()-2),1),"")</f>
        <v>Winterrübsen</v>
      </c>
      <c r="CI111" s="2464"/>
      <c r="CJ111" s="2464" t="str">
        <f>IFERROR(INDEX(Liste_Ackerkulturen_Gemüse_DropDown[Ackerkulturen],_xlfn.AGGREGATE(15,6,(ROW(Liste_Ackerkulturen_Gemüse_DropDown[Ackerkulturen])-1)/(--(SEARCH(CK$2,Liste_Ackerkulturen_Gemüse_DropDown[Ackerkulturen])&gt;0)),ROW()-2),1),"")</f>
        <v>Winterrübsen</v>
      </c>
      <c r="CK111" s="2464"/>
      <c r="CL111" s="2464" t="str">
        <f>IFERROR(INDEX(Liste_Ackerkulturen_Gemüse_DropDown[Ackerkulturen],_xlfn.AGGREGATE(15,6,(ROW(Liste_Ackerkulturen_Gemüse_DropDown[Ackerkulturen])-1)/(--(SEARCH(CM$2,Liste_Ackerkulturen_Gemüse_DropDown[Ackerkulturen])&gt;0)),ROW()-2),1),"")</f>
        <v>Winterrübsen</v>
      </c>
      <c r="CM111" s="2464"/>
      <c r="CN111" s="2464" t="str">
        <f>IFERROR(INDEX(Liste_Ackerkulturen_Gemüse_DropDown[Ackerkulturen],_xlfn.AGGREGATE(15,6,(ROW(Liste_Ackerkulturen_Gemüse_DropDown[Ackerkulturen])-1)/(--(SEARCH(CO$2,Liste_Ackerkulturen_Gemüse_DropDown[Ackerkulturen])&gt;0)),ROW()-2),1),"")</f>
        <v>Winterrübsen</v>
      </c>
      <c r="CO111" s="2464"/>
      <c r="CP111" s="2464" t="str">
        <f>IFERROR(INDEX(Liste_Ackerkulturen_Gemüse_DropDown[Ackerkulturen],_xlfn.AGGREGATE(15,6,(ROW(Liste_Ackerkulturen_Gemüse_DropDown[Ackerkulturen])-1)/(--(SEARCH(CQ$2,Liste_Ackerkulturen_Gemüse_DropDown[Ackerkulturen])&gt;0)),ROW()-2),1),"")</f>
        <v>Winterrübsen</v>
      </c>
      <c r="CQ111" s="2464"/>
      <c r="CR111" s="2464" t="str">
        <f>IFERROR(INDEX(Liste_Ackerkulturen_Gemüse_DropDown[Ackerkulturen],_xlfn.AGGREGATE(15,6,(ROW(Liste_Ackerkulturen_Gemüse_DropDown[Ackerkulturen])-1)/(--(SEARCH(CS$2,Liste_Ackerkulturen_Gemüse_DropDown[Ackerkulturen])&gt;0)),ROW()-2),1),"")</f>
        <v>Winterrübsen</v>
      </c>
      <c r="CS111" s="2464"/>
      <c r="CT111"/>
      <c r="CU111"/>
      <c r="CV111"/>
      <c r="CW111"/>
      <c r="CX111"/>
      <c r="CY111"/>
      <c r="CZ111"/>
      <c r="DA111"/>
      <c r="DB111"/>
      <c r="DC111"/>
      <c r="DD111"/>
      <c r="DE111"/>
      <c r="DF111"/>
      <c r="DG111"/>
      <c r="DH111"/>
      <c r="DN111"/>
      <c r="DO111"/>
      <c r="DP111"/>
      <c r="DQ111"/>
      <c r="DR111"/>
      <c r="DS111"/>
      <c r="DT111"/>
      <c r="DU111"/>
      <c r="DV111"/>
      <c r="DW111"/>
      <c r="DX111"/>
      <c r="DY111"/>
      <c r="DZ111"/>
      <c r="EA111"/>
      <c r="EB111"/>
      <c r="EC111"/>
      <c r="ED111"/>
      <c r="EE111"/>
      <c r="EF111"/>
      <c r="EG111"/>
      <c r="EH111"/>
      <c r="EI111"/>
      <c r="EJ111"/>
      <c r="EK111"/>
      <c r="EL111"/>
      <c r="EM111"/>
      <c r="EN111"/>
      <c r="EO111"/>
      <c r="EP111"/>
      <c r="EQ111"/>
      <c r="ER111"/>
      <c r="ES111"/>
      <c r="ET111"/>
      <c r="EU111"/>
      <c r="EV111"/>
      <c r="EW111"/>
      <c r="EX111"/>
      <c r="EY111"/>
      <c r="EZ111"/>
      <c r="FA111"/>
      <c r="FB111"/>
      <c r="FC111"/>
      <c r="FD111"/>
      <c r="FE111"/>
      <c r="FF111"/>
      <c r="FG111"/>
      <c r="FH111"/>
      <c r="FI111"/>
      <c r="FJ111"/>
      <c r="FK111"/>
      <c r="FL111"/>
      <c r="FM111"/>
      <c r="FN111"/>
      <c r="FO111"/>
      <c r="FP111"/>
      <c r="FQ111"/>
      <c r="FR111"/>
      <c r="FS111"/>
      <c r="FT111"/>
      <c r="FU111"/>
      <c r="FV111"/>
      <c r="FW111"/>
      <c r="FX111"/>
      <c r="FY111"/>
      <c r="FZ111"/>
      <c r="GA111"/>
      <c r="GB111"/>
      <c r="GC111"/>
      <c r="GD111"/>
      <c r="GE111"/>
      <c r="GF111"/>
      <c r="GG111"/>
      <c r="GH111"/>
      <c r="GI111"/>
      <c r="GJ111"/>
      <c r="GK111"/>
      <c r="GL111"/>
      <c r="GM111"/>
      <c r="GN111"/>
      <c r="GO111"/>
      <c r="GP111"/>
      <c r="GQ111"/>
      <c r="GR111"/>
      <c r="GS111"/>
      <c r="GT111"/>
      <c r="GU111"/>
      <c r="GV111"/>
      <c r="GW111"/>
      <c r="GX111"/>
      <c r="GY111"/>
      <c r="GZ111"/>
      <c r="HA111"/>
      <c r="HB111"/>
      <c r="HC111"/>
      <c r="HD111"/>
      <c r="HE111"/>
      <c r="HF111"/>
      <c r="HG111"/>
      <c r="HH111"/>
      <c r="HI111"/>
      <c r="HJ111"/>
      <c r="HK111"/>
      <c r="HL111"/>
      <c r="HM111"/>
      <c r="HN111"/>
      <c r="HO111"/>
      <c r="HP111"/>
      <c r="HQ111"/>
      <c r="HR111"/>
      <c r="HS111"/>
      <c r="HT111"/>
      <c r="HU111"/>
      <c r="HV111"/>
      <c r="HW111"/>
      <c r="HX111"/>
      <c r="HY111"/>
      <c r="HZ111"/>
      <c r="IA111"/>
      <c r="IB111"/>
      <c r="IC111"/>
      <c r="ID111"/>
      <c r="IE111"/>
      <c r="IF111"/>
      <c r="IG111"/>
      <c r="IH111"/>
      <c r="II111"/>
      <c r="IJ111"/>
      <c r="IK111"/>
      <c r="IL111"/>
      <c r="IM111"/>
      <c r="IN111"/>
      <c r="IO111"/>
      <c r="IP111"/>
      <c r="IQ111"/>
      <c r="IR111"/>
      <c r="IS111"/>
      <c r="IT111"/>
      <c r="IU111"/>
    </row>
    <row r="112" spans="1:255" ht="21" customHeight="1">
      <c r="C112" s="1543" t="s">
        <v>734</v>
      </c>
      <c r="D112" s="1544"/>
      <c r="E112" s="1545" t="s">
        <v>1079</v>
      </c>
      <c r="F112" s="2252">
        <v>80</v>
      </c>
      <c r="G112" s="1782" t="s">
        <v>1080</v>
      </c>
      <c r="H112" s="1783">
        <v>100</v>
      </c>
      <c r="I112" s="1452" t="s">
        <v>1081</v>
      </c>
      <c r="J112" s="1451">
        <v>150</v>
      </c>
      <c r="K112" s="1550" t="s">
        <v>1082</v>
      </c>
      <c r="L112" s="1528"/>
      <c r="M112" s="1546">
        <v>90</v>
      </c>
      <c r="N112" s="1453">
        <v>75</v>
      </c>
      <c r="O112" s="1451">
        <v>40</v>
      </c>
      <c r="P112" s="1783">
        <v>60</v>
      </c>
      <c r="Q112" s="1451">
        <v>60</v>
      </c>
      <c r="R112" s="1454" t="s">
        <v>1061</v>
      </c>
      <c r="S112" s="1547" t="s">
        <v>1061</v>
      </c>
      <c r="T112" s="1546">
        <v>180</v>
      </c>
      <c r="U112" s="1450">
        <v>150</v>
      </c>
      <c r="V112" s="1455">
        <v>70</v>
      </c>
      <c r="W112" s="1783">
        <v>120</v>
      </c>
      <c r="X112" s="1456">
        <v>120</v>
      </c>
      <c r="Y112" s="1454" t="s">
        <v>1061</v>
      </c>
      <c r="Z112" s="1547" t="s">
        <v>1061</v>
      </c>
      <c r="AB112" s="1542"/>
      <c r="AC112" s="1542"/>
      <c r="AD112" s="1542"/>
      <c r="AE112" s="1542"/>
      <c r="AF112" s="1279"/>
      <c r="AM112" s="2371" t="s">
        <v>122</v>
      </c>
      <c r="AN112" s="2352">
        <v>130</v>
      </c>
      <c r="AO112" s="2283" t="s">
        <v>473</v>
      </c>
      <c r="AP112" s="2352">
        <v>130</v>
      </c>
      <c r="AQ112" s="2283" t="s">
        <v>42</v>
      </c>
      <c r="AR112" s="2352">
        <v>130</v>
      </c>
      <c r="AS112" s="2283" t="s">
        <v>43</v>
      </c>
      <c r="AT112" s="2348">
        <v>130</v>
      </c>
      <c r="AU112" s="2285" t="s">
        <v>44</v>
      </c>
      <c r="AV112" s="2348">
        <v>130</v>
      </c>
      <c r="AW112" s="2285" t="s">
        <v>1060</v>
      </c>
      <c r="AX112" s="2345">
        <v>130</v>
      </c>
      <c r="AY112" s="2278" t="s">
        <v>42</v>
      </c>
      <c r="AZ112" s="2350">
        <v>130</v>
      </c>
      <c r="BA112" s="2303" t="s">
        <v>2323</v>
      </c>
      <c r="BE112" s="2371" t="s">
        <v>122</v>
      </c>
      <c r="BF112" s="577">
        <v>70</v>
      </c>
      <c r="BG112" s="577">
        <v>75</v>
      </c>
      <c r="BH112" s="577">
        <v>85</v>
      </c>
      <c r="BI112" s="2401"/>
      <c r="BJ112" s="2371" t="s">
        <v>122</v>
      </c>
      <c r="BK112" s="578">
        <v>180</v>
      </c>
      <c r="BL112" s="577">
        <v>200</v>
      </c>
      <c r="BM112" s="577">
        <v>230</v>
      </c>
      <c r="BN112" s="2399"/>
      <c r="BO112" s="525"/>
      <c r="BP112" s="458"/>
      <c r="BQ112" s="458"/>
      <c r="BR112" s="458"/>
      <c r="BS112" s="2461" t="s">
        <v>128</v>
      </c>
      <c r="BT112" s="2463" t="str">
        <f>IFERROR(INDEX(Liste_Ackerkulturen_Gemüse_DropDown[Ackerkulturen],_xlfn.AGGREGATE(15,6,(ROW(Liste_Ackerkulturen_Gemüse_DropDown[Ackerkulturen])-1)/(--(SEARCH(BU$2,Liste_Ackerkulturen_Gemüse_DropDown[Ackerkulturen])&gt;0)),ROW()-2),1),"")</f>
        <v>Wicken</v>
      </c>
      <c r="BU112" s="2463"/>
      <c r="BV112" s="2463" t="str">
        <f>IFERROR(INDEX(Liste_Ackerkulturen_Gemüse_DropDown[Ackerkulturen],_xlfn.AGGREGATE(15,6,(ROW(Liste_Ackerkulturen_Gemüse_DropDown[Ackerkulturen])-1)/(--(SEARCH(BW$2,Liste_Ackerkulturen_Gemüse_DropDown[Ackerkulturen])&gt;0)),ROW()-2),1),"")</f>
        <v>Wicken</v>
      </c>
      <c r="BW112" s="2463"/>
      <c r="BX112" s="2463" t="str">
        <f>IFERROR(INDEX(Liste_Ackerkulturen_Gemüse_DropDown[Ackerkulturen],_xlfn.AGGREGATE(15,6,(ROW(Liste_Ackerkulturen_Gemüse_DropDown[Ackerkulturen])-1)/(--(SEARCH(BY$2,Liste_Ackerkulturen_Gemüse_DropDown[Ackerkulturen])&gt;0)),ROW()-2),1),"")</f>
        <v>Wicken</v>
      </c>
      <c r="BY112" s="2463"/>
      <c r="BZ112" s="2463" t="str">
        <f>IFERROR(INDEX(Liste_Ackerkulturen_Gemüse_DropDown[Ackerkulturen],_xlfn.AGGREGATE(15,6,(ROW(Liste_Ackerkulturen_Gemüse_DropDown[Ackerkulturen])-1)/(--(SEARCH(CA$2,Liste_Ackerkulturen_Gemüse_DropDown[Ackerkulturen])&gt;0)),ROW()-2),1),"")</f>
        <v>Wicken</v>
      </c>
      <c r="CA112" s="2463"/>
      <c r="CB112" s="2463" t="str">
        <f>IFERROR(INDEX(Liste_Ackerkulturen_Gemüse_DropDown[Ackerkulturen],_xlfn.AGGREGATE(15,6,(ROW(Liste_Ackerkulturen_Gemüse_DropDown[Ackerkulturen])-1)/(--(SEARCH(CC$2,Liste_Ackerkulturen_Gemüse_DropDown[Ackerkulturen])&gt;0)),ROW()-2),1),"")</f>
        <v>Wicken</v>
      </c>
      <c r="CC112" s="2463"/>
      <c r="CD112" s="2464" t="str">
        <f>IFERROR(INDEX(Liste_Ackerkulturen_Gemüse_DropDown[Ackerkulturen],_xlfn.AGGREGATE(15,6,(ROW(Liste_Ackerkulturen_Gemüse_DropDown[Ackerkulturen])-1)/(--(SEARCH(CE$2,Liste_Ackerkulturen_Gemüse_DropDown[Ackerkulturen])&gt;0)),ROW()-2),1),"")</f>
        <v>Wicken</v>
      </c>
      <c r="CE112" s="2464"/>
      <c r="CF112" s="2464" t="str">
        <f>IFERROR(INDEX(Liste_Ackerkulturen_Gemüse_DropDown[Ackerkulturen],_xlfn.AGGREGATE(15,6,(ROW(Liste_Ackerkulturen_Gemüse_DropDown[Ackerkulturen])-1)/(--(SEARCH(CG$2,Liste_Ackerkulturen_Gemüse_DropDown[Ackerkulturen])&gt;0)),ROW()-2),1),"")</f>
        <v>Wicken</v>
      </c>
      <c r="CG112" s="2464"/>
      <c r="CH112" s="2464" t="str">
        <f>IFERROR(INDEX(Liste_Ackerkulturen_Gemüse_DropDown[Ackerkulturen],_xlfn.AGGREGATE(15,6,(ROW(Liste_Ackerkulturen_Gemüse_DropDown[Ackerkulturen])-1)/(--(SEARCH(CI$2,Liste_Ackerkulturen_Gemüse_DropDown[Ackerkulturen])&gt;0)),ROW()-2),1),"")</f>
        <v>Wicken</v>
      </c>
      <c r="CI112" s="2464"/>
      <c r="CJ112" s="2464" t="str">
        <f>IFERROR(INDEX(Liste_Ackerkulturen_Gemüse_DropDown[Ackerkulturen],_xlfn.AGGREGATE(15,6,(ROW(Liste_Ackerkulturen_Gemüse_DropDown[Ackerkulturen])-1)/(--(SEARCH(CK$2,Liste_Ackerkulturen_Gemüse_DropDown[Ackerkulturen])&gt;0)),ROW()-2),1),"")</f>
        <v>Wicken</v>
      </c>
      <c r="CK112" s="2464"/>
      <c r="CL112" s="2464" t="str">
        <f>IFERROR(INDEX(Liste_Ackerkulturen_Gemüse_DropDown[Ackerkulturen],_xlfn.AGGREGATE(15,6,(ROW(Liste_Ackerkulturen_Gemüse_DropDown[Ackerkulturen])-1)/(--(SEARCH(CM$2,Liste_Ackerkulturen_Gemüse_DropDown[Ackerkulturen])&gt;0)),ROW()-2),1),"")</f>
        <v>Wicken</v>
      </c>
      <c r="CM112" s="2464"/>
      <c r="CN112" s="2464" t="str">
        <f>IFERROR(INDEX(Liste_Ackerkulturen_Gemüse_DropDown[Ackerkulturen],_xlfn.AGGREGATE(15,6,(ROW(Liste_Ackerkulturen_Gemüse_DropDown[Ackerkulturen])-1)/(--(SEARCH(CO$2,Liste_Ackerkulturen_Gemüse_DropDown[Ackerkulturen])&gt;0)),ROW()-2),1),"")</f>
        <v>Wicken</v>
      </c>
      <c r="CO112" s="2464"/>
      <c r="CP112" s="2464" t="str">
        <f>IFERROR(INDEX(Liste_Ackerkulturen_Gemüse_DropDown[Ackerkulturen],_xlfn.AGGREGATE(15,6,(ROW(Liste_Ackerkulturen_Gemüse_DropDown[Ackerkulturen])-1)/(--(SEARCH(CQ$2,Liste_Ackerkulturen_Gemüse_DropDown[Ackerkulturen])&gt;0)),ROW()-2),1),"")</f>
        <v>Wicken</v>
      </c>
      <c r="CQ112" s="2464"/>
      <c r="CR112" s="2464" t="str">
        <f>IFERROR(INDEX(Liste_Ackerkulturen_Gemüse_DropDown[Ackerkulturen],_xlfn.AGGREGATE(15,6,(ROW(Liste_Ackerkulturen_Gemüse_DropDown[Ackerkulturen])-1)/(--(SEARCH(CS$2,Liste_Ackerkulturen_Gemüse_DropDown[Ackerkulturen])&gt;0)),ROW()-2),1),"")</f>
        <v>Wicken</v>
      </c>
      <c r="CS112" s="2464"/>
      <c r="CT112"/>
      <c r="CU112"/>
      <c r="CV112"/>
      <c r="CW112"/>
      <c r="CX112"/>
      <c r="CY112"/>
      <c r="CZ112"/>
      <c r="DA112"/>
      <c r="DB112"/>
      <c r="DC112"/>
      <c r="DD112"/>
      <c r="DE112"/>
      <c r="DF112"/>
      <c r="DG112"/>
      <c r="DH112"/>
      <c r="DN112"/>
      <c r="DO112"/>
      <c r="DP112"/>
      <c r="DQ112"/>
      <c r="DR112"/>
      <c r="DS112"/>
      <c r="DT112"/>
      <c r="DU112"/>
      <c r="DV112"/>
      <c r="DW112"/>
      <c r="DX112"/>
      <c r="DY112"/>
      <c r="DZ112"/>
      <c r="EA112"/>
      <c r="EB112"/>
      <c r="EC112"/>
      <c r="ED112"/>
      <c r="EE112"/>
      <c r="EF112"/>
      <c r="EG112"/>
      <c r="EH112"/>
      <c r="EI112"/>
      <c r="EJ112"/>
      <c r="EK112"/>
      <c r="EL112"/>
      <c r="EM112"/>
      <c r="EN112"/>
      <c r="EO112"/>
      <c r="EP112"/>
      <c r="EQ112"/>
      <c r="ER112"/>
      <c r="ES112"/>
      <c r="ET112"/>
      <c r="EU112"/>
      <c r="EV112"/>
      <c r="EW112"/>
      <c r="EX112"/>
      <c r="EY112"/>
      <c r="EZ112"/>
      <c r="FA112"/>
      <c r="FB112"/>
      <c r="FC112"/>
      <c r="FD112"/>
      <c r="FE112"/>
      <c r="FF112"/>
      <c r="FG112"/>
      <c r="FH112"/>
      <c r="FI112"/>
      <c r="FJ112"/>
      <c r="FK112"/>
      <c r="FL112"/>
      <c r="FM112"/>
      <c r="FN112"/>
      <c r="FO112"/>
      <c r="FP112"/>
      <c r="FQ112"/>
      <c r="FR112"/>
      <c r="FS112"/>
      <c r="FT112"/>
      <c r="FU112"/>
      <c r="FV112"/>
      <c r="FW112"/>
      <c r="FX112"/>
      <c r="FY112"/>
      <c r="FZ112"/>
      <c r="GA112"/>
      <c r="GB112"/>
      <c r="GC112"/>
      <c r="GD112"/>
      <c r="GE112"/>
      <c r="GF112"/>
      <c r="GG112"/>
      <c r="GH112"/>
      <c r="GI112"/>
      <c r="GJ112"/>
      <c r="GK112"/>
      <c r="GL112"/>
      <c r="GM112"/>
      <c r="GN112"/>
      <c r="GO112"/>
      <c r="GP112"/>
      <c r="GQ112"/>
      <c r="GR112"/>
      <c r="GS112"/>
      <c r="GT112"/>
      <c r="GU112"/>
      <c r="GV112"/>
      <c r="GW112"/>
      <c r="GX112"/>
      <c r="GY112"/>
      <c r="GZ112"/>
      <c r="HA112"/>
      <c r="HB112"/>
      <c r="HC112"/>
      <c r="HD112"/>
      <c r="HE112"/>
      <c r="HF112"/>
      <c r="HG112"/>
      <c r="HH112"/>
      <c r="HI112"/>
      <c r="HJ112"/>
      <c r="HK112"/>
      <c r="HL112"/>
      <c r="HM112"/>
      <c r="HN112"/>
      <c r="HO112"/>
      <c r="HP112"/>
      <c r="HQ112"/>
      <c r="HR112"/>
      <c r="HS112"/>
      <c r="HT112"/>
      <c r="HU112"/>
      <c r="HV112"/>
      <c r="HW112"/>
      <c r="HX112"/>
      <c r="HY112"/>
      <c r="HZ112"/>
      <c r="IA112"/>
      <c r="IB112"/>
      <c r="IC112"/>
      <c r="ID112"/>
      <c r="IE112"/>
      <c r="IF112"/>
      <c r="IG112"/>
      <c r="IH112"/>
      <c r="II112"/>
      <c r="IJ112"/>
      <c r="IK112"/>
      <c r="IL112"/>
      <c r="IM112"/>
      <c r="IN112"/>
      <c r="IO112"/>
      <c r="IP112"/>
      <c r="IQ112"/>
      <c r="IR112"/>
      <c r="IS112"/>
      <c r="IT112"/>
      <c r="IU112"/>
    </row>
    <row r="113" spans="1:255" ht="21" customHeight="1">
      <c r="C113" s="1543" t="s">
        <v>1083</v>
      </c>
      <c r="D113" s="1544"/>
      <c r="E113" s="1545" t="s">
        <v>1084</v>
      </c>
      <c r="F113" s="2252">
        <v>90</v>
      </c>
      <c r="G113" s="1782" t="s">
        <v>1085</v>
      </c>
      <c r="H113" s="1783">
        <v>110</v>
      </c>
      <c r="I113" s="1452" t="s">
        <v>1086</v>
      </c>
      <c r="J113" s="1451">
        <v>170</v>
      </c>
      <c r="K113" s="1550" t="s">
        <v>1082</v>
      </c>
      <c r="L113" s="1528"/>
      <c r="M113" s="1546">
        <v>120</v>
      </c>
      <c r="N113" s="1453">
        <v>100</v>
      </c>
      <c r="O113" s="1451">
        <v>60</v>
      </c>
      <c r="P113" s="1783">
        <v>80</v>
      </c>
      <c r="Q113" s="1451">
        <v>100</v>
      </c>
      <c r="R113" s="1454" t="s">
        <v>1061</v>
      </c>
      <c r="S113" s="1547" t="s">
        <v>1061</v>
      </c>
      <c r="T113" s="1546">
        <v>240</v>
      </c>
      <c r="U113" s="1450">
        <v>200</v>
      </c>
      <c r="V113" s="1455">
        <v>80</v>
      </c>
      <c r="W113" s="1783">
        <v>160</v>
      </c>
      <c r="X113" s="1456">
        <v>220</v>
      </c>
      <c r="Y113" s="1454" t="s">
        <v>1061</v>
      </c>
      <c r="Z113" s="1547" t="s">
        <v>1061</v>
      </c>
      <c r="AB113" s="1542"/>
      <c r="AC113" s="1542"/>
      <c r="AD113" s="1542"/>
      <c r="AE113" s="1542"/>
      <c r="AF113" s="1279"/>
      <c r="AM113" s="2371" t="s">
        <v>123</v>
      </c>
      <c r="AN113" s="2352">
        <v>60</v>
      </c>
      <c r="AO113" s="2283" t="s">
        <v>66</v>
      </c>
      <c r="AP113" s="2352">
        <v>60</v>
      </c>
      <c r="AQ113" s="2283" t="s">
        <v>67</v>
      </c>
      <c r="AR113" s="2352">
        <v>60</v>
      </c>
      <c r="AS113" s="2283" t="s">
        <v>68</v>
      </c>
      <c r="AT113" s="2348">
        <v>60</v>
      </c>
      <c r="AU113" s="2285" t="s">
        <v>467</v>
      </c>
      <c r="AV113" s="2348">
        <v>60</v>
      </c>
      <c r="AW113" s="2285" t="s">
        <v>69</v>
      </c>
      <c r="AX113" s="2345">
        <v>0</v>
      </c>
      <c r="AY113" s="2278" t="s">
        <v>67</v>
      </c>
      <c r="AZ113" s="2350">
        <v>0</v>
      </c>
      <c r="BA113" s="2303" t="s">
        <v>2326</v>
      </c>
      <c r="BE113" s="2371" t="s">
        <v>123</v>
      </c>
      <c r="BF113" s="577">
        <v>60</v>
      </c>
      <c r="BG113" s="577">
        <v>65</v>
      </c>
      <c r="BH113" s="577">
        <v>75</v>
      </c>
      <c r="BI113" s="2401"/>
      <c r="BJ113" s="2371" t="s">
        <v>123</v>
      </c>
      <c r="BK113" s="578">
        <v>90</v>
      </c>
      <c r="BL113" s="577">
        <v>100</v>
      </c>
      <c r="BM113" s="577">
        <v>115</v>
      </c>
      <c r="BN113" s="2399"/>
      <c r="BO113" s="525"/>
      <c r="BP113" s="458"/>
      <c r="BQ113" s="458"/>
      <c r="BR113" s="458"/>
      <c r="BS113" s="2461" t="s">
        <v>130</v>
      </c>
      <c r="BT113" s="2463" t="str">
        <f>IFERROR(INDEX(Liste_Ackerkulturen_Gemüse_DropDown[Ackerkulturen],_xlfn.AGGREGATE(15,6,(ROW(Liste_Ackerkulturen_Gemüse_DropDown[Ackerkulturen])-1)/(--(SEARCH(BU$2,Liste_Ackerkulturen_Gemüse_DropDown[Ackerkulturen])&gt;0)),ROW()-2),1),"")</f>
        <v>Artischocke</v>
      </c>
      <c r="BU113" s="2463"/>
      <c r="BV113" s="2463" t="str">
        <f>IFERROR(INDEX(Liste_Ackerkulturen_Gemüse_DropDown[Ackerkulturen],_xlfn.AGGREGATE(15,6,(ROW(Liste_Ackerkulturen_Gemüse_DropDown[Ackerkulturen])-1)/(--(SEARCH(BW$2,Liste_Ackerkulturen_Gemüse_DropDown[Ackerkulturen])&gt;0)),ROW()-2),1),"")</f>
        <v>Artischocke</v>
      </c>
      <c r="BW113" s="2463"/>
      <c r="BX113" s="2463" t="str">
        <f>IFERROR(INDEX(Liste_Ackerkulturen_Gemüse_DropDown[Ackerkulturen],_xlfn.AGGREGATE(15,6,(ROW(Liste_Ackerkulturen_Gemüse_DropDown[Ackerkulturen])-1)/(--(SEARCH(BY$2,Liste_Ackerkulturen_Gemüse_DropDown[Ackerkulturen])&gt;0)),ROW()-2),1),"")</f>
        <v>Artischocke</v>
      </c>
      <c r="BY113" s="2463"/>
      <c r="BZ113" s="2463" t="str">
        <f>IFERROR(INDEX(Liste_Ackerkulturen_Gemüse_DropDown[Ackerkulturen],_xlfn.AGGREGATE(15,6,(ROW(Liste_Ackerkulturen_Gemüse_DropDown[Ackerkulturen])-1)/(--(SEARCH(CA$2,Liste_Ackerkulturen_Gemüse_DropDown[Ackerkulturen])&gt;0)),ROW()-2),1),"")</f>
        <v>Artischocke</v>
      </c>
      <c r="CA113" s="2463"/>
      <c r="CB113" s="2463" t="str">
        <f>IFERROR(INDEX(Liste_Ackerkulturen_Gemüse_DropDown[Ackerkulturen],_xlfn.AGGREGATE(15,6,(ROW(Liste_Ackerkulturen_Gemüse_DropDown[Ackerkulturen])-1)/(--(SEARCH(CC$2,Liste_Ackerkulturen_Gemüse_DropDown[Ackerkulturen])&gt;0)),ROW()-2),1),"")</f>
        <v>Artischocke</v>
      </c>
      <c r="CC113" s="2463"/>
      <c r="CD113" s="2464" t="str">
        <f>IFERROR(INDEX(Liste_Ackerkulturen_Gemüse_DropDown[Ackerkulturen],_xlfn.AGGREGATE(15,6,(ROW(Liste_Ackerkulturen_Gemüse_DropDown[Ackerkulturen])-1)/(--(SEARCH(CE$2,Liste_Ackerkulturen_Gemüse_DropDown[Ackerkulturen])&gt;0)),ROW()-2),1),"")</f>
        <v>Artischocke</v>
      </c>
      <c r="CE113" s="2464"/>
      <c r="CF113" s="2464" t="str">
        <f>IFERROR(INDEX(Liste_Ackerkulturen_Gemüse_DropDown[Ackerkulturen],_xlfn.AGGREGATE(15,6,(ROW(Liste_Ackerkulturen_Gemüse_DropDown[Ackerkulturen])-1)/(--(SEARCH(CG$2,Liste_Ackerkulturen_Gemüse_DropDown[Ackerkulturen])&gt;0)),ROW()-2),1),"")</f>
        <v>Artischocke</v>
      </c>
      <c r="CG113" s="2464"/>
      <c r="CH113" s="2464" t="str">
        <f>IFERROR(INDEX(Liste_Ackerkulturen_Gemüse_DropDown[Ackerkulturen],_xlfn.AGGREGATE(15,6,(ROW(Liste_Ackerkulturen_Gemüse_DropDown[Ackerkulturen])-1)/(--(SEARCH(CI$2,Liste_Ackerkulturen_Gemüse_DropDown[Ackerkulturen])&gt;0)),ROW()-2),1),"")</f>
        <v>Artischocke</v>
      </c>
      <c r="CI113" s="2464"/>
      <c r="CJ113" s="2464" t="str">
        <f>IFERROR(INDEX(Liste_Ackerkulturen_Gemüse_DropDown[Ackerkulturen],_xlfn.AGGREGATE(15,6,(ROW(Liste_Ackerkulturen_Gemüse_DropDown[Ackerkulturen])-1)/(--(SEARCH(CK$2,Liste_Ackerkulturen_Gemüse_DropDown[Ackerkulturen])&gt;0)),ROW()-2),1),"")</f>
        <v>Artischocke</v>
      </c>
      <c r="CK113" s="2464"/>
      <c r="CL113" s="2464" t="str">
        <f>IFERROR(INDEX(Liste_Ackerkulturen_Gemüse_DropDown[Ackerkulturen],_xlfn.AGGREGATE(15,6,(ROW(Liste_Ackerkulturen_Gemüse_DropDown[Ackerkulturen])-1)/(--(SEARCH(CM$2,Liste_Ackerkulturen_Gemüse_DropDown[Ackerkulturen])&gt;0)),ROW()-2),1),"")</f>
        <v>Artischocke</v>
      </c>
      <c r="CM113" s="2464"/>
      <c r="CN113" s="2464" t="str">
        <f>IFERROR(INDEX(Liste_Ackerkulturen_Gemüse_DropDown[Ackerkulturen],_xlfn.AGGREGATE(15,6,(ROW(Liste_Ackerkulturen_Gemüse_DropDown[Ackerkulturen])-1)/(--(SEARCH(CO$2,Liste_Ackerkulturen_Gemüse_DropDown[Ackerkulturen])&gt;0)),ROW()-2),1),"")</f>
        <v>Artischocke</v>
      </c>
      <c r="CO113" s="2464"/>
      <c r="CP113" s="2464" t="str">
        <f>IFERROR(INDEX(Liste_Ackerkulturen_Gemüse_DropDown[Ackerkulturen],_xlfn.AGGREGATE(15,6,(ROW(Liste_Ackerkulturen_Gemüse_DropDown[Ackerkulturen])-1)/(--(SEARCH(CQ$2,Liste_Ackerkulturen_Gemüse_DropDown[Ackerkulturen])&gt;0)),ROW()-2),1),"")</f>
        <v>Artischocke</v>
      </c>
      <c r="CQ113" s="2464"/>
      <c r="CR113" s="2464" t="str">
        <f>IFERROR(INDEX(Liste_Ackerkulturen_Gemüse_DropDown[Ackerkulturen],_xlfn.AGGREGATE(15,6,(ROW(Liste_Ackerkulturen_Gemüse_DropDown[Ackerkulturen])-1)/(--(SEARCH(CS$2,Liste_Ackerkulturen_Gemüse_DropDown[Ackerkulturen])&gt;0)),ROW()-2),1),"")</f>
        <v>Artischocke</v>
      </c>
      <c r="CS113" s="2464"/>
      <c r="CT113"/>
      <c r="CU113"/>
      <c r="CV113"/>
      <c r="CW113"/>
      <c r="CX113"/>
      <c r="CY113"/>
      <c r="CZ113"/>
      <c r="DA113"/>
      <c r="DB113"/>
      <c r="DC113"/>
      <c r="DD113"/>
      <c r="DE113"/>
      <c r="DF113"/>
      <c r="DG113"/>
      <c r="DH113"/>
      <c r="DN113"/>
      <c r="DO113"/>
      <c r="DP113"/>
      <c r="DQ113"/>
      <c r="DR113"/>
      <c r="DS113"/>
      <c r="DT113"/>
      <c r="DU113"/>
      <c r="DV113"/>
      <c r="DW113"/>
      <c r="DX113"/>
      <c r="DY113"/>
      <c r="DZ113"/>
      <c r="EA113"/>
      <c r="EB113"/>
      <c r="EC113"/>
      <c r="ED113"/>
      <c r="EE113"/>
      <c r="EF113"/>
      <c r="EG113"/>
      <c r="EH113"/>
      <c r="EI113"/>
      <c r="EJ113"/>
      <c r="EK113"/>
      <c r="EL113"/>
      <c r="EM113"/>
      <c r="EN113"/>
      <c r="EO113"/>
      <c r="EP113"/>
      <c r="EQ113"/>
      <c r="ER113"/>
      <c r="ES113"/>
      <c r="ET113"/>
      <c r="EU113"/>
      <c r="EV113"/>
      <c r="EW113"/>
      <c r="EX113"/>
      <c r="EY113"/>
      <c r="EZ113"/>
      <c r="FA113"/>
      <c r="FB113"/>
      <c r="FC113"/>
      <c r="FD113"/>
      <c r="FE113"/>
      <c r="FF113"/>
      <c r="FG113"/>
      <c r="FH113"/>
      <c r="FI113"/>
      <c r="FJ113"/>
      <c r="FK113"/>
      <c r="FL113"/>
      <c r="FM113"/>
      <c r="FN113"/>
      <c r="FO113"/>
      <c r="FP113"/>
      <c r="FQ113"/>
      <c r="FR113"/>
      <c r="FS113"/>
      <c r="FT113"/>
      <c r="FU113"/>
      <c r="FV113"/>
      <c r="FW113"/>
      <c r="FX113"/>
      <c r="FY113"/>
      <c r="FZ113"/>
      <c r="GA113"/>
      <c r="GB113"/>
      <c r="GC113"/>
      <c r="GD113"/>
      <c r="GE113"/>
      <c r="GF113"/>
      <c r="GG113"/>
      <c r="GH113"/>
      <c r="GI113"/>
      <c r="GJ113"/>
      <c r="GK113"/>
      <c r="GL113"/>
      <c r="GM113"/>
      <c r="GN113"/>
      <c r="GO113"/>
      <c r="GP113"/>
      <c r="GQ113"/>
      <c r="GR113"/>
      <c r="GS113"/>
      <c r="GT113"/>
      <c r="GU113"/>
      <c r="GV113"/>
      <c r="GW113"/>
      <c r="GX113"/>
      <c r="GY113"/>
      <c r="GZ113"/>
      <c r="HA113"/>
      <c r="HB113"/>
      <c r="HC113"/>
      <c r="HD113"/>
      <c r="HE113"/>
      <c r="HF113"/>
      <c r="HG113"/>
      <c r="HH113"/>
      <c r="HI113"/>
      <c r="HJ113"/>
      <c r="HK113"/>
      <c r="HL113"/>
      <c r="HM113"/>
      <c r="HN113"/>
      <c r="HO113"/>
      <c r="HP113"/>
      <c r="HQ113"/>
      <c r="HR113"/>
      <c r="HS113"/>
      <c r="HT113"/>
      <c r="HU113"/>
      <c r="HV113"/>
      <c r="HW113"/>
      <c r="HX113"/>
      <c r="HY113"/>
      <c r="HZ113"/>
      <c r="IA113"/>
      <c r="IB113"/>
      <c r="IC113"/>
      <c r="ID113"/>
      <c r="IE113"/>
      <c r="IF113"/>
      <c r="IG113"/>
      <c r="IH113"/>
      <c r="II113"/>
      <c r="IJ113"/>
      <c r="IK113"/>
      <c r="IL113"/>
      <c r="IM113"/>
      <c r="IN113"/>
      <c r="IO113"/>
      <c r="IP113"/>
      <c r="IQ113"/>
      <c r="IR113"/>
      <c r="IS113"/>
      <c r="IT113"/>
      <c r="IU113"/>
    </row>
    <row r="114" spans="1:255" ht="21" customHeight="1" thickBot="1">
      <c r="C114" s="1551" t="s">
        <v>735</v>
      </c>
      <c r="D114" s="1552"/>
      <c r="E114" s="1553" t="s">
        <v>1087</v>
      </c>
      <c r="F114" s="2253">
        <v>20</v>
      </c>
      <c r="G114" s="1784" t="s">
        <v>1088</v>
      </c>
      <c r="H114" s="1785">
        <v>20</v>
      </c>
      <c r="I114" s="1555" t="s">
        <v>1089</v>
      </c>
      <c r="J114" s="1554">
        <v>20</v>
      </c>
      <c r="K114" s="1556" t="s">
        <v>1082</v>
      </c>
      <c r="L114" s="1536"/>
      <c r="M114" s="1557">
        <v>150</v>
      </c>
      <c r="N114" s="1558">
        <v>125</v>
      </c>
      <c r="O114" s="1554">
        <v>80</v>
      </c>
      <c r="P114" s="1785">
        <v>100</v>
      </c>
      <c r="Q114" s="1554">
        <v>120</v>
      </c>
      <c r="R114" s="1559" t="s">
        <v>1061</v>
      </c>
      <c r="S114" s="1560" t="s">
        <v>1061</v>
      </c>
      <c r="T114" s="1557">
        <v>300</v>
      </c>
      <c r="U114" s="1561">
        <v>250</v>
      </c>
      <c r="V114" s="1562">
        <v>160</v>
      </c>
      <c r="W114" s="1785">
        <v>200</v>
      </c>
      <c r="X114" s="1563">
        <v>240</v>
      </c>
      <c r="Y114" s="1559" t="s">
        <v>1061</v>
      </c>
      <c r="Z114" s="1560" t="s">
        <v>1061</v>
      </c>
      <c r="AB114" s="1542"/>
      <c r="AC114" s="1542"/>
      <c r="AD114" s="1542"/>
      <c r="AE114" s="1542"/>
      <c r="AF114" s="1279"/>
      <c r="AM114" s="2371" t="s">
        <v>128</v>
      </c>
      <c r="AN114" s="2352">
        <v>110</v>
      </c>
      <c r="AO114" s="2283" t="s">
        <v>1065</v>
      </c>
      <c r="AP114" s="2352">
        <v>130</v>
      </c>
      <c r="AQ114" s="2283" t="s">
        <v>129</v>
      </c>
      <c r="AR114" s="2352">
        <v>155</v>
      </c>
      <c r="AS114" s="2283" t="s">
        <v>464</v>
      </c>
      <c r="AT114" s="2348">
        <v>155</v>
      </c>
      <c r="AU114" s="2285" t="s">
        <v>464</v>
      </c>
      <c r="AV114" s="2348">
        <v>155</v>
      </c>
      <c r="AW114" s="2285" t="s">
        <v>464</v>
      </c>
      <c r="AX114" s="2345">
        <v>90</v>
      </c>
      <c r="AY114" s="2278" t="s">
        <v>129</v>
      </c>
      <c r="AZ114" s="2350">
        <v>113</v>
      </c>
      <c r="BA114" s="2303" t="s">
        <v>2324</v>
      </c>
      <c r="BE114" s="2371" t="s">
        <v>128</v>
      </c>
      <c r="BF114" s="577">
        <v>30</v>
      </c>
      <c r="BG114" s="577">
        <v>40</v>
      </c>
      <c r="BH114" s="577">
        <v>50</v>
      </c>
      <c r="BJ114" s="2371" t="s">
        <v>128</v>
      </c>
      <c r="BK114" s="578">
        <v>110</v>
      </c>
      <c r="BL114" s="577">
        <v>140</v>
      </c>
      <c r="BM114" s="577">
        <v>175</v>
      </c>
      <c r="BP114" s="524"/>
      <c r="BQ114" s="524"/>
      <c r="BR114" s="524"/>
      <c r="BS114" s="2461" t="s">
        <v>131</v>
      </c>
      <c r="BT114" s="2463" t="str">
        <f>IFERROR(INDEX(Liste_Ackerkulturen_Gemüse_DropDown[Ackerkulturen],_xlfn.AGGREGATE(15,6,(ROW(Liste_Ackerkulturen_Gemüse_DropDown[Ackerkulturen])-1)/(--(SEARCH(BU$2,Liste_Ackerkulturen_Gemüse_DropDown[Ackerkulturen])&gt;0)),ROW()-2),1),"")</f>
        <v>Brokkoli</v>
      </c>
      <c r="BU114" s="2463"/>
      <c r="BV114" s="2463" t="str">
        <f>IFERROR(INDEX(Liste_Ackerkulturen_Gemüse_DropDown[Ackerkulturen],_xlfn.AGGREGATE(15,6,(ROW(Liste_Ackerkulturen_Gemüse_DropDown[Ackerkulturen])-1)/(--(SEARCH(BW$2,Liste_Ackerkulturen_Gemüse_DropDown[Ackerkulturen])&gt;0)),ROW()-2),1),"")</f>
        <v>Brokkoli</v>
      </c>
      <c r="BW114" s="2463"/>
      <c r="BX114" s="2463" t="str">
        <f>IFERROR(INDEX(Liste_Ackerkulturen_Gemüse_DropDown[Ackerkulturen],_xlfn.AGGREGATE(15,6,(ROW(Liste_Ackerkulturen_Gemüse_DropDown[Ackerkulturen])-1)/(--(SEARCH(BY$2,Liste_Ackerkulturen_Gemüse_DropDown[Ackerkulturen])&gt;0)),ROW()-2),1),"")</f>
        <v>Brokkoli</v>
      </c>
      <c r="BY114" s="2463"/>
      <c r="BZ114" s="2463" t="str">
        <f>IFERROR(INDEX(Liste_Ackerkulturen_Gemüse_DropDown[Ackerkulturen],_xlfn.AGGREGATE(15,6,(ROW(Liste_Ackerkulturen_Gemüse_DropDown[Ackerkulturen])-1)/(--(SEARCH(CA$2,Liste_Ackerkulturen_Gemüse_DropDown[Ackerkulturen])&gt;0)),ROW()-2),1),"")</f>
        <v>Brokkoli</v>
      </c>
      <c r="CA114" s="2463"/>
      <c r="CB114" s="2463" t="str">
        <f>IFERROR(INDEX(Liste_Ackerkulturen_Gemüse_DropDown[Ackerkulturen],_xlfn.AGGREGATE(15,6,(ROW(Liste_Ackerkulturen_Gemüse_DropDown[Ackerkulturen])-1)/(--(SEARCH(CC$2,Liste_Ackerkulturen_Gemüse_DropDown[Ackerkulturen])&gt;0)),ROW()-2),1),"")</f>
        <v>Brokkoli</v>
      </c>
      <c r="CC114" s="2463"/>
      <c r="CD114" s="2464" t="str">
        <f>IFERROR(INDEX(Liste_Ackerkulturen_Gemüse_DropDown[Ackerkulturen],_xlfn.AGGREGATE(15,6,(ROW(Liste_Ackerkulturen_Gemüse_DropDown[Ackerkulturen])-1)/(--(SEARCH(CE$2,Liste_Ackerkulturen_Gemüse_DropDown[Ackerkulturen])&gt;0)),ROW()-2),1),"")</f>
        <v>Brokkoli</v>
      </c>
      <c r="CE114" s="2464"/>
      <c r="CF114" s="2464" t="str">
        <f>IFERROR(INDEX(Liste_Ackerkulturen_Gemüse_DropDown[Ackerkulturen],_xlfn.AGGREGATE(15,6,(ROW(Liste_Ackerkulturen_Gemüse_DropDown[Ackerkulturen])-1)/(--(SEARCH(CG$2,Liste_Ackerkulturen_Gemüse_DropDown[Ackerkulturen])&gt;0)),ROW()-2),1),"")</f>
        <v>Brokkoli</v>
      </c>
      <c r="CG114" s="2464"/>
      <c r="CH114" s="2464" t="str">
        <f>IFERROR(INDEX(Liste_Ackerkulturen_Gemüse_DropDown[Ackerkulturen],_xlfn.AGGREGATE(15,6,(ROW(Liste_Ackerkulturen_Gemüse_DropDown[Ackerkulturen])-1)/(--(SEARCH(CI$2,Liste_Ackerkulturen_Gemüse_DropDown[Ackerkulturen])&gt;0)),ROW()-2),1),"")</f>
        <v>Brokkoli</v>
      </c>
      <c r="CI114" s="2464"/>
      <c r="CJ114" s="2464" t="str">
        <f>IFERROR(INDEX(Liste_Ackerkulturen_Gemüse_DropDown[Ackerkulturen],_xlfn.AGGREGATE(15,6,(ROW(Liste_Ackerkulturen_Gemüse_DropDown[Ackerkulturen])-1)/(--(SEARCH(CK$2,Liste_Ackerkulturen_Gemüse_DropDown[Ackerkulturen])&gt;0)),ROW()-2),1),"")</f>
        <v>Brokkoli</v>
      </c>
      <c r="CK114" s="2464"/>
      <c r="CL114" s="2464" t="str">
        <f>IFERROR(INDEX(Liste_Ackerkulturen_Gemüse_DropDown[Ackerkulturen],_xlfn.AGGREGATE(15,6,(ROW(Liste_Ackerkulturen_Gemüse_DropDown[Ackerkulturen])-1)/(--(SEARCH(CM$2,Liste_Ackerkulturen_Gemüse_DropDown[Ackerkulturen])&gt;0)),ROW()-2),1),"")</f>
        <v>Brokkoli</v>
      </c>
      <c r="CM114" s="2464"/>
      <c r="CN114" s="2464" t="str">
        <f>IFERROR(INDEX(Liste_Ackerkulturen_Gemüse_DropDown[Ackerkulturen],_xlfn.AGGREGATE(15,6,(ROW(Liste_Ackerkulturen_Gemüse_DropDown[Ackerkulturen])-1)/(--(SEARCH(CO$2,Liste_Ackerkulturen_Gemüse_DropDown[Ackerkulturen])&gt;0)),ROW()-2),1),"")</f>
        <v>Brokkoli</v>
      </c>
      <c r="CO114" s="2464"/>
      <c r="CP114" s="2464" t="str">
        <f>IFERROR(INDEX(Liste_Ackerkulturen_Gemüse_DropDown[Ackerkulturen],_xlfn.AGGREGATE(15,6,(ROW(Liste_Ackerkulturen_Gemüse_DropDown[Ackerkulturen])-1)/(--(SEARCH(CQ$2,Liste_Ackerkulturen_Gemüse_DropDown[Ackerkulturen])&gt;0)),ROW()-2),1),"")</f>
        <v>Brokkoli</v>
      </c>
      <c r="CQ114" s="2464"/>
      <c r="CR114" s="2464" t="str">
        <f>IFERROR(INDEX(Liste_Ackerkulturen_Gemüse_DropDown[Ackerkulturen],_xlfn.AGGREGATE(15,6,(ROW(Liste_Ackerkulturen_Gemüse_DropDown[Ackerkulturen])-1)/(--(SEARCH(CS$2,Liste_Ackerkulturen_Gemüse_DropDown[Ackerkulturen])&gt;0)),ROW()-2),1),"")</f>
        <v>Brokkoli</v>
      </c>
      <c r="CS114" s="2464"/>
      <c r="CT114"/>
      <c r="CU114"/>
      <c r="CV114"/>
      <c r="CW114"/>
      <c r="CX114"/>
      <c r="CY114"/>
      <c r="CZ114"/>
      <c r="DA114"/>
      <c r="DB114"/>
      <c r="DC114"/>
      <c r="DD114"/>
      <c r="DE114"/>
      <c r="DF114"/>
      <c r="DG114"/>
      <c r="DH114"/>
      <c r="DN114"/>
      <c r="DO114"/>
      <c r="DP114"/>
      <c r="DQ114"/>
      <c r="DR114"/>
      <c r="DS114"/>
      <c r="DT114"/>
      <c r="DU114"/>
      <c r="DV114"/>
      <c r="DW114"/>
      <c r="DX114"/>
      <c r="DY114"/>
      <c r="DZ114"/>
      <c r="EA114"/>
      <c r="EB114"/>
      <c r="EC114"/>
      <c r="ED114"/>
      <c r="EE114"/>
      <c r="EF114"/>
      <c r="EG114"/>
      <c r="EH114"/>
      <c r="EI114"/>
      <c r="EJ114"/>
      <c r="EK114"/>
      <c r="EL114"/>
      <c r="EM114"/>
      <c r="EN114"/>
      <c r="EO114"/>
      <c r="EP114"/>
      <c r="EQ114"/>
      <c r="ER114"/>
      <c r="ES114"/>
      <c r="ET114"/>
      <c r="EU114"/>
      <c r="EV114"/>
      <c r="EW114"/>
      <c r="EX114"/>
      <c r="EY114"/>
      <c r="EZ114"/>
      <c r="FA114"/>
      <c r="FB114"/>
      <c r="FC114"/>
      <c r="FD114"/>
      <c r="FE114"/>
      <c r="FF114"/>
      <c r="FG114"/>
      <c r="FH114"/>
      <c r="FI114"/>
      <c r="FJ114"/>
      <c r="FK114"/>
      <c r="FL114"/>
      <c r="FM114"/>
      <c r="FN114"/>
      <c r="FO114"/>
      <c r="FP114"/>
      <c r="FQ114"/>
      <c r="FR114"/>
      <c r="FS114"/>
      <c r="FT114"/>
      <c r="FU114"/>
      <c r="FV114"/>
      <c r="FW114"/>
      <c r="FX114"/>
      <c r="FY114"/>
      <c r="FZ114"/>
      <c r="GA114"/>
      <c r="GB114"/>
      <c r="GC114"/>
      <c r="GD114"/>
      <c r="GE114"/>
      <c r="GF114"/>
      <c r="GG114"/>
      <c r="GH114"/>
      <c r="GI114"/>
      <c r="GJ114"/>
      <c r="GK114"/>
      <c r="GL114"/>
      <c r="GM114"/>
      <c r="GN114"/>
      <c r="GO114"/>
      <c r="GP114"/>
      <c r="GQ114"/>
      <c r="GR114"/>
      <c r="GS114"/>
      <c r="GT114"/>
      <c r="GU114"/>
      <c r="GV114"/>
      <c r="GW114"/>
      <c r="GX114"/>
      <c r="GY114"/>
      <c r="GZ114"/>
      <c r="HA114"/>
      <c r="HB114"/>
      <c r="HC114"/>
      <c r="HD114"/>
      <c r="HE114"/>
      <c r="HF114"/>
      <c r="HG114"/>
      <c r="HH114"/>
      <c r="HI114"/>
      <c r="HJ114"/>
      <c r="HK114"/>
      <c r="HL114"/>
      <c r="HM114"/>
      <c r="HN114"/>
      <c r="HO114"/>
      <c r="HP114"/>
      <c r="HQ114"/>
      <c r="HR114"/>
      <c r="HS114"/>
      <c r="HT114"/>
      <c r="HU114"/>
      <c r="HV114"/>
      <c r="HW114"/>
      <c r="HX114"/>
      <c r="HY114"/>
      <c r="HZ114"/>
      <c r="IA114"/>
      <c r="IB114"/>
      <c r="IC114"/>
      <c r="ID114"/>
      <c r="IE114"/>
      <c r="IF114"/>
      <c r="IG114"/>
      <c r="IH114"/>
      <c r="II114"/>
      <c r="IJ114"/>
      <c r="IK114"/>
      <c r="IL114"/>
      <c r="IM114"/>
      <c r="IN114"/>
      <c r="IO114"/>
      <c r="IP114"/>
      <c r="IQ114"/>
      <c r="IR114"/>
      <c r="IS114"/>
      <c r="IT114"/>
      <c r="IU114"/>
    </row>
    <row r="115" spans="1:255" ht="21" customHeight="1" thickBot="1">
      <c r="C115" s="1564"/>
      <c r="D115" s="1564"/>
      <c r="E115" s="1564"/>
      <c r="F115" s="1564"/>
      <c r="G115" s="1564"/>
      <c r="H115" s="1564"/>
      <c r="I115" s="1564"/>
      <c r="J115" s="1564"/>
      <c r="K115" s="1564"/>
      <c r="L115" s="1564"/>
      <c r="M115" s="1564"/>
      <c r="N115" s="1564"/>
      <c r="O115" s="1564"/>
      <c r="P115" s="1564"/>
      <c r="Q115" s="1564"/>
      <c r="R115" s="1564"/>
      <c r="S115" s="1564"/>
      <c r="T115" s="1564"/>
      <c r="U115" s="1564"/>
      <c r="V115" s="1564"/>
      <c r="W115" s="1564"/>
      <c r="X115" s="1564"/>
      <c r="Y115" s="1564"/>
      <c r="Z115" s="1564"/>
      <c r="AA115" s="1564"/>
      <c r="AB115" s="474"/>
      <c r="AC115" s="474"/>
      <c r="AD115" s="474"/>
      <c r="AE115" s="474"/>
      <c r="AF115" s="1279"/>
      <c r="AM115" s="2371" t="s">
        <v>130</v>
      </c>
      <c r="AN115" s="2352">
        <v>200</v>
      </c>
      <c r="AO115" s="2283" t="s">
        <v>462</v>
      </c>
      <c r="AP115" s="2352">
        <v>240</v>
      </c>
      <c r="AQ115" s="2283" t="s">
        <v>463</v>
      </c>
      <c r="AR115" s="2352">
        <v>290</v>
      </c>
      <c r="AS115" s="2283" t="s">
        <v>464</v>
      </c>
      <c r="AT115" s="2348">
        <v>290</v>
      </c>
      <c r="AU115" s="2285" t="s">
        <v>464</v>
      </c>
      <c r="AV115" s="2348">
        <v>290</v>
      </c>
      <c r="AW115" s="2285" t="s">
        <v>464</v>
      </c>
      <c r="AX115" s="2345">
        <v>200</v>
      </c>
      <c r="AY115" s="2278" t="s">
        <v>463</v>
      </c>
      <c r="AZ115" s="2350">
        <v>250</v>
      </c>
      <c r="BA115" s="2303" t="s">
        <v>2324</v>
      </c>
      <c r="BE115" s="2371" t="s">
        <v>130</v>
      </c>
      <c r="BF115" s="577">
        <v>30</v>
      </c>
      <c r="BG115" s="577">
        <v>40</v>
      </c>
      <c r="BH115" s="577">
        <v>50</v>
      </c>
      <c r="BJ115" s="2371" t="s">
        <v>130</v>
      </c>
      <c r="BK115" s="578">
        <v>90</v>
      </c>
      <c r="BL115" s="577">
        <v>110</v>
      </c>
      <c r="BM115" s="577">
        <v>140</v>
      </c>
      <c r="BP115" s="524"/>
      <c r="BQ115" s="524"/>
      <c r="BR115" s="524"/>
      <c r="BS115" s="2461" t="s">
        <v>134</v>
      </c>
      <c r="BT115" s="2463" t="str">
        <f>IFERROR(INDEX(Liste_Ackerkulturen_Gemüse_DropDown[Ackerkulturen],_xlfn.AGGREGATE(15,6,(ROW(Liste_Ackerkulturen_Gemüse_DropDown[Ackerkulturen])-1)/(--(SEARCH(BU$2,Liste_Ackerkulturen_Gemüse_DropDown[Ackerkulturen])&gt;0)),ROW()-2),1),"")</f>
        <v>Buschbohne (gedroschen)</v>
      </c>
      <c r="BU115" s="2463"/>
      <c r="BV115" s="2463" t="str">
        <f>IFERROR(INDEX(Liste_Ackerkulturen_Gemüse_DropDown[Ackerkulturen],_xlfn.AGGREGATE(15,6,(ROW(Liste_Ackerkulturen_Gemüse_DropDown[Ackerkulturen])-1)/(--(SEARCH(BW$2,Liste_Ackerkulturen_Gemüse_DropDown[Ackerkulturen])&gt;0)),ROW()-2),1),"")</f>
        <v>Buschbohne (gedroschen)</v>
      </c>
      <c r="BW115" s="2463"/>
      <c r="BX115" s="2463" t="str">
        <f>IFERROR(INDEX(Liste_Ackerkulturen_Gemüse_DropDown[Ackerkulturen],_xlfn.AGGREGATE(15,6,(ROW(Liste_Ackerkulturen_Gemüse_DropDown[Ackerkulturen])-1)/(--(SEARCH(BY$2,Liste_Ackerkulturen_Gemüse_DropDown[Ackerkulturen])&gt;0)),ROW()-2),1),"")</f>
        <v>Buschbohne (gedroschen)</v>
      </c>
      <c r="BY115" s="2463"/>
      <c r="BZ115" s="2463" t="str">
        <f>IFERROR(INDEX(Liste_Ackerkulturen_Gemüse_DropDown[Ackerkulturen],_xlfn.AGGREGATE(15,6,(ROW(Liste_Ackerkulturen_Gemüse_DropDown[Ackerkulturen])-1)/(--(SEARCH(CA$2,Liste_Ackerkulturen_Gemüse_DropDown[Ackerkulturen])&gt;0)),ROW()-2),1),"")</f>
        <v>Buschbohne (gedroschen)</v>
      </c>
      <c r="CA115" s="2463"/>
      <c r="CB115" s="2463" t="str">
        <f>IFERROR(INDEX(Liste_Ackerkulturen_Gemüse_DropDown[Ackerkulturen],_xlfn.AGGREGATE(15,6,(ROW(Liste_Ackerkulturen_Gemüse_DropDown[Ackerkulturen])-1)/(--(SEARCH(CC$2,Liste_Ackerkulturen_Gemüse_DropDown[Ackerkulturen])&gt;0)),ROW()-2),1),"")</f>
        <v>Buschbohne (gedroschen)</v>
      </c>
      <c r="CC115" s="2463"/>
      <c r="CD115" s="2464" t="str">
        <f>IFERROR(INDEX(Liste_Ackerkulturen_Gemüse_DropDown[Ackerkulturen],_xlfn.AGGREGATE(15,6,(ROW(Liste_Ackerkulturen_Gemüse_DropDown[Ackerkulturen])-1)/(--(SEARCH(CE$2,Liste_Ackerkulturen_Gemüse_DropDown[Ackerkulturen])&gt;0)),ROW()-2),1),"")</f>
        <v>Buschbohne (gedroschen)</v>
      </c>
      <c r="CE115" s="2464"/>
      <c r="CF115" s="2464" t="str">
        <f>IFERROR(INDEX(Liste_Ackerkulturen_Gemüse_DropDown[Ackerkulturen],_xlfn.AGGREGATE(15,6,(ROW(Liste_Ackerkulturen_Gemüse_DropDown[Ackerkulturen])-1)/(--(SEARCH(CG$2,Liste_Ackerkulturen_Gemüse_DropDown[Ackerkulturen])&gt;0)),ROW()-2),1),"")</f>
        <v>Buschbohne (gedroschen)</v>
      </c>
      <c r="CG115" s="2464"/>
      <c r="CH115" s="2464" t="str">
        <f>IFERROR(INDEX(Liste_Ackerkulturen_Gemüse_DropDown[Ackerkulturen],_xlfn.AGGREGATE(15,6,(ROW(Liste_Ackerkulturen_Gemüse_DropDown[Ackerkulturen])-1)/(--(SEARCH(CI$2,Liste_Ackerkulturen_Gemüse_DropDown[Ackerkulturen])&gt;0)),ROW()-2),1),"")</f>
        <v>Buschbohne (gedroschen)</v>
      </c>
      <c r="CI115" s="2464"/>
      <c r="CJ115" s="2464" t="str">
        <f>IFERROR(INDEX(Liste_Ackerkulturen_Gemüse_DropDown[Ackerkulturen],_xlfn.AGGREGATE(15,6,(ROW(Liste_Ackerkulturen_Gemüse_DropDown[Ackerkulturen])-1)/(--(SEARCH(CK$2,Liste_Ackerkulturen_Gemüse_DropDown[Ackerkulturen])&gt;0)),ROW()-2),1),"")</f>
        <v>Buschbohne (gedroschen)</v>
      </c>
      <c r="CK115" s="2464"/>
      <c r="CL115" s="2464" t="str">
        <f>IFERROR(INDEX(Liste_Ackerkulturen_Gemüse_DropDown[Ackerkulturen],_xlfn.AGGREGATE(15,6,(ROW(Liste_Ackerkulturen_Gemüse_DropDown[Ackerkulturen])-1)/(--(SEARCH(CM$2,Liste_Ackerkulturen_Gemüse_DropDown[Ackerkulturen])&gt;0)),ROW()-2),1),"")</f>
        <v>Buschbohne (gedroschen)</v>
      </c>
      <c r="CM115" s="2464"/>
      <c r="CN115" s="2464" t="str">
        <f>IFERROR(INDEX(Liste_Ackerkulturen_Gemüse_DropDown[Ackerkulturen],_xlfn.AGGREGATE(15,6,(ROW(Liste_Ackerkulturen_Gemüse_DropDown[Ackerkulturen])-1)/(--(SEARCH(CO$2,Liste_Ackerkulturen_Gemüse_DropDown[Ackerkulturen])&gt;0)),ROW()-2),1),"")</f>
        <v>Buschbohne (gedroschen)</v>
      </c>
      <c r="CO115" s="2464"/>
      <c r="CP115" s="2464" t="str">
        <f>IFERROR(INDEX(Liste_Ackerkulturen_Gemüse_DropDown[Ackerkulturen],_xlfn.AGGREGATE(15,6,(ROW(Liste_Ackerkulturen_Gemüse_DropDown[Ackerkulturen])-1)/(--(SEARCH(CQ$2,Liste_Ackerkulturen_Gemüse_DropDown[Ackerkulturen])&gt;0)),ROW()-2),1),"")</f>
        <v>Buschbohne (gedroschen)</v>
      </c>
      <c r="CQ115" s="2464"/>
      <c r="CR115" s="2464" t="str">
        <f>IFERROR(INDEX(Liste_Ackerkulturen_Gemüse_DropDown[Ackerkulturen],_xlfn.AGGREGATE(15,6,(ROW(Liste_Ackerkulturen_Gemüse_DropDown[Ackerkulturen])-1)/(--(SEARCH(CS$2,Liste_Ackerkulturen_Gemüse_DropDown[Ackerkulturen])&gt;0)),ROW()-2),1),"")</f>
        <v>Buschbohne (gedroschen)</v>
      </c>
      <c r="CS115" s="2464"/>
      <c r="CT115"/>
      <c r="CU115"/>
      <c r="CV115"/>
      <c r="CW115"/>
      <c r="CX115"/>
      <c r="CY115"/>
      <c r="CZ115"/>
      <c r="DA115"/>
      <c r="DB115"/>
      <c r="DC115"/>
      <c r="DD115"/>
      <c r="DE115"/>
      <c r="DF115"/>
      <c r="DG115"/>
      <c r="DH115"/>
      <c r="DN115"/>
      <c r="DO115"/>
      <c r="DP115"/>
      <c r="DQ115"/>
      <c r="DR115"/>
      <c r="DS115"/>
      <c r="DT115"/>
      <c r="DU115"/>
      <c r="DV115"/>
      <c r="DW115"/>
      <c r="DX115"/>
      <c r="DY115"/>
      <c r="DZ115"/>
      <c r="EA115"/>
      <c r="EB115"/>
      <c r="EC115"/>
      <c r="ED115"/>
      <c r="EE115"/>
      <c r="EF115"/>
      <c r="EG115"/>
      <c r="EH115"/>
      <c r="EI115"/>
      <c r="EJ115"/>
      <c r="EK115"/>
      <c r="EL115"/>
      <c r="EM115"/>
      <c r="EN115"/>
      <c r="EO115"/>
      <c r="EP115"/>
      <c r="EQ115"/>
      <c r="ER115"/>
      <c r="ES115"/>
      <c r="ET115"/>
      <c r="EU115"/>
      <c r="EV115"/>
      <c r="EW115"/>
      <c r="EX115"/>
      <c r="EY115"/>
      <c r="EZ115"/>
      <c r="FA115"/>
      <c r="FB115"/>
      <c r="FC115"/>
      <c r="FD115"/>
      <c r="FE115"/>
      <c r="FF115"/>
      <c r="FG115"/>
      <c r="FH115"/>
      <c r="FI115"/>
      <c r="FJ115"/>
      <c r="FK115"/>
      <c r="FL115"/>
      <c r="FM115"/>
      <c r="FN115"/>
      <c r="FO115"/>
      <c r="FP115"/>
      <c r="FQ115"/>
      <c r="FR115"/>
      <c r="FS115"/>
      <c r="FT115"/>
      <c r="FU115"/>
      <c r="FV115"/>
      <c r="FW115"/>
      <c r="FX115"/>
      <c r="FY115"/>
      <c r="FZ115"/>
      <c r="GA115"/>
      <c r="GB115"/>
      <c r="GC115"/>
      <c r="GD115"/>
      <c r="GE115"/>
      <c r="GF115"/>
      <c r="GG115"/>
      <c r="GH115"/>
      <c r="GI115"/>
      <c r="GJ115"/>
      <c r="GK115"/>
      <c r="GL115"/>
      <c r="GM115"/>
      <c r="GN115"/>
      <c r="GO115"/>
      <c r="GP115"/>
      <c r="GQ115"/>
      <c r="GR115"/>
      <c r="GS115"/>
      <c r="GT115"/>
      <c r="GU115"/>
      <c r="GV115"/>
      <c r="GW115"/>
      <c r="GX115"/>
      <c r="GY115"/>
      <c r="GZ115"/>
      <c r="HA115"/>
      <c r="HB115"/>
      <c r="HC115"/>
      <c r="HD115"/>
      <c r="HE115"/>
      <c r="HF115"/>
      <c r="HG115"/>
      <c r="HH115"/>
      <c r="HI115"/>
      <c r="HJ115"/>
      <c r="HK115"/>
      <c r="HL115"/>
      <c r="HM115"/>
      <c r="HN115"/>
      <c r="HO115"/>
      <c r="HP115"/>
      <c r="HQ115"/>
      <c r="HR115"/>
      <c r="HS115"/>
      <c r="HT115"/>
      <c r="HU115"/>
      <c r="HV115"/>
      <c r="HW115"/>
      <c r="HX115"/>
      <c r="HY115"/>
      <c r="HZ115"/>
      <c r="IA115"/>
      <c r="IB115"/>
      <c r="IC115"/>
      <c r="ID115"/>
      <c r="IE115"/>
      <c r="IF115"/>
      <c r="IG115"/>
      <c r="IH115"/>
      <c r="II115"/>
      <c r="IJ115"/>
      <c r="IK115"/>
      <c r="IL115"/>
      <c r="IM115"/>
      <c r="IN115"/>
      <c r="IO115"/>
      <c r="IP115"/>
      <c r="IQ115"/>
      <c r="IR115"/>
      <c r="IS115"/>
      <c r="IT115"/>
      <c r="IU115"/>
    </row>
    <row r="116" spans="1:255" ht="21" customHeight="1">
      <c r="C116" s="1760" t="s">
        <v>9</v>
      </c>
      <c r="D116" s="1761"/>
      <c r="E116" s="2618" t="s">
        <v>10</v>
      </c>
      <c r="F116" s="2619"/>
      <c r="G116" s="2620"/>
      <c r="H116" s="2619"/>
      <c r="I116" s="2619"/>
      <c r="J116" s="2619"/>
      <c r="K116" s="2619"/>
      <c r="L116" s="2604" t="s">
        <v>11</v>
      </c>
      <c r="M116" s="2605"/>
      <c r="N116" s="1762" t="s">
        <v>1938</v>
      </c>
      <c r="O116" s="1763" t="s">
        <v>1939</v>
      </c>
      <c r="P116" s="2609" t="s">
        <v>1940</v>
      </c>
      <c r="Q116" s="2609"/>
      <c r="R116" s="2609"/>
      <c r="S116" s="1763" t="s">
        <v>1941</v>
      </c>
      <c r="T116" s="1764" t="s">
        <v>1942</v>
      </c>
      <c r="U116" s="1762" t="s">
        <v>1938</v>
      </c>
      <c r="V116" s="1763" t="s">
        <v>1939</v>
      </c>
      <c r="W116" s="2609" t="s">
        <v>1940</v>
      </c>
      <c r="X116" s="2609"/>
      <c r="Y116" s="2609"/>
      <c r="Z116" s="1763" t="s">
        <v>1941</v>
      </c>
      <c r="AA116" s="1764" t="s">
        <v>1942</v>
      </c>
      <c r="AB116" s="1542"/>
      <c r="AC116" s="1542"/>
      <c r="AD116" s="1542"/>
      <c r="AE116" s="1542"/>
      <c r="AF116" s="1279"/>
      <c r="AM116" s="2371" t="s">
        <v>131</v>
      </c>
      <c r="AN116" s="2352">
        <v>95</v>
      </c>
      <c r="AO116" s="2283" t="s">
        <v>132</v>
      </c>
      <c r="AP116" s="2352">
        <v>110</v>
      </c>
      <c r="AQ116" s="2283" t="s">
        <v>133</v>
      </c>
      <c r="AR116" s="2352">
        <v>130</v>
      </c>
      <c r="AS116" s="2283" t="s">
        <v>1066</v>
      </c>
      <c r="AT116" s="2348">
        <v>130</v>
      </c>
      <c r="AU116" s="2285" t="s">
        <v>1066</v>
      </c>
      <c r="AV116" s="2348">
        <v>130</v>
      </c>
      <c r="AW116" s="2285" t="s">
        <v>1066</v>
      </c>
      <c r="AX116" s="2345">
        <v>70</v>
      </c>
      <c r="AY116" s="2278" t="s">
        <v>133</v>
      </c>
      <c r="AZ116" s="2350">
        <v>88</v>
      </c>
      <c r="BA116" s="2303" t="s">
        <v>2289</v>
      </c>
      <c r="BE116" s="2371" t="s">
        <v>131</v>
      </c>
      <c r="BF116" s="577">
        <v>15</v>
      </c>
      <c r="BG116" s="577">
        <v>20</v>
      </c>
      <c r="BH116" s="577">
        <v>25</v>
      </c>
      <c r="BJ116" s="2371" t="s">
        <v>131</v>
      </c>
      <c r="BK116" s="578">
        <v>40</v>
      </c>
      <c r="BL116" s="577">
        <v>50</v>
      </c>
      <c r="BM116" s="577">
        <v>65</v>
      </c>
      <c r="BP116" s="524"/>
      <c r="BQ116" s="524"/>
      <c r="BR116" s="524"/>
      <c r="BS116" s="2461" t="s">
        <v>138</v>
      </c>
      <c r="BT116" s="2463" t="str">
        <f>IFERROR(INDEX(Liste_Ackerkulturen_Gemüse_DropDown[Ackerkulturen],_xlfn.AGGREGATE(15,6,(ROW(Liste_Ackerkulturen_Gemüse_DropDown[Ackerkulturen])-1)/(--(SEARCH(BU$2,Liste_Ackerkulturen_Gemüse_DropDown[Ackerkulturen])&gt;0)),ROW()-2),1),"")</f>
        <v>Buschbohne (gepflückt)</v>
      </c>
      <c r="BU116" s="2463"/>
      <c r="BV116" s="2463" t="str">
        <f>IFERROR(INDEX(Liste_Ackerkulturen_Gemüse_DropDown[Ackerkulturen],_xlfn.AGGREGATE(15,6,(ROW(Liste_Ackerkulturen_Gemüse_DropDown[Ackerkulturen])-1)/(--(SEARCH(BW$2,Liste_Ackerkulturen_Gemüse_DropDown[Ackerkulturen])&gt;0)),ROW()-2),1),"")</f>
        <v>Buschbohne (gepflückt)</v>
      </c>
      <c r="BW116" s="2463"/>
      <c r="BX116" s="2463" t="str">
        <f>IFERROR(INDEX(Liste_Ackerkulturen_Gemüse_DropDown[Ackerkulturen],_xlfn.AGGREGATE(15,6,(ROW(Liste_Ackerkulturen_Gemüse_DropDown[Ackerkulturen])-1)/(--(SEARCH(BY$2,Liste_Ackerkulturen_Gemüse_DropDown[Ackerkulturen])&gt;0)),ROW()-2),1),"")</f>
        <v>Buschbohne (gepflückt)</v>
      </c>
      <c r="BY116" s="2463"/>
      <c r="BZ116" s="2463" t="str">
        <f>IFERROR(INDEX(Liste_Ackerkulturen_Gemüse_DropDown[Ackerkulturen],_xlfn.AGGREGATE(15,6,(ROW(Liste_Ackerkulturen_Gemüse_DropDown[Ackerkulturen])-1)/(--(SEARCH(CA$2,Liste_Ackerkulturen_Gemüse_DropDown[Ackerkulturen])&gt;0)),ROW()-2),1),"")</f>
        <v>Buschbohne (gepflückt)</v>
      </c>
      <c r="CA116" s="2463"/>
      <c r="CB116" s="2463" t="str">
        <f>IFERROR(INDEX(Liste_Ackerkulturen_Gemüse_DropDown[Ackerkulturen],_xlfn.AGGREGATE(15,6,(ROW(Liste_Ackerkulturen_Gemüse_DropDown[Ackerkulturen])-1)/(--(SEARCH(CC$2,Liste_Ackerkulturen_Gemüse_DropDown[Ackerkulturen])&gt;0)),ROW()-2),1),"")</f>
        <v>Buschbohne (gepflückt)</v>
      </c>
      <c r="CC116" s="2463"/>
      <c r="CD116" s="2464" t="str">
        <f>IFERROR(INDEX(Liste_Ackerkulturen_Gemüse_DropDown[Ackerkulturen],_xlfn.AGGREGATE(15,6,(ROW(Liste_Ackerkulturen_Gemüse_DropDown[Ackerkulturen])-1)/(--(SEARCH(CE$2,Liste_Ackerkulturen_Gemüse_DropDown[Ackerkulturen])&gt;0)),ROW()-2),1),"")</f>
        <v>Buschbohne (gepflückt)</v>
      </c>
      <c r="CE116" s="2464"/>
      <c r="CF116" s="2464" t="str">
        <f>IFERROR(INDEX(Liste_Ackerkulturen_Gemüse_DropDown[Ackerkulturen],_xlfn.AGGREGATE(15,6,(ROW(Liste_Ackerkulturen_Gemüse_DropDown[Ackerkulturen])-1)/(--(SEARCH(CG$2,Liste_Ackerkulturen_Gemüse_DropDown[Ackerkulturen])&gt;0)),ROW()-2),1),"")</f>
        <v>Buschbohne (gepflückt)</v>
      </c>
      <c r="CG116" s="2464"/>
      <c r="CH116" s="2464" t="str">
        <f>IFERROR(INDEX(Liste_Ackerkulturen_Gemüse_DropDown[Ackerkulturen],_xlfn.AGGREGATE(15,6,(ROW(Liste_Ackerkulturen_Gemüse_DropDown[Ackerkulturen])-1)/(--(SEARCH(CI$2,Liste_Ackerkulturen_Gemüse_DropDown[Ackerkulturen])&gt;0)),ROW()-2),1),"")</f>
        <v>Buschbohne (gepflückt)</v>
      </c>
      <c r="CI116" s="2464"/>
      <c r="CJ116" s="2464" t="str">
        <f>IFERROR(INDEX(Liste_Ackerkulturen_Gemüse_DropDown[Ackerkulturen],_xlfn.AGGREGATE(15,6,(ROW(Liste_Ackerkulturen_Gemüse_DropDown[Ackerkulturen])-1)/(--(SEARCH(CK$2,Liste_Ackerkulturen_Gemüse_DropDown[Ackerkulturen])&gt;0)),ROW()-2),1),"")</f>
        <v>Buschbohne (gepflückt)</v>
      </c>
      <c r="CK116" s="2464"/>
      <c r="CL116" s="2464" t="str">
        <f>IFERROR(INDEX(Liste_Ackerkulturen_Gemüse_DropDown[Ackerkulturen],_xlfn.AGGREGATE(15,6,(ROW(Liste_Ackerkulturen_Gemüse_DropDown[Ackerkulturen])-1)/(--(SEARCH(CM$2,Liste_Ackerkulturen_Gemüse_DropDown[Ackerkulturen])&gt;0)),ROW()-2),1),"")</f>
        <v>Buschbohne (gepflückt)</v>
      </c>
      <c r="CM116" s="2464"/>
      <c r="CN116" s="2464" t="str">
        <f>IFERROR(INDEX(Liste_Ackerkulturen_Gemüse_DropDown[Ackerkulturen],_xlfn.AGGREGATE(15,6,(ROW(Liste_Ackerkulturen_Gemüse_DropDown[Ackerkulturen])-1)/(--(SEARCH(CO$2,Liste_Ackerkulturen_Gemüse_DropDown[Ackerkulturen])&gt;0)),ROW()-2),1),"")</f>
        <v>Buschbohne (gepflückt)</v>
      </c>
      <c r="CO116" s="2464"/>
      <c r="CP116" s="2464" t="str">
        <f>IFERROR(INDEX(Liste_Ackerkulturen_Gemüse_DropDown[Ackerkulturen],_xlfn.AGGREGATE(15,6,(ROW(Liste_Ackerkulturen_Gemüse_DropDown[Ackerkulturen])-1)/(--(SEARCH(CQ$2,Liste_Ackerkulturen_Gemüse_DropDown[Ackerkulturen])&gt;0)),ROW()-2),1),"")</f>
        <v>Buschbohne (gepflückt)</v>
      </c>
      <c r="CQ116" s="2464"/>
      <c r="CR116" s="2464" t="str">
        <f>IFERROR(INDEX(Liste_Ackerkulturen_Gemüse_DropDown[Ackerkulturen],_xlfn.AGGREGATE(15,6,(ROW(Liste_Ackerkulturen_Gemüse_DropDown[Ackerkulturen])-1)/(--(SEARCH(CS$2,Liste_Ackerkulturen_Gemüse_DropDown[Ackerkulturen])&gt;0)),ROW()-2),1),"")</f>
        <v>Buschbohne (gepflückt)</v>
      </c>
      <c r="CS116" s="2464"/>
      <c r="CT116"/>
      <c r="CU116"/>
      <c r="CV116"/>
      <c r="CW116"/>
      <c r="CX116"/>
      <c r="CY116"/>
      <c r="CZ116"/>
      <c r="DA116"/>
      <c r="DB116"/>
      <c r="DC116"/>
      <c r="DD116"/>
      <c r="DE116"/>
      <c r="DF116"/>
      <c r="DG116"/>
      <c r="DH116"/>
      <c r="DN116"/>
      <c r="DO116"/>
      <c r="DP116"/>
      <c r="DQ116"/>
      <c r="DR116"/>
      <c r="DS116"/>
      <c r="DT116"/>
      <c r="DU116"/>
      <c r="DV116"/>
      <c r="DW116"/>
      <c r="DX116"/>
      <c r="DY116"/>
      <c r="DZ116"/>
      <c r="EA116"/>
      <c r="EB116"/>
      <c r="EC116"/>
      <c r="ED116"/>
      <c r="EE116"/>
      <c r="EF116"/>
      <c r="EG116"/>
      <c r="EH116"/>
      <c r="EI116"/>
      <c r="EJ116"/>
      <c r="EK116"/>
      <c r="EL116"/>
      <c r="EM116"/>
      <c r="EN116"/>
      <c r="EO116"/>
      <c r="EP116"/>
      <c r="EQ116"/>
      <c r="ER116"/>
      <c r="ES116"/>
      <c r="ET116"/>
      <c r="EU116"/>
      <c r="EV116"/>
      <c r="EW116"/>
      <c r="EX116"/>
      <c r="EY116"/>
      <c r="EZ116"/>
      <c r="FA116"/>
      <c r="FB116"/>
      <c r="FC116"/>
      <c r="FD116"/>
      <c r="FE116"/>
      <c r="FF116"/>
      <c r="FG116"/>
      <c r="FH116"/>
      <c r="FI116"/>
      <c r="FJ116"/>
      <c r="FK116"/>
      <c r="FL116"/>
      <c r="FM116"/>
      <c r="FN116"/>
      <c r="FO116"/>
      <c r="FP116"/>
      <c r="FQ116"/>
      <c r="FR116"/>
      <c r="FS116"/>
      <c r="FT116"/>
      <c r="FU116"/>
      <c r="FV116"/>
      <c r="FW116"/>
      <c r="FX116"/>
      <c r="FY116"/>
      <c r="FZ116"/>
      <c r="GA116"/>
      <c r="GB116"/>
      <c r="GC116"/>
      <c r="GD116"/>
      <c r="GE116"/>
      <c r="GF116"/>
      <c r="GG116"/>
      <c r="GH116"/>
      <c r="GI116"/>
      <c r="GJ116"/>
      <c r="GK116"/>
      <c r="GL116"/>
      <c r="GM116"/>
      <c r="GN116"/>
      <c r="GO116"/>
      <c r="GP116"/>
      <c r="GQ116"/>
      <c r="GR116"/>
      <c r="GS116"/>
      <c r="GT116"/>
      <c r="GU116"/>
      <c r="GV116"/>
      <c r="GW116"/>
      <c r="GX116"/>
      <c r="GY116"/>
      <c r="GZ116"/>
      <c r="HA116"/>
      <c r="HB116"/>
      <c r="HC116"/>
      <c r="HD116"/>
      <c r="HE116"/>
      <c r="HF116"/>
      <c r="HG116"/>
      <c r="HH116"/>
      <c r="HI116"/>
      <c r="HJ116"/>
      <c r="HK116"/>
      <c r="HL116"/>
      <c r="HM116"/>
      <c r="HN116"/>
      <c r="HO116"/>
      <c r="HP116"/>
      <c r="HQ116"/>
      <c r="HR116"/>
      <c r="HS116"/>
      <c r="HT116"/>
      <c r="HU116"/>
      <c r="HV116"/>
      <c r="HW116"/>
      <c r="HX116"/>
      <c r="HY116"/>
      <c r="HZ116"/>
      <c r="IA116"/>
      <c r="IB116"/>
      <c r="IC116"/>
      <c r="ID116"/>
      <c r="IE116"/>
      <c r="IF116"/>
      <c r="IG116"/>
      <c r="IH116"/>
      <c r="II116"/>
      <c r="IJ116"/>
      <c r="IK116"/>
      <c r="IL116"/>
      <c r="IM116"/>
      <c r="IN116"/>
      <c r="IO116"/>
      <c r="IP116"/>
      <c r="IQ116"/>
      <c r="IR116"/>
      <c r="IS116"/>
      <c r="IT116"/>
      <c r="IU116"/>
    </row>
    <row r="117" spans="1:255" ht="25.65" customHeight="1">
      <c r="C117" s="1741" t="s">
        <v>491</v>
      </c>
      <c r="D117" s="1742"/>
      <c r="E117" s="2591" t="s">
        <v>1784</v>
      </c>
      <c r="F117" s="2592"/>
      <c r="G117" s="2224"/>
      <c r="H117" s="2592" t="s">
        <v>1095</v>
      </c>
      <c r="I117" s="2592"/>
      <c r="J117" s="2592" t="s">
        <v>492</v>
      </c>
      <c r="K117" s="2592"/>
      <c r="L117" s="2594"/>
      <c r="M117" s="2606"/>
      <c r="N117" s="1753"/>
      <c r="O117" s="1717"/>
      <c r="P117" s="1718" t="s">
        <v>1784</v>
      </c>
      <c r="Q117" s="1739" t="s">
        <v>1095</v>
      </c>
      <c r="R117" s="1739" t="s">
        <v>1839</v>
      </c>
      <c r="S117" s="1754"/>
      <c r="T117" s="1755"/>
      <c r="U117" s="1753"/>
      <c r="V117" s="1717"/>
      <c r="W117" s="1718" t="s">
        <v>1784</v>
      </c>
      <c r="X117" s="1739" t="s">
        <v>1095</v>
      </c>
      <c r="Y117" s="1739" t="s">
        <v>1839</v>
      </c>
      <c r="Z117" s="1754"/>
      <c r="AA117" s="1755"/>
      <c r="AB117" s="1542"/>
      <c r="AC117" s="1542"/>
      <c r="AD117" s="1542"/>
      <c r="AE117" s="1542"/>
      <c r="AF117" s="1279"/>
      <c r="AM117" s="2371" t="s">
        <v>134</v>
      </c>
      <c r="AN117" s="2352">
        <v>150</v>
      </c>
      <c r="AO117" s="2283" t="s">
        <v>135</v>
      </c>
      <c r="AP117" s="2352">
        <v>180</v>
      </c>
      <c r="AQ117" s="2283" t="s">
        <v>136</v>
      </c>
      <c r="AR117" s="2352">
        <v>215</v>
      </c>
      <c r="AS117" s="2283" t="s">
        <v>137</v>
      </c>
      <c r="AT117" s="2348">
        <v>215</v>
      </c>
      <c r="AU117" s="2285" t="s">
        <v>137</v>
      </c>
      <c r="AV117" s="2348">
        <v>215</v>
      </c>
      <c r="AW117" s="2285" t="s">
        <v>137</v>
      </c>
      <c r="AX117" s="2345">
        <v>70</v>
      </c>
      <c r="AY117" s="2278" t="s">
        <v>136</v>
      </c>
      <c r="AZ117" s="2350">
        <v>88</v>
      </c>
      <c r="BA117" s="2303" t="s">
        <v>472</v>
      </c>
      <c r="BE117" s="2371" t="s">
        <v>134</v>
      </c>
      <c r="BF117" s="577">
        <v>15</v>
      </c>
      <c r="BG117" s="577">
        <v>20</v>
      </c>
      <c r="BH117" s="577">
        <v>25</v>
      </c>
      <c r="BJ117" s="2371" t="s">
        <v>134</v>
      </c>
      <c r="BK117" s="578">
        <v>40</v>
      </c>
      <c r="BL117" s="577">
        <v>50</v>
      </c>
      <c r="BM117" s="577">
        <v>65</v>
      </c>
      <c r="BP117" s="524"/>
      <c r="BQ117" s="524"/>
      <c r="BR117" s="524"/>
      <c r="BS117" s="2461" t="s">
        <v>142</v>
      </c>
      <c r="BT117" s="2463" t="str">
        <f>IFERROR(INDEX(Liste_Ackerkulturen_Gemüse_DropDown[Ackerkulturen],_xlfn.AGGREGATE(15,6,(ROW(Liste_Ackerkulturen_Gemüse_DropDown[Ackerkulturen])-1)/(--(SEARCH(BU$2,Liste_Ackerkulturen_Gemüse_DropDown[Ackerkulturen])&gt;0)),ROW()-2),1),"")</f>
        <v>Chicoree</v>
      </c>
      <c r="BU117" s="2463"/>
      <c r="BV117" s="2463" t="str">
        <f>IFERROR(INDEX(Liste_Ackerkulturen_Gemüse_DropDown[Ackerkulturen],_xlfn.AGGREGATE(15,6,(ROW(Liste_Ackerkulturen_Gemüse_DropDown[Ackerkulturen])-1)/(--(SEARCH(BW$2,Liste_Ackerkulturen_Gemüse_DropDown[Ackerkulturen])&gt;0)),ROW()-2),1),"")</f>
        <v>Chicoree</v>
      </c>
      <c r="BW117" s="2463"/>
      <c r="BX117" s="2463" t="str">
        <f>IFERROR(INDEX(Liste_Ackerkulturen_Gemüse_DropDown[Ackerkulturen],_xlfn.AGGREGATE(15,6,(ROW(Liste_Ackerkulturen_Gemüse_DropDown[Ackerkulturen])-1)/(--(SEARCH(BY$2,Liste_Ackerkulturen_Gemüse_DropDown[Ackerkulturen])&gt;0)),ROW()-2),1),"")</f>
        <v>Chicoree</v>
      </c>
      <c r="BY117" s="2463"/>
      <c r="BZ117" s="2463" t="str">
        <f>IFERROR(INDEX(Liste_Ackerkulturen_Gemüse_DropDown[Ackerkulturen],_xlfn.AGGREGATE(15,6,(ROW(Liste_Ackerkulturen_Gemüse_DropDown[Ackerkulturen])-1)/(--(SEARCH(CA$2,Liste_Ackerkulturen_Gemüse_DropDown[Ackerkulturen])&gt;0)),ROW()-2),1),"")</f>
        <v>Chicoree</v>
      </c>
      <c r="CA117" s="2463"/>
      <c r="CB117" s="2463" t="str">
        <f>IFERROR(INDEX(Liste_Ackerkulturen_Gemüse_DropDown[Ackerkulturen],_xlfn.AGGREGATE(15,6,(ROW(Liste_Ackerkulturen_Gemüse_DropDown[Ackerkulturen])-1)/(--(SEARCH(CC$2,Liste_Ackerkulturen_Gemüse_DropDown[Ackerkulturen])&gt;0)),ROW()-2),1),"")</f>
        <v>Chicoree</v>
      </c>
      <c r="CC117" s="2463"/>
      <c r="CD117" s="2464" t="str">
        <f>IFERROR(INDEX(Liste_Ackerkulturen_Gemüse_DropDown[Ackerkulturen],_xlfn.AGGREGATE(15,6,(ROW(Liste_Ackerkulturen_Gemüse_DropDown[Ackerkulturen])-1)/(--(SEARCH(CE$2,Liste_Ackerkulturen_Gemüse_DropDown[Ackerkulturen])&gt;0)),ROW()-2),1),"")</f>
        <v>Chicoree</v>
      </c>
      <c r="CE117" s="2464"/>
      <c r="CF117" s="2464" t="str">
        <f>IFERROR(INDEX(Liste_Ackerkulturen_Gemüse_DropDown[Ackerkulturen],_xlfn.AGGREGATE(15,6,(ROW(Liste_Ackerkulturen_Gemüse_DropDown[Ackerkulturen])-1)/(--(SEARCH(CG$2,Liste_Ackerkulturen_Gemüse_DropDown[Ackerkulturen])&gt;0)),ROW()-2),1),"")</f>
        <v>Chicoree</v>
      </c>
      <c r="CG117" s="2464"/>
      <c r="CH117" s="2464" t="str">
        <f>IFERROR(INDEX(Liste_Ackerkulturen_Gemüse_DropDown[Ackerkulturen],_xlfn.AGGREGATE(15,6,(ROW(Liste_Ackerkulturen_Gemüse_DropDown[Ackerkulturen])-1)/(--(SEARCH(CI$2,Liste_Ackerkulturen_Gemüse_DropDown[Ackerkulturen])&gt;0)),ROW()-2),1),"")</f>
        <v>Chicoree</v>
      </c>
      <c r="CI117" s="2464"/>
      <c r="CJ117" s="2464" t="str">
        <f>IFERROR(INDEX(Liste_Ackerkulturen_Gemüse_DropDown[Ackerkulturen],_xlfn.AGGREGATE(15,6,(ROW(Liste_Ackerkulturen_Gemüse_DropDown[Ackerkulturen])-1)/(--(SEARCH(CK$2,Liste_Ackerkulturen_Gemüse_DropDown[Ackerkulturen])&gt;0)),ROW()-2),1),"")</f>
        <v>Chicoree</v>
      </c>
      <c r="CK117" s="2464"/>
      <c r="CL117" s="2464" t="str">
        <f>IFERROR(INDEX(Liste_Ackerkulturen_Gemüse_DropDown[Ackerkulturen],_xlfn.AGGREGATE(15,6,(ROW(Liste_Ackerkulturen_Gemüse_DropDown[Ackerkulturen])-1)/(--(SEARCH(CM$2,Liste_Ackerkulturen_Gemüse_DropDown[Ackerkulturen])&gt;0)),ROW()-2),1),"")</f>
        <v>Chicoree</v>
      </c>
      <c r="CM117" s="2464"/>
      <c r="CN117" s="2464" t="str">
        <f>IFERROR(INDEX(Liste_Ackerkulturen_Gemüse_DropDown[Ackerkulturen],_xlfn.AGGREGATE(15,6,(ROW(Liste_Ackerkulturen_Gemüse_DropDown[Ackerkulturen])-1)/(--(SEARCH(CO$2,Liste_Ackerkulturen_Gemüse_DropDown[Ackerkulturen])&gt;0)),ROW()-2),1),"")</f>
        <v>Chicoree</v>
      </c>
      <c r="CO117" s="2464"/>
      <c r="CP117" s="2464" t="str">
        <f>IFERROR(INDEX(Liste_Ackerkulturen_Gemüse_DropDown[Ackerkulturen],_xlfn.AGGREGATE(15,6,(ROW(Liste_Ackerkulturen_Gemüse_DropDown[Ackerkulturen])-1)/(--(SEARCH(CQ$2,Liste_Ackerkulturen_Gemüse_DropDown[Ackerkulturen])&gt;0)),ROW()-2),1),"")</f>
        <v>Chicoree</v>
      </c>
      <c r="CQ117" s="2464"/>
      <c r="CR117" s="2464" t="str">
        <f>IFERROR(INDEX(Liste_Ackerkulturen_Gemüse_DropDown[Ackerkulturen],_xlfn.AGGREGATE(15,6,(ROW(Liste_Ackerkulturen_Gemüse_DropDown[Ackerkulturen])-1)/(--(SEARCH(CS$2,Liste_Ackerkulturen_Gemüse_DropDown[Ackerkulturen])&gt;0)),ROW()-2),1),"")</f>
        <v>Chicoree</v>
      </c>
      <c r="CS117" s="2464"/>
      <c r="CT117"/>
      <c r="CU117"/>
      <c r="CV117"/>
      <c r="CW117"/>
      <c r="CX117"/>
      <c r="CY117"/>
      <c r="CZ117"/>
      <c r="DA117"/>
      <c r="DB117"/>
      <c r="DC117"/>
      <c r="DD117"/>
      <c r="DE117"/>
      <c r="DF117"/>
      <c r="DG117"/>
      <c r="DH117"/>
      <c r="DN117"/>
      <c r="DO117"/>
      <c r="DP117"/>
      <c r="DQ117"/>
      <c r="DR117"/>
      <c r="DS117"/>
      <c r="DT117"/>
      <c r="DU117"/>
      <c r="DV117"/>
      <c r="DW117"/>
      <c r="DX117"/>
      <c r="DY117"/>
      <c r="DZ117"/>
      <c r="EA117"/>
      <c r="EB117"/>
      <c r="EC117"/>
      <c r="ED117"/>
      <c r="EE117"/>
      <c r="EF117"/>
      <c r="EG117"/>
      <c r="EH117"/>
      <c r="EI117"/>
      <c r="EJ117"/>
      <c r="EK117"/>
      <c r="EL117"/>
      <c r="EM117"/>
      <c r="EN117"/>
      <c r="EO117"/>
      <c r="EP117"/>
      <c r="EQ117"/>
      <c r="ER117"/>
      <c r="ES117"/>
      <c r="ET117"/>
      <c r="EU117"/>
      <c r="EV117"/>
      <c r="EW117"/>
      <c r="EX117"/>
      <c r="EY117"/>
      <c r="EZ117"/>
      <c r="FA117"/>
      <c r="FB117"/>
      <c r="FC117"/>
      <c r="FD117"/>
      <c r="FE117"/>
      <c r="FF117"/>
      <c r="FG117"/>
      <c r="FH117"/>
      <c r="FI117"/>
      <c r="FJ117"/>
      <c r="FK117"/>
      <c r="FL117"/>
      <c r="FM117"/>
      <c r="FN117"/>
      <c r="FO117"/>
      <c r="FP117"/>
      <c r="FQ117"/>
      <c r="FR117"/>
      <c r="FS117"/>
      <c r="FT117"/>
      <c r="FU117"/>
      <c r="FV117"/>
      <c r="FW117"/>
      <c r="FX117"/>
      <c r="FY117"/>
      <c r="FZ117"/>
      <c r="GA117"/>
      <c r="GB117"/>
      <c r="GC117"/>
      <c r="GD117"/>
      <c r="GE117"/>
      <c r="GF117"/>
      <c r="GG117"/>
      <c r="GH117"/>
      <c r="GI117"/>
      <c r="GJ117"/>
      <c r="GK117"/>
      <c r="GL117"/>
      <c r="GM117"/>
      <c r="GN117"/>
      <c r="GO117"/>
      <c r="GP117"/>
      <c r="GQ117"/>
      <c r="GR117"/>
      <c r="GS117"/>
      <c r="GT117"/>
      <c r="GU117"/>
      <c r="GV117"/>
      <c r="GW117"/>
      <c r="GX117"/>
      <c r="GY117"/>
      <c r="GZ117"/>
      <c r="HA117"/>
      <c r="HB117"/>
      <c r="HC117"/>
      <c r="HD117"/>
      <c r="HE117"/>
      <c r="HF117"/>
      <c r="HG117"/>
      <c r="HH117"/>
      <c r="HI117"/>
      <c r="HJ117"/>
      <c r="HK117"/>
      <c r="HL117"/>
      <c r="HM117"/>
      <c r="HN117"/>
      <c r="HO117"/>
      <c r="HP117"/>
      <c r="HQ117"/>
      <c r="HR117"/>
      <c r="HS117"/>
      <c r="HT117"/>
      <c r="HU117"/>
      <c r="HV117"/>
      <c r="HW117"/>
      <c r="HX117"/>
      <c r="HY117"/>
      <c r="HZ117"/>
      <c r="IA117"/>
      <c r="IB117"/>
      <c r="IC117"/>
      <c r="ID117"/>
      <c r="IE117"/>
      <c r="IF117"/>
      <c r="IG117"/>
      <c r="IH117"/>
      <c r="II117"/>
      <c r="IJ117"/>
      <c r="IK117"/>
      <c r="IL117"/>
      <c r="IM117"/>
      <c r="IN117"/>
      <c r="IO117"/>
      <c r="IP117"/>
      <c r="IQ117"/>
      <c r="IR117"/>
      <c r="IS117"/>
      <c r="IT117"/>
      <c r="IU117"/>
    </row>
    <row r="118" spans="1:255" ht="21" customHeight="1">
      <c r="C118" s="1741" t="s">
        <v>493</v>
      </c>
      <c r="D118" s="1742"/>
      <c r="E118" s="1746" t="s">
        <v>1945</v>
      </c>
      <c r="F118" s="1747" t="s">
        <v>1946</v>
      </c>
      <c r="G118" s="2226"/>
      <c r="H118" s="1747" t="s">
        <v>1945</v>
      </c>
      <c r="I118" s="1747" t="s">
        <v>1946</v>
      </c>
      <c r="J118" s="1747" t="s">
        <v>1945</v>
      </c>
      <c r="K118" s="1747" t="s">
        <v>1946</v>
      </c>
      <c r="L118" s="1716" t="s">
        <v>1095</v>
      </c>
      <c r="M118" s="1752" t="s">
        <v>1839</v>
      </c>
      <c r="N118" s="1756"/>
      <c r="O118" s="1757"/>
      <c r="P118" s="2588" t="s">
        <v>1055</v>
      </c>
      <c r="Q118" s="2588"/>
      <c r="R118" s="2588"/>
      <c r="S118" s="1758"/>
      <c r="T118" s="1759"/>
      <c r="U118" s="1756"/>
      <c r="V118" s="1757"/>
      <c r="W118" s="2588" t="s">
        <v>1056</v>
      </c>
      <c r="X118" s="2588"/>
      <c r="Y118" s="2588"/>
      <c r="Z118" s="1758"/>
      <c r="AA118" s="1759"/>
      <c r="AB118" s="1565"/>
      <c r="AC118" s="1565"/>
      <c r="AD118" s="1565"/>
      <c r="AE118" s="1565"/>
      <c r="AF118" s="1279"/>
      <c r="AM118" s="2371" t="s">
        <v>138</v>
      </c>
      <c r="AN118" s="2352">
        <v>165</v>
      </c>
      <c r="AO118" s="2283" t="s">
        <v>139</v>
      </c>
      <c r="AP118" s="2352">
        <v>195</v>
      </c>
      <c r="AQ118" s="2283" t="s">
        <v>140</v>
      </c>
      <c r="AR118" s="2352">
        <v>235</v>
      </c>
      <c r="AS118" s="2283" t="s">
        <v>141</v>
      </c>
      <c r="AT118" s="2348">
        <v>235</v>
      </c>
      <c r="AU118" s="2285" t="s">
        <v>141</v>
      </c>
      <c r="AV118" s="2348">
        <v>235</v>
      </c>
      <c r="AW118" s="2285" t="s">
        <v>141</v>
      </c>
      <c r="AX118" s="2345">
        <v>155</v>
      </c>
      <c r="AY118" s="2278" t="s">
        <v>140</v>
      </c>
      <c r="AZ118" s="2350">
        <v>194</v>
      </c>
      <c r="BA118" s="2303" t="s">
        <v>2332</v>
      </c>
      <c r="BE118" s="2371" t="s">
        <v>138</v>
      </c>
      <c r="BF118" s="577">
        <v>30</v>
      </c>
      <c r="BG118" s="577">
        <v>40</v>
      </c>
      <c r="BH118" s="577">
        <v>50</v>
      </c>
      <c r="BJ118" s="2371" t="s">
        <v>138</v>
      </c>
      <c r="BK118" s="578">
        <v>120</v>
      </c>
      <c r="BL118" s="577">
        <v>150</v>
      </c>
      <c r="BM118" s="577">
        <v>190</v>
      </c>
      <c r="BP118" s="524"/>
      <c r="BQ118" s="524"/>
      <c r="BR118" s="524"/>
      <c r="BS118" s="2461" t="s">
        <v>146</v>
      </c>
      <c r="BT118" s="2463" t="str">
        <f>IFERROR(INDEX(Liste_Ackerkulturen_Gemüse_DropDown[Ackerkulturen],_xlfn.AGGREGATE(15,6,(ROW(Liste_Ackerkulturen_Gemüse_DropDown[Ackerkulturen])-1)/(--(SEARCH(BU$2,Liste_Ackerkulturen_Gemüse_DropDown[Ackerkulturen])&gt;0)),ROW()-2),1),"")</f>
        <v>Chinakohl</v>
      </c>
      <c r="BU118" s="2463"/>
      <c r="BV118" s="2463" t="str">
        <f>IFERROR(INDEX(Liste_Ackerkulturen_Gemüse_DropDown[Ackerkulturen],_xlfn.AGGREGATE(15,6,(ROW(Liste_Ackerkulturen_Gemüse_DropDown[Ackerkulturen])-1)/(--(SEARCH(BW$2,Liste_Ackerkulturen_Gemüse_DropDown[Ackerkulturen])&gt;0)),ROW()-2),1),"")</f>
        <v>Chinakohl</v>
      </c>
      <c r="BW118" s="2463"/>
      <c r="BX118" s="2463" t="str">
        <f>IFERROR(INDEX(Liste_Ackerkulturen_Gemüse_DropDown[Ackerkulturen],_xlfn.AGGREGATE(15,6,(ROW(Liste_Ackerkulturen_Gemüse_DropDown[Ackerkulturen])-1)/(--(SEARCH(BY$2,Liste_Ackerkulturen_Gemüse_DropDown[Ackerkulturen])&gt;0)),ROW()-2),1),"")</f>
        <v>Chinakohl</v>
      </c>
      <c r="BY118" s="2463"/>
      <c r="BZ118" s="2463" t="str">
        <f>IFERROR(INDEX(Liste_Ackerkulturen_Gemüse_DropDown[Ackerkulturen],_xlfn.AGGREGATE(15,6,(ROW(Liste_Ackerkulturen_Gemüse_DropDown[Ackerkulturen])-1)/(--(SEARCH(CA$2,Liste_Ackerkulturen_Gemüse_DropDown[Ackerkulturen])&gt;0)),ROW()-2),1),"")</f>
        <v>Chinakohl</v>
      </c>
      <c r="CA118" s="2463"/>
      <c r="CB118" s="2463" t="str">
        <f>IFERROR(INDEX(Liste_Ackerkulturen_Gemüse_DropDown[Ackerkulturen],_xlfn.AGGREGATE(15,6,(ROW(Liste_Ackerkulturen_Gemüse_DropDown[Ackerkulturen])-1)/(--(SEARCH(CC$2,Liste_Ackerkulturen_Gemüse_DropDown[Ackerkulturen])&gt;0)),ROW()-2),1),"")</f>
        <v>Chinakohl</v>
      </c>
      <c r="CC118" s="2463"/>
      <c r="CD118" s="2464" t="str">
        <f>IFERROR(INDEX(Liste_Ackerkulturen_Gemüse_DropDown[Ackerkulturen],_xlfn.AGGREGATE(15,6,(ROW(Liste_Ackerkulturen_Gemüse_DropDown[Ackerkulturen])-1)/(--(SEARCH(CE$2,Liste_Ackerkulturen_Gemüse_DropDown[Ackerkulturen])&gt;0)),ROW()-2),1),"")</f>
        <v>Chinakohl</v>
      </c>
      <c r="CE118" s="2464"/>
      <c r="CF118" s="2464" t="str">
        <f>IFERROR(INDEX(Liste_Ackerkulturen_Gemüse_DropDown[Ackerkulturen],_xlfn.AGGREGATE(15,6,(ROW(Liste_Ackerkulturen_Gemüse_DropDown[Ackerkulturen])-1)/(--(SEARCH(CG$2,Liste_Ackerkulturen_Gemüse_DropDown[Ackerkulturen])&gt;0)),ROW()-2),1),"")</f>
        <v>Chinakohl</v>
      </c>
      <c r="CG118" s="2464"/>
      <c r="CH118" s="2464" t="str">
        <f>IFERROR(INDEX(Liste_Ackerkulturen_Gemüse_DropDown[Ackerkulturen],_xlfn.AGGREGATE(15,6,(ROW(Liste_Ackerkulturen_Gemüse_DropDown[Ackerkulturen])-1)/(--(SEARCH(CI$2,Liste_Ackerkulturen_Gemüse_DropDown[Ackerkulturen])&gt;0)),ROW()-2),1),"")</f>
        <v>Chinakohl</v>
      </c>
      <c r="CI118" s="2464"/>
      <c r="CJ118" s="2464" t="str">
        <f>IFERROR(INDEX(Liste_Ackerkulturen_Gemüse_DropDown[Ackerkulturen],_xlfn.AGGREGATE(15,6,(ROW(Liste_Ackerkulturen_Gemüse_DropDown[Ackerkulturen])-1)/(--(SEARCH(CK$2,Liste_Ackerkulturen_Gemüse_DropDown[Ackerkulturen])&gt;0)),ROW()-2),1),"")</f>
        <v>Chinakohl</v>
      </c>
      <c r="CK118" s="2464"/>
      <c r="CL118" s="2464" t="str">
        <f>IFERROR(INDEX(Liste_Ackerkulturen_Gemüse_DropDown[Ackerkulturen],_xlfn.AGGREGATE(15,6,(ROW(Liste_Ackerkulturen_Gemüse_DropDown[Ackerkulturen])-1)/(--(SEARCH(CM$2,Liste_Ackerkulturen_Gemüse_DropDown[Ackerkulturen])&gt;0)),ROW()-2),1),"")</f>
        <v>Chinakohl</v>
      </c>
      <c r="CM118" s="2464"/>
      <c r="CN118" s="2464" t="str">
        <f>IFERROR(INDEX(Liste_Ackerkulturen_Gemüse_DropDown[Ackerkulturen],_xlfn.AGGREGATE(15,6,(ROW(Liste_Ackerkulturen_Gemüse_DropDown[Ackerkulturen])-1)/(--(SEARCH(CO$2,Liste_Ackerkulturen_Gemüse_DropDown[Ackerkulturen])&gt;0)),ROW()-2),1),"")</f>
        <v>Chinakohl</v>
      </c>
      <c r="CO118" s="2464"/>
      <c r="CP118" s="2464" t="str">
        <f>IFERROR(INDEX(Liste_Ackerkulturen_Gemüse_DropDown[Ackerkulturen],_xlfn.AGGREGATE(15,6,(ROW(Liste_Ackerkulturen_Gemüse_DropDown[Ackerkulturen])-1)/(--(SEARCH(CQ$2,Liste_Ackerkulturen_Gemüse_DropDown[Ackerkulturen])&gt;0)),ROW()-2),1),"")</f>
        <v>Chinakohl</v>
      </c>
      <c r="CQ118" s="2464"/>
      <c r="CR118" s="2464" t="str">
        <f>IFERROR(INDEX(Liste_Ackerkulturen_Gemüse_DropDown[Ackerkulturen],_xlfn.AGGREGATE(15,6,(ROW(Liste_Ackerkulturen_Gemüse_DropDown[Ackerkulturen])-1)/(--(SEARCH(CS$2,Liste_Ackerkulturen_Gemüse_DropDown[Ackerkulturen])&gt;0)),ROW()-2),1),"")</f>
        <v>Chinakohl</v>
      </c>
      <c r="CS118" s="2464"/>
      <c r="CT118"/>
      <c r="CU118"/>
      <c r="CV118"/>
      <c r="CW118"/>
      <c r="CX118"/>
      <c r="CY118"/>
      <c r="CZ118"/>
      <c r="DA118"/>
      <c r="DB118"/>
      <c r="DC118"/>
      <c r="DD118"/>
      <c r="DE118"/>
      <c r="DF118"/>
      <c r="DG118"/>
      <c r="DH118"/>
      <c r="DN118"/>
      <c r="DO118"/>
      <c r="DP118"/>
      <c r="DQ118"/>
      <c r="DR118"/>
      <c r="DS118"/>
      <c r="DT118"/>
      <c r="DU118"/>
      <c r="DV118"/>
      <c r="DW118"/>
      <c r="DX118"/>
      <c r="DY118"/>
      <c r="DZ118"/>
      <c r="EA118"/>
      <c r="EB118"/>
      <c r="EC118"/>
      <c r="ED118"/>
      <c r="EE118"/>
      <c r="EF118"/>
      <c r="EG118"/>
      <c r="EH118"/>
      <c r="EI118"/>
      <c r="EJ118"/>
      <c r="EK118"/>
      <c r="EL118"/>
      <c r="EM118"/>
      <c r="EN118"/>
      <c r="EO118"/>
      <c r="EP118"/>
      <c r="EQ118"/>
      <c r="ER118"/>
      <c r="ES118"/>
      <c r="ET118"/>
      <c r="EU118"/>
      <c r="EV118"/>
      <c r="EW118"/>
      <c r="EX118"/>
      <c r="EY118"/>
      <c r="EZ118"/>
      <c r="FA118"/>
      <c r="FB118"/>
      <c r="FC118"/>
      <c r="FD118"/>
      <c r="FE118"/>
      <c r="FF118"/>
      <c r="FG118"/>
      <c r="FH118"/>
      <c r="FI118"/>
      <c r="FJ118"/>
      <c r="FK118"/>
      <c r="FL118"/>
      <c r="FM118"/>
      <c r="FN118"/>
      <c r="FO118"/>
      <c r="FP118"/>
      <c r="FQ118"/>
      <c r="FR118"/>
      <c r="FS118"/>
      <c r="FT118"/>
      <c r="FU118"/>
      <c r="FV118"/>
      <c r="FW118"/>
      <c r="FX118"/>
      <c r="FY118"/>
      <c r="FZ118"/>
      <c r="GA118"/>
      <c r="GB118"/>
      <c r="GC118"/>
      <c r="GD118"/>
      <c r="GE118"/>
      <c r="GF118"/>
      <c r="GG118"/>
      <c r="GH118"/>
      <c r="GI118"/>
      <c r="GJ118"/>
      <c r="GK118"/>
      <c r="GL118"/>
      <c r="GM118"/>
      <c r="GN118"/>
      <c r="GO118"/>
      <c r="GP118"/>
      <c r="GQ118"/>
      <c r="GR118"/>
      <c r="GS118"/>
      <c r="GT118"/>
      <c r="GU118"/>
      <c r="GV118"/>
      <c r="GW118"/>
      <c r="GX118"/>
      <c r="GY118"/>
      <c r="GZ118"/>
      <c r="HA118"/>
      <c r="HB118"/>
      <c r="HC118"/>
      <c r="HD118"/>
      <c r="HE118"/>
      <c r="HF118"/>
      <c r="HG118"/>
      <c r="HH118"/>
      <c r="HI118"/>
      <c r="HJ118"/>
      <c r="HK118"/>
      <c r="HL118"/>
      <c r="HM118"/>
      <c r="HN118"/>
      <c r="HO118"/>
      <c r="HP118"/>
      <c r="HQ118"/>
      <c r="HR118"/>
      <c r="HS118"/>
      <c r="HT118"/>
      <c r="HU118"/>
      <c r="HV118"/>
      <c r="HW118"/>
      <c r="HX118"/>
      <c r="HY118"/>
      <c r="HZ118"/>
      <c r="IA118"/>
      <c r="IB118"/>
      <c r="IC118"/>
      <c r="ID118"/>
      <c r="IE118"/>
      <c r="IF118"/>
      <c r="IG118"/>
      <c r="IH118"/>
      <c r="II118"/>
      <c r="IJ118"/>
      <c r="IK118"/>
      <c r="IL118"/>
      <c r="IM118"/>
      <c r="IN118"/>
      <c r="IO118"/>
      <c r="IP118"/>
      <c r="IQ118"/>
      <c r="IR118"/>
      <c r="IS118"/>
      <c r="IT118"/>
      <c r="IU118"/>
    </row>
    <row r="119" spans="1:255" ht="21" customHeight="1">
      <c r="C119" s="2608" t="s">
        <v>12</v>
      </c>
      <c r="D119" s="1566" t="s">
        <v>1059</v>
      </c>
      <c r="E119" s="1567" t="s">
        <v>1997</v>
      </c>
      <c r="F119" s="1568">
        <v>20</v>
      </c>
      <c r="G119" s="1568"/>
      <c r="H119" s="1716" t="s">
        <v>13</v>
      </c>
      <c r="I119" s="1718">
        <v>30</v>
      </c>
      <c r="J119" s="1188" t="s">
        <v>1201</v>
      </c>
      <c r="K119" s="1568"/>
      <c r="L119" s="1527">
        <v>30</v>
      </c>
      <c r="M119" s="1528">
        <v>30</v>
      </c>
      <c r="N119" s="1569">
        <v>45</v>
      </c>
      <c r="O119" s="1570">
        <v>40</v>
      </c>
      <c r="P119" s="1568">
        <v>15</v>
      </c>
      <c r="Q119" s="1718">
        <v>30</v>
      </c>
      <c r="R119" s="1568"/>
      <c r="S119" s="1571" t="s">
        <v>1061</v>
      </c>
      <c r="T119" s="1572" t="s">
        <v>1061</v>
      </c>
      <c r="U119" s="1569">
        <v>120</v>
      </c>
      <c r="V119" s="1188">
        <v>100</v>
      </c>
      <c r="W119" s="1573">
        <v>45</v>
      </c>
      <c r="X119" s="1718">
        <v>80</v>
      </c>
      <c r="Y119" s="1574"/>
      <c r="Z119" s="1571" t="s">
        <v>1061</v>
      </c>
      <c r="AA119" s="1572" t="s">
        <v>1061</v>
      </c>
      <c r="AB119" s="1542"/>
      <c r="AC119" s="1542"/>
      <c r="AD119" s="1542"/>
      <c r="AE119" s="1542"/>
      <c r="AF119" s="1279"/>
      <c r="AM119" s="2371" t="s">
        <v>142</v>
      </c>
      <c r="AN119" s="2352">
        <v>200</v>
      </c>
      <c r="AO119" s="2283" t="s">
        <v>143</v>
      </c>
      <c r="AP119" s="2352">
        <v>240</v>
      </c>
      <c r="AQ119" s="2283" t="s">
        <v>144</v>
      </c>
      <c r="AR119" s="2352">
        <v>290</v>
      </c>
      <c r="AS119" s="2283" t="s">
        <v>145</v>
      </c>
      <c r="AT119" s="2348">
        <v>290</v>
      </c>
      <c r="AU119" s="2285" t="s">
        <v>145</v>
      </c>
      <c r="AV119" s="2348">
        <v>290</v>
      </c>
      <c r="AW119" s="2285" t="s">
        <v>145</v>
      </c>
      <c r="AX119" s="2345">
        <v>200</v>
      </c>
      <c r="AY119" s="2278" t="s">
        <v>144</v>
      </c>
      <c r="AZ119" s="2350">
        <v>250</v>
      </c>
      <c r="BA119" s="2303" t="s">
        <v>2333</v>
      </c>
      <c r="BE119" s="2371" t="s">
        <v>142</v>
      </c>
      <c r="BF119" s="577">
        <v>50</v>
      </c>
      <c r="BG119" s="577">
        <v>60</v>
      </c>
      <c r="BH119" s="577">
        <v>75</v>
      </c>
      <c r="BJ119" s="2371" t="s">
        <v>142</v>
      </c>
      <c r="BK119" s="578">
        <v>145</v>
      </c>
      <c r="BL119" s="577">
        <v>180</v>
      </c>
      <c r="BM119" s="577">
        <v>225</v>
      </c>
      <c r="BP119" s="524"/>
      <c r="BQ119" s="524"/>
      <c r="BR119" s="524"/>
      <c r="BS119" s="2461" t="s">
        <v>150</v>
      </c>
      <c r="BT119" s="2463" t="str">
        <f>IFERROR(INDEX(Liste_Ackerkulturen_Gemüse_DropDown[Ackerkulturen],_xlfn.AGGREGATE(15,6,(ROW(Liste_Ackerkulturen_Gemüse_DropDown[Ackerkulturen])-1)/(--(SEARCH(BU$2,Liste_Ackerkulturen_Gemüse_DropDown[Ackerkulturen])&gt;0)),ROW()-2),1),"")</f>
        <v>Dill</v>
      </c>
      <c r="BU119" s="2463"/>
      <c r="BV119" s="2463" t="str">
        <f>IFERROR(INDEX(Liste_Ackerkulturen_Gemüse_DropDown[Ackerkulturen],_xlfn.AGGREGATE(15,6,(ROW(Liste_Ackerkulturen_Gemüse_DropDown[Ackerkulturen])-1)/(--(SEARCH(BW$2,Liste_Ackerkulturen_Gemüse_DropDown[Ackerkulturen])&gt;0)),ROW()-2),1),"")</f>
        <v>Dill</v>
      </c>
      <c r="BW119" s="2463"/>
      <c r="BX119" s="2463" t="str">
        <f>IFERROR(INDEX(Liste_Ackerkulturen_Gemüse_DropDown[Ackerkulturen],_xlfn.AGGREGATE(15,6,(ROW(Liste_Ackerkulturen_Gemüse_DropDown[Ackerkulturen])-1)/(--(SEARCH(BY$2,Liste_Ackerkulturen_Gemüse_DropDown[Ackerkulturen])&gt;0)),ROW()-2),1),"")</f>
        <v>Dill</v>
      </c>
      <c r="BY119" s="2463"/>
      <c r="BZ119" s="2463" t="str">
        <f>IFERROR(INDEX(Liste_Ackerkulturen_Gemüse_DropDown[Ackerkulturen],_xlfn.AGGREGATE(15,6,(ROW(Liste_Ackerkulturen_Gemüse_DropDown[Ackerkulturen])-1)/(--(SEARCH(CA$2,Liste_Ackerkulturen_Gemüse_DropDown[Ackerkulturen])&gt;0)),ROW()-2),1),"")</f>
        <v>Dill</v>
      </c>
      <c r="CA119" s="2463"/>
      <c r="CB119" s="2463" t="str">
        <f>IFERROR(INDEX(Liste_Ackerkulturen_Gemüse_DropDown[Ackerkulturen],_xlfn.AGGREGATE(15,6,(ROW(Liste_Ackerkulturen_Gemüse_DropDown[Ackerkulturen])-1)/(--(SEARCH(CC$2,Liste_Ackerkulturen_Gemüse_DropDown[Ackerkulturen])&gt;0)),ROW()-2),1),"")</f>
        <v>Dill</v>
      </c>
      <c r="CC119" s="2463"/>
      <c r="CD119" s="2464" t="str">
        <f>IFERROR(INDEX(Liste_Ackerkulturen_Gemüse_DropDown[Ackerkulturen],_xlfn.AGGREGATE(15,6,(ROW(Liste_Ackerkulturen_Gemüse_DropDown[Ackerkulturen])-1)/(--(SEARCH(CE$2,Liste_Ackerkulturen_Gemüse_DropDown[Ackerkulturen])&gt;0)),ROW()-2),1),"")</f>
        <v>Dill</v>
      </c>
      <c r="CE119" s="2464"/>
      <c r="CF119" s="2464" t="str">
        <f>IFERROR(INDEX(Liste_Ackerkulturen_Gemüse_DropDown[Ackerkulturen],_xlfn.AGGREGATE(15,6,(ROW(Liste_Ackerkulturen_Gemüse_DropDown[Ackerkulturen])-1)/(--(SEARCH(CG$2,Liste_Ackerkulturen_Gemüse_DropDown[Ackerkulturen])&gt;0)),ROW()-2),1),"")</f>
        <v>Dill</v>
      </c>
      <c r="CG119" s="2464"/>
      <c r="CH119" s="2464" t="str">
        <f>IFERROR(INDEX(Liste_Ackerkulturen_Gemüse_DropDown[Ackerkulturen],_xlfn.AGGREGATE(15,6,(ROW(Liste_Ackerkulturen_Gemüse_DropDown[Ackerkulturen])-1)/(--(SEARCH(CI$2,Liste_Ackerkulturen_Gemüse_DropDown[Ackerkulturen])&gt;0)),ROW()-2),1),"")</f>
        <v>Dill</v>
      </c>
      <c r="CI119" s="2464"/>
      <c r="CJ119" s="2464" t="str">
        <f>IFERROR(INDEX(Liste_Ackerkulturen_Gemüse_DropDown[Ackerkulturen],_xlfn.AGGREGATE(15,6,(ROW(Liste_Ackerkulturen_Gemüse_DropDown[Ackerkulturen])-1)/(--(SEARCH(CK$2,Liste_Ackerkulturen_Gemüse_DropDown[Ackerkulturen])&gt;0)),ROW()-2),1),"")</f>
        <v>Dill</v>
      </c>
      <c r="CK119" s="2464"/>
      <c r="CL119" s="2464" t="str">
        <f>IFERROR(INDEX(Liste_Ackerkulturen_Gemüse_DropDown[Ackerkulturen],_xlfn.AGGREGATE(15,6,(ROW(Liste_Ackerkulturen_Gemüse_DropDown[Ackerkulturen])-1)/(--(SEARCH(CM$2,Liste_Ackerkulturen_Gemüse_DropDown[Ackerkulturen])&gt;0)),ROW()-2),1),"")</f>
        <v>Dill</v>
      </c>
      <c r="CM119" s="2464"/>
      <c r="CN119" s="2464" t="str">
        <f>IFERROR(INDEX(Liste_Ackerkulturen_Gemüse_DropDown[Ackerkulturen],_xlfn.AGGREGATE(15,6,(ROW(Liste_Ackerkulturen_Gemüse_DropDown[Ackerkulturen])-1)/(--(SEARCH(CO$2,Liste_Ackerkulturen_Gemüse_DropDown[Ackerkulturen])&gt;0)),ROW()-2),1),"")</f>
        <v>Dill</v>
      </c>
      <c r="CO119" s="2464"/>
      <c r="CP119" s="2464" t="str">
        <f>IFERROR(INDEX(Liste_Ackerkulturen_Gemüse_DropDown[Ackerkulturen],_xlfn.AGGREGATE(15,6,(ROW(Liste_Ackerkulturen_Gemüse_DropDown[Ackerkulturen])-1)/(--(SEARCH(CQ$2,Liste_Ackerkulturen_Gemüse_DropDown[Ackerkulturen])&gt;0)),ROW()-2),1),"")</f>
        <v>Dill</v>
      </c>
      <c r="CQ119" s="2464"/>
      <c r="CR119" s="2464" t="str">
        <f>IFERROR(INDEX(Liste_Ackerkulturen_Gemüse_DropDown[Ackerkulturen],_xlfn.AGGREGATE(15,6,(ROW(Liste_Ackerkulturen_Gemüse_DropDown[Ackerkulturen])-1)/(--(SEARCH(CS$2,Liste_Ackerkulturen_Gemüse_DropDown[Ackerkulturen])&gt;0)),ROW()-2),1),"")</f>
        <v>Dill</v>
      </c>
      <c r="CS119" s="2464"/>
      <c r="CT119"/>
      <c r="CU119"/>
      <c r="CV119"/>
      <c r="CW119"/>
      <c r="CX119"/>
      <c r="CY119"/>
      <c r="CZ119"/>
      <c r="DA119"/>
      <c r="DB119"/>
      <c r="DC119"/>
      <c r="DD119"/>
      <c r="DE119"/>
      <c r="DF119"/>
      <c r="DG119"/>
      <c r="DH119"/>
      <c r="DN119"/>
      <c r="DO119"/>
      <c r="DP119"/>
      <c r="DQ119"/>
      <c r="DR119"/>
      <c r="DS119"/>
      <c r="DT119"/>
      <c r="DU119"/>
      <c r="DV119"/>
      <c r="DW119"/>
      <c r="DX119"/>
      <c r="DY119"/>
      <c r="DZ119"/>
      <c r="EA119"/>
      <c r="EB119"/>
      <c r="EC119"/>
      <c r="ED119"/>
      <c r="EE119"/>
      <c r="EF119"/>
      <c r="EG119"/>
      <c r="EH119"/>
      <c r="EI119"/>
      <c r="EJ119"/>
      <c r="EK119"/>
      <c r="EL119"/>
      <c r="EM119"/>
      <c r="EN119"/>
      <c r="EO119"/>
      <c r="EP119"/>
      <c r="EQ119"/>
      <c r="ER119"/>
      <c r="ES119"/>
      <c r="ET119"/>
      <c r="EU119"/>
      <c r="EV119"/>
      <c r="EW119"/>
      <c r="EX119"/>
      <c r="EY119"/>
      <c r="EZ119"/>
      <c r="FA119"/>
      <c r="FB119"/>
      <c r="FC119"/>
      <c r="FD119"/>
      <c r="FE119"/>
      <c r="FF119"/>
      <c r="FG119"/>
      <c r="FH119"/>
      <c r="FI119"/>
      <c r="FJ119"/>
      <c r="FK119"/>
      <c r="FL119"/>
      <c r="FM119"/>
      <c r="FN119"/>
      <c r="FO119"/>
      <c r="FP119"/>
      <c r="FQ119"/>
      <c r="FR119"/>
      <c r="FS119"/>
      <c r="FT119"/>
      <c r="FU119"/>
      <c r="FV119"/>
      <c r="FW119"/>
      <c r="FX119"/>
      <c r="FY119"/>
      <c r="FZ119"/>
      <c r="GA119"/>
      <c r="GB119"/>
      <c r="GC119"/>
      <c r="GD119"/>
      <c r="GE119"/>
      <c r="GF119"/>
      <c r="GG119"/>
      <c r="GH119"/>
      <c r="GI119"/>
      <c r="GJ119"/>
      <c r="GK119"/>
      <c r="GL119"/>
      <c r="GM119"/>
      <c r="GN119"/>
      <c r="GO119"/>
      <c r="GP119"/>
      <c r="GQ119"/>
      <c r="GR119"/>
      <c r="GS119"/>
      <c r="GT119"/>
      <c r="GU119"/>
      <c r="GV119"/>
      <c r="GW119"/>
      <c r="GX119"/>
      <c r="GY119"/>
      <c r="GZ119"/>
      <c r="HA119"/>
      <c r="HB119"/>
      <c r="HC119"/>
      <c r="HD119"/>
      <c r="HE119"/>
      <c r="HF119"/>
      <c r="HG119"/>
      <c r="HH119"/>
      <c r="HI119"/>
      <c r="HJ119"/>
      <c r="HK119"/>
      <c r="HL119"/>
      <c r="HM119"/>
      <c r="HN119"/>
      <c r="HO119"/>
      <c r="HP119"/>
      <c r="HQ119"/>
      <c r="HR119"/>
      <c r="HS119"/>
      <c r="HT119"/>
      <c r="HU119"/>
      <c r="HV119"/>
      <c r="HW119"/>
      <c r="HX119"/>
      <c r="HY119"/>
      <c r="HZ119"/>
      <c r="IA119"/>
      <c r="IB119"/>
      <c r="IC119"/>
      <c r="ID119"/>
      <c r="IE119"/>
      <c r="IF119"/>
      <c r="IG119"/>
      <c r="IH119"/>
      <c r="II119"/>
      <c r="IJ119"/>
      <c r="IK119"/>
      <c r="IL119"/>
      <c r="IM119"/>
      <c r="IN119"/>
      <c r="IO119"/>
      <c r="IP119"/>
      <c r="IQ119"/>
      <c r="IR119"/>
      <c r="IS119"/>
      <c r="IT119"/>
      <c r="IU119"/>
    </row>
    <row r="120" spans="1:255" ht="21" customHeight="1">
      <c r="C120" s="2608"/>
      <c r="D120" s="1566" t="s">
        <v>1062</v>
      </c>
      <c r="E120" s="1567" t="s">
        <v>14</v>
      </c>
      <c r="F120" s="1568">
        <v>60</v>
      </c>
      <c r="G120" s="1568"/>
      <c r="H120" s="1716" t="s">
        <v>15</v>
      </c>
      <c r="I120" s="1718">
        <v>90</v>
      </c>
      <c r="J120" s="1188" t="s">
        <v>1201</v>
      </c>
      <c r="K120" s="1568"/>
      <c r="L120" s="1527">
        <v>90</v>
      </c>
      <c r="M120" s="1528">
        <v>90</v>
      </c>
      <c r="N120" s="1569">
        <v>70</v>
      </c>
      <c r="O120" s="1570">
        <v>55</v>
      </c>
      <c r="P120" s="1568">
        <v>30</v>
      </c>
      <c r="Q120" s="1718">
        <v>45</v>
      </c>
      <c r="R120" s="1568"/>
      <c r="S120" s="1571" t="s">
        <v>1061</v>
      </c>
      <c r="T120" s="1572" t="s">
        <v>1061</v>
      </c>
      <c r="U120" s="1569">
        <v>180</v>
      </c>
      <c r="V120" s="1188">
        <v>150</v>
      </c>
      <c r="W120" s="1573">
        <v>80</v>
      </c>
      <c r="X120" s="1718">
        <v>120</v>
      </c>
      <c r="Y120" s="1574"/>
      <c r="Z120" s="1571" t="s">
        <v>1061</v>
      </c>
      <c r="AA120" s="1572" t="s">
        <v>1061</v>
      </c>
      <c r="AB120" s="1542"/>
      <c r="AC120" s="1542"/>
      <c r="AD120" s="1542"/>
      <c r="AE120" s="1542"/>
      <c r="AF120" s="1279"/>
      <c r="AM120" s="2371" t="s">
        <v>146</v>
      </c>
      <c r="AN120" s="2352">
        <v>110</v>
      </c>
      <c r="AO120" s="2283" t="s">
        <v>147</v>
      </c>
      <c r="AP120" s="2352">
        <v>130</v>
      </c>
      <c r="AQ120" s="2283" t="s">
        <v>148</v>
      </c>
      <c r="AR120" s="2352">
        <v>155</v>
      </c>
      <c r="AS120" s="2283" t="s">
        <v>149</v>
      </c>
      <c r="AT120" s="2348">
        <v>155</v>
      </c>
      <c r="AU120" s="2285" t="s">
        <v>149</v>
      </c>
      <c r="AV120" s="2348">
        <v>155</v>
      </c>
      <c r="AW120" s="2285" t="s">
        <v>149</v>
      </c>
      <c r="AX120" s="2345">
        <v>90</v>
      </c>
      <c r="AY120" s="2278" t="s">
        <v>148</v>
      </c>
      <c r="AZ120" s="2350">
        <v>113</v>
      </c>
      <c r="BA120" s="2303" t="s">
        <v>2334</v>
      </c>
      <c r="BE120" s="2371" t="s">
        <v>146</v>
      </c>
      <c r="BF120" s="577">
        <v>10</v>
      </c>
      <c r="BG120" s="577">
        <v>15</v>
      </c>
      <c r="BH120" s="577">
        <v>20</v>
      </c>
      <c r="BJ120" s="2371" t="s">
        <v>146</v>
      </c>
      <c r="BK120" s="578">
        <v>80</v>
      </c>
      <c r="BL120" s="577">
        <v>100</v>
      </c>
      <c r="BM120" s="577">
        <v>125</v>
      </c>
      <c r="BP120" s="524"/>
      <c r="BQ120" s="524"/>
      <c r="BR120" s="524"/>
      <c r="BS120" s="2461" t="s">
        <v>152</v>
      </c>
      <c r="BT120" s="2463" t="str">
        <f>IFERROR(INDEX(Liste_Ackerkulturen_Gemüse_DropDown[Ackerkulturen],_xlfn.AGGREGATE(15,6,(ROW(Liste_Ackerkulturen_Gemüse_DropDown[Ackerkulturen])-1)/(--(SEARCH(BU$2,Liste_Ackerkulturen_Gemüse_DropDown[Ackerkulturen])&gt;0)),ROW()-2),1),"")</f>
        <v>Eichblattsalat</v>
      </c>
      <c r="BU120" s="2463"/>
      <c r="BV120" s="2463" t="str">
        <f>IFERROR(INDEX(Liste_Ackerkulturen_Gemüse_DropDown[Ackerkulturen],_xlfn.AGGREGATE(15,6,(ROW(Liste_Ackerkulturen_Gemüse_DropDown[Ackerkulturen])-1)/(--(SEARCH(BW$2,Liste_Ackerkulturen_Gemüse_DropDown[Ackerkulturen])&gt;0)),ROW()-2),1),"")</f>
        <v>Eichblattsalat</v>
      </c>
      <c r="BW120" s="2463"/>
      <c r="BX120" s="2463" t="str">
        <f>IFERROR(INDEX(Liste_Ackerkulturen_Gemüse_DropDown[Ackerkulturen],_xlfn.AGGREGATE(15,6,(ROW(Liste_Ackerkulturen_Gemüse_DropDown[Ackerkulturen])-1)/(--(SEARCH(BY$2,Liste_Ackerkulturen_Gemüse_DropDown[Ackerkulturen])&gt;0)),ROW()-2),1),"")</f>
        <v>Eichblattsalat</v>
      </c>
      <c r="BY120" s="2463"/>
      <c r="BZ120" s="2463" t="str">
        <f>IFERROR(INDEX(Liste_Ackerkulturen_Gemüse_DropDown[Ackerkulturen],_xlfn.AGGREGATE(15,6,(ROW(Liste_Ackerkulturen_Gemüse_DropDown[Ackerkulturen])-1)/(--(SEARCH(CA$2,Liste_Ackerkulturen_Gemüse_DropDown[Ackerkulturen])&gt;0)),ROW()-2),1),"")</f>
        <v>Eichblattsalat</v>
      </c>
      <c r="CA120" s="2463"/>
      <c r="CB120" s="2463" t="str">
        <f>IFERROR(INDEX(Liste_Ackerkulturen_Gemüse_DropDown[Ackerkulturen],_xlfn.AGGREGATE(15,6,(ROW(Liste_Ackerkulturen_Gemüse_DropDown[Ackerkulturen])-1)/(--(SEARCH(CC$2,Liste_Ackerkulturen_Gemüse_DropDown[Ackerkulturen])&gt;0)),ROW()-2),1),"")</f>
        <v>Eichblattsalat</v>
      </c>
      <c r="CC120" s="2463"/>
      <c r="CD120" s="2464" t="str">
        <f>IFERROR(INDEX(Liste_Ackerkulturen_Gemüse_DropDown[Ackerkulturen],_xlfn.AGGREGATE(15,6,(ROW(Liste_Ackerkulturen_Gemüse_DropDown[Ackerkulturen])-1)/(--(SEARCH(CE$2,Liste_Ackerkulturen_Gemüse_DropDown[Ackerkulturen])&gt;0)),ROW()-2),1),"")</f>
        <v>Eichblattsalat</v>
      </c>
      <c r="CE120" s="2464"/>
      <c r="CF120" s="2464" t="str">
        <f>IFERROR(INDEX(Liste_Ackerkulturen_Gemüse_DropDown[Ackerkulturen],_xlfn.AGGREGATE(15,6,(ROW(Liste_Ackerkulturen_Gemüse_DropDown[Ackerkulturen])-1)/(--(SEARCH(CG$2,Liste_Ackerkulturen_Gemüse_DropDown[Ackerkulturen])&gt;0)),ROW()-2),1),"")</f>
        <v>Eichblattsalat</v>
      </c>
      <c r="CG120" s="2464"/>
      <c r="CH120" s="2464" t="str">
        <f>IFERROR(INDEX(Liste_Ackerkulturen_Gemüse_DropDown[Ackerkulturen],_xlfn.AGGREGATE(15,6,(ROW(Liste_Ackerkulturen_Gemüse_DropDown[Ackerkulturen])-1)/(--(SEARCH(CI$2,Liste_Ackerkulturen_Gemüse_DropDown[Ackerkulturen])&gt;0)),ROW()-2),1),"")</f>
        <v>Eichblattsalat</v>
      </c>
      <c r="CI120" s="2464"/>
      <c r="CJ120" s="2464" t="str">
        <f>IFERROR(INDEX(Liste_Ackerkulturen_Gemüse_DropDown[Ackerkulturen],_xlfn.AGGREGATE(15,6,(ROW(Liste_Ackerkulturen_Gemüse_DropDown[Ackerkulturen])-1)/(--(SEARCH(CK$2,Liste_Ackerkulturen_Gemüse_DropDown[Ackerkulturen])&gt;0)),ROW()-2),1),"")</f>
        <v>Eichblattsalat</v>
      </c>
      <c r="CK120" s="2464"/>
      <c r="CL120" s="2464" t="str">
        <f>IFERROR(INDEX(Liste_Ackerkulturen_Gemüse_DropDown[Ackerkulturen],_xlfn.AGGREGATE(15,6,(ROW(Liste_Ackerkulturen_Gemüse_DropDown[Ackerkulturen])-1)/(--(SEARCH(CM$2,Liste_Ackerkulturen_Gemüse_DropDown[Ackerkulturen])&gt;0)),ROW()-2),1),"")</f>
        <v>Eichblattsalat</v>
      </c>
      <c r="CM120" s="2464"/>
      <c r="CN120" s="2464" t="str">
        <f>IFERROR(INDEX(Liste_Ackerkulturen_Gemüse_DropDown[Ackerkulturen],_xlfn.AGGREGATE(15,6,(ROW(Liste_Ackerkulturen_Gemüse_DropDown[Ackerkulturen])-1)/(--(SEARCH(CO$2,Liste_Ackerkulturen_Gemüse_DropDown[Ackerkulturen])&gt;0)),ROW()-2),1),"")</f>
        <v>Eichblattsalat</v>
      </c>
      <c r="CO120" s="2464"/>
      <c r="CP120" s="2464" t="str">
        <f>IFERROR(INDEX(Liste_Ackerkulturen_Gemüse_DropDown[Ackerkulturen],_xlfn.AGGREGATE(15,6,(ROW(Liste_Ackerkulturen_Gemüse_DropDown[Ackerkulturen])-1)/(--(SEARCH(CQ$2,Liste_Ackerkulturen_Gemüse_DropDown[Ackerkulturen])&gt;0)),ROW()-2),1),"")</f>
        <v>Eichblattsalat</v>
      </c>
      <c r="CQ120" s="2464"/>
      <c r="CR120" s="2464" t="str">
        <f>IFERROR(INDEX(Liste_Ackerkulturen_Gemüse_DropDown[Ackerkulturen],_xlfn.AGGREGATE(15,6,(ROW(Liste_Ackerkulturen_Gemüse_DropDown[Ackerkulturen])-1)/(--(SEARCH(CS$2,Liste_Ackerkulturen_Gemüse_DropDown[Ackerkulturen])&gt;0)),ROW()-2),1),"")</f>
        <v>Eichblattsalat</v>
      </c>
      <c r="CS120" s="2464"/>
      <c r="CT120"/>
      <c r="CU120"/>
      <c r="CV120"/>
      <c r="CW120"/>
      <c r="CX120"/>
      <c r="CY120"/>
      <c r="CZ120"/>
      <c r="DA120"/>
      <c r="DB120"/>
      <c r="DC120"/>
      <c r="DD120"/>
      <c r="DE120"/>
      <c r="DF120"/>
      <c r="DG120"/>
      <c r="DH120"/>
      <c r="DN120"/>
      <c r="DO120"/>
      <c r="DP120"/>
      <c r="DQ120"/>
      <c r="DR120"/>
      <c r="DS120"/>
      <c r="DT120"/>
      <c r="DU120"/>
      <c r="DV120"/>
      <c r="DW120"/>
      <c r="DX120"/>
      <c r="DY120"/>
      <c r="DZ120"/>
      <c r="EA120"/>
      <c r="EB120"/>
      <c r="EC120"/>
      <c r="ED120"/>
      <c r="EE120"/>
      <c r="EF120"/>
      <c r="EG120"/>
      <c r="EH120"/>
      <c r="EI120"/>
      <c r="EJ120"/>
      <c r="EK120"/>
      <c r="EL120"/>
      <c r="EM120"/>
      <c r="EN120"/>
      <c r="EO120"/>
      <c r="EP120"/>
      <c r="EQ120"/>
      <c r="ER120"/>
      <c r="ES120"/>
      <c r="ET120"/>
      <c r="EU120"/>
      <c r="EV120"/>
      <c r="EW120"/>
      <c r="EX120"/>
      <c r="EY120"/>
      <c r="EZ120"/>
      <c r="FA120"/>
      <c r="FB120"/>
      <c r="FC120"/>
      <c r="FD120"/>
      <c r="FE120"/>
      <c r="FF120"/>
      <c r="FG120"/>
      <c r="FH120"/>
      <c r="FI120"/>
      <c r="FJ120"/>
      <c r="FK120"/>
      <c r="FL120"/>
      <c r="FM120"/>
      <c r="FN120"/>
      <c r="FO120"/>
      <c r="FP120"/>
      <c r="FQ120"/>
      <c r="FR120"/>
      <c r="FS120"/>
      <c r="FT120"/>
      <c r="FU120"/>
      <c r="FV120"/>
      <c r="FW120"/>
      <c r="FX120"/>
      <c r="FY120"/>
      <c r="FZ120"/>
      <c r="GA120"/>
      <c r="GB120"/>
      <c r="GC120"/>
      <c r="GD120"/>
      <c r="GE120"/>
      <c r="GF120"/>
      <c r="GG120"/>
      <c r="GH120"/>
      <c r="GI120"/>
      <c r="GJ120"/>
      <c r="GK120"/>
      <c r="GL120"/>
      <c r="GM120"/>
      <c r="GN120"/>
      <c r="GO120"/>
      <c r="GP120"/>
      <c r="GQ120"/>
      <c r="GR120"/>
      <c r="GS120"/>
      <c r="GT120"/>
      <c r="GU120"/>
      <c r="GV120"/>
      <c r="GW120"/>
      <c r="GX120"/>
      <c r="GY120"/>
      <c r="GZ120"/>
      <c r="HA120"/>
      <c r="HB120"/>
      <c r="HC120"/>
      <c r="HD120"/>
      <c r="HE120"/>
      <c r="HF120"/>
      <c r="HG120"/>
      <c r="HH120"/>
      <c r="HI120"/>
      <c r="HJ120"/>
      <c r="HK120"/>
      <c r="HL120"/>
      <c r="HM120"/>
      <c r="HN120"/>
      <c r="HO120"/>
      <c r="HP120"/>
      <c r="HQ120"/>
      <c r="HR120"/>
      <c r="HS120"/>
      <c r="HT120"/>
      <c r="HU120"/>
      <c r="HV120"/>
      <c r="HW120"/>
      <c r="HX120"/>
      <c r="HY120"/>
      <c r="HZ120"/>
      <c r="IA120"/>
      <c r="IB120"/>
      <c r="IC120"/>
      <c r="ID120"/>
      <c r="IE120"/>
      <c r="IF120"/>
      <c r="IG120"/>
      <c r="IH120"/>
      <c r="II120"/>
      <c r="IJ120"/>
      <c r="IK120"/>
      <c r="IL120"/>
      <c r="IM120"/>
      <c r="IN120"/>
      <c r="IO120"/>
      <c r="IP120"/>
      <c r="IQ120"/>
      <c r="IR120"/>
      <c r="IS120"/>
      <c r="IT120"/>
      <c r="IU120"/>
    </row>
    <row r="121" spans="1:255" ht="21" customHeight="1">
      <c r="C121" s="2608"/>
      <c r="D121" s="1566" t="s">
        <v>1064</v>
      </c>
      <c r="E121" s="1567" t="s">
        <v>1201</v>
      </c>
      <c r="F121" s="1568"/>
      <c r="G121" s="1568"/>
      <c r="H121" s="1716" t="s">
        <v>1978</v>
      </c>
      <c r="I121" s="1718">
        <v>120</v>
      </c>
      <c r="J121" s="1188" t="s">
        <v>16</v>
      </c>
      <c r="K121" s="1568">
        <v>150</v>
      </c>
      <c r="L121" s="1527">
        <v>120</v>
      </c>
      <c r="M121" s="1528">
        <v>140</v>
      </c>
      <c r="N121" s="1569">
        <v>100</v>
      </c>
      <c r="O121" s="1570">
        <v>80</v>
      </c>
      <c r="P121" s="1568"/>
      <c r="Q121" s="1718">
        <v>65</v>
      </c>
      <c r="R121" s="1568">
        <v>80</v>
      </c>
      <c r="S121" s="1571" t="s">
        <v>1061</v>
      </c>
      <c r="T121" s="1572" t="s">
        <v>1061</v>
      </c>
      <c r="U121" s="1569">
        <v>255</v>
      </c>
      <c r="V121" s="1188">
        <v>215</v>
      </c>
      <c r="W121" s="1573"/>
      <c r="X121" s="1718">
        <v>170</v>
      </c>
      <c r="Y121" s="1574">
        <v>215</v>
      </c>
      <c r="Z121" s="1571" t="s">
        <v>1061</v>
      </c>
      <c r="AA121" s="1572" t="s">
        <v>1061</v>
      </c>
      <c r="AB121" s="1542"/>
      <c r="AC121" s="1542"/>
      <c r="AD121" s="1542"/>
      <c r="AE121" s="1542"/>
      <c r="AF121" s="1279"/>
      <c r="AM121" s="2371" t="s">
        <v>150</v>
      </c>
      <c r="AN121" s="2352">
        <v>120</v>
      </c>
      <c r="AO121" s="2283" t="s">
        <v>66</v>
      </c>
      <c r="AP121" s="2352">
        <v>140</v>
      </c>
      <c r="AQ121" s="2283" t="s">
        <v>67</v>
      </c>
      <c r="AR121" s="2352">
        <v>165</v>
      </c>
      <c r="AS121" s="2283" t="s">
        <v>151</v>
      </c>
      <c r="AT121" s="2348">
        <v>165</v>
      </c>
      <c r="AU121" s="2285" t="s">
        <v>151</v>
      </c>
      <c r="AV121" s="2348">
        <v>165</v>
      </c>
      <c r="AW121" s="2285" t="s">
        <v>151</v>
      </c>
      <c r="AX121" s="2345">
        <v>100</v>
      </c>
      <c r="AY121" s="2278" t="s">
        <v>67</v>
      </c>
      <c r="AZ121" s="2350">
        <v>125</v>
      </c>
      <c r="BA121" s="2303" t="s">
        <v>2326</v>
      </c>
      <c r="BE121" s="2371" t="s">
        <v>150</v>
      </c>
      <c r="BF121" s="577">
        <v>25</v>
      </c>
      <c r="BG121" s="577">
        <v>30</v>
      </c>
      <c r="BH121" s="577">
        <v>40</v>
      </c>
      <c r="BJ121" s="2371" t="s">
        <v>150</v>
      </c>
      <c r="BK121" s="578">
        <v>110</v>
      </c>
      <c r="BL121" s="577">
        <v>140</v>
      </c>
      <c r="BM121" s="577">
        <v>175</v>
      </c>
      <c r="BP121" s="524"/>
      <c r="BQ121" s="524"/>
      <c r="BR121" s="524"/>
      <c r="BS121" s="2461" t="s">
        <v>153</v>
      </c>
      <c r="BT121" s="2463" t="str">
        <f>IFERROR(INDEX(Liste_Ackerkulturen_Gemüse_DropDown[Ackerkulturen],_xlfn.AGGREGATE(15,6,(ROW(Liste_Ackerkulturen_Gemüse_DropDown[Ackerkulturen])-1)/(--(SEARCH(BU$2,Liste_Ackerkulturen_Gemüse_DropDown[Ackerkulturen])&gt;0)),ROW()-2),1),"")</f>
        <v>Eichblattsalat (geschützt)</v>
      </c>
      <c r="BU121" s="2463"/>
      <c r="BV121" s="2463" t="str">
        <f>IFERROR(INDEX(Liste_Ackerkulturen_Gemüse_DropDown[Ackerkulturen],_xlfn.AGGREGATE(15,6,(ROW(Liste_Ackerkulturen_Gemüse_DropDown[Ackerkulturen])-1)/(--(SEARCH(BW$2,Liste_Ackerkulturen_Gemüse_DropDown[Ackerkulturen])&gt;0)),ROW()-2),1),"")</f>
        <v>Eichblattsalat (geschützt)</v>
      </c>
      <c r="BW121" s="2463"/>
      <c r="BX121" s="2463" t="str">
        <f>IFERROR(INDEX(Liste_Ackerkulturen_Gemüse_DropDown[Ackerkulturen],_xlfn.AGGREGATE(15,6,(ROW(Liste_Ackerkulturen_Gemüse_DropDown[Ackerkulturen])-1)/(--(SEARCH(BY$2,Liste_Ackerkulturen_Gemüse_DropDown[Ackerkulturen])&gt;0)),ROW()-2),1),"")</f>
        <v>Eichblattsalat (geschützt)</v>
      </c>
      <c r="BY121" s="2463"/>
      <c r="BZ121" s="2463" t="str">
        <f>IFERROR(INDEX(Liste_Ackerkulturen_Gemüse_DropDown[Ackerkulturen],_xlfn.AGGREGATE(15,6,(ROW(Liste_Ackerkulturen_Gemüse_DropDown[Ackerkulturen])-1)/(--(SEARCH(CA$2,Liste_Ackerkulturen_Gemüse_DropDown[Ackerkulturen])&gt;0)),ROW()-2),1),"")</f>
        <v>Eichblattsalat (geschützt)</v>
      </c>
      <c r="CA121" s="2463"/>
      <c r="CB121" s="2463" t="str">
        <f>IFERROR(INDEX(Liste_Ackerkulturen_Gemüse_DropDown[Ackerkulturen],_xlfn.AGGREGATE(15,6,(ROW(Liste_Ackerkulturen_Gemüse_DropDown[Ackerkulturen])-1)/(--(SEARCH(CC$2,Liste_Ackerkulturen_Gemüse_DropDown[Ackerkulturen])&gt;0)),ROW()-2),1),"")</f>
        <v>Eichblattsalat (geschützt)</v>
      </c>
      <c r="CC121" s="2463"/>
      <c r="CD121" s="2464" t="str">
        <f>IFERROR(INDEX(Liste_Ackerkulturen_Gemüse_DropDown[Ackerkulturen],_xlfn.AGGREGATE(15,6,(ROW(Liste_Ackerkulturen_Gemüse_DropDown[Ackerkulturen])-1)/(--(SEARCH(CE$2,Liste_Ackerkulturen_Gemüse_DropDown[Ackerkulturen])&gt;0)),ROW()-2),1),"")</f>
        <v>Eichblattsalat (geschützt)</v>
      </c>
      <c r="CE121" s="2464"/>
      <c r="CF121" s="2464" t="str">
        <f>IFERROR(INDEX(Liste_Ackerkulturen_Gemüse_DropDown[Ackerkulturen],_xlfn.AGGREGATE(15,6,(ROW(Liste_Ackerkulturen_Gemüse_DropDown[Ackerkulturen])-1)/(--(SEARCH(CG$2,Liste_Ackerkulturen_Gemüse_DropDown[Ackerkulturen])&gt;0)),ROW()-2),1),"")</f>
        <v>Eichblattsalat (geschützt)</v>
      </c>
      <c r="CG121" s="2464"/>
      <c r="CH121" s="2464" t="str">
        <f>IFERROR(INDEX(Liste_Ackerkulturen_Gemüse_DropDown[Ackerkulturen],_xlfn.AGGREGATE(15,6,(ROW(Liste_Ackerkulturen_Gemüse_DropDown[Ackerkulturen])-1)/(--(SEARCH(CI$2,Liste_Ackerkulturen_Gemüse_DropDown[Ackerkulturen])&gt;0)),ROW()-2),1),"")</f>
        <v>Eichblattsalat (geschützt)</v>
      </c>
      <c r="CI121" s="2464"/>
      <c r="CJ121" s="2464" t="str">
        <f>IFERROR(INDEX(Liste_Ackerkulturen_Gemüse_DropDown[Ackerkulturen],_xlfn.AGGREGATE(15,6,(ROW(Liste_Ackerkulturen_Gemüse_DropDown[Ackerkulturen])-1)/(--(SEARCH(CK$2,Liste_Ackerkulturen_Gemüse_DropDown[Ackerkulturen])&gt;0)),ROW()-2),1),"")</f>
        <v>Eichblattsalat (geschützt)</v>
      </c>
      <c r="CK121" s="2464"/>
      <c r="CL121" s="2464" t="str">
        <f>IFERROR(INDEX(Liste_Ackerkulturen_Gemüse_DropDown[Ackerkulturen],_xlfn.AGGREGATE(15,6,(ROW(Liste_Ackerkulturen_Gemüse_DropDown[Ackerkulturen])-1)/(--(SEARCH(CM$2,Liste_Ackerkulturen_Gemüse_DropDown[Ackerkulturen])&gt;0)),ROW()-2),1),"")</f>
        <v>Eichblattsalat (geschützt)</v>
      </c>
      <c r="CM121" s="2464"/>
      <c r="CN121" s="2464" t="str">
        <f>IFERROR(INDEX(Liste_Ackerkulturen_Gemüse_DropDown[Ackerkulturen],_xlfn.AGGREGATE(15,6,(ROW(Liste_Ackerkulturen_Gemüse_DropDown[Ackerkulturen])-1)/(--(SEARCH(CO$2,Liste_Ackerkulturen_Gemüse_DropDown[Ackerkulturen])&gt;0)),ROW()-2),1),"")</f>
        <v>Eichblattsalat (geschützt)</v>
      </c>
      <c r="CO121" s="2464"/>
      <c r="CP121" s="2464" t="str">
        <f>IFERROR(INDEX(Liste_Ackerkulturen_Gemüse_DropDown[Ackerkulturen],_xlfn.AGGREGATE(15,6,(ROW(Liste_Ackerkulturen_Gemüse_DropDown[Ackerkulturen])-1)/(--(SEARCH(CQ$2,Liste_Ackerkulturen_Gemüse_DropDown[Ackerkulturen])&gt;0)),ROW()-2),1),"")</f>
        <v>Eichblattsalat (geschützt)</v>
      </c>
      <c r="CQ121" s="2464"/>
      <c r="CR121" s="2464" t="str">
        <f>IFERROR(INDEX(Liste_Ackerkulturen_Gemüse_DropDown[Ackerkulturen],_xlfn.AGGREGATE(15,6,(ROW(Liste_Ackerkulturen_Gemüse_DropDown[Ackerkulturen])-1)/(--(SEARCH(CS$2,Liste_Ackerkulturen_Gemüse_DropDown[Ackerkulturen])&gt;0)),ROW()-2),1),"")</f>
        <v>Eichblattsalat (geschützt)</v>
      </c>
      <c r="CS121" s="2464"/>
      <c r="CT121"/>
      <c r="CU121"/>
      <c r="CV121"/>
      <c r="CW121"/>
      <c r="CX121"/>
      <c r="CY121"/>
      <c r="CZ121"/>
      <c r="DA121"/>
      <c r="DB121"/>
      <c r="DC121"/>
      <c r="DD121"/>
      <c r="DE121"/>
      <c r="DF121"/>
      <c r="DG121"/>
      <c r="DH121"/>
      <c r="DN121"/>
      <c r="DO121"/>
      <c r="DP121"/>
      <c r="DQ121"/>
      <c r="DR121"/>
      <c r="DS121"/>
      <c r="DT121"/>
      <c r="DU121"/>
      <c r="DV121"/>
      <c r="DW121"/>
      <c r="DX121"/>
      <c r="DY121"/>
      <c r="DZ121"/>
      <c r="EA121"/>
      <c r="EB121"/>
      <c r="EC121"/>
      <c r="ED121"/>
      <c r="EE121"/>
      <c r="EF121"/>
      <c r="EG121"/>
      <c r="EH121"/>
      <c r="EI121"/>
      <c r="EJ121"/>
      <c r="EK121"/>
      <c r="EL121"/>
      <c r="EM121"/>
      <c r="EN121"/>
      <c r="EO121"/>
      <c r="EP121"/>
      <c r="EQ121"/>
      <c r="ER121"/>
      <c r="ES121"/>
      <c r="ET121"/>
      <c r="EU121"/>
      <c r="EV121"/>
      <c r="EW121"/>
      <c r="EX121"/>
      <c r="EY121"/>
      <c r="EZ121"/>
      <c r="FA121"/>
      <c r="FB121"/>
      <c r="FC121"/>
      <c r="FD121"/>
      <c r="FE121"/>
      <c r="FF121"/>
      <c r="FG121"/>
      <c r="FH121"/>
      <c r="FI121"/>
      <c r="FJ121"/>
      <c r="FK121"/>
      <c r="FL121"/>
      <c r="FM121"/>
      <c r="FN121"/>
      <c r="FO121"/>
      <c r="FP121"/>
      <c r="FQ121"/>
      <c r="FR121"/>
      <c r="FS121"/>
      <c r="FT121"/>
      <c r="FU121"/>
      <c r="FV121"/>
      <c r="FW121"/>
      <c r="FX121"/>
      <c r="FY121"/>
      <c r="FZ121"/>
      <c r="GA121"/>
      <c r="GB121"/>
      <c r="GC121"/>
      <c r="GD121"/>
      <c r="GE121"/>
      <c r="GF121"/>
      <c r="GG121"/>
      <c r="GH121"/>
      <c r="GI121"/>
      <c r="GJ121"/>
      <c r="GK121"/>
      <c r="GL121"/>
      <c r="GM121"/>
      <c r="GN121"/>
      <c r="GO121"/>
      <c r="GP121"/>
      <c r="GQ121"/>
      <c r="GR121"/>
      <c r="GS121"/>
      <c r="GT121"/>
      <c r="GU121"/>
      <c r="GV121"/>
      <c r="GW121"/>
      <c r="GX121"/>
      <c r="GY121"/>
      <c r="GZ121"/>
      <c r="HA121"/>
      <c r="HB121"/>
      <c r="HC121"/>
      <c r="HD121"/>
      <c r="HE121"/>
      <c r="HF121"/>
      <c r="HG121"/>
      <c r="HH121"/>
      <c r="HI121"/>
      <c r="HJ121"/>
      <c r="HK121"/>
      <c r="HL121"/>
      <c r="HM121"/>
      <c r="HN121"/>
      <c r="HO121"/>
      <c r="HP121"/>
      <c r="HQ121"/>
      <c r="HR121"/>
      <c r="HS121"/>
      <c r="HT121"/>
      <c r="HU121"/>
      <c r="HV121"/>
      <c r="HW121"/>
      <c r="HX121"/>
      <c r="HY121"/>
      <c r="HZ121"/>
      <c r="IA121"/>
      <c r="IB121"/>
      <c r="IC121"/>
      <c r="ID121"/>
      <c r="IE121"/>
      <c r="IF121"/>
      <c r="IG121"/>
      <c r="IH121"/>
      <c r="II121"/>
      <c r="IJ121"/>
      <c r="IK121"/>
      <c r="IL121"/>
      <c r="IM121"/>
      <c r="IN121"/>
      <c r="IO121"/>
      <c r="IP121"/>
      <c r="IQ121"/>
      <c r="IR121"/>
      <c r="IS121"/>
      <c r="IT121"/>
      <c r="IU121"/>
    </row>
    <row r="122" spans="1:255" ht="21" customHeight="1">
      <c r="C122" s="2608"/>
      <c r="D122" s="1566" t="s">
        <v>1067</v>
      </c>
      <c r="E122" s="1567" t="s">
        <v>1201</v>
      </c>
      <c r="F122" s="1568"/>
      <c r="G122" s="1568"/>
      <c r="H122" s="1716" t="s">
        <v>1074</v>
      </c>
      <c r="I122" s="1718">
        <v>160</v>
      </c>
      <c r="J122" s="1188" t="s">
        <v>17</v>
      </c>
      <c r="K122" s="1568">
        <v>200</v>
      </c>
      <c r="L122" s="1527">
        <v>160</v>
      </c>
      <c r="M122" s="1528">
        <v>190</v>
      </c>
      <c r="N122" s="1569">
        <v>120</v>
      </c>
      <c r="O122" s="1570">
        <v>100</v>
      </c>
      <c r="P122" s="1568"/>
      <c r="Q122" s="1718">
        <v>80</v>
      </c>
      <c r="R122" s="1568">
        <v>90</v>
      </c>
      <c r="S122" s="1571" t="s">
        <v>1061</v>
      </c>
      <c r="T122" s="1572" t="s">
        <v>1061</v>
      </c>
      <c r="U122" s="1569">
        <v>310</v>
      </c>
      <c r="V122" s="1188">
        <v>255</v>
      </c>
      <c r="W122" s="1573"/>
      <c r="X122" s="1718">
        <v>205</v>
      </c>
      <c r="Y122" s="1574">
        <v>260</v>
      </c>
      <c r="Z122" s="1571" t="s">
        <v>1061</v>
      </c>
      <c r="AA122" s="1572" t="s">
        <v>1061</v>
      </c>
      <c r="AB122" s="1542"/>
      <c r="AC122" s="1542"/>
      <c r="AD122" s="1542"/>
      <c r="AE122" s="1542"/>
      <c r="AF122" s="1279"/>
      <c r="AM122" s="2371" t="s">
        <v>152</v>
      </c>
      <c r="AN122" s="2352">
        <v>120</v>
      </c>
      <c r="AO122" s="2283" t="s">
        <v>66</v>
      </c>
      <c r="AP122" s="2352">
        <v>140</v>
      </c>
      <c r="AQ122" s="2283" t="s">
        <v>67</v>
      </c>
      <c r="AR122" s="2352">
        <v>165</v>
      </c>
      <c r="AS122" s="2283" t="s">
        <v>151</v>
      </c>
      <c r="AT122" s="2348">
        <v>165</v>
      </c>
      <c r="AU122" s="2285" t="s">
        <v>151</v>
      </c>
      <c r="AV122" s="2348">
        <v>165</v>
      </c>
      <c r="AW122" s="2285" t="s">
        <v>151</v>
      </c>
      <c r="AX122" s="2345">
        <v>100</v>
      </c>
      <c r="AY122" s="2278" t="s">
        <v>67</v>
      </c>
      <c r="AZ122" s="2350">
        <v>125</v>
      </c>
      <c r="BA122" s="2303" t="s">
        <v>2326</v>
      </c>
      <c r="BE122" s="2371" t="s">
        <v>152</v>
      </c>
      <c r="BF122" s="577">
        <v>25</v>
      </c>
      <c r="BG122" s="577">
        <v>30</v>
      </c>
      <c r="BH122" s="577">
        <v>40</v>
      </c>
      <c r="BJ122" s="2371" t="s">
        <v>152</v>
      </c>
      <c r="BK122" s="578">
        <v>110</v>
      </c>
      <c r="BL122" s="577">
        <v>140</v>
      </c>
      <c r="BM122" s="577">
        <v>175</v>
      </c>
      <c r="BP122" s="524"/>
      <c r="BQ122" s="524"/>
      <c r="BR122" s="524"/>
      <c r="BS122" s="2461" t="s">
        <v>154</v>
      </c>
      <c r="BT122" s="2463" t="str">
        <f>IFERROR(INDEX(Liste_Ackerkulturen_Gemüse_DropDown[Ackerkulturen],_xlfn.AGGREGATE(15,6,(ROW(Liste_Ackerkulturen_Gemüse_DropDown[Ackerkulturen])-1)/(--(SEARCH(BU$2,Liste_Ackerkulturen_Gemüse_DropDown[Ackerkulturen])&gt;0)),ROW()-2),1),"")</f>
        <v>Eichblattsalat (Vlies)</v>
      </c>
      <c r="BU122" s="2463"/>
      <c r="BV122" s="2463" t="str">
        <f>IFERROR(INDEX(Liste_Ackerkulturen_Gemüse_DropDown[Ackerkulturen],_xlfn.AGGREGATE(15,6,(ROW(Liste_Ackerkulturen_Gemüse_DropDown[Ackerkulturen])-1)/(--(SEARCH(BW$2,Liste_Ackerkulturen_Gemüse_DropDown[Ackerkulturen])&gt;0)),ROW()-2),1),"")</f>
        <v>Eichblattsalat (Vlies)</v>
      </c>
      <c r="BW122" s="2463"/>
      <c r="BX122" s="2463" t="str">
        <f>IFERROR(INDEX(Liste_Ackerkulturen_Gemüse_DropDown[Ackerkulturen],_xlfn.AGGREGATE(15,6,(ROW(Liste_Ackerkulturen_Gemüse_DropDown[Ackerkulturen])-1)/(--(SEARCH(BY$2,Liste_Ackerkulturen_Gemüse_DropDown[Ackerkulturen])&gt;0)),ROW()-2),1),"")</f>
        <v>Eichblattsalat (Vlies)</v>
      </c>
      <c r="BY122" s="2463"/>
      <c r="BZ122" s="2463" t="str">
        <f>IFERROR(INDEX(Liste_Ackerkulturen_Gemüse_DropDown[Ackerkulturen],_xlfn.AGGREGATE(15,6,(ROW(Liste_Ackerkulturen_Gemüse_DropDown[Ackerkulturen])-1)/(--(SEARCH(CA$2,Liste_Ackerkulturen_Gemüse_DropDown[Ackerkulturen])&gt;0)),ROW()-2),1),"")</f>
        <v>Eichblattsalat (Vlies)</v>
      </c>
      <c r="CA122" s="2463"/>
      <c r="CB122" s="2463" t="str">
        <f>IFERROR(INDEX(Liste_Ackerkulturen_Gemüse_DropDown[Ackerkulturen],_xlfn.AGGREGATE(15,6,(ROW(Liste_Ackerkulturen_Gemüse_DropDown[Ackerkulturen])-1)/(--(SEARCH(CC$2,Liste_Ackerkulturen_Gemüse_DropDown[Ackerkulturen])&gt;0)),ROW()-2),1),"")</f>
        <v>Eichblattsalat (Vlies)</v>
      </c>
      <c r="CC122" s="2463"/>
      <c r="CD122" s="2464" t="str">
        <f>IFERROR(INDEX(Liste_Ackerkulturen_Gemüse_DropDown[Ackerkulturen],_xlfn.AGGREGATE(15,6,(ROW(Liste_Ackerkulturen_Gemüse_DropDown[Ackerkulturen])-1)/(--(SEARCH(CE$2,Liste_Ackerkulturen_Gemüse_DropDown[Ackerkulturen])&gt;0)),ROW()-2),1),"")</f>
        <v>Eichblattsalat (Vlies)</v>
      </c>
      <c r="CE122" s="2464"/>
      <c r="CF122" s="2464" t="str">
        <f>IFERROR(INDEX(Liste_Ackerkulturen_Gemüse_DropDown[Ackerkulturen],_xlfn.AGGREGATE(15,6,(ROW(Liste_Ackerkulturen_Gemüse_DropDown[Ackerkulturen])-1)/(--(SEARCH(CG$2,Liste_Ackerkulturen_Gemüse_DropDown[Ackerkulturen])&gt;0)),ROW()-2),1),"")</f>
        <v>Eichblattsalat (Vlies)</v>
      </c>
      <c r="CG122" s="2464"/>
      <c r="CH122" s="2464" t="str">
        <f>IFERROR(INDEX(Liste_Ackerkulturen_Gemüse_DropDown[Ackerkulturen],_xlfn.AGGREGATE(15,6,(ROW(Liste_Ackerkulturen_Gemüse_DropDown[Ackerkulturen])-1)/(--(SEARCH(CI$2,Liste_Ackerkulturen_Gemüse_DropDown[Ackerkulturen])&gt;0)),ROW()-2),1),"")</f>
        <v>Eichblattsalat (Vlies)</v>
      </c>
      <c r="CI122" s="2464"/>
      <c r="CJ122" s="2464" t="str">
        <f>IFERROR(INDEX(Liste_Ackerkulturen_Gemüse_DropDown[Ackerkulturen],_xlfn.AGGREGATE(15,6,(ROW(Liste_Ackerkulturen_Gemüse_DropDown[Ackerkulturen])-1)/(--(SEARCH(CK$2,Liste_Ackerkulturen_Gemüse_DropDown[Ackerkulturen])&gt;0)),ROW()-2),1),"")</f>
        <v>Eichblattsalat (Vlies)</v>
      </c>
      <c r="CK122" s="2464"/>
      <c r="CL122" s="2464" t="str">
        <f>IFERROR(INDEX(Liste_Ackerkulturen_Gemüse_DropDown[Ackerkulturen],_xlfn.AGGREGATE(15,6,(ROW(Liste_Ackerkulturen_Gemüse_DropDown[Ackerkulturen])-1)/(--(SEARCH(CM$2,Liste_Ackerkulturen_Gemüse_DropDown[Ackerkulturen])&gt;0)),ROW()-2),1),"")</f>
        <v>Eichblattsalat (Vlies)</v>
      </c>
      <c r="CM122" s="2464"/>
      <c r="CN122" s="2464" t="str">
        <f>IFERROR(INDEX(Liste_Ackerkulturen_Gemüse_DropDown[Ackerkulturen],_xlfn.AGGREGATE(15,6,(ROW(Liste_Ackerkulturen_Gemüse_DropDown[Ackerkulturen])-1)/(--(SEARCH(CO$2,Liste_Ackerkulturen_Gemüse_DropDown[Ackerkulturen])&gt;0)),ROW()-2),1),"")</f>
        <v>Eichblattsalat (Vlies)</v>
      </c>
      <c r="CO122" s="2464"/>
      <c r="CP122" s="2464" t="str">
        <f>IFERROR(INDEX(Liste_Ackerkulturen_Gemüse_DropDown[Ackerkulturen],_xlfn.AGGREGATE(15,6,(ROW(Liste_Ackerkulturen_Gemüse_DropDown[Ackerkulturen])-1)/(--(SEARCH(CQ$2,Liste_Ackerkulturen_Gemüse_DropDown[Ackerkulturen])&gt;0)),ROW()-2),1),"")</f>
        <v>Eichblattsalat (Vlies)</v>
      </c>
      <c r="CQ122" s="2464"/>
      <c r="CR122" s="2464" t="str">
        <f>IFERROR(INDEX(Liste_Ackerkulturen_Gemüse_DropDown[Ackerkulturen],_xlfn.AGGREGATE(15,6,(ROW(Liste_Ackerkulturen_Gemüse_DropDown[Ackerkulturen])-1)/(--(SEARCH(CS$2,Liste_Ackerkulturen_Gemüse_DropDown[Ackerkulturen])&gt;0)),ROW()-2),1),"")</f>
        <v>Eichblattsalat (Vlies)</v>
      </c>
      <c r="CS122" s="2464"/>
      <c r="CT122"/>
      <c r="CU122"/>
      <c r="CV122"/>
      <c r="CW122"/>
      <c r="CX122"/>
      <c r="CY122"/>
      <c r="CZ122"/>
      <c r="DA122"/>
      <c r="DB122"/>
      <c r="DC122"/>
      <c r="DD122"/>
      <c r="DE122"/>
      <c r="DF122"/>
      <c r="DG122"/>
      <c r="DH122"/>
      <c r="DN122"/>
      <c r="DO122"/>
      <c r="DP122"/>
      <c r="DQ122"/>
      <c r="DR122"/>
      <c r="DS122"/>
      <c r="DT122"/>
      <c r="DU122"/>
      <c r="DV122"/>
      <c r="DW122"/>
      <c r="DX122"/>
      <c r="DY122"/>
      <c r="DZ122"/>
      <c r="EA122"/>
      <c r="EB122"/>
      <c r="EC122"/>
      <c r="ED122"/>
      <c r="EE122"/>
      <c r="EF122"/>
      <c r="EG122"/>
      <c r="EH122"/>
      <c r="EI122"/>
      <c r="EJ122"/>
      <c r="EK122"/>
      <c r="EL122"/>
      <c r="EM122"/>
      <c r="EN122"/>
      <c r="EO122"/>
      <c r="EP122"/>
      <c r="EQ122"/>
      <c r="ER122"/>
      <c r="ES122"/>
      <c r="ET122"/>
      <c r="EU122"/>
      <c r="EV122"/>
      <c r="EW122"/>
      <c r="EX122"/>
      <c r="EY122"/>
      <c r="EZ122"/>
      <c r="FA122"/>
      <c r="FB122"/>
      <c r="FC122"/>
      <c r="FD122"/>
      <c r="FE122"/>
      <c r="FF122"/>
      <c r="FG122"/>
      <c r="FH122"/>
      <c r="FI122"/>
      <c r="FJ122"/>
      <c r="FK122"/>
      <c r="FL122"/>
      <c r="FM122"/>
      <c r="FN122"/>
      <c r="FO122"/>
      <c r="FP122"/>
      <c r="FQ122"/>
      <c r="FR122"/>
      <c r="FS122"/>
      <c r="FT122"/>
      <c r="FU122"/>
      <c r="FV122"/>
      <c r="FW122"/>
      <c r="FX122"/>
      <c r="FY122"/>
      <c r="FZ122"/>
      <c r="GA122"/>
      <c r="GB122"/>
      <c r="GC122"/>
      <c r="GD122"/>
      <c r="GE122"/>
      <c r="GF122"/>
      <c r="GG122"/>
      <c r="GH122"/>
      <c r="GI122"/>
      <c r="GJ122"/>
      <c r="GK122"/>
      <c r="GL122"/>
      <c r="GM122"/>
      <c r="GN122"/>
      <c r="GO122"/>
      <c r="GP122"/>
      <c r="GQ122"/>
      <c r="GR122"/>
      <c r="GS122"/>
      <c r="GT122"/>
      <c r="GU122"/>
      <c r="GV122"/>
      <c r="GW122"/>
      <c r="GX122"/>
      <c r="GY122"/>
      <c r="GZ122"/>
      <c r="HA122"/>
      <c r="HB122"/>
      <c r="HC122"/>
      <c r="HD122"/>
      <c r="HE122"/>
      <c r="HF122"/>
      <c r="HG122"/>
      <c r="HH122"/>
      <c r="HI122"/>
      <c r="HJ122"/>
      <c r="HK122"/>
      <c r="HL122"/>
      <c r="HM122"/>
      <c r="HN122"/>
      <c r="HO122"/>
      <c r="HP122"/>
      <c r="HQ122"/>
      <c r="HR122"/>
      <c r="HS122"/>
      <c r="HT122"/>
      <c r="HU122"/>
      <c r="HV122"/>
      <c r="HW122"/>
      <c r="HX122"/>
      <c r="HY122"/>
      <c r="HZ122"/>
      <c r="IA122"/>
      <c r="IB122"/>
      <c r="IC122"/>
      <c r="ID122"/>
      <c r="IE122"/>
      <c r="IF122"/>
      <c r="IG122"/>
      <c r="IH122"/>
      <c r="II122"/>
      <c r="IJ122"/>
      <c r="IK122"/>
      <c r="IL122"/>
      <c r="IM122"/>
      <c r="IN122"/>
      <c r="IO122"/>
      <c r="IP122"/>
      <c r="IQ122"/>
      <c r="IR122"/>
      <c r="IS122"/>
      <c r="IT122"/>
      <c r="IU122"/>
    </row>
    <row r="123" spans="1:255" ht="21" customHeight="1">
      <c r="C123" s="2608"/>
      <c r="D123" s="1566" t="s">
        <v>1068</v>
      </c>
      <c r="E123" s="1567" t="s">
        <v>1201</v>
      </c>
      <c r="F123" s="1568"/>
      <c r="G123" s="1568"/>
      <c r="H123" s="1716" t="s">
        <v>1076</v>
      </c>
      <c r="I123" s="1718">
        <v>200</v>
      </c>
      <c r="J123" s="1188" t="s">
        <v>18</v>
      </c>
      <c r="K123" s="1568">
        <v>240</v>
      </c>
      <c r="L123" s="1527">
        <v>210</v>
      </c>
      <c r="M123" s="1528">
        <v>210</v>
      </c>
      <c r="N123" s="1569">
        <v>130</v>
      </c>
      <c r="O123" s="1570">
        <v>105</v>
      </c>
      <c r="P123" s="1568"/>
      <c r="Q123" s="1718">
        <v>85</v>
      </c>
      <c r="R123" s="1568">
        <v>105</v>
      </c>
      <c r="S123" s="1571" t="s">
        <v>1061</v>
      </c>
      <c r="T123" s="1572" t="s">
        <v>1061</v>
      </c>
      <c r="U123" s="1569">
        <v>345</v>
      </c>
      <c r="V123" s="1188">
        <v>290</v>
      </c>
      <c r="W123" s="1573"/>
      <c r="X123" s="1718">
        <v>230</v>
      </c>
      <c r="Y123" s="1574">
        <v>300</v>
      </c>
      <c r="Z123" s="1571" t="s">
        <v>1061</v>
      </c>
      <c r="AA123" s="1572" t="s">
        <v>1061</v>
      </c>
      <c r="AB123" s="1542"/>
      <c r="AC123" s="1542"/>
      <c r="AD123" s="1542"/>
      <c r="AE123" s="1542"/>
      <c r="AF123" s="1279"/>
      <c r="AM123" s="2371" t="s">
        <v>153</v>
      </c>
      <c r="AN123" s="2352">
        <v>140</v>
      </c>
      <c r="AO123" s="2283" t="s">
        <v>66</v>
      </c>
      <c r="AP123" s="2352">
        <v>160</v>
      </c>
      <c r="AQ123" s="2283" t="s">
        <v>67</v>
      </c>
      <c r="AR123" s="2352">
        <v>185</v>
      </c>
      <c r="AS123" s="2283" t="s">
        <v>151</v>
      </c>
      <c r="AT123" s="2348">
        <v>185</v>
      </c>
      <c r="AU123" s="2285" t="s">
        <v>151</v>
      </c>
      <c r="AV123" s="2348">
        <v>185</v>
      </c>
      <c r="AW123" s="2285" t="s">
        <v>151</v>
      </c>
      <c r="AX123" s="2345">
        <v>100</v>
      </c>
      <c r="AY123" s="2278" t="s">
        <v>67</v>
      </c>
      <c r="AZ123" s="2350">
        <v>125</v>
      </c>
      <c r="BA123" s="2303" t="s">
        <v>2326</v>
      </c>
      <c r="BE123" s="2371" t="s">
        <v>153</v>
      </c>
      <c r="BF123" s="577">
        <v>15</v>
      </c>
      <c r="BG123" s="577">
        <v>20</v>
      </c>
      <c r="BH123" s="577">
        <v>25</v>
      </c>
      <c r="BJ123" s="2371" t="s">
        <v>153</v>
      </c>
      <c r="BK123" s="578">
        <v>90</v>
      </c>
      <c r="BL123" s="577">
        <v>115</v>
      </c>
      <c r="BM123" s="577">
        <v>145</v>
      </c>
      <c r="BP123" s="524"/>
      <c r="BQ123" s="524"/>
      <c r="BR123" s="524"/>
      <c r="BS123" s="2461" t="s">
        <v>156</v>
      </c>
      <c r="BT123" s="2463" t="str">
        <f>IFERROR(INDEX(Liste_Ackerkulturen_Gemüse_DropDown[Ackerkulturen],_xlfn.AGGREGATE(15,6,(ROW(Liste_Ackerkulturen_Gemüse_DropDown[Ackerkulturen])-1)/(--(SEARCH(BU$2,Liste_Ackerkulturen_Gemüse_DropDown[Ackerkulturen])&gt;0)),ROW()-2),1),"")</f>
        <v>Eissalat</v>
      </c>
      <c r="BU123" s="2463"/>
      <c r="BV123" s="2463" t="str">
        <f>IFERROR(INDEX(Liste_Ackerkulturen_Gemüse_DropDown[Ackerkulturen],_xlfn.AGGREGATE(15,6,(ROW(Liste_Ackerkulturen_Gemüse_DropDown[Ackerkulturen])-1)/(--(SEARCH(BW$2,Liste_Ackerkulturen_Gemüse_DropDown[Ackerkulturen])&gt;0)),ROW()-2),1),"")</f>
        <v>Eissalat</v>
      </c>
      <c r="BW123" s="2463"/>
      <c r="BX123" s="2463" t="str">
        <f>IFERROR(INDEX(Liste_Ackerkulturen_Gemüse_DropDown[Ackerkulturen],_xlfn.AGGREGATE(15,6,(ROW(Liste_Ackerkulturen_Gemüse_DropDown[Ackerkulturen])-1)/(--(SEARCH(BY$2,Liste_Ackerkulturen_Gemüse_DropDown[Ackerkulturen])&gt;0)),ROW()-2),1),"")</f>
        <v>Eissalat</v>
      </c>
      <c r="BY123" s="2463"/>
      <c r="BZ123" s="2463" t="str">
        <f>IFERROR(INDEX(Liste_Ackerkulturen_Gemüse_DropDown[Ackerkulturen],_xlfn.AGGREGATE(15,6,(ROW(Liste_Ackerkulturen_Gemüse_DropDown[Ackerkulturen])-1)/(--(SEARCH(CA$2,Liste_Ackerkulturen_Gemüse_DropDown[Ackerkulturen])&gt;0)),ROW()-2),1),"")</f>
        <v>Eissalat</v>
      </c>
      <c r="CA123" s="2463"/>
      <c r="CB123" s="2463" t="str">
        <f>IFERROR(INDEX(Liste_Ackerkulturen_Gemüse_DropDown[Ackerkulturen],_xlfn.AGGREGATE(15,6,(ROW(Liste_Ackerkulturen_Gemüse_DropDown[Ackerkulturen])-1)/(--(SEARCH(CC$2,Liste_Ackerkulturen_Gemüse_DropDown[Ackerkulturen])&gt;0)),ROW()-2),1),"")</f>
        <v>Eissalat</v>
      </c>
      <c r="CC123" s="2463"/>
      <c r="CD123" s="2464" t="str">
        <f>IFERROR(INDEX(Liste_Ackerkulturen_Gemüse_DropDown[Ackerkulturen],_xlfn.AGGREGATE(15,6,(ROW(Liste_Ackerkulturen_Gemüse_DropDown[Ackerkulturen])-1)/(--(SEARCH(CE$2,Liste_Ackerkulturen_Gemüse_DropDown[Ackerkulturen])&gt;0)),ROW()-2),1),"")</f>
        <v>Eissalat</v>
      </c>
      <c r="CE123" s="2464"/>
      <c r="CF123" s="2464" t="str">
        <f>IFERROR(INDEX(Liste_Ackerkulturen_Gemüse_DropDown[Ackerkulturen],_xlfn.AGGREGATE(15,6,(ROW(Liste_Ackerkulturen_Gemüse_DropDown[Ackerkulturen])-1)/(--(SEARCH(CG$2,Liste_Ackerkulturen_Gemüse_DropDown[Ackerkulturen])&gt;0)),ROW()-2),1),"")</f>
        <v>Eissalat</v>
      </c>
      <c r="CG123" s="2464"/>
      <c r="CH123" s="2464" t="str">
        <f>IFERROR(INDEX(Liste_Ackerkulturen_Gemüse_DropDown[Ackerkulturen],_xlfn.AGGREGATE(15,6,(ROW(Liste_Ackerkulturen_Gemüse_DropDown[Ackerkulturen])-1)/(--(SEARCH(CI$2,Liste_Ackerkulturen_Gemüse_DropDown[Ackerkulturen])&gt;0)),ROW()-2),1),"")</f>
        <v>Eissalat</v>
      </c>
      <c r="CI123" s="2464"/>
      <c r="CJ123" s="2464" t="str">
        <f>IFERROR(INDEX(Liste_Ackerkulturen_Gemüse_DropDown[Ackerkulturen],_xlfn.AGGREGATE(15,6,(ROW(Liste_Ackerkulturen_Gemüse_DropDown[Ackerkulturen])-1)/(--(SEARCH(CK$2,Liste_Ackerkulturen_Gemüse_DropDown[Ackerkulturen])&gt;0)),ROW()-2),1),"")</f>
        <v>Eissalat</v>
      </c>
      <c r="CK123" s="2464"/>
      <c r="CL123" s="2464" t="str">
        <f>IFERROR(INDEX(Liste_Ackerkulturen_Gemüse_DropDown[Ackerkulturen],_xlfn.AGGREGATE(15,6,(ROW(Liste_Ackerkulturen_Gemüse_DropDown[Ackerkulturen])-1)/(--(SEARCH(CM$2,Liste_Ackerkulturen_Gemüse_DropDown[Ackerkulturen])&gt;0)),ROW()-2),1),"")</f>
        <v>Eissalat</v>
      </c>
      <c r="CM123" s="2464"/>
      <c r="CN123" s="2464" t="str">
        <f>IFERROR(INDEX(Liste_Ackerkulturen_Gemüse_DropDown[Ackerkulturen],_xlfn.AGGREGATE(15,6,(ROW(Liste_Ackerkulturen_Gemüse_DropDown[Ackerkulturen])-1)/(--(SEARCH(CO$2,Liste_Ackerkulturen_Gemüse_DropDown[Ackerkulturen])&gt;0)),ROW()-2),1),"")</f>
        <v>Eissalat</v>
      </c>
      <c r="CO123" s="2464"/>
      <c r="CP123" s="2464" t="str">
        <f>IFERROR(INDEX(Liste_Ackerkulturen_Gemüse_DropDown[Ackerkulturen],_xlfn.AGGREGATE(15,6,(ROW(Liste_Ackerkulturen_Gemüse_DropDown[Ackerkulturen])-1)/(--(SEARCH(CQ$2,Liste_Ackerkulturen_Gemüse_DropDown[Ackerkulturen])&gt;0)),ROW()-2),1),"")</f>
        <v>Eissalat</v>
      </c>
      <c r="CQ123" s="2464"/>
      <c r="CR123" s="2464" t="str">
        <f>IFERROR(INDEX(Liste_Ackerkulturen_Gemüse_DropDown[Ackerkulturen],_xlfn.AGGREGATE(15,6,(ROW(Liste_Ackerkulturen_Gemüse_DropDown[Ackerkulturen])-1)/(--(SEARCH(CS$2,Liste_Ackerkulturen_Gemüse_DropDown[Ackerkulturen])&gt;0)),ROW()-2),1),"")</f>
        <v>Eissalat</v>
      </c>
      <c r="CS123" s="2464"/>
      <c r="CT123"/>
      <c r="CU123"/>
      <c r="CV123"/>
      <c r="CW123"/>
      <c r="CX123"/>
      <c r="CY123"/>
      <c r="CZ123"/>
      <c r="DA123"/>
      <c r="DB123"/>
      <c r="DC123"/>
      <c r="DD123"/>
      <c r="DE123"/>
      <c r="DF123"/>
      <c r="DG123"/>
      <c r="DH123"/>
      <c r="DN123"/>
      <c r="DO123"/>
      <c r="DP123"/>
      <c r="DQ123"/>
      <c r="DR123"/>
      <c r="DS123"/>
      <c r="DT123"/>
      <c r="DU123"/>
      <c r="DV123"/>
      <c r="DW123"/>
      <c r="DX123"/>
      <c r="DY123"/>
      <c r="DZ123"/>
      <c r="EA123"/>
      <c r="EB123"/>
      <c r="EC123"/>
      <c r="ED123"/>
      <c r="EE123"/>
      <c r="EF123"/>
      <c r="EG123"/>
      <c r="EH123"/>
      <c r="EI123"/>
      <c r="EJ123"/>
      <c r="EK123"/>
      <c r="EL123"/>
      <c r="EM123"/>
      <c r="EN123"/>
      <c r="EO123"/>
      <c r="EP123"/>
      <c r="EQ123"/>
      <c r="ER123"/>
      <c r="ES123"/>
      <c r="ET123"/>
      <c r="EU123"/>
      <c r="EV123"/>
      <c r="EW123"/>
      <c r="EX123"/>
      <c r="EY123"/>
      <c r="EZ123"/>
      <c r="FA123"/>
      <c r="FB123"/>
      <c r="FC123"/>
      <c r="FD123"/>
      <c r="FE123"/>
      <c r="FF123"/>
      <c r="FG123"/>
      <c r="FH123"/>
      <c r="FI123"/>
      <c r="FJ123"/>
      <c r="FK123"/>
      <c r="FL123"/>
      <c r="FM123"/>
      <c r="FN123"/>
      <c r="FO123"/>
      <c r="FP123"/>
      <c r="FQ123"/>
      <c r="FR123"/>
      <c r="FS123"/>
      <c r="FT123"/>
      <c r="FU123"/>
      <c r="FV123"/>
      <c r="FW123"/>
      <c r="FX123"/>
      <c r="FY123"/>
      <c r="FZ123"/>
      <c r="GA123"/>
      <c r="GB123"/>
      <c r="GC123"/>
      <c r="GD123"/>
      <c r="GE123"/>
      <c r="GF123"/>
      <c r="GG123"/>
      <c r="GH123"/>
      <c r="GI123"/>
      <c r="GJ123"/>
      <c r="GK123"/>
      <c r="GL123"/>
      <c r="GM123"/>
      <c r="GN123"/>
      <c r="GO123"/>
      <c r="GP123"/>
      <c r="GQ123"/>
      <c r="GR123"/>
      <c r="GS123"/>
      <c r="GT123"/>
      <c r="GU123"/>
      <c r="GV123"/>
      <c r="GW123"/>
      <c r="GX123"/>
      <c r="GY123"/>
      <c r="GZ123"/>
      <c r="HA123"/>
      <c r="HB123"/>
      <c r="HC123"/>
      <c r="HD123"/>
      <c r="HE123"/>
      <c r="HF123"/>
      <c r="HG123"/>
      <c r="HH123"/>
      <c r="HI123"/>
      <c r="HJ123"/>
      <c r="HK123"/>
      <c r="HL123"/>
      <c r="HM123"/>
      <c r="HN123"/>
      <c r="HO123"/>
      <c r="HP123"/>
      <c r="HQ123"/>
      <c r="HR123"/>
      <c r="HS123"/>
      <c r="HT123"/>
      <c r="HU123"/>
      <c r="HV123"/>
      <c r="HW123"/>
      <c r="HX123"/>
      <c r="HY123"/>
      <c r="HZ123"/>
      <c r="IA123"/>
      <c r="IB123"/>
      <c r="IC123"/>
      <c r="ID123"/>
      <c r="IE123"/>
      <c r="IF123"/>
      <c r="IG123"/>
      <c r="IH123"/>
      <c r="II123"/>
      <c r="IJ123"/>
      <c r="IK123"/>
      <c r="IL123"/>
      <c r="IM123"/>
      <c r="IN123"/>
      <c r="IO123"/>
      <c r="IP123"/>
      <c r="IQ123"/>
      <c r="IR123"/>
      <c r="IS123"/>
      <c r="IT123"/>
      <c r="IU123"/>
    </row>
    <row r="124" spans="1:255" ht="21" customHeight="1">
      <c r="C124" s="2608"/>
      <c r="D124" s="1566" t="s">
        <v>1069</v>
      </c>
      <c r="E124" s="1567" t="s">
        <v>1201</v>
      </c>
      <c r="F124" s="1568"/>
      <c r="G124" s="1568"/>
      <c r="H124" s="1716" t="s">
        <v>1201</v>
      </c>
      <c r="I124" s="1718"/>
      <c r="J124" s="1188" t="s">
        <v>19</v>
      </c>
      <c r="K124" s="1568">
        <v>270</v>
      </c>
      <c r="L124" s="1527">
        <v>210</v>
      </c>
      <c r="M124" s="1528">
        <v>210</v>
      </c>
      <c r="N124" s="1569"/>
      <c r="O124" s="1570"/>
      <c r="P124" s="1568"/>
      <c r="Q124" s="1718"/>
      <c r="R124" s="1568">
        <v>120</v>
      </c>
      <c r="S124" s="1571" t="s">
        <v>1061</v>
      </c>
      <c r="T124" s="1572" t="s">
        <v>1061</v>
      </c>
      <c r="U124" s="1569"/>
      <c r="V124" s="1188"/>
      <c r="W124" s="1573"/>
      <c r="X124" s="1718"/>
      <c r="Y124" s="1574">
        <v>340</v>
      </c>
      <c r="Z124" s="1571" t="s">
        <v>1061</v>
      </c>
      <c r="AA124" s="1572" t="s">
        <v>1061</v>
      </c>
      <c r="AB124" s="1542"/>
      <c r="AC124" s="1542"/>
      <c r="AD124" s="1542"/>
      <c r="AE124" s="1542"/>
      <c r="AF124" s="1279"/>
      <c r="AM124" s="2371" t="s">
        <v>154</v>
      </c>
      <c r="AN124" s="2352">
        <v>130</v>
      </c>
      <c r="AO124" s="2283" t="s">
        <v>465</v>
      </c>
      <c r="AP124" s="2352">
        <v>155</v>
      </c>
      <c r="AQ124" s="2283" t="s">
        <v>155</v>
      </c>
      <c r="AR124" s="2352">
        <v>185</v>
      </c>
      <c r="AS124" s="2283" t="s">
        <v>151</v>
      </c>
      <c r="AT124" s="2348">
        <v>185</v>
      </c>
      <c r="AU124" s="2285" t="s">
        <v>151</v>
      </c>
      <c r="AV124" s="2348">
        <v>185</v>
      </c>
      <c r="AW124" s="2285" t="s">
        <v>151</v>
      </c>
      <c r="AX124" s="2345">
        <v>115</v>
      </c>
      <c r="AY124" s="2278" t="s">
        <v>155</v>
      </c>
      <c r="AZ124" s="2350">
        <v>144</v>
      </c>
      <c r="BA124" s="2303" t="s">
        <v>2326</v>
      </c>
      <c r="BE124" s="2371" t="s">
        <v>154</v>
      </c>
      <c r="BF124" s="577">
        <v>25</v>
      </c>
      <c r="BG124" s="577">
        <v>30</v>
      </c>
      <c r="BH124" s="577">
        <v>40</v>
      </c>
      <c r="BJ124" s="2371" t="s">
        <v>154</v>
      </c>
      <c r="BK124" s="578">
        <v>110</v>
      </c>
      <c r="BL124" s="577">
        <v>140</v>
      </c>
      <c r="BM124" s="577">
        <v>175</v>
      </c>
      <c r="BP124" s="524"/>
      <c r="BQ124" s="524"/>
      <c r="BR124" s="524"/>
      <c r="BS124" s="2461" t="s">
        <v>157</v>
      </c>
      <c r="BT124" s="2463" t="str">
        <f>IFERROR(INDEX(Liste_Ackerkulturen_Gemüse_DropDown[Ackerkulturen],_xlfn.AGGREGATE(15,6,(ROW(Liste_Ackerkulturen_Gemüse_DropDown[Ackerkulturen])-1)/(--(SEARCH(BU$2,Liste_Ackerkulturen_Gemüse_DropDown[Ackerkulturen])&gt;0)),ROW()-2),1),"")</f>
        <v>Eissalat (Vlies 1. Satz)</v>
      </c>
      <c r="BU124" s="2463"/>
      <c r="BV124" s="2463" t="str">
        <f>IFERROR(INDEX(Liste_Ackerkulturen_Gemüse_DropDown[Ackerkulturen],_xlfn.AGGREGATE(15,6,(ROW(Liste_Ackerkulturen_Gemüse_DropDown[Ackerkulturen])-1)/(--(SEARCH(BW$2,Liste_Ackerkulturen_Gemüse_DropDown[Ackerkulturen])&gt;0)),ROW()-2),1),"")</f>
        <v>Eissalat (Vlies 1. Satz)</v>
      </c>
      <c r="BW124" s="2463"/>
      <c r="BX124" s="2463" t="str">
        <f>IFERROR(INDEX(Liste_Ackerkulturen_Gemüse_DropDown[Ackerkulturen],_xlfn.AGGREGATE(15,6,(ROW(Liste_Ackerkulturen_Gemüse_DropDown[Ackerkulturen])-1)/(--(SEARCH(BY$2,Liste_Ackerkulturen_Gemüse_DropDown[Ackerkulturen])&gt;0)),ROW()-2),1),"")</f>
        <v>Eissalat (Vlies 1. Satz)</v>
      </c>
      <c r="BY124" s="2463"/>
      <c r="BZ124" s="2463" t="str">
        <f>IFERROR(INDEX(Liste_Ackerkulturen_Gemüse_DropDown[Ackerkulturen],_xlfn.AGGREGATE(15,6,(ROW(Liste_Ackerkulturen_Gemüse_DropDown[Ackerkulturen])-1)/(--(SEARCH(CA$2,Liste_Ackerkulturen_Gemüse_DropDown[Ackerkulturen])&gt;0)),ROW()-2),1),"")</f>
        <v>Eissalat (Vlies 1. Satz)</v>
      </c>
      <c r="CA124" s="2463"/>
      <c r="CB124" s="2463" t="str">
        <f>IFERROR(INDEX(Liste_Ackerkulturen_Gemüse_DropDown[Ackerkulturen],_xlfn.AGGREGATE(15,6,(ROW(Liste_Ackerkulturen_Gemüse_DropDown[Ackerkulturen])-1)/(--(SEARCH(CC$2,Liste_Ackerkulturen_Gemüse_DropDown[Ackerkulturen])&gt;0)),ROW()-2),1),"")</f>
        <v>Eissalat (Vlies 1. Satz)</v>
      </c>
      <c r="CC124" s="2463"/>
      <c r="CD124" s="2464" t="str">
        <f>IFERROR(INDEX(Liste_Ackerkulturen_Gemüse_DropDown[Ackerkulturen],_xlfn.AGGREGATE(15,6,(ROW(Liste_Ackerkulturen_Gemüse_DropDown[Ackerkulturen])-1)/(--(SEARCH(CE$2,Liste_Ackerkulturen_Gemüse_DropDown[Ackerkulturen])&gt;0)),ROW()-2),1),"")</f>
        <v>Eissalat (Vlies 1. Satz)</v>
      </c>
      <c r="CE124" s="2464"/>
      <c r="CF124" s="2464" t="str">
        <f>IFERROR(INDEX(Liste_Ackerkulturen_Gemüse_DropDown[Ackerkulturen],_xlfn.AGGREGATE(15,6,(ROW(Liste_Ackerkulturen_Gemüse_DropDown[Ackerkulturen])-1)/(--(SEARCH(CG$2,Liste_Ackerkulturen_Gemüse_DropDown[Ackerkulturen])&gt;0)),ROW()-2),1),"")</f>
        <v>Eissalat (Vlies 1. Satz)</v>
      </c>
      <c r="CG124" s="2464"/>
      <c r="CH124" s="2464" t="str">
        <f>IFERROR(INDEX(Liste_Ackerkulturen_Gemüse_DropDown[Ackerkulturen],_xlfn.AGGREGATE(15,6,(ROW(Liste_Ackerkulturen_Gemüse_DropDown[Ackerkulturen])-1)/(--(SEARCH(CI$2,Liste_Ackerkulturen_Gemüse_DropDown[Ackerkulturen])&gt;0)),ROW()-2),1),"")</f>
        <v>Eissalat (Vlies 1. Satz)</v>
      </c>
      <c r="CI124" s="2464"/>
      <c r="CJ124" s="2464" t="str">
        <f>IFERROR(INDEX(Liste_Ackerkulturen_Gemüse_DropDown[Ackerkulturen],_xlfn.AGGREGATE(15,6,(ROW(Liste_Ackerkulturen_Gemüse_DropDown[Ackerkulturen])-1)/(--(SEARCH(CK$2,Liste_Ackerkulturen_Gemüse_DropDown[Ackerkulturen])&gt;0)),ROW()-2),1),"")</f>
        <v>Eissalat (Vlies 1. Satz)</v>
      </c>
      <c r="CK124" s="2464"/>
      <c r="CL124" s="2464" t="str">
        <f>IFERROR(INDEX(Liste_Ackerkulturen_Gemüse_DropDown[Ackerkulturen],_xlfn.AGGREGATE(15,6,(ROW(Liste_Ackerkulturen_Gemüse_DropDown[Ackerkulturen])-1)/(--(SEARCH(CM$2,Liste_Ackerkulturen_Gemüse_DropDown[Ackerkulturen])&gt;0)),ROW()-2),1),"")</f>
        <v>Eissalat (Vlies 1. Satz)</v>
      </c>
      <c r="CM124" s="2464"/>
      <c r="CN124" s="2464" t="str">
        <f>IFERROR(INDEX(Liste_Ackerkulturen_Gemüse_DropDown[Ackerkulturen],_xlfn.AGGREGATE(15,6,(ROW(Liste_Ackerkulturen_Gemüse_DropDown[Ackerkulturen])-1)/(--(SEARCH(CO$2,Liste_Ackerkulturen_Gemüse_DropDown[Ackerkulturen])&gt;0)),ROW()-2),1),"")</f>
        <v>Eissalat (Vlies 1. Satz)</v>
      </c>
      <c r="CO124" s="2464"/>
      <c r="CP124" s="2464" t="str">
        <f>IFERROR(INDEX(Liste_Ackerkulturen_Gemüse_DropDown[Ackerkulturen],_xlfn.AGGREGATE(15,6,(ROW(Liste_Ackerkulturen_Gemüse_DropDown[Ackerkulturen])-1)/(--(SEARCH(CQ$2,Liste_Ackerkulturen_Gemüse_DropDown[Ackerkulturen])&gt;0)),ROW()-2),1),"")</f>
        <v>Eissalat (Vlies 1. Satz)</v>
      </c>
      <c r="CQ124" s="2464"/>
      <c r="CR124" s="2464" t="str">
        <f>IFERROR(INDEX(Liste_Ackerkulturen_Gemüse_DropDown[Ackerkulturen],_xlfn.AGGREGATE(15,6,(ROW(Liste_Ackerkulturen_Gemüse_DropDown[Ackerkulturen])-1)/(--(SEARCH(CS$2,Liste_Ackerkulturen_Gemüse_DropDown[Ackerkulturen])&gt;0)),ROW()-2),1),"")</f>
        <v>Eissalat (Vlies 1. Satz)</v>
      </c>
      <c r="CS124" s="2464"/>
      <c r="CT124"/>
      <c r="CU124"/>
      <c r="CV124"/>
      <c r="CW124"/>
      <c r="CX124"/>
      <c r="CY124"/>
      <c r="CZ124"/>
      <c r="DA124"/>
      <c r="DB124"/>
      <c r="DC124"/>
      <c r="DD124"/>
      <c r="DE124"/>
      <c r="DF124"/>
      <c r="DG124"/>
      <c r="DH124"/>
      <c r="DN124"/>
      <c r="DO124"/>
      <c r="DP124"/>
      <c r="DQ124"/>
      <c r="DR124"/>
      <c r="DS124"/>
      <c r="DT124"/>
      <c r="DU124"/>
      <c r="DV124"/>
      <c r="DW124"/>
      <c r="DX124"/>
      <c r="DY124"/>
      <c r="DZ124"/>
      <c r="EA124"/>
      <c r="EB124"/>
      <c r="EC124"/>
      <c r="ED124"/>
      <c r="EE124"/>
      <c r="EF124"/>
      <c r="EG124"/>
      <c r="EH124"/>
      <c r="EI124"/>
      <c r="EJ124"/>
      <c r="EK124"/>
      <c r="EL124"/>
      <c r="EM124"/>
      <c r="EN124"/>
      <c r="EO124"/>
      <c r="EP124"/>
      <c r="EQ124"/>
      <c r="ER124"/>
      <c r="ES124"/>
      <c r="ET124"/>
      <c r="EU124"/>
      <c r="EV124"/>
      <c r="EW124"/>
      <c r="EX124"/>
      <c r="EY124"/>
      <c r="EZ124"/>
      <c r="FA124"/>
      <c r="FB124"/>
      <c r="FC124"/>
      <c r="FD124"/>
      <c r="FE124"/>
      <c r="FF124"/>
      <c r="FG124"/>
      <c r="FH124"/>
      <c r="FI124"/>
      <c r="FJ124"/>
      <c r="FK124"/>
      <c r="FL124"/>
      <c r="FM124"/>
      <c r="FN124"/>
      <c r="FO124"/>
      <c r="FP124"/>
      <c r="FQ124"/>
      <c r="FR124"/>
      <c r="FS124"/>
      <c r="FT124"/>
      <c r="FU124"/>
      <c r="FV124"/>
      <c r="FW124"/>
      <c r="FX124"/>
      <c r="FY124"/>
      <c r="FZ124"/>
      <c r="GA124"/>
      <c r="GB124"/>
      <c r="GC124"/>
      <c r="GD124"/>
      <c r="GE124"/>
      <c r="GF124"/>
      <c r="GG124"/>
      <c r="GH124"/>
      <c r="GI124"/>
      <c r="GJ124"/>
      <c r="GK124"/>
      <c r="GL124"/>
      <c r="GM124"/>
      <c r="GN124"/>
      <c r="GO124"/>
      <c r="GP124"/>
      <c r="GQ124"/>
      <c r="GR124"/>
      <c r="GS124"/>
      <c r="GT124"/>
      <c r="GU124"/>
      <c r="GV124"/>
      <c r="GW124"/>
      <c r="GX124"/>
      <c r="GY124"/>
      <c r="GZ124"/>
      <c r="HA124"/>
      <c r="HB124"/>
      <c r="HC124"/>
      <c r="HD124"/>
      <c r="HE124"/>
      <c r="HF124"/>
      <c r="HG124"/>
      <c r="HH124"/>
      <c r="HI124"/>
      <c r="HJ124"/>
      <c r="HK124"/>
      <c r="HL124"/>
      <c r="HM124"/>
      <c r="HN124"/>
      <c r="HO124"/>
      <c r="HP124"/>
      <c r="HQ124"/>
      <c r="HR124"/>
      <c r="HS124"/>
      <c r="HT124"/>
      <c r="HU124"/>
      <c r="HV124"/>
      <c r="HW124"/>
      <c r="HX124"/>
      <c r="HY124"/>
      <c r="HZ124"/>
      <c r="IA124"/>
      <c r="IB124"/>
      <c r="IC124"/>
      <c r="ID124"/>
      <c r="IE124"/>
      <c r="IF124"/>
      <c r="IG124"/>
      <c r="IH124"/>
      <c r="II124"/>
      <c r="IJ124"/>
      <c r="IK124"/>
      <c r="IL124"/>
      <c r="IM124"/>
      <c r="IN124"/>
      <c r="IO124"/>
      <c r="IP124"/>
      <c r="IQ124"/>
      <c r="IR124"/>
      <c r="IS124"/>
      <c r="IT124"/>
      <c r="IU124"/>
    </row>
    <row r="125" spans="1:255" ht="21" customHeight="1">
      <c r="C125" s="2608" t="s">
        <v>20</v>
      </c>
      <c r="D125" s="1566" t="s">
        <v>1070</v>
      </c>
      <c r="E125" s="1567" t="s">
        <v>1997</v>
      </c>
      <c r="F125" s="1568">
        <v>20</v>
      </c>
      <c r="G125" s="1568"/>
      <c r="H125" s="1716" t="s">
        <v>13</v>
      </c>
      <c r="I125" s="1718">
        <v>30</v>
      </c>
      <c r="J125" s="1188" t="s">
        <v>1201</v>
      </c>
      <c r="K125" s="1568"/>
      <c r="L125" s="1527">
        <v>25</v>
      </c>
      <c r="M125" s="1528">
        <v>25</v>
      </c>
      <c r="N125" s="1569">
        <v>45</v>
      </c>
      <c r="O125" s="1453">
        <v>40</v>
      </c>
      <c r="P125" s="1568">
        <v>15</v>
      </c>
      <c r="Q125" s="1718">
        <v>30</v>
      </c>
      <c r="R125" s="1568"/>
      <c r="S125" s="1571" t="s">
        <v>1061</v>
      </c>
      <c r="T125" s="1572" t="s">
        <v>1061</v>
      </c>
      <c r="U125" s="1569">
        <v>120</v>
      </c>
      <c r="V125" s="1188">
        <v>100</v>
      </c>
      <c r="W125" s="1573">
        <v>45</v>
      </c>
      <c r="X125" s="1718">
        <v>80</v>
      </c>
      <c r="Y125" s="1574"/>
      <c r="Z125" s="1571" t="s">
        <v>1061</v>
      </c>
      <c r="AA125" s="1572" t="s">
        <v>1061</v>
      </c>
      <c r="AB125" s="1542"/>
      <c r="AC125" s="1542"/>
      <c r="AD125" s="1542"/>
      <c r="AE125" s="1542"/>
      <c r="AF125" s="1279"/>
      <c r="AK125"/>
      <c r="AL125" s="1542"/>
      <c r="AM125" s="2371" t="s">
        <v>156</v>
      </c>
      <c r="AN125" s="2352">
        <v>150</v>
      </c>
      <c r="AO125" s="2283" t="s">
        <v>465</v>
      </c>
      <c r="AP125" s="2352">
        <v>175</v>
      </c>
      <c r="AQ125" s="2283" t="s">
        <v>155</v>
      </c>
      <c r="AR125" s="2352">
        <v>205</v>
      </c>
      <c r="AS125" s="2283" t="s">
        <v>151</v>
      </c>
      <c r="AT125" s="2348">
        <v>205</v>
      </c>
      <c r="AU125" s="2285" t="s">
        <v>151</v>
      </c>
      <c r="AV125" s="2348">
        <v>205</v>
      </c>
      <c r="AW125" s="2285" t="s">
        <v>151</v>
      </c>
      <c r="AX125" s="2345">
        <v>115</v>
      </c>
      <c r="AY125" s="2278" t="s">
        <v>155</v>
      </c>
      <c r="AZ125" s="2350">
        <v>144</v>
      </c>
      <c r="BA125" s="2303" t="s">
        <v>2326</v>
      </c>
      <c r="BE125" s="2371" t="s">
        <v>156</v>
      </c>
      <c r="BF125" s="577">
        <v>25</v>
      </c>
      <c r="BG125" s="577">
        <v>30</v>
      </c>
      <c r="BH125" s="577">
        <v>40</v>
      </c>
      <c r="BJ125" s="2371" t="s">
        <v>156</v>
      </c>
      <c r="BK125" s="578">
        <v>110</v>
      </c>
      <c r="BL125" s="577">
        <v>140</v>
      </c>
      <c r="BM125" s="577">
        <v>175</v>
      </c>
      <c r="BP125" s="524"/>
      <c r="BQ125" s="524"/>
      <c r="BR125" s="524"/>
      <c r="BS125" s="2461" t="s">
        <v>160</v>
      </c>
      <c r="BT125" s="2463" t="str">
        <f>IFERROR(INDEX(Liste_Ackerkulturen_Gemüse_DropDown[Ackerkulturen],_xlfn.AGGREGATE(15,6,(ROW(Liste_Ackerkulturen_Gemüse_DropDown[Ackerkulturen])-1)/(--(SEARCH(BU$2,Liste_Ackerkulturen_Gemüse_DropDown[Ackerkulturen])&gt;0)),ROW()-2),1),"")</f>
        <v>Endivie</v>
      </c>
      <c r="BU125" s="2463"/>
      <c r="BV125" s="2463" t="str">
        <f>IFERROR(INDEX(Liste_Ackerkulturen_Gemüse_DropDown[Ackerkulturen],_xlfn.AGGREGATE(15,6,(ROW(Liste_Ackerkulturen_Gemüse_DropDown[Ackerkulturen])-1)/(--(SEARCH(BW$2,Liste_Ackerkulturen_Gemüse_DropDown[Ackerkulturen])&gt;0)),ROW()-2),1),"")</f>
        <v>Endivie</v>
      </c>
      <c r="BW125" s="2463"/>
      <c r="BX125" s="2463" t="str">
        <f>IFERROR(INDEX(Liste_Ackerkulturen_Gemüse_DropDown[Ackerkulturen],_xlfn.AGGREGATE(15,6,(ROW(Liste_Ackerkulturen_Gemüse_DropDown[Ackerkulturen])-1)/(--(SEARCH(BY$2,Liste_Ackerkulturen_Gemüse_DropDown[Ackerkulturen])&gt;0)),ROW()-2),1),"")</f>
        <v>Endivie</v>
      </c>
      <c r="BY125" s="2463"/>
      <c r="BZ125" s="2463" t="str">
        <f>IFERROR(INDEX(Liste_Ackerkulturen_Gemüse_DropDown[Ackerkulturen],_xlfn.AGGREGATE(15,6,(ROW(Liste_Ackerkulturen_Gemüse_DropDown[Ackerkulturen])-1)/(--(SEARCH(CA$2,Liste_Ackerkulturen_Gemüse_DropDown[Ackerkulturen])&gt;0)),ROW()-2),1),"")</f>
        <v>Endivie</v>
      </c>
      <c r="CA125" s="2463"/>
      <c r="CB125" s="2463" t="str">
        <f>IFERROR(INDEX(Liste_Ackerkulturen_Gemüse_DropDown[Ackerkulturen],_xlfn.AGGREGATE(15,6,(ROW(Liste_Ackerkulturen_Gemüse_DropDown[Ackerkulturen])-1)/(--(SEARCH(CC$2,Liste_Ackerkulturen_Gemüse_DropDown[Ackerkulturen])&gt;0)),ROW()-2),1),"")</f>
        <v>Endivie</v>
      </c>
      <c r="CC125" s="2463"/>
      <c r="CD125" s="2464" t="str">
        <f>IFERROR(INDEX(Liste_Ackerkulturen_Gemüse_DropDown[Ackerkulturen],_xlfn.AGGREGATE(15,6,(ROW(Liste_Ackerkulturen_Gemüse_DropDown[Ackerkulturen])-1)/(--(SEARCH(CE$2,Liste_Ackerkulturen_Gemüse_DropDown[Ackerkulturen])&gt;0)),ROW()-2),1),"")</f>
        <v>Endivie</v>
      </c>
      <c r="CE125" s="2464"/>
      <c r="CF125" s="2464" t="str">
        <f>IFERROR(INDEX(Liste_Ackerkulturen_Gemüse_DropDown[Ackerkulturen],_xlfn.AGGREGATE(15,6,(ROW(Liste_Ackerkulturen_Gemüse_DropDown[Ackerkulturen])-1)/(--(SEARCH(CG$2,Liste_Ackerkulturen_Gemüse_DropDown[Ackerkulturen])&gt;0)),ROW()-2),1),"")</f>
        <v>Endivie</v>
      </c>
      <c r="CG125" s="2464"/>
      <c r="CH125" s="2464" t="str">
        <f>IFERROR(INDEX(Liste_Ackerkulturen_Gemüse_DropDown[Ackerkulturen],_xlfn.AGGREGATE(15,6,(ROW(Liste_Ackerkulturen_Gemüse_DropDown[Ackerkulturen])-1)/(--(SEARCH(CI$2,Liste_Ackerkulturen_Gemüse_DropDown[Ackerkulturen])&gt;0)),ROW()-2),1),"")</f>
        <v>Endivie</v>
      </c>
      <c r="CI125" s="2464"/>
      <c r="CJ125" s="2464" t="str">
        <f>IFERROR(INDEX(Liste_Ackerkulturen_Gemüse_DropDown[Ackerkulturen],_xlfn.AGGREGATE(15,6,(ROW(Liste_Ackerkulturen_Gemüse_DropDown[Ackerkulturen])-1)/(--(SEARCH(CK$2,Liste_Ackerkulturen_Gemüse_DropDown[Ackerkulturen])&gt;0)),ROW()-2),1),"")</f>
        <v>Endivie</v>
      </c>
      <c r="CK125" s="2464"/>
      <c r="CL125" s="2464" t="str">
        <f>IFERROR(INDEX(Liste_Ackerkulturen_Gemüse_DropDown[Ackerkulturen],_xlfn.AGGREGATE(15,6,(ROW(Liste_Ackerkulturen_Gemüse_DropDown[Ackerkulturen])-1)/(--(SEARCH(CM$2,Liste_Ackerkulturen_Gemüse_DropDown[Ackerkulturen])&gt;0)),ROW()-2),1),"")</f>
        <v>Endivie</v>
      </c>
      <c r="CM125" s="2464"/>
      <c r="CN125" s="2464" t="str">
        <f>IFERROR(INDEX(Liste_Ackerkulturen_Gemüse_DropDown[Ackerkulturen],_xlfn.AGGREGATE(15,6,(ROW(Liste_Ackerkulturen_Gemüse_DropDown[Ackerkulturen])-1)/(--(SEARCH(CO$2,Liste_Ackerkulturen_Gemüse_DropDown[Ackerkulturen])&gt;0)),ROW()-2),1),"")</f>
        <v>Endivie</v>
      </c>
      <c r="CO125" s="2464"/>
      <c r="CP125" s="2464" t="str">
        <f>IFERROR(INDEX(Liste_Ackerkulturen_Gemüse_DropDown[Ackerkulturen],_xlfn.AGGREGATE(15,6,(ROW(Liste_Ackerkulturen_Gemüse_DropDown[Ackerkulturen])-1)/(--(SEARCH(CQ$2,Liste_Ackerkulturen_Gemüse_DropDown[Ackerkulturen])&gt;0)),ROW()-2),1),"")</f>
        <v>Endivie</v>
      </c>
      <c r="CQ125" s="2464"/>
      <c r="CR125" s="2464" t="str">
        <f>IFERROR(INDEX(Liste_Ackerkulturen_Gemüse_DropDown[Ackerkulturen],_xlfn.AGGREGATE(15,6,(ROW(Liste_Ackerkulturen_Gemüse_DropDown[Ackerkulturen])-1)/(--(SEARCH(CS$2,Liste_Ackerkulturen_Gemüse_DropDown[Ackerkulturen])&gt;0)),ROW()-2),1),"")</f>
        <v>Endivie</v>
      </c>
      <c r="CS125" s="2464"/>
      <c r="CT125"/>
      <c r="CU125"/>
      <c r="CV125"/>
      <c r="CW125"/>
      <c r="CX125"/>
      <c r="CY125"/>
      <c r="CZ125"/>
      <c r="DA125"/>
      <c r="DB125"/>
      <c r="DC125"/>
      <c r="DD125"/>
      <c r="DE125"/>
      <c r="DF125"/>
      <c r="DG125"/>
      <c r="DH125"/>
      <c r="DN125"/>
      <c r="DO125"/>
      <c r="DP125"/>
      <c r="DQ125"/>
      <c r="DR125"/>
      <c r="DS125"/>
      <c r="DT125"/>
      <c r="DU125"/>
      <c r="DV125"/>
      <c r="DW125"/>
      <c r="DX125"/>
      <c r="DY125"/>
      <c r="DZ125"/>
      <c r="EA125"/>
      <c r="EB125"/>
      <c r="EC125"/>
      <c r="ED125"/>
      <c r="EE125"/>
      <c r="EF125"/>
      <c r="EG125"/>
      <c r="EH125"/>
      <c r="EI125"/>
      <c r="EJ125"/>
      <c r="EK125"/>
      <c r="EL125"/>
      <c r="EM125"/>
      <c r="EN125"/>
      <c r="EO125"/>
      <c r="EP125"/>
      <c r="EQ125"/>
      <c r="ER125"/>
      <c r="ES125"/>
      <c r="ET125"/>
      <c r="EU125"/>
      <c r="EV125"/>
      <c r="EW125"/>
      <c r="EX125"/>
      <c r="EY125"/>
      <c r="EZ125"/>
      <c r="FA125"/>
      <c r="FB125"/>
      <c r="FC125"/>
      <c r="FD125"/>
      <c r="FE125"/>
      <c r="FF125"/>
      <c r="FG125"/>
      <c r="FH125"/>
      <c r="FI125"/>
      <c r="FJ125"/>
      <c r="FK125"/>
      <c r="FL125"/>
      <c r="FM125"/>
      <c r="FN125"/>
      <c r="FO125"/>
      <c r="FP125"/>
      <c r="FQ125"/>
      <c r="FR125"/>
      <c r="FS125"/>
      <c r="FT125"/>
      <c r="FU125"/>
      <c r="FV125"/>
      <c r="FW125"/>
      <c r="FX125"/>
      <c r="FY125"/>
      <c r="FZ125"/>
      <c r="GA125"/>
      <c r="GB125"/>
      <c r="GC125"/>
      <c r="GD125"/>
      <c r="GE125"/>
      <c r="GF125"/>
      <c r="GG125"/>
      <c r="GH125"/>
      <c r="GI125"/>
      <c r="GJ125"/>
      <c r="GK125"/>
      <c r="GL125"/>
      <c r="GM125"/>
      <c r="GN125"/>
      <c r="GO125"/>
      <c r="GP125"/>
      <c r="GQ125"/>
      <c r="GR125"/>
      <c r="GS125"/>
      <c r="GT125"/>
      <c r="GU125"/>
      <c r="GV125"/>
      <c r="GW125"/>
      <c r="GX125"/>
      <c r="GY125"/>
      <c r="GZ125"/>
      <c r="HA125"/>
      <c r="HB125"/>
      <c r="HC125"/>
      <c r="HD125"/>
      <c r="HE125"/>
      <c r="HF125"/>
      <c r="HG125"/>
      <c r="HH125"/>
      <c r="HI125"/>
      <c r="HJ125"/>
      <c r="HK125"/>
      <c r="HL125"/>
      <c r="HM125"/>
      <c r="HN125"/>
      <c r="HO125"/>
      <c r="HP125"/>
      <c r="HQ125"/>
      <c r="HR125"/>
      <c r="HS125"/>
      <c r="HT125"/>
      <c r="HU125"/>
      <c r="HV125"/>
      <c r="HW125"/>
      <c r="HX125"/>
      <c r="HY125"/>
      <c r="HZ125"/>
      <c r="IA125"/>
      <c r="IB125"/>
      <c r="IC125"/>
      <c r="ID125"/>
      <c r="IE125"/>
      <c r="IF125"/>
      <c r="IG125"/>
      <c r="IH125"/>
      <c r="II125"/>
      <c r="IJ125"/>
      <c r="IK125"/>
      <c r="IL125"/>
      <c r="IM125"/>
      <c r="IN125"/>
      <c r="IO125"/>
      <c r="IP125"/>
      <c r="IQ125"/>
      <c r="IR125"/>
      <c r="IS125"/>
      <c r="IT125"/>
      <c r="IU125"/>
    </row>
    <row r="126" spans="1:255" ht="21" customHeight="1">
      <c r="A126" s="596"/>
      <c r="B126" s="596"/>
      <c r="C126" s="2608"/>
      <c r="D126" s="1566" t="s">
        <v>1062</v>
      </c>
      <c r="E126" s="1567" t="s">
        <v>14</v>
      </c>
      <c r="F126" s="1568">
        <v>60</v>
      </c>
      <c r="G126" s="1568"/>
      <c r="H126" s="1716" t="s">
        <v>15</v>
      </c>
      <c r="I126" s="1718">
        <v>90</v>
      </c>
      <c r="J126" s="1188" t="s">
        <v>1201</v>
      </c>
      <c r="K126" s="1568"/>
      <c r="L126" s="1527">
        <v>70</v>
      </c>
      <c r="M126" s="1528">
        <v>70</v>
      </c>
      <c r="N126" s="1569">
        <v>70</v>
      </c>
      <c r="O126" s="1453">
        <v>55</v>
      </c>
      <c r="P126" s="1568">
        <v>30</v>
      </c>
      <c r="Q126" s="1718">
        <v>45</v>
      </c>
      <c r="R126" s="1568"/>
      <c r="S126" s="1571" t="s">
        <v>1061</v>
      </c>
      <c r="T126" s="1572" t="s">
        <v>1061</v>
      </c>
      <c r="U126" s="1569">
        <v>180</v>
      </c>
      <c r="V126" s="1188">
        <v>150</v>
      </c>
      <c r="W126" s="1573">
        <v>80</v>
      </c>
      <c r="X126" s="1718">
        <v>120</v>
      </c>
      <c r="Y126" s="1574"/>
      <c r="Z126" s="1571" t="s">
        <v>1061</v>
      </c>
      <c r="AA126" s="1572" t="s">
        <v>1061</v>
      </c>
      <c r="AB126" s="1542"/>
      <c r="AC126" s="1542"/>
      <c r="AD126" s="1542"/>
      <c r="AE126" s="1542"/>
      <c r="AF126" s="1279"/>
      <c r="AG126" s="596"/>
      <c r="AH126" s="596"/>
      <c r="AI126" s="596"/>
      <c r="AJ126" s="596"/>
      <c r="AK126" s="596"/>
      <c r="AL126" s="596"/>
      <c r="AM126" s="2371" t="s">
        <v>157</v>
      </c>
      <c r="AN126" s="2352">
        <v>160</v>
      </c>
      <c r="AO126" s="2283" t="s">
        <v>465</v>
      </c>
      <c r="AP126" s="2352">
        <v>190</v>
      </c>
      <c r="AQ126" s="2283" t="s">
        <v>158</v>
      </c>
      <c r="AR126" s="2352">
        <v>230</v>
      </c>
      <c r="AS126" s="2283" t="s">
        <v>159</v>
      </c>
      <c r="AT126" s="2348">
        <v>230</v>
      </c>
      <c r="AU126" s="2285" t="s">
        <v>159</v>
      </c>
      <c r="AV126" s="2348">
        <v>230</v>
      </c>
      <c r="AW126" s="2285" t="s">
        <v>159</v>
      </c>
      <c r="AX126" s="2345">
        <v>150</v>
      </c>
      <c r="AY126" s="2278" t="s">
        <v>158</v>
      </c>
      <c r="AZ126" s="2350">
        <v>188</v>
      </c>
      <c r="BA126" s="2303" t="s">
        <v>2335</v>
      </c>
      <c r="BE126" s="2371" t="s">
        <v>157</v>
      </c>
      <c r="BF126" s="577">
        <v>30</v>
      </c>
      <c r="BG126" s="577">
        <v>35</v>
      </c>
      <c r="BH126" s="577">
        <v>45</v>
      </c>
      <c r="BJ126" s="2371" t="s">
        <v>157</v>
      </c>
      <c r="BK126" s="578">
        <v>110</v>
      </c>
      <c r="BL126" s="577">
        <v>140</v>
      </c>
      <c r="BM126" s="577">
        <v>175</v>
      </c>
      <c r="BP126" s="524"/>
      <c r="BQ126" s="524"/>
      <c r="BR126" s="524"/>
      <c r="BS126" s="2461" t="s">
        <v>163</v>
      </c>
      <c r="BT126" s="2463" t="str">
        <f>IFERROR(INDEX(Liste_Ackerkulturen_Gemüse_DropDown[Ackerkulturen],_xlfn.AGGREGATE(15,6,(ROW(Liste_Ackerkulturen_Gemüse_DropDown[Ackerkulturen])-1)/(--(SEARCH(BU$2,Liste_Ackerkulturen_Gemüse_DropDown[Ackerkulturen])&gt;0)),ROW()-2),1),"")</f>
        <v>Erbsen</v>
      </c>
      <c r="BU126" s="2463"/>
      <c r="BV126" s="2463" t="str">
        <f>IFERROR(INDEX(Liste_Ackerkulturen_Gemüse_DropDown[Ackerkulturen],_xlfn.AGGREGATE(15,6,(ROW(Liste_Ackerkulturen_Gemüse_DropDown[Ackerkulturen])-1)/(--(SEARCH(BW$2,Liste_Ackerkulturen_Gemüse_DropDown[Ackerkulturen])&gt;0)),ROW()-2),1),"")</f>
        <v>Erbsen</v>
      </c>
      <c r="BW126" s="2463"/>
      <c r="BX126" s="2463" t="str">
        <f>IFERROR(INDEX(Liste_Ackerkulturen_Gemüse_DropDown[Ackerkulturen],_xlfn.AGGREGATE(15,6,(ROW(Liste_Ackerkulturen_Gemüse_DropDown[Ackerkulturen])-1)/(--(SEARCH(BY$2,Liste_Ackerkulturen_Gemüse_DropDown[Ackerkulturen])&gt;0)),ROW()-2),1),"")</f>
        <v>Erbsen</v>
      </c>
      <c r="BY126" s="2463"/>
      <c r="BZ126" s="2463" t="str">
        <f>IFERROR(INDEX(Liste_Ackerkulturen_Gemüse_DropDown[Ackerkulturen],_xlfn.AGGREGATE(15,6,(ROW(Liste_Ackerkulturen_Gemüse_DropDown[Ackerkulturen])-1)/(--(SEARCH(CA$2,Liste_Ackerkulturen_Gemüse_DropDown[Ackerkulturen])&gt;0)),ROW()-2),1),"")</f>
        <v>Erbsen</v>
      </c>
      <c r="CA126" s="2463"/>
      <c r="CB126" s="2463" t="str">
        <f>IFERROR(INDEX(Liste_Ackerkulturen_Gemüse_DropDown[Ackerkulturen],_xlfn.AGGREGATE(15,6,(ROW(Liste_Ackerkulturen_Gemüse_DropDown[Ackerkulturen])-1)/(--(SEARCH(CC$2,Liste_Ackerkulturen_Gemüse_DropDown[Ackerkulturen])&gt;0)),ROW()-2),1),"")</f>
        <v>Erbsen</v>
      </c>
      <c r="CC126" s="2463"/>
      <c r="CD126" s="2464" t="str">
        <f>IFERROR(INDEX(Liste_Ackerkulturen_Gemüse_DropDown[Ackerkulturen],_xlfn.AGGREGATE(15,6,(ROW(Liste_Ackerkulturen_Gemüse_DropDown[Ackerkulturen])-1)/(--(SEARCH(CE$2,Liste_Ackerkulturen_Gemüse_DropDown[Ackerkulturen])&gt;0)),ROW()-2),1),"")</f>
        <v>Erbsen</v>
      </c>
      <c r="CE126" s="2464"/>
      <c r="CF126" s="2464" t="str">
        <f>IFERROR(INDEX(Liste_Ackerkulturen_Gemüse_DropDown[Ackerkulturen],_xlfn.AGGREGATE(15,6,(ROW(Liste_Ackerkulturen_Gemüse_DropDown[Ackerkulturen])-1)/(--(SEARCH(CG$2,Liste_Ackerkulturen_Gemüse_DropDown[Ackerkulturen])&gt;0)),ROW()-2),1),"")</f>
        <v>Erbsen</v>
      </c>
      <c r="CG126" s="2464"/>
      <c r="CH126" s="2464" t="str">
        <f>IFERROR(INDEX(Liste_Ackerkulturen_Gemüse_DropDown[Ackerkulturen],_xlfn.AGGREGATE(15,6,(ROW(Liste_Ackerkulturen_Gemüse_DropDown[Ackerkulturen])-1)/(--(SEARCH(CI$2,Liste_Ackerkulturen_Gemüse_DropDown[Ackerkulturen])&gt;0)),ROW()-2),1),"")</f>
        <v>Erbsen</v>
      </c>
      <c r="CI126" s="2464"/>
      <c r="CJ126" s="2464" t="str">
        <f>IFERROR(INDEX(Liste_Ackerkulturen_Gemüse_DropDown[Ackerkulturen],_xlfn.AGGREGATE(15,6,(ROW(Liste_Ackerkulturen_Gemüse_DropDown[Ackerkulturen])-1)/(--(SEARCH(CK$2,Liste_Ackerkulturen_Gemüse_DropDown[Ackerkulturen])&gt;0)),ROW()-2),1),"")</f>
        <v>Erbsen</v>
      </c>
      <c r="CK126" s="2464"/>
      <c r="CL126" s="2464" t="str">
        <f>IFERROR(INDEX(Liste_Ackerkulturen_Gemüse_DropDown[Ackerkulturen],_xlfn.AGGREGATE(15,6,(ROW(Liste_Ackerkulturen_Gemüse_DropDown[Ackerkulturen])-1)/(--(SEARCH(CM$2,Liste_Ackerkulturen_Gemüse_DropDown[Ackerkulturen])&gt;0)),ROW()-2),1),"")</f>
        <v>Erbsen</v>
      </c>
      <c r="CM126" s="2464"/>
      <c r="CN126" s="2464" t="str">
        <f>IFERROR(INDEX(Liste_Ackerkulturen_Gemüse_DropDown[Ackerkulturen],_xlfn.AGGREGATE(15,6,(ROW(Liste_Ackerkulturen_Gemüse_DropDown[Ackerkulturen])-1)/(--(SEARCH(CO$2,Liste_Ackerkulturen_Gemüse_DropDown[Ackerkulturen])&gt;0)),ROW()-2),1),"")</f>
        <v>Erbsen</v>
      </c>
      <c r="CO126" s="2464"/>
      <c r="CP126" s="2464" t="str">
        <f>IFERROR(INDEX(Liste_Ackerkulturen_Gemüse_DropDown[Ackerkulturen],_xlfn.AGGREGATE(15,6,(ROW(Liste_Ackerkulturen_Gemüse_DropDown[Ackerkulturen])-1)/(--(SEARCH(CQ$2,Liste_Ackerkulturen_Gemüse_DropDown[Ackerkulturen])&gt;0)),ROW()-2),1),"")</f>
        <v>Erbsen</v>
      </c>
      <c r="CQ126" s="2464"/>
      <c r="CR126" s="2464" t="str">
        <f>IFERROR(INDEX(Liste_Ackerkulturen_Gemüse_DropDown[Ackerkulturen],_xlfn.AGGREGATE(15,6,(ROW(Liste_Ackerkulturen_Gemüse_DropDown[Ackerkulturen])-1)/(--(SEARCH(CS$2,Liste_Ackerkulturen_Gemüse_DropDown[Ackerkulturen])&gt;0)),ROW()-2),1),"")</f>
        <v>Erbsen</v>
      </c>
      <c r="CS126" s="2464"/>
      <c r="CT126"/>
      <c r="CU126"/>
      <c r="CV126"/>
      <c r="CW126"/>
      <c r="CX126"/>
      <c r="CY126"/>
      <c r="CZ126"/>
      <c r="DA126"/>
      <c r="DB126"/>
      <c r="DC126"/>
      <c r="DD126"/>
      <c r="DE126"/>
      <c r="DF126"/>
      <c r="DG126"/>
      <c r="DH126"/>
      <c r="DN126"/>
      <c r="DO126"/>
      <c r="DP126"/>
      <c r="DQ126"/>
      <c r="DR126"/>
      <c r="DS126"/>
      <c r="DT126"/>
      <c r="DU126"/>
      <c r="DV126"/>
      <c r="DW126"/>
      <c r="DX126"/>
      <c r="DY126"/>
      <c r="DZ126"/>
      <c r="EA126"/>
      <c r="EB126"/>
      <c r="EC126"/>
      <c r="ED126"/>
      <c r="EE126"/>
      <c r="EF126"/>
      <c r="EG126"/>
      <c r="EH126"/>
      <c r="EI126"/>
      <c r="EJ126"/>
      <c r="EK126"/>
      <c r="EL126"/>
      <c r="EM126"/>
      <c r="EN126"/>
      <c r="EO126"/>
      <c r="EP126"/>
      <c r="EQ126"/>
      <c r="ER126"/>
      <c r="ES126"/>
      <c r="ET126"/>
      <c r="EU126"/>
      <c r="EV126"/>
      <c r="EW126"/>
      <c r="EX126"/>
      <c r="EY126"/>
      <c r="EZ126"/>
      <c r="FA126"/>
      <c r="FB126"/>
      <c r="FC126"/>
      <c r="FD126"/>
      <c r="FE126"/>
      <c r="FF126"/>
      <c r="FG126"/>
      <c r="FH126"/>
      <c r="FI126"/>
      <c r="FJ126"/>
      <c r="FK126"/>
      <c r="FL126"/>
      <c r="FM126"/>
      <c r="FN126"/>
      <c r="FO126"/>
      <c r="FP126"/>
      <c r="FQ126"/>
      <c r="FR126"/>
      <c r="FS126"/>
      <c r="FT126"/>
      <c r="FU126"/>
      <c r="FV126"/>
      <c r="FW126"/>
      <c r="FX126"/>
      <c r="FY126"/>
      <c r="FZ126"/>
      <c r="GA126"/>
      <c r="GB126"/>
      <c r="GC126"/>
      <c r="GD126"/>
      <c r="GE126"/>
      <c r="GF126"/>
      <c r="GG126"/>
      <c r="GH126"/>
      <c r="GI126"/>
      <c r="GJ126"/>
      <c r="GK126"/>
      <c r="GL126"/>
      <c r="GM126"/>
      <c r="GN126"/>
      <c r="GO126"/>
      <c r="GP126"/>
      <c r="GQ126"/>
      <c r="GR126"/>
      <c r="GS126"/>
      <c r="GT126"/>
      <c r="GU126"/>
      <c r="GV126"/>
      <c r="GW126"/>
      <c r="GX126"/>
      <c r="GY126"/>
      <c r="GZ126"/>
      <c r="HA126"/>
      <c r="HB126"/>
      <c r="HC126"/>
      <c r="HD126"/>
      <c r="HE126"/>
      <c r="HF126"/>
      <c r="HG126"/>
      <c r="HH126"/>
      <c r="HI126"/>
      <c r="HJ126"/>
      <c r="HK126"/>
      <c r="HL126"/>
      <c r="HM126"/>
      <c r="HN126"/>
      <c r="HO126"/>
      <c r="HP126"/>
      <c r="HQ126"/>
      <c r="HR126"/>
      <c r="HS126"/>
      <c r="HT126"/>
      <c r="HU126"/>
      <c r="HV126"/>
      <c r="HW126"/>
      <c r="HX126"/>
      <c r="HY126"/>
      <c r="HZ126"/>
      <c r="IA126"/>
      <c r="IB126"/>
      <c r="IC126"/>
      <c r="ID126"/>
      <c r="IE126"/>
      <c r="IF126"/>
      <c r="IG126"/>
      <c r="IH126"/>
      <c r="II126"/>
      <c r="IJ126"/>
      <c r="IK126"/>
      <c r="IL126"/>
      <c r="IM126"/>
      <c r="IN126"/>
      <c r="IO126"/>
      <c r="IP126"/>
      <c r="IQ126"/>
      <c r="IR126"/>
      <c r="IS126"/>
      <c r="IT126"/>
      <c r="IU126"/>
    </row>
    <row r="127" spans="1:255" ht="21" customHeight="1">
      <c r="C127" s="2608"/>
      <c r="D127" s="1566" t="s">
        <v>1064</v>
      </c>
      <c r="E127" s="1567" t="s">
        <v>1072</v>
      </c>
      <c r="F127" s="1568">
        <v>80</v>
      </c>
      <c r="G127" s="1568"/>
      <c r="H127" s="1716" t="s">
        <v>1073</v>
      </c>
      <c r="I127" s="1718">
        <v>100</v>
      </c>
      <c r="J127" s="1188" t="s">
        <v>16</v>
      </c>
      <c r="K127" s="1568">
        <v>120</v>
      </c>
      <c r="L127" s="1527">
        <v>90</v>
      </c>
      <c r="M127" s="1528">
        <v>105</v>
      </c>
      <c r="N127" s="1569">
        <v>100</v>
      </c>
      <c r="O127" s="1453">
        <v>80</v>
      </c>
      <c r="P127" s="1568">
        <v>45</v>
      </c>
      <c r="Q127" s="1718">
        <v>65</v>
      </c>
      <c r="R127" s="1568">
        <v>80</v>
      </c>
      <c r="S127" s="1571" t="s">
        <v>1061</v>
      </c>
      <c r="T127" s="1572" t="s">
        <v>1061</v>
      </c>
      <c r="U127" s="1569">
        <v>255</v>
      </c>
      <c r="V127" s="1188">
        <v>215</v>
      </c>
      <c r="W127" s="1573">
        <v>130</v>
      </c>
      <c r="X127" s="1718">
        <v>170</v>
      </c>
      <c r="Y127" s="1574">
        <v>215</v>
      </c>
      <c r="Z127" s="1571" t="s">
        <v>1061</v>
      </c>
      <c r="AA127" s="1572" t="s">
        <v>1061</v>
      </c>
      <c r="AB127" s="1542"/>
      <c r="AC127" s="1542"/>
      <c r="AD127" s="1542"/>
      <c r="AE127" s="1542"/>
      <c r="AF127" s="1279"/>
      <c r="AM127" s="2371" t="s">
        <v>160</v>
      </c>
      <c r="AN127" s="2352">
        <v>100</v>
      </c>
      <c r="AO127" s="2283" t="s">
        <v>1957</v>
      </c>
      <c r="AP127" s="2352">
        <v>110</v>
      </c>
      <c r="AQ127" s="2283" t="s">
        <v>161</v>
      </c>
      <c r="AR127" s="2352">
        <v>130</v>
      </c>
      <c r="AS127" s="2283" t="s">
        <v>162</v>
      </c>
      <c r="AT127" s="2348">
        <v>130</v>
      </c>
      <c r="AU127" s="2285" t="s">
        <v>162</v>
      </c>
      <c r="AV127" s="2348">
        <v>130</v>
      </c>
      <c r="AW127" s="2285" t="s">
        <v>162</v>
      </c>
      <c r="AX127" s="2345">
        <v>70</v>
      </c>
      <c r="AY127" s="2278" t="s">
        <v>161</v>
      </c>
      <c r="AZ127" s="2350">
        <v>88</v>
      </c>
      <c r="BA127" s="2303" t="s">
        <v>2330</v>
      </c>
      <c r="BE127" s="2371" t="s">
        <v>160</v>
      </c>
      <c r="BF127" s="577">
        <v>15</v>
      </c>
      <c r="BG127" s="577">
        <v>20</v>
      </c>
      <c r="BH127" s="577">
        <v>25</v>
      </c>
      <c r="BJ127" s="2371" t="s">
        <v>160</v>
      </c>
      <c r="BK127" s="578">
        <v>40</v>
      </c>
      <c r="BL127" s="577">
        <v>50</v>
      </c>
      <c r="BM127" s="577">
        <v>65</v>
      </c>
      <c r="BP127" s="524"/>
      <c r="BQ127" s="524"/>
      <c r="BR127" s="524"/>
      <c r="BS127" s="2461" t="s">
        <v>164</v>
      </c>
      <c r="BT127" s="2463" t="str">
        <f>IFERROR(INDEX(Liste_Ackerkulturen_Gemüse_DropDown[Ackerkulturen],_xlfn.AGGREGATE(15,6,(ROW(Liste_Ackerkulturen_Gemüse_DropDown[Ackerkulturen])-1)/(--(SEARCH(BU$2,Liste_Ackerkulturen_Gemüse_DropDown[Ackerkulturen])&gt;0)),ROW()-2),1),"")</f>
        <v>Grünkohl</v>
      </c>
      <c r="BU127" s="2463"/>
      <c r="BV127" s="2463" t="str">
        <f>IFERROR(INDEX(Liste_Ackerkulturen_Gemüse_DropDown[Ackerkulturen],_xlfn.AGGREGATE(15,6,(ROW(Liste_Ackerkulturen_Gemüse_DropDown[Ackerkulturen])-1)/(--(SEARCH(BW$2,Liste_Ackerkulturen_Gemüse_DropDown[Ackerkulturen])&gt;0)),ROW()-2),1),"")</f>
        <v>Grünkohl</v>
      </c>
      <c r="BW127" s="2463"/>
      <c r="BX127" s="2463" t="str">
        <f>IFERROR(INDEX(Liste_Ackerkulturen_Gemüse_DropDown[Ackerkulturen],_xlfn.AGGREGATE(15,6,(ROW(Liste_Ackerkulturen_Gemüse_DropDown[Ackerkulturen])-1)/(--(SEARCH(BY$2,Liste_Ackerkulturen_Gemüse_DropDown[Ackerkulturen])&gt;0)),ROW()-2),1),"")</f>
        <v>Grünkohl</v>
      </c>
      <c r="BY127" s="2463"/>
      <c r="BZ127" s="2463" t="str">
        <f>IFERROR(INDEX(Liste_Ackerkulturen_Gemüse_DropDown[Ackerkulturen],_xlfn.AGGREGATE(15,6,(ROW(Liste_Ackerkulturen_Gemüse_DropDown[Ackerkulturen])-1)/(--(SEARCH(CA$2,Liste_Ackerkulturen_Gemüse_DropDown[Ackerkulturen])&gt;0)),ROW()-2),1),"")</f>
        <v>Grünkohl</v>
      </c>
      <c r="CA127" s="2463"/>
      <c r="CB127" s="2463" t="str">
        <f>IFERROR(INDEX(Liste_Ackerkulturen_Gemüse_DropDown[Ackerkulturen],_xlfn.AGGREGATE(15,6,(ROW(Liste_Ackerkulturen_Gemüse_DropDown[Ackerkulturen])-1)/(--(SEARCH(CC$2,Liste_Ackerkulturen_Gemüse_DropDown[Ackerkulturen])&gt;0)),ROW()-2),1),"")</f>
        <v>Grünkohl</v>
      </c>
      <c r="CC127" s="2463"/>
      <c r="CD127" s="2464" t="str">
        <f>IFERROR(INDEX(Liste_Ackerkulturen_Gemüse_DropDown[Ackerkulturen],_xlfn.AGGREGATE(15,6,(ROW(Liste_Ackerkulturen_Gemüse_DropDown[Ackerkulturen])-1)/(--(SEARCH(CE$2,Liste_Ackerkulturen_Gemüse_DropDown[Ackerkulturen])&gt;0)),ROW()-2),1),"")</f>
        <v>Grünkohl</v>
      </c>
      <c r="CE127" s="2464"/>
      <c r="CF127" s="2464" t="str">
        <f>IFERROR(INDEX(Liste_Ackerkulturen_Gemüse_DropDown[Ackerkulturen],_xlfn.AGGREGATE(15,6,(ROW(Liste_Ackerkulturen_Gemüse_DropDown[Ackerkulturen])-1)/(--(SEARCH(CG$2,Liste_Ackerkulturen_Gemüse_DropDown[Ackerkulturen])&gt;0)),ROW()-2),1),"")</f>
        <v>Grünkohl</v>
      </c>
      <c r="CG127" s="2464"/>
      <c r="CH127" s="2464" t="str">
        <f>IFERROR(INDEX(Liste_Ackerkulturen_Gemüse_DropDown[Ackerkulturen],_xlfn.AGGREGATE(15,6,(ROW(Liste_Ackerkulturen_Gemüse_DropDown[Ackerkulturen])-1)/(--(SEARCH(CI$2,Liste_Ackerkulturen_Gemüse_DropDown[Ackerkulturen])&gt;0)),ROW()-2),1),"")</f>
        <v>Grünkohl</v>
      </c>
      <c r="CI127" s="2464"/>
      <c r="CJ127" s="2464" t="str">
        <f>IFERROR(INDEX(Liste_Ackerkulturen_Gemüse_DropDown[Ackerkulturen],_xlfn.AGGREGATE(15,6,(ROW(Liste_Ackerkulturen_Gemüse_DropDown[Ackerkulturen])-1)/(--(SEARCH(CK$2,Liste_Ackerkulturen_Gemüse_DropDown[Ackerkulturen])&gt;0)),ROW()-2),1),"")</f>
        <v>Grünkohl</v>
      </c>
      <c r="CK127" s="2464"/>
      <c r="CL127" s="2464" t="str">
        <f>IFERROR(INDEX(Liste_Ackerkulturen_Gemüse_DropDown[Ackerkulturen],_xlfn.AGGREGATE(15,6,(ROW(Liste_Ackerkulturen_Gemüse_DropDown[Ackerkulturen])-1)/(--(SEARCH(CM$2,Liste_Ackerkulturen_Gemüse_DropDown[Ackerkulturen])&gt;0)),ROW()-2),1),"")</f>
        <v>Grünkohl</v>
      </c>
      <c r="CM127" s="2464"/>
      <c r="CN127" s="2464" t="str">
        <f>IFERROR(INDEX(Liste_Ackerkulturen_Gemüse_DropDown[Ackerkulturen],_xlfn.AGGREGATE(15,6,(ROW(Liste_Ackerkulturen_Gemüse_DropDown[Ackerkulturen])-1)/(--(SEARCH(CO$2,Liste_Ackerkulturen_Gemüse_DropDown[Ackerkulturen])&gt;0)),ROW()-2),1),"")</f>
        <v>Grünkohl</v>
      </c>
      <c r="CO127" s="2464"/>
      <c r="CP127" s="2464" t="str">
        <f>IFERROR(INDEX(Liste_Ackerkulturen_Gemüse_DropDown[Ackerkulturen],_xlfn.AGGREGATE(15,6,(ROW(Liste_Ackerkulturen_Gemüse_DropDown[Ackerkulturen])-1)/(--(SEARCH(CQ$2,Liste_Ackerkulturen_Gemüse_DropDown[Ackerkulturen])&gt;0)),ROW()-2),1),"")</f>
        <v>Grünkohl</v>
      </c>
      <c r="CQ127" s="2464"/>
      <c r="CR127" s="2464" t="str">
        <f>IFERROR(INDEX(Liste_Ackerkulturen_Gemüse_DropDown[Ackerkulturen],_xlfn.AGGREGATE(15,6,(ROW(Liste_Ackerkulturen_Gemüse_DropDown[Ackerkulturen])-1)/(--(SEARCH(CS$2,Liste_Ackerkulturen_Gemüse_DropDown[Ackerkulturen])&gt;0)),ROW()-2),1),"")</f>
        <v>Grünkohl</v>
      </c>
      <c r="CS127" s="2464"/>
      <c r="CT127"/>
      <c r="CU127"/>
      <c r="CV127"/>
      <c r="CW127"/>
      <c r="CX127"/>
      <c r="CY127"/>
      <c r="CZ127"/>
      <c r="DA127"/>
      <c r="DB127"/>
      <c r="DC127"/>
      <c r="DD127"/>
      <c r="DE127"/>
      <c r="DF127"/>
      <c r="DG127"/>
      <c r="DH127"/>
      <c r="DN127"/>
      <c r="DO127"/>
      <c r="DP127"/>
      <c r="DQ127"/>
      <c r="DR127"/>
      <c r="DS127"/>
      <c r="DT127"/>
      <c r="DU127"/>
      <c r="DV127"/>
      <c r="DW127"/>
      <c r="DX127"/>
      <c r="DY127"/>
      <c r="DZ127"/>
      <c r="EA127"/>
      <c r="EB127"/>
      <c r="EC127"/>
      <c r="ED127"/>
      <c r="EE127"/>
      <c r="EF127"/>
      <c r="EG127"/>
      <c r="EH127"/>
      <c r="EI127"/>
      <c r="EJ127"/>
      <c r="EK127"/>
      <c r="EL127"/>
      <c r="EM127"/>
      <c r="EN127"/>
      <c r="EO127"/>
      <c r="EP127"/>
      <c r="EQ127"/>
      <c r="ER127"/>
      <c r="ES127"/>
      <c r="ET127"/>
      <c r="EU127"/>
      <c r="EV127"/>
      <c r="EW127"/>
      <c r="EX127"/>
      <c r="EY127"/>
      <c r="EZ127"/>
      <c r="FA127"/>
      <c r="FB127"/>
      <c r="FC127"/>
      <c r="FD127"/>
      <c r="FE127"/>
      <c r="FF127"/>
      <c r="FG127"/>
      <c r="FH127"/>
      <c r="FI127"/>
      <c r="FJ127"/>
      <c r="FK127"/>
      <c r="FL127"/>
      <c r="FM127"/>
      <c r="FN127"/>
      <c r="FO127"/>
      <c r="FP127"/>
      <c r="FQ127"/>
      <c r="FR127"/>
      <c r="FS127"/>
      <c r="FT127"/>
      <c r="FU127"/>
      <c r="FV127"/>
      <c r="FW127"/>
      <c r="FX127"/>
      <c r="FY127"/>
      <c r="FZ127"/>
      <c r="GA127"/>
      <c r="GB127"/>
      <c r="GC127"/>
      <c r="GD127"/>
      <c r="GE127"/>
      <c r="GF127"/>
      <c r="GG127"/>
      <c r="GH127"/>
      <c r="GI127"/>
      <c r="GJ127"/>
      <c r="GK127"/>
      <c r="GL127"/>
      <c r="GM127"/>
      <c r="GN127"/>
      <c r="GO127"/>
      <c r="GP127"/>
      <c r="GQ127"/>
      <c r="GR127"/>
      <c r="GS127"/>
      <c r="GT127"/>
      <c r="GU127"/>
      <c r="GV127"/>
      <c r="GW127"/>
      <c r="GX127"/>
      <c r="GY127"/>
      <c r="GZ127"/>
      <c r="HA127"/>
      <c r="HB127"/>
      <c r="HC127"/>
      <c r="HD127"/>
      <c r="HE127"/>
      <c r="HF127"/>
      <c r="HG127"/>
      <c r="HH127"/>
      <c r="HI127"/>
      <c r="HJ127"/>
      <c r="HK127"/>
      <c r="HL127"/>
      <c r="HM127"/>
      <c r="HN127"/>
      <c r="HO127"/>
      <c r="HP127"/>
      <c r="HQ127"/>
      <c r="HR127"/>
      <c r="HS127"/>
      <c r="HT127"/>
      <c r="HU127"/>
      <c r="HV127"/>
      <c r="HW127"/>
      <c r="HX127"/>
      <c r="HY127"/>
      <c r="HZ127"/>
      <c r="IA127"/>
      <c r="IB127"/>
      <c r="IC127"/>
      <c r="ID127"/>
      <c r="IE127"/>
      <c r="IF127"/>
      <c r="IG127"/>
      <c r="IH127"/>
      <c r="II127"/>
      <c r="IJ127"/>
      <c r="IK127"/>
      <c r="IL127"/>
      <c r="IM127"/>
      <c r="IN127"/>
      <c r="IO127"/>
      <c r="IP127"/>
      <c r="IQ127"/>
      <c r="IR127"/>
      <c r="IS127"/>
      <c r="IT127"/>
      <c r="IU127"/>
    </row>
    <row r="128" spans="1:255" ht="18.75" customHeight="1">
      <c r="C128" s="2608"/>
      <c r="D128" s="1566" t="s">
        <v>1067</v>
      </c>
      <c r="E128" s="1567" t="s">
        <v>1201</v>
      </c>
      <c r="F128" s="1568"/>
      <c r="G128" s="1568"/>
      <c r="H128" s="1716" t="s">
        <v>1074</v>
      </c>
      <c r="I128" s="1718">
        <v>120</v>
      </c>
      <c r="J128" s="1188" t="s">
        <v>17</v>
      </c>
      <c r="K128" s="1568">
        <v>150</v>
      </c>
      <c r="L128" s="1527">
        <v>120</v>
      </c>
      <c r="M128" s="1528">
        <v>145</v>
      </c>
      <c r="N128" s="1569">
        <v>120</v>
      </c>
      <c r="O128" s="1453">
        <v>100</v>
      </c>
      <c r="P128" s="1568"/>
      <c r="Q128" s="1718">
        <v>80</v>
      </c>
      <c r="R128" s="1568">
        <v>90</v>
      </c>
      <c r="S128" s="1571" t="s">
        <v>1061</v>
      </c>
      <c r="T128" s="1572" t="s">
        <v>1061</v>
      </c>
      <c r="U128" s="1569">
        <v>310</v>
      </c>
      <c r="V128" s="1188">
        <v>255</v>
      </c>
      <c r="W128" s="1573"/>
      <c r="X128" s="1718">
        <v>205</v>
      </c>
      <c r="Y128" s="1574">
        <v>260</v>
      </c>
      <c r="Z128" s="1571" t="s">
        <v>1061</v>
      </c>
      <c r="AA128" s="1572" t="s">
        <v>1061</v>
      </c>
      <c r="AB128" s="1542"/>
      <c r="AC128" s="1542"/>
      <c r="AD128" s="1542"/>
      <c r="AE128" s="1542"/>
      <c r="AF128" s="1279"/>
      <c r="AM128" s="2371" t="s">
        <v>163</v>
      </c>
      <c r="AN128" s="2352">
        <v>210</v>
      </c>
      <c r="AO128" s="2283" t="s">
        <v>66</v>
      </c>
      <c r="AP128" s="2352">
        <v>250</v>
      </c>
      <c r="AQ128" s="2283" t="s">
        <v>67</v>
      </c>
      <c r="AR128" s="2352">
        <v>305</v>
      </c>
      <c r="AS128" s="2283" t="s">
        <v>151</v>
      </c>
      <c r="AT128" s="2348">
        <v>305</v>
      </c>
      <c r="AU128" s="2285" t="s">
        <v>151</v>
      </c>
      <c r="AV128" s="2348">
        <v>305</v>
      </c>
      <c r="AW128" s="2285" t="s">
        <v>151</v>
      </c>
      <c r="AX128" s="2345">
        <v>250</v>
      </c>
      <c r="AY128" s="2278" t="s">
        <v>67</v>
      </c>
      <c r="AZ128" s="2350">
        <v>313</v>
      </c>
      <c r="BA128" s="2303" t="s">
        <v>2326</v>
      </c>
      <c r="BE128" s="2371" t="s">
        <v>163</v>
      </c>
      <c r="BF128" s="577">
        <v>30</v>
      </c>
      <c r="BG128" s="577">
        <v>40</v>
      </c>
      <c r="BH128" s="577">
        <v>50</v>
      </c>
      <c r="BJ128" s="2371" t="s">
        <v>163</v>
      </c>
      <c r="BK128" s="578">
        <v>110</v>
      </c>
      <c r="BL128" s="577">
        <v>140</v>
      </c>
      <c r="BM128" s="577">
        <v>175</v>
      </c>
      <c r="BP128" s="524"/>
      <c r="BQ128" s="524"/>
      <c r="BR128" s="524"/>
      <c r="BS128" s="2461" t="s">
        <v>167</v>
      </c>
      <c r="BT128" s="2463" t="str">
        <f>IFERROR(INDEX(Liste_Ackerkulturen_Gemüse_DropDown[Ackerkulturen],_xlfn.AGGREGATE(15,6,(ROW(Liste_Ackerkulturen_Gemüse_DropDown[Ackerkulturen])-1)/(--(SEARCH(BU$2,Liste_Ackerkulturen_Gemüse_DropDown[Ackerkulturen])&gt;0)),ROW()-2),1),"")</f>
        <v>Grünsoja</v>
      </c>
      <c r="BU128" s="2463"/>
      <c r="BV128" s="2463" t="str">
        <f>IFERROR(INDEX(Liste_Ackerkulturen_Gemüse_DropDown[Ackerkulturen],_xlfn.AGGREGATE(15,6,(ROW(Liste_Ackerkulturen_Gemüse_DropDown[Ackerkulturen])-1)/(--(SEARCH(BW$2,Liste_Ackerkulturen_Gemüse_DropDown[Ackerkulturen])&gt;0)),ROW()-2),1),"")</f>
        <v>Grünsoja</v>
      </c>
      <c r="BW128" s="2463"/>
      <c r="BX128" s="2463" t="str">
        <f>IFERROR(INDEX(Liste_Ackerkulturen_Gemüse_DropDown[Ackerkulturen],_xlfn.AGGREGATE(15,6,(ROW(Liste_Ackerkulturen_Gemüse_DropDown[Ackerkulturen])-1)/(--(SEARCH(BY$2,Liste_Ackerkulturen_Gemüse_DropDown[Ackerkulturen])&gt;0)),ROW()-2),1),"")</f>
        <v>Grünsoja</v>
      </c>
      <c r="BY128" s="2463"/>
      <c r="BZ128" s="2463" t="str">
        <f>IFERROR(INDEX(Liste_Ackerkulturen_Gemüse_DropDown[Ackerkulturen],_xlfn.AGGREGATE(15,6,(ROW(Liste_Ackerkulturen_Gemüse_DropDown[Ackerkulturen])-1)/(--(SEARCH(CA$2,Liste_Ackerkulturen_Gemüse_DropDown[Ackerkulturen])&gt;0)),ROW()-2),1),"")</f>
        <v>Grünsoja</v>
      </c>
      <c r="CA128" s="2463"/>
      <c r="CB128" s="2463" t="str">
        <f>IFERROR(INDEX(Liste_Ackerkulturen_Gemüse_DropDown[Ackerkulturen],_xlfn.AGGREGATE(15,6,(ROW(Liste_Ackerkulturen_Gemüse_DropDown[Ackerkulturen])-1)/(--(SEARCH(CC$2,Liste_Ackerkulturen_Gemüse_DropDown[Ackerkulturen])&gt;0)),ROW()-2),1),"")</f>
        <v>Grünsoja</v>
      </c>
      <c r="CC128" s="2463"/>
      <c r="CD128" s="2464" t="str">
        <f>IFERROR(INDEX(Liste_Ackerkulturen_Gemüse_DropDown[Ackerkulturen],_xlfn.AGGREGATE(15,6,(ROW(Liste_Ackerkulturen_Gemüse_DropDown[Ackerkulturen])-1)/(--(SEARCH(CE$2,Liste_Ackerkulturen_Gemüse_DropDown[Ackerkulturen])&gt;0)),ROW()-2),1),"")</f>
        <v>Grünsoja</v>
      </c>
      <c r="CE128" s="2464"/>
      <c r="CF128" s="2464" t="str">
        <f>IFERROR(INDEX(Liste_Ackerkulturen_Gemüse_DropDown[Ackerkulturen],_xlfn.AGGREGATE(15,6,(ROW(Liste_Ackerkulturen_Gemüse_DropDown[Ackerkulturen])-1)/(--(SEARCH(CG$2,Liste_Ackerkulturen_Gemüse_DropDown[Ackerkulturen])&gt;0)),ROW()-2),1),"")</f>
        <v>Grünsoja</v>
      </c>
      <c r="CG128" s="2464"/>
      <c r="CH128" s="2464" t="str">
        <f>IFERROR(INDEX(Liste_Ackerkulturen_Gemüse_DropDown[Ackerkulturen],_xlfn.AGGREGATE(15,6,(ROW(Liste_Ackerkulturen_Gemüse_DropDown[Ackerkulturen])-1)/(--(SEARCH(CI$2,Liste_Ackerkulturen_Gemüse_DropDown[Ackerkulturen])&gt;0)),ROW()-2),1),"")</f>
        <v>Grünsoja</v>
      </c>
      <c r="CI128" s="2464"/>
      <c r="CJ128" s="2464" t="str">
        <f>IFERROR(INDEX(Liste_Ackerkulturen_Gemüse_DropDown[Ackerkulturen],_xlfn.AGGREGATE(15,6,(ROW(Liste_Ackerkulturen_Gemüse_DropDown[Ackerkulturen])-1)/(--(SEARCH(CK$2,Liste_Ackerkulturen_Gemüse_DropDown[Ackerkulturen])&gt;0)),ROW()-2),1),"")</f>
        <v>Grünsoja</v>
      </c>
      <c r="CK128" s="2464"/>
      <c r="CL128" s="2464" t="str">
        <f>IFERROR(INDEX(Liste_Ackerkulturen_Gemüse_DropDown[Ackerkulturen],_xlfn.AGGREGATE(15,6,(ROW(Liste_Ackerkulturen_Gemüse_DropDown[Ackerkulturen])-1)/(--(SEARCH(CM$2,Liste_Ackerkulturen_Gemüse_DropDown[Ackerkulturen])&gt;0)),ROW()-2),1),"")</f>
        <v>Grünsoja</v>
      </c>
      <c r="CM128" s="2464"/>
      <c r="CN128" s="2464" t="str">
        <f>IFERROR(INDEX(Liste_Ackerkulturen_Gemüse_DropDown[Ackerkulturen],_xlfn.AGGREGATE(15,6,(ROW(Liste_Ackerkulturen_Gemüse_DropDown[Ackerkulturen])-1)/(--(SEARCH(CO$2,Liste_Ackerkulturen_Gemüse_DropDown[Ackerkulturen])&gt;0)),ROW()-2),1),"")</f>
        <v>Grünsoja</v>
      </c>
      <c r="CO128" s="2464"/>
      <c r="CP128" s="2464" t="str">
        <f>IFERROR(INDEX(Liste_Ackerkulturen_Gemüse_DropDown[Ackerkulturen],_xlfn.AGGREGATE(15,6,(ROW(Liste_Ackerkulturen_Gemüse_DropDown[Ackerkulturen])-1)/(--(SEARCH(CQ$2,Liste_Ackerkulturen_Gemüse_DropDown[Ackerkulturen])&gt;0)),ROW()-2),1),"")</f>
        <v>Grünsoja</v>
      </c>
      <c r="CQ128" s="2464"/>
      <c r="CR128" s="2464" t="str">
        <f>IFERROR(INDEX(Liste_Ackerkulturen_Gemüse_DropDown[Ackerkulturen],_xlfn.AGGREGATE(15,6,(ROW(Liste_Ackerkulturen_Gemüse_DropDown[Ackerkulturen])-1)/(--(SEARCH(CS$2,Liste_Ackerkulturen_Gemüse_DropDown[Ackerkulturen])&gt;0)),ROW()-2),1),"")</f>
        <v>Grünsoja</v>
      </c>
      <c r="CS128" s="2464"/>
      <c r="CT128"/>
      <c r="CU128"/>
      <c r="CV128"/>
      <c r="CW128"/>
      <c r="CX128"/>
      <c r="CY128"/>
      <c r="CZ128"/>
      <c r="DA128"/>
      <c r="DB128"/>
      <c r="DC128"/>
      <c r="DD128"/>
      <c r="DE128"/>
      <c r="DF128"/>
      <c r="DG128"/>
      <c r="DH128"/>
      <c r="DN128"/>
      <c r="DO128"/>
      <c r="DP128"/>
      <c r="DQ128"/>
      <c r="DR128"/>
      <c r="DS128"/>
      <c r="DT128"/>
      <c r="DU128"/>
      <c r="DV128"/>
      <c r="DW128"/>
      <c r="DX128"/>
      <c r="DY128"/>
      <c r="DZ128"/>
      <c r="EA128"/>
      <c r="EB128"/>
      <c r="EC128"/>
      <c r="ED128"/>
      <c r="EE128"/>
      <c r="EF128"/>
      <c r="EG128"/>
      <c r="EH128"/>
      <c r="EI128"/>
      <c r="EJ128"/>
      <c r="EK128"/>
      <c r="EL128"/>
      <c r="EM128"/>
      <c r="EN128"/>
      <c r="EO128"/>
      <c r="EP128"/>
      <c r="EQ128"/>
      <c r="ER128"/>
      <c r="ES128"/>
      <c r="ET128"/>
      <c r="EU128"/>
      <c r="EV128"/>
      <c r="EW128"/>
      <c r="EX128"/>
      <c r="EY128"/>
      <c r="EZ128"/>
      <c r="FA128"/>
      <c r="FB128"/>
      <c r="FC128"/>
      <c r="FD128"/>
      <c r="FE128"/>
      <c r="FF128"/>
      <c r="FG128"/>
      <c r="FH128"/>
      <c r="FI128"/>
      <c r="FJ128"/>
      <c r="FK128"/>
      <c r="FL128"/>
      <c r="FM128"/>
      <c r="FN128"/>
      <c r="FO128"/>
      <c r="FP128"/>
      <c r="FQ128"/>
      <c r="FR128"/>
      <c r="FS128"/>
      <c r="FT128"/>
      <c r="FU128"/>
      <c r="FV128"/>
      <c r="FW128"/>
      <c r="FX128"/>
      <c r="FY128"/>
      <c r="FZ128"/>
      <c r="GA128"/>
      <c r="GB128"/>
      <c r="GC128"/>
      <c r="GD128"/>
      <c r="GE128"/>
      <c r="GF128"/>
      <c r="GG128"/>
      <c r="GH128"/>
      <c r="GI128"/>
      <c r="GJ128"/>
      <c r="GK128"/>
      <c r="GL128"/>
      <c r="GM128"/>
      <c r="GN128"/>
      <c r="GO128"/>
      <c r="GP128"/>
      <c r="GQ128"/>
      <c r="GR128"/>
      <c r="GS128"/>
      <c r="GT128"/>
      <c r="GU128"/>
      <c r="GV128"/>
      <c r="GW128"/>
      <c r="GX128"/>
      <c r="GY128"/>
      <c r="GZ128"/>
      <c r="HA128"/>
      <c r="HB128"/>
      <c r="HC128"/>
      <c r="HD128"/>
      <c r="HE128"/>
      <c r="HF128"/>
      <c r="HG128"/>
      <c r="HH128"/>
      <c r="HI128"/>
      <c r="HJ128"/>
      <c r="HK128"/>
      <c r="HL128"/>
      <c r="HM128"/>
      <c r="HN128"/>
      <c r="HO128"/>
      <c r="HP128"/>
      <c r="HQ128"/>
      <c r="HR128"/>
      <c r="HS128"/>
      <c r="HT128"/>
      <c r="HU128"/>
      <c r="HV128"/>
      <c r="HW128"/>
      <c r="HX128"/>
      <c r="HY128"/>
      <c r="HZ128"/>
      <c r="IA128"/>
      <c r="IB128"/>
      <c r="IC128"/>
      <c r="ID128"/>
      <c r="IE128"/>
      <c r="IF128"/>
      <c r="IG128"/>
      <c r="IH128"/>
      <c r="II128"/>
      <c r="IJ128"/>
      <c r="IK128"/>
      <c r="IL128"/>
      <c r="IM128"/>
      <c r="IN128"/>
      <c r="IO128"/>
      <c r="IP128"/>
      <c r="IQ128"/>
      <c r="IR128"/>
      <c r="IS128"/>
      <c r="IT128"/>
      <c r="IU128"/>
    </row>
    <row r="129" spans="3:255" ht="23.25" customHeight="1">
      <c r="C129" s="2608"/>
      <c r="D129" s="1566" t="s">
        <v>1068</v>
      </c>
      <c r="E129" s="1567" t="s">
        <v>1201</v>
      </c>
      <c r="F129" s="1568"/>
      <c r="G129" s="1568"/>
      <c r="H129" s="1716" t="s">
        <v>1076</v>
      </c>
      <c r="I129" s="1718">
        <v>200</v>
      </c>
      <c r="J129" s="1188" t="s">
        <v>18</v>
      </c>
      <c r="K129" s="1568">
        <v>240</v>
      </c>
      <c r="L129" s="1527">
        <v>160</v>
      </c>
      <c r="M129" s="1528">
        <v>160</v>
      </c>
      <c r="N129" s="1569">
        <v>130</v>
      </c>
      <c r="O129" s="1453">
        <v>105</v>
      </c>
      <c r="P129" s="1568"/>
      <c r="Q129" s="1718">
        <v>85</v>
      </c>
      <c r="R129" s="1568">
        <v>105</v>
      </c>
      <c r="S129" s="1571" t="s">
        <v>1061</v>
      </c>
      <c r="T129" s="1572" t="s">
        <v>1061</v>
      </c>
      <c r="U129" s="1569">
        <v>345</v>
      </c>
      <c r="V129" s="1188">
        <v>290</v>
      </c>
      <c r="W129" s="1573"/>
      <c r="X129" s="1718">
        <v>230</v>
      </c>
      <c r="Y129" s="1574">
        <v>300</v>
      </c>
      <c r="Z129" s="1571" t="s">
        <v>1061</v>
      </c>
      <c r="AA129" s="1572" t="s">
        <v>1061</v>
      </c>
      <c r="AB129" s="1542"/>
      <c r="AC129" s="1542"/>
      <c r="AD129" s="1542"/>
      <c r="AE129" s="1542"/>
      <c r="AF129" s="1279"/>
      <c r="AM129" s="2371" t="s">
        <v>164</v>
      </c>
      <c r="AN129" s="2352">
        <v>95</v>
      </c>
      <c r="AO129" s="2283" t="s">
        <v>1967</v>
      </c>
      <c r="AP129" s="2352">
        <v>110</v>
      </c>
      <c r="AQ129" s="2283" t="s">
        <v>165</v>
      </c>
      <c r="AR129" s="2352">
        <v>130</v>
      </c>
      <c r="AS129" s="2283" t="s">
        <v>166</v>
      </c>
      <c r="AT129" s="2348">
        <v>130</v>
      </c>
      <c r="AU129" s="2285" t="s">
        <v>166</v>
      </c>
      <c r="AV129" s="2348">
        <v>130</v>
      </c>
      <c r="AW129" s="2285" t="s">
        <v>166</v>
      </c>
      <c r="AX129" s="2345">
        <v>70</v>
      </c>
      <c r="AY129" s="2278" t="s">
        <v>165</v>
      </c>
      <c r="AZ129" s="2350">
        <v>88</v>
      </c>
      <c r="BA129" s="2303" t="s">
        <v>2331</v>
      </c>
      <c r="BE129" s="2371" t="s">
        <v>164</v>
      </c>
      <c r="BF129" s="577">
        <v>25</v>
      </c>
      <c r="BG129" s="577">
        <v>30</v>
      </c>
      <c r="BH129" s="577">
        <v>40</v>
      </c>
      <c r="BJ129" s="2371" t="s">
        <v>164</v>
      </c>
      <c r="BK129" s="578">
        <v>50</v>
      </c>
      <c r="BL129" s="577">
        <v>60</v>
      </c>
      <c r="BM129" s="577">
        <v>75</v>
      </c>
      <c r="BP129" s="524"/>
      <c r="BQ129" s="524"/>
      <c r="BR129" s="524"/>
      <c r="BS129" s="2461" t="s">
        <v>169</v>
      </c>
      <c r="BT129" s="2463" t="str">
        <f>IFERROR(INDEX(Liste_Ackerkulturen_Gemüse_DropDown[Ackerkulturen],_xlfn.AGGREGATE(15,6,(ROW(Liste_Ackerkulturen_Gemüse_DropDown[Ackerkulturen])-1)/(--(SEARCH(BU$2,Liste_Ackerkulturen_Gemüse_DropDown[Ackerkulturen])&gt;0)),ROW()-2),1),"")</f>
        <v>Gurke (Einlegegurke)</v>
      </c>
      <c r="BU129" s="2463"/>
      <c r="BV129" s="2463" t="str">
        <f>IFERROR(INDEX(Liste_Ackerkulturen_Gemüse_DropDown[Ackerkulturen],_xlfn.AGGREGATE(15,6,(ROW(Liste_Ackerkulturen_Gemüse_DropDown[Ackerkulturen])-1)/(--(SEARCH(BW$2,Liste_Ackerkulturen_Gemüse_DropDown[Ackerkulturen])&gt;0)),ROW()-2),1),"")</f>
        <v>Gurke (Einlegegurke)</v>
      </c>
      <c r="BW129" s="2463"/>
      <c r="BX129" s="2463" t="str">
        <f>IFERROR(INDEX(Liste_Ackerkulturen_Gemüse_DropDown[Ackerkulturen],_xlfn.AGGREGATE(15,6,(ROW(Liste_Ackerkulturen_Gemüse_DropDown[Ackerkulturen])-1)/(--(SEARCH(BY$2,Liste_Ackerkulturen_Gemüse_DropDown[Ackerkulturen])&gt;0)),ROW()-2),1),"")</f>
        <v>Gurke (Einlegegurke)</v>
      </c>
      <c r="BY129" s="2463"/>
      <c r="BZ129" s="2463" t="str">
        <f>IFERROR(INDEX(Liste_Ackerkulturen_Gemüse_DropDown[Ackerkulturen],_xlfn.AGGREGATE(15,6,(ROW(Liste_Ackerkulturen_Gemüse_DropDown[Ackerkulturen])-1)/(--(SEARCH(CA$2,Liste_Ackerkulturen_Gemüse_DropDown[Ackerkulturen])&gt;0)),ROW()-2),1),"")</f>
        <v>Gurke (Einlegegurke)</v>
      </c>
      <c r="CA129" s="2463"/>
      <c r="CB129" s="2463" t="str">
        <f>IFERROR(INDEX(Liste_Ackerkulturen_Gemüse_DropDown[Ackerkulturen],_xlfn.AGGREGATE(15,6,(ROW(Liste_Ackerkulturen_Gemüse_DropDown[Ackerkulturen])-1)/(--(SEARCH(CC$2,Liste_Ackerkulturen_Gemüse_DropDown[Ackerkulturen])&gt;0)),ROW()-2),1),"")</f>
        <v>Gurke (Einlegegurke)</v>
      </c>
      <c r="CC129" s="2463"/>
      <c r="CD129" s="2464" t="str">
        <f>IFERROR(INDEX(Liste_Ackerkulturen_Gemüse_DropDown[Ackerkulturen],_xlfn.AGGREGATE(15,6,(ROW(Liste_Ackerkulturen_Gemüse_DropDown[Ackerkulturen])-1)/(--(SEARCH(CE$2,Liste_Ackerkulturen_Gemüse_DropDown[Ackerkulturen])&gt;0)),ROW()-2),1),"")</f>
        <v>Gurke (Einlegegurke)</v>
      </c>
      <c r="CE129" s="2464"/>
      <c r="CF129" s="2464" t="str">
        <f>IFERROR(INDEX(Liste_Ackerkulturen_Gemüse_DropDown[Ackerkulturen],_xlfn.AGGREGATE(15,6,(ROW(Liste_Ackerkulturen_Gemüse_DropDown[Ackerkulturen])-1)/(--(SEARCH(CG$2,Liste_Ackerkulturen_Gemüse_DropDown[Ackerkulturen])&gt;0)),ROW()-2),1),"")</f>
        <v>Gurke (Einlegegurke)</v>
      </c>
      <c r="CG129" s="2464"/>
      <c r="CH129" s="2464" t="str">
        <f>IFERROR(INDEX(Liste_Ackerkulturen_Gemüse_DropDown[Ackerkulturen],_xlfn.AGGREGATE(15,6,(ROW(Liste_Ackerkulturen_Gemüse_DropDown[Ackerkulturen])-1)/(--(SEARCH(CI$2,Liste_Ackerkulturen_Gemüse_DropDown[Ackerkulturen])&gt;0)),ROW()-2),1),"")</f>
        <v>Gurke (Einlegegurke)</v>
      </c>
      <c r="CI129" s="2464"/>
      <c r="CJ129" s="2464" t="str">
        <f>IFERROR(INDEX(Liste_Ackerkulturen_Gemüse_DropDown[Ackerkulturen],_xlfn.AGGREGATE(15,6,(ROW(Liste_Ackerkulturen_Gemüse_DropDown[Ackerkulturen])-1)/(--(SEARCH(CK$2,Liste_Ackerkulturen_Gemüse_DropDown[Ackerkulturen])&gt;0)),ROW()-2),1),"")</f>
        <v>Gurke (Einlegegurke)</v>
      </c>
      <c r="CK129" s="2464"/>
      <c r="CL129" s="2464" t="str">
        <f>IFERROR(INDEX(Liste_Ackerkulturen_Gemüse_DropDown[Ackerkulturen],_xlfn.AGGREGATE(15,6,(ROW(Liste_Ackerkulturen_Gemüse_DropDown[Ackerkulturen])-1)/(--(SEARCH(CM$2,Liste_Ackerkulturen_Gemüse_DropDown[Ackerkulturen])&gt;0)),ROW()-2),1),"")</f>
        <v>Gurke (Einlegegurke)</v>
      </c>
      <c r="CM129" s="2464"/>
      <c r="CN129" s="2464" t="str">
        <f>IFERROR(INDEX(Liste_Ackerkulturen_Gemüse_DropDown[Ackerkulturen],_xlfn.AGGREGATE(15,6,(ROW(Liste_Ackerkulturen_Gemüse_DropDown[Ackerkulturen])-1)/(--(SEARCH(CO$2,Liste_Ackerkulturen_Gemüse_DropDown[Ackerkulturen])&gt;0)),ROW()-2),1),"")</f>
        <v>Gurke (Einlegegurke)</v>
      </c>
      <c r="CO129" s="2464"/>
      <c r="CP129" s="2464" t="str">
        <f>IFERROR(INDEX(Liste_Ackerkulturen_Gemüse_DropDown[Ackerkulturen],_xlfn.AGGREGATE(15,6,(ROW(Liste_Ackerkulturen_Gemüse_DropDown[Ackerkulturen])-1)/(--(SEARCH(CQ$2,Liste_Ackerkulturen_Gemüse_DropDown[Ackerkulturen])&gt;0)),ROW()-2),1),"")</f>
        <v>Gurke (Einlegegurke)</v>
      </c>
      <c r="CQ129" s="2464"/>
      <c r="CR129" s="2464" t="str">
        <f>IFERROR(INDEX(Liste_Ackerkulturen_Gemüse_DropDown[Ackerkulturen],_xlfn.AGGREGATE(15,6,(ROW(Liste_Ackerkulturen_Gemüse_DropDown[Ackerkulturen])-1)/(--(SEARCH(CS$2,Liste_Ackerkulturen_Gemüse_DropDown[Ackerkulturen])&gt;0)),ROW()-2),1),"")</f>
        <v>Gurke (Einlegegurke)</v>
      </c>
      <c r="CS129" s="2464"/>
      <c r="CT129"/>
      <c r="CU129"/>
      <c r="CV129"/>
      <c r="CW129"/>
      <c r="CX129"/>
      <c r="CY129"/>
      <c r="CZ129"/>
      <c r="DA129"/>
      <c r="DB129"/>
      <c r="DC129"/>
      <c r="DD129"/>
      <c r="DE129"/>
      <c r="DF129"/>
      <c r="DG129"/>
      <c r="DH129"/>
      <c r="DN129"/>
      <c r="DO129"/>
      <c r="DP129"/>
      <c r="DQ129"/>
      <c r="DR129"/>
      <c r="DS129"/>
      <c r="DT129"/>
      <c r="DU129"/>
      <c r="DV129"/>
      <c r="DW129"/>
      <c r="DX129"/>
      <c r="DY129"/>
      <c r="DZ129"/>
      <c r="EA129"/>
      <c r="EB129"/>
      <c r="EC129"/>
      <c r="ED129"/>
      <c r="EE129"/>
      <c r="EF129"/>
      <c r="EG129"/>
      <c r="EH129"/>
      <c r="EI129"/>
      <c r="EJ129"/>
      <c r="EK129"/>
      <c r="EL129"/>
      <c r="EM129"/>
      <c r="EN129"/>
      <c r="EO129"/>
      <c r="EP129"/>
      <c r="EQ129"/>
      <c r="ER129"/>
      <c r="ES129"/>
      <c r="ET129"/>
      <c r="EU129"/>
      <c r="EV129"/>
      <c r="EW129"/>
      <c r="EX129"/>
      <c r="EY129"/>
      <c r="EZ129"/>
      <c r="FA129"/>
      <c r="FB129"/>
      <c r="FC129"/>
      <c r="FD129"/>
      <c r="FE129"/>
      <c r="FF129"/>
      <c r="FG129"/>
      <c r="FH129"/>
      <c r="FI129"/>
      <c r="FJ129"/>
      <c r="FK129"/>
      <c r="FL129"/>
      <c r="FM129"/>
      <c r="FN129"/>
      <c r="FO129"/>
      <c r="FP129"/>
      <c r="FQ129"/>
      <c r="FR129"/>
      <c r="FS129"/>
      <c r="FT129"/>
      <c r="FU129"/>
      <c r="FV129"/>
      <c r="FW129"/>
      <c r="FX129"/>
      <c r="FY129"/>
      <c r="FZ129"/>
      <c r="GA129"/>
      <c r="GB129"/>
      <c r="GC129"/>
      <c r="GD129"/>
      <c r="GE129"/>
      <c r="GF129"/>
      <c r="GG129"/>
      <c r="GH129"/>
      <c r="GI129"/>
      <c r="GJ129"/>
      <c r="GK129"/>
      <c r="GL129"/>
      <c r="GM129"/>
      <c r="GN129"/>
      <c r="GO129"/>
      <c r="GP129"/>
      <c r="GQ129"/>
      <c r="GR129"/>
      <c r="GS129"/>
      <c r="GT129"/>
      <c r="GU129"/>
      <c r="GV129"/>
      <c r="GW129"/>
      <c r="GX129"/>
      <c r="GY129"/>
      <c r="GZ129"/>
      <c r="HA129"/>
      <c r="HB129"/>
      <c r="HC129"/>
      <c r="HD129"/>
      <c r="HE129"/>
      <c r="HF129"/>
      <c r="HG129"/>
      <c r="HH129"/>
      <c r="HI129"/>
      <c r="HJ129"/>
      <c r="HK129"/>
      <c r="HL129"/>
      <c r="HM129"/>
      <c r="HN129"/>
      <c r="HO129"/>
      <c r="HP129"/>
      <c r="HQ129"/>
      <c r="HR129"/>
      <c r="HS129"/>
      <c r="HT129"/>
      <c r="HU129"/>
      <c r="HV129"/>
      <c r="HW129"/>
      <c r="HX129"/>
      <c r="HY129"/>
      <c r="HZ129"/>
      <c r="IA129"/>
      <c r="IB129"/>
      <c r="IC129"/>
      <c r="ID129"/>
      <c r="IE129"/>
      <c r="IF129"/>
      <c r="IG129"/>
      <c r="IH129"/>
      <c r="II129"/>
      <c r="IJ129"/>
      <c r="IK129"/>
      <c r="IL129"/>
      <c r="IM129"/>
      <c r="IN129"/>
      <c r="IO129"/>
      <c r="IP129"/>
      <c r="IQ129"/>
      <c r="IR129"/>
      <c r="IS129"/>
      <c r="IT129"/>
      <c r="IU129"/>
    </row>
    <row r="130" spans="3:255" ht="23.25" customHeight="1">
      <c r="C130" s="2608"/>
      <c r="D130" s="1566" t="s">
        <v>1069</v>
      </c>
      <c r="E130" s="1567" t="s">
        <v>1201</v>
      </c>
      <c r="F130" s="1568"/>
      <c r="G130" s="1568"/>
      <c r="H130" s="1716" t="s">
        <v>1201</v>
      </c>
      <c r="I130" s="1718"/>
      <c r="J130" s="1188" t="s">
        <v>19</v>
      </c>
      <c r="K130" s="1568">
        <v>270</v>
      </c>
      <c r="L130" s="1527">
        <v>160</v>
      </c>
      <c r="M130" s="1528">
        <v>160</v>
      </c>
      <c r="N130" s="1569"/>
      <c r="O130" s="1453"/>
      <c r="P130" s="1568"/>
      <c r="Q130" s="1718"/>
      <c r="R130" s="1568">
        <v>120</v>
      </c>
      <c r="S130" s="1571" t="s">
        <v>1061</v>
      </c>
      <c r="T130" s="1572" t="s">
        <v>1061</v>
      </c>
      <c r="U130" s="1569"/>
      <c r="V130" s="1188"/>
      <c r="W130" s="1573"/>
      <c r="X130" s="1718"/>
      <c r="Y130" s="1574">
        <v>340</v>
      </c>
      <c r="Z130" s="1571" t="s">
        <v>1061</v>
      </c>
      <c r="AA130" s="1572" t="s">
        <v>1061</v>
      </c>
      <c r="AB130" s="1542"/>
      <c r="AC130" s="1542"/>
      <c r="AD130" s="1542"/>
      <c r="AE130" s="1542"/>
      <c r="AF130" s="1279"/>
      <c r="AM130" s="2371" t="s">
        <v>167</v>
      </c>
      <c r="AN130" s="2352">
        <v>185</v>
      </c>
      <c r="AO130" s="2283" t="s">
        <v>1983</v>
      </c>
      <c r="AP130" s="2352">
        <v>220</v>
      </c>
      <c r="AQ130" s="2283" t="s">
        <v>1984</v>
      </c>
      <c r="AR130" s="2352">
        <v>265</v>
      </c>
      <c r="AS130" s="2283" t="s">
        <v>168</v>
      </c>
      <c r="AT130" s="2348">
        <v>265</v>
      </c>
      <c r="AU130" s="2285" t="s">
        <v>168</v>
      </c>
      <c r="AV130" s="2348">
        <v>265</v>
      </c>
      <c r="AW130" s="2285" t="s">
        <v>168</v>
      </c>
      <c r="AX130" s="2345">
        <v>180</v>
      </c>
      <c r="AY130" s="2278" t="s">
        <v>1984</v>
      </c>
      <c r="AZ130" s="2350">
        <v>225</v>
      </c>
      <c r="BA130" s="2303" t="s">
        <v>2327</v>
      </c>
      <c r="BE130" s="2371" t="s">
        <v>167</v>
      </c>
      <c r="BF130" s="577">
        <v>30</v>
      </c>
      <c r="BG130" s="577">
        <v>40</v>
      </c>
      <c r="BH130" s="577">
        <v>50</v>
      </c>
      <c r="BJ130" s="2371" t="s">
        <v>167</v>
      </c>
      <c r="BK130" s="578">
        <v>145</v>
      </c>
      <c r="BL130" s="577">
        <v>180</v>
      </c>
      <c r="BM130" s="577">
        <v>225</v>
      </c>
      <c r="BP130" s="524"/>
      <c r="BQ130" s="524"/>
      <c r="BR130" s="524"/>
      <c r="BS130" s="2461" t="s">
        <v>171</v>
      </c>
      <c r="BT130" s="2463" t="str">
        <f>IFERROR(INDEX(Liste_Ackerkulturen_Gemüse_DropDown[Ackerkulturen],_xlfn.AGGREGATE(15,6,(ROW(Liste_Ackerkulturen_Gemüse_DropDown[Ackerkulturen])-1)/(--(SEARCH(BU$2,Liste_Ackerkulturen_Gemüse_DropDown[Ackerkulturen])&gt;0)),ROW()-2),1),"")</f>
        <v>Gurke (Einlegegurke Tröpfchenbewässerung)</v>
      </c>
      <c r="BU130" s="2463"/>
      <c r="BV130" s="2463" t="str">
        <f>IFERROR(INDEX(Liste_Ackerkulturen_Gemüse_DropDown[Ackerkulturen],_xlfn.AGGREGATE(15,6,(ROW(Liste_Ackerkulturen_Gemüse_DropDown[Ackerkulturen])-1)/(--(SEARCH(BW$2,Liste_Ackerkulturen_Gemüse_DropDown[Ackerkulturen])&gt;0)),ROW()-2),1),"")</f>
        <v>Gurke (Einlegegurke Tröpfchenbewässerung)</v>
      </c>
      <c r="BW130" s="2463"/>
      <c r="BX130" s="2463" t="str">
        <f>IFERROR(INDEX(Liste_Ackerkulturen_Gemüse_DropDown[Ackerkulturen],_xlfn.AGGREGATE(15,6,(ROW(Liste_Ackerkulturen_Gemüse_DropDown[Ackerkulturen])-1)/(--(SEARCH(BY$2,Liste_Ackerkulturen_Gemüse_DropDown[Ackerkulturen])&gt;0)),ROW()-2),1),"")</f>
        <v>Gurke (Einlegegurke Tröpfchenbewässerung)</v>
      </c>
      <c r="BY130" s="2463"/>
      <c r="BZ130" s="2463" t="str">
        <f>IFERROR(INDEX(Liste_Ackerkulturen_Gemüse_DropDown[Ackerkulturen],_xlfn.AGGREGATE(15,6,(ROW(Liste_Ackerkulturen_Gemüse_DropDown[Ackerkulturen])-1)/(--(SEARCH(CA$2,Liste_Ackerkulturen_Gemüse_DropDown[Ackerkulturen])&gt;0)),ROW()-2),1),"")</f>
        <v>Gurke (Einlegegurke Tröpfchenbewässerung)</v>
      </c>
      <c r="CA130" s="2463"/>
      <c r="CB130" s="2463" t="str">
        <f>IFERROR(INDEX(Liste_Ackerkulturen_Gemüse_DropDown[Ackerkulturen],_xlfn.AGGREGATE(15,6,(ROW(Liste_Ackerkulturen_Gemüse_DropDown[Ackerkulturen])-1)/(--(SEARCH(CC$2,Liste_Ackerkulturen_Gemüse_DropDown[Ackerkulturen])&gt;0)),ROW()-2),1),"")</f>
        <v>Gurke (Einlegegurke Tröpfchenbewässerung)</v>
      </c>
      <c r="CC130" s="2463"/>
      <c r="CD130" s="2464" t="str">
        <f>IFERROR(INDEX(Liste_Ackerkulturen_Gemüse_DropDown[Ackerkulturen],_xlfn.AGGREGATE(15,6,(ROW(Liste_Ackerkulturen_Gemüse_DropDown[Ackerkulturen])-1)/(--(SEARCH(CE$2,Liste_Ackerkulturen_Gemüse_DropDown[Ackerkulturen])&gt;0)),ROW()-2),1),"")</f>
        <v>Gurke (Einlegegurke Tröpfchenbewässerung)</v>
      </c>
      <c r="CE130" s="2464"/>
      <c r="CF130" s="2464" t="str">
        <f>IFERROR(INDEX(Liste_Ackerkulturen_Gemüse_DropDown[Ackerkulturen],_xlfn.AGGREGATE(15,6,(ROW(Liste_Ackerkulturen_Gemüse_DropDown[Ackerkulturen])-1)/(--(SEARCH(CG$2,Liste_Ackerkulturen_Gemüse_DropDown[Ackerkulturen])&gt;0)),ROW()-2),1),"")</f>
        <v>Gurke (Einlegegurke Tröpfchenbewässerung)</v>
      </c>
      <c r="CG130" s="2464"/>
      <c r="CH130" s="2464" t="str">
        <f>IFERROR(INDEX(Liste_Ackerkulturen_Gemüse_DropDown[Ackerkulturen],_xlfn.AGGREGATE(15,6,(ROW(Liste_Ackerkulturen_Gemüse_DropDown[Ackerkulturen])-1)/(--(SEARCH(CI$2,Liste_Ackerkulturen_Gemüse_DropDown[Ackerkulturen])&gt;0)),ROW()-2),1),"")</f>
        <v>Gurke (Einlegegurke Tröpfchenbewässerung)</v>
      </c>
      <c r="CI130" s="2464"/>
      <c r="CJ130" s="2464" t="str">
        <f>IFERROR(INDEX(Liste_Ackerkulturen_Gemüse_DropDown[Ackerkulturen],_xlfn.AGGREGATE(15,6,(ROW(Liste_Ackerkulturen_Gemüse_DropDown[Ackerkulturen])-1)/(--(SEARCH(CK$2,Liste_Ackerkulturen_Gemüse_DropDown[Ackerkulturen])&gt;0)),ROW()-2),1),"")</f>
        <v>Gurke (Einlegegurke Tröpfchenbewässerung)</v>
      </c>
      <c r="CK130" s="2464"/>
      <c r="CL130" s="2464" t="str">
        <f>IFERROR(INDEX(Liste_Ackerkulturen_Gemüse_DropDown[Ackerkulturen],_xlfn.AGGREGATE(15,6,(ROW(Liste_Ackerkulturen_Gemüse_DropDown[Ackerkulturen])-1)/(--(SEARCH(CM$2,Liste_Ackerkulturen_Gemüse_DropDown[Ackerkulturen])&gt;0)),ROW()-2),1),"")</f>
        <v>Gurke (Einlegegurke Tröpfchenbewässerung)</v>
      </c>
      <c r="CM130" s="2464"/>
      <c r="CN130" s="2464" t="str">
        <f>IFERROR(INDEX(Liste_Ackerkulturen_Gemüse_DropDown[Ackerkulturen],_xlfn.AGGREGATE(15,6,(ROW(Liste_Ackerkulturen_Gemüse_DropDown[Ackerkulturen])-1)/(--(SEARCH(CO$2,Liste_Ackerkulturen_Gemüse_DropDown[Ackerkulturen])&gt;0)),ROW()-2),1),"")</f>
        <v>Gurke (Einlegegurke Tröpfchenbewässerung)</v>
      </c>
      <c r="CO130" s="2464"/>
      <c r="CP130" s="2464" t="str">
        <f>IFERROR(INDEX(Liste_Ackerkulturen_Gemüse_DropDown[Ackerkulturen],_xlfn.AGGREGATE(15,6,(ROW(Liste_Ackerkulturen_Gemüse_DropDown[Ackerkulturen])-1)/(--(SEARCH(CQ$2,Liste_Ackerkulturen_Gemüse_DropDown[Ackerkulturen])&gt;0)),ROW()-2),1),"")</f>
        <v>Gurke (Einlegegurke Tröpfchenbewässerung)</v>
      </c>
      <c r="CQ130" s="2464"/>
      <c r="CR130" s="2464" t="str">
        <f>IFERROR(INDEX(Liste_Ackerkulturen_Gemüse_DropDown[Ackerkulturen],_xlfn.AGGREGATE(15,6,(ROW(Liste_Ackerkulturen_Gemüse_DropDown[Ackerkulturen])-1)/(--(SEARCH(CS$2,Liste_Ackerkulturen_Gemüse_DropDown[Ackerkulturen])&gt;0)),ROW()-2),1),"")</f>
        <v>Gurke (Einlegegurke Tröpfchenbewässerung)</v>
      </c>
      <c r="CS130" s="2464"/>
      <c r="CT130"/>
      <c r="CU130"/>
      <c r="CV130"/>
      <c r="CW130"/>
      <c r="CX130"/>
      <c r="CY130"/>
      <c r="CZ130"/>
      <c r="DA130"/>
      <c r="DB130"/>
      <c r="DC130"/>
      <c r="DD130"/>
      <c r="DE130"/>
      <c r="DF130"/>
      <c r="DG130"/>
      <c r="DH130"/>
      <c r="DN130"/>
      <c r="DO130"/>
      <c r="DP130"/>
      <c r="DQ130"/>
      <c r="DR130"/>
      <c r="DS130"/>
      <c r="DT130"/>
      <c r="DU130"/>
      <c r="DV130"/>
      <c r="DW130"/>
      <c r="DX130"/>
      <c r="DY130"/>
      <c r="DZ130"/>
      <c r="EA130"/>
      <c r="EB130"/>
      <c r="EC130"/>
      <c r="ED130"/>
      <c r="EE130"/>
      <c r="EF130"/>
      <c r="EG130"/>
      <c r="EH130"/>
      <c r="EI130"/>
      <c r="EJ130"/>
      <c r="EK130"/>
      <c r="EL130"/>
      <c r="EM130"/>
      <c r="EN130"/>
      <c r="EO130"/>
      <c r="EP130"/>
      <c r="EQ130"/>
      <c r="ER130"/>
      <c r="ES130"/>
      <c r="ET130"/>
      <c r="EU130"/>
      <c r="EV130"/>
      <c r="EW130"/>
      <c r="EX130"/>
      <c r="EY130"/>
      <c r="EZ130"/>
      <c r="FA130"/>
      <c r="FB130"/>
      <c r="FC130"/>
      <c r="FD130"/>
      <c r="FE130"/>
      <c r="FF130"/>
      <c r="FG130"/>
      <c r="FH130"/>
      <c r="FI130"/>
      <c r="FJ130"/>
      <c r="FK130"/>
      <c r="FL130"/>
      <c r="FM130"/>
      <c r="FN130"/>
      <c r="FO130"/>
      <c r="FP130"/>
      <c r="FQ130"/>
      <c r="FR130"/>
      <c r="FS130"/>
      <c r="FT130"/>
      <c r="FU130"/>
      <c r="FV130"/>
      <c r="FW130"/>
      <c r="FX130"/>
      <c r="FY130"/>
      <c r="FZ130"/>
      <c r="GA130"/>
      <c r="GB130"/>
      <c r="GC130"/>
      <c r="GD130"/>
      <c r="GE130"/>
      <c r="GF130"/>
      <c r="GG130"/>
      <c r="GH130"/>
      <c r="GI130"/>
      <c r="GJ130"/>
      <c r="GK130"/>
      <c r="GL130"/>
      <c r="GM130"/>
      <c r="GN130"/>
      <c r="GO130"/>
      <c r="GP130"/>
      <c r="GQ130"/>
      <c r="GR130"/>
      <c r="GS130"/>
      <c r="GT130"/>
      <c r="GU130"/>
      <c r="GV130"/>
      <c r="GW130"/>
      <c r="GX130"/>
      <c r="GY130"/>
      <c r="GZ130"/>
      <c r="HA130"/>
      <c r="HB130"/>
      <c r="HC130"/>
      <c r="HD130"/>
      <c r="HE130"/>
      <c r="HF130"/>
      <c r="HG130"/>
      <c r="HH130"/>
      <c r="HI130"/>
      <c r="HJ130"/>
      <c r="HK130"/>
      <c r="HL130"/>
      <c r="HM130"/>
      <c r="HN130"/>
      <c r="HO130"/>
      <c r="HP130"/>
      <c r="HQ130"/>
      <c r="HR130"/>
      <c r="HS130"/>
      <c r="HT130"/>
      <c r="HU130"/>
      <c r="HV130"/>
      <c r="HW130"/>
      <c r="HX130"/>
      <c r="HY130"/>
      <c r="HZ130"/>
      <c r="IA130"/>
      <c r="IB130"/>
      <c r="IC130"/>
      <c r="ID130"/>
      <c r="IE130"/>
      <c r="IF130"/>
      <c r="IG130"/>
      <c r="IH130"/>
      <c r="II130"/>
      <c r="IJ130"/>
      <c r="IK130"/>
      <c r="IL130"/>
      <c r="IM130"/>
      <c r="IN130"/>
      <c r="IO130"/>
      <c r="IP130"/>
      <c r="IQ130"/>
      <c r="IR130"/>
      <c r="IS130"/>
      <c r="IT130"/>
      <c r="IU130"/>
    </row>
    <row r="131" spans="3:255" ht="21" customHeight="1">
      <c r="C131" s="1575" t="s">
        <v>21</v>
      </c>
      <c r="D131" s="1576"/>
      <c r="E131" s="1567" t="s">
        <v>2002</v>
      </c>
      <c r="F131" s="1568">
        <v>80</v>
      </c>
      <c r="G131" s="1568"/>
      <c r="H131" s="1716" t="s">
        <v>22</v>
      </c>
      <c r="I131" s="1718">
        <v>120</v>
      </c>
      <c r="J131" s="1577"/>
      <c r="K131" s="1568"/>
      <c r="L131" s="1527" t="s">
        <v>1201</v>
      </c>
      <c r="M131" s="1528" t="s">
        <v>1201</v>
      </c>
      <c r="N131" s="1569">
        <v>85</v>
      </c>
      <c r="O131" s="1570">
        <v>70</v>
      </c>
      <c r="P131" s="1568">
        <v>30</v>
      </c>
      <c r="Q131" s="1718">
        <v>55</v>
      </c>
      <c r="R131" s="1568"/>
      <c r="S131" s="1571" t="s">
        <v>1061</v>
      </c>
      <c r="T131" s="1572" t="s">
        <v>1061</v>
      </c>
      <c r="U131" s="1569">
        <v>180</v>
      </c>
      <c r="V131" s="1188">
        <v>150</v>
      </c>
      <c r="W131" s="1573">
        <v>80</v>
      </c>
      <c r="X131" s="1718">
        <v>120</v>
      </c>
      <c r="Y131" s="1574"/>
      <c r="Z131" s="1571" t="s">
        <v>1061</v>
      </c>
      <c r="AA131" s="1572" t="s">
        <v>1061</v>
      </c>
      <c r="AB131" s="1542"/>
      <c r="AC131" s="1542"/>
      <c r="AD131" s="1542"/>
      <c r="AE131" s="1542"/>
      <c r="AF131" s="1279"/>
      <c r="AJ131"/>
      <c r="AK131"/>
      <c r="AL131" s="1542"/>
      <c r="AM131" s="2371" t="s">
        <v>2358</v>
      </c>
      <c r="AN131" s="2352">
        <v>185</v>
      </c>
      <c r="AO131" s="2283" t="s">
        <v>170</v>
      </c>
      <c r="AP131" s="2352">
        <v>220</v>
      </c>
      <c r="AQ131" s="2283" t="s">
        <v>467</v>
      </c>
      <c r="AR131" s="2352">
        <v>265</v>
      </c>
      <c r="AS131" s="2283" t="s">
        <v>69</v>
      </c>
      <c r="AT131" s="2348">
        <v>265</v>
      </c>
      <c r="AU131" s="2285" t="s">
        <v>69</v>
      </c>
      <c r="AV131" s="2348">
        <v>265</v>
      </c>
      <c r="AW131" s="2285" t="s">
        <v>69</v>
      </c>
      <c r="AX131" s="2345">
        <v>180</v>
      </c>
      <c r="AY131" s="2278" t="s">
        <v>467</v>
      </c>
      <c r="AZ131" s="2350">
        <v>225</v>
      </c>
      <c r="BA131" s="2303" t="s">
        <v>2336</v>
      </c>
      <c r="BE131" s="2371" t="s">
        <v>2358</v>
      </c>
      <c r="BF131" s="577">
        <v>40</v>
      </c>
      <c r="BG131" s="577">
        <v>50</v>
      </c>
      <c r="BH131" s="577">
        <v>65</v>
      </c>
      <c r="BJ131" s="2371" t="s">
        <v>2358</v>
      </c>
      <c r="BK131" s="578">
        <v>170</v>
      </c>
      <c r="BL131" s="577">
        <v>210</v>
      </c>
      <c r="BM131" s="577">
        <v>265</v>
      </c>
      <c r="BP131" s="524"/>
      <c r="BQ131" s="524"/>
      <c r="BR131" s="524"/>
      <c r="BS131" s="2461" t="s">
        <v>174</v>
      </c>
      <c r="BT131" s="2463" t="str">
        <f>IFERROR(INDEX(Liste_Ackerkulturen_Gemüse_DropDown[Ackerkulturen],_xlfn.AGGREGATE(15,6,(ROW(Liste_Ackerkulturen_Gemüse_DropDown[Ackerkulturen])-1)/(--(SEARCH(BU$2,Liste_Ackerkulturen_Gemüse_DropDown[Ackerkulturen])&gt;0)),ROW()-2),1),"")</f>
        <v>Gurken (Salat-) (Freiland)</v>
      </c>
      <c r="BU131" s="2463"/>
      <c r="BV131" s="2463" t="str">
        <f>IFERROR(INDEX(Liste_Ackerkulturen_Gemüse_DropDown[Ackerkulturen],_xlfn.AGGREGATE(15,6,(ROW(Liste_Ackerkulturen_Gemüse_DropDown[Ackerkulturen])-1)/(--(SEARCH(BW$2,Liste_Ackerkulturen_Gemüse_DropDown[Ackerkulturen])&gt;0)),ROW()-2),1),"")</f>
        <v>Gurken (Salat-) (Freiland)</v>
      </c>
      <c r="BW131" s="2463"/>
      <c r="BX131" s="2463" t="str">
        <f>IFERROR(INDEX(Liste_Ackerkulturen_Gemüse_DropDown[Ackerkulturen],_xlfn.AGGREGATE(15,6,(ROW(Liste_Ackerkulturen_Gemüse_DropDown[Ackerkulturen])-1)/(--(SEARCH(BY$2,Liste_Ackerkulturen_Gemüse_DropDown[Ackerkulturen])&gt;0)),ROW()-2),1),"")</f>
        <v>Gurken (Salat-) (Freiland)</v>
      </c>
      <c r="BY131" s="2463"/>
      <c r="BZ131" s="2463" t="str">
        <f>IFERROR(INDEX(Liste_Ackerkulturen_Gemüse_DropDown[Ackerkulturen],_xlfn.AGGREGATE(15,6,(ROW(Liste_Ackerkulturen_Gemüse_DropDown[Ackerkulturen])-1)/(--(SEARCH(CA$2,Liste_Ackerkulturen_Gemüse_DropDown[Ackerkulturen])&gt;0)),ROW()-2),1),"")</f>
        <v>Gurken (Salat-) (Freiland)</v>
      </c>
      <c r="CA131" s="2463"/>
      <c r="CB131" s="2463" t="str">
        <f>IFERROR(INDEX(Liste_Ackerkulturen_Gemüse_DropDown[Ackerkulturen],_xlfn.AGGREGATE(15,6,(ROW(Liste_Ackerkulturen_Gemüse_DropDown[Ackerkulturen])-1)/(--(SEARCH(CC$2,Liste_Ackerkulturen_Gemüse_DropDown[Ackerkulturen])&gt;0)),ROW()-2),1),"")</f>
        <v>Gurken (Salat-) (Freiland)</v>
      </c>
      <c r="CC131" s="2463"/>
      <c r="CD131" s="2464" t="str">
        <f>IFERROR(INDEX(Liste_Ackerkulturen_Gemüse_DropDown[Ackerkulturen],_xlfn.AGGREGATE(15,6,(ROW(Liste_Ackerkulturen_Gemüse_DropDown[Ackerkulturen])-1)/(--(SEARCH(CE$2,Liste_Ackerkulturen_Gemüse_DropDown[Ackerkulturen])&gt;0)),ROW()-2),1),"")</f>
        <v>Gurken (Salat-) (Freiland)</v>
      </c>
      <c r="CE131" s="2464"/>
      <c r="CF131" s="2464" t="str">
        <f>IFERROR(INDEX(Liste_Ackerkulturen_Gemüse_DropDown[Ackerkulturen],_xlfn.AGGREGATE(15,6,(ROW(Liste_Ackerkulturen_Gemüse_DropDown[Ackerkulturen])-1)/(--(SEARCH(CG$2,Liste_Ackerkulturen_Gemüse_DropDown[Ackerkulturen])&gt;0)),ROW()-2),1),"")</f>
        <v>Gurken (Salat-) (Freiland)</v>
      </c>
      <c r="CG131" s="2464"/>
      <c r="CH131" s="2464" t="str">
        <f>IFERROR(INDEX(Liste_Ackerkulturen_Gemüse_DropDown[Ackerkulturen],_xlfn.AGGREGATE(15,6,(ROW(Liste_Ackerkulturen_Gemüse_DropDown[Ackerkulturen])-1)/(--(SEARCH(CI$2,Liste_Ackerkulturen_Gemüse_DropDown[Ackerkulturen])&gt;0)),ROW()-2),1),"")</f>
        <v>Gurken (Salat-) (Freiland)</v>
      </c>
      <c r="CI131" s="2464"/>
      <c r="CJ131" s="2464" t="str">
        <f>IFERROR(INDEX(Liste_Ackerkulturen_Gemüse_DropDown[Ackerkulturen],_xlfn.AGGREGATE(15,6,(ROW(Liste_Ackerkulturen_Gemüse_DropDown[Ackerkulturen])-1)/(--(SEARCH(CK$2,Liste_Ackerkulturen_Gemüse_DropDown[Ackerkulturen])&gt;0)),ROW()-2),1),"")</f>
        <v>Gurken (Salat-) (Freiland)</v>
      </c>
      <c r="CK131" s="2464"/>
      <c r="CL131" s="2464" t="str">
        <f>IFERROR(INDEX(Liste_Ackerkulturen_Gemüse_DropDown[Ackerkulturen],_xlfn.AGGREGATE(15,6,(ROW(Liste_Ackerkulturen_Gemüse_DropDown[Ackerkulturen])-1)/(--(SEARCH(CM$2,Liste_Ackerkulturen_Gemüse_DropDown[Ackerkulturen])&gt;0)),ROW()-2),1),"")</f>
        <v>Gurken (Salat-) (Freiland)</v>
      </c>
      <c r="CM131" s="2464"/>
      <c r="CN131" s="2464" t="str">
        <f>IFERROR(INDEX(Liste_Ackerkulturen_Gemüse_DropDown[Ackerkulturen],_xlfn.AGGREGATE(15,6,(ROW(Liste_Ackerkulturen_Gemüse_DropDown[Ackerkulturen])-1)/(--(SEARCH(CO$2,Liste_Ackerkulturen_Gemüse_DropDown[Ackerkulturen])&gt;0)),ROW()-2),1),"")</f>
        <v>Gurken (Salat-) (Freiland)</v>
      </c>
      <c r="CO131" s="2464"/>
      <c r="CP131" s="2464" t="str">
        <f>IFERROR(INDEX(Liste_Ackerkulturen_Gemüse_DropDown[Ackerkulturen],_xlfn.AGGREGATE(15,6,(ROW(Liste_Ackerkulturen_Gemüse_DropDown[Ackerkulturen])-1)/(--(SEARCH(CQ$2,Liste_Ackerkulturen_Gemüse_DropDown[Ackerkulturen])&gt;0)),ROW()-2),1),"")</f>
        <v>Gurken (Salat-) (Freiland)</v>
      </c>
      <c r="CQ131" s="2464"/>
      <c r="CR131" s="2464" t="str">
        <f>IFERROR(INDEX(Liste_Ackerkulturen_Gemüse_DropDown[Ackerkulturen],_xlfn.AGGREGATE(15,6,(ROW(Liste_Ackerkulturen_Gemüse_DropDown[Ackerkulturen])-1)/(--(SEARCH(CS$2,Liste_Ackerkulturen_Gemüse_DropDown[Ackerkulturen])&gt;0)),ROW()-2),1),"")</f>
        <v>Gurken (Salat-) (Freiland)</v>
      </c>
      <c r="CS131" s="2464"/>
    </row>
    <row r="132" spans="3:255" ht="21" customHeight="1">
      <c r="C132" s="1575" t="s">
        <v>23</v>
      </c>
      <c r="D132" s="1576"/>
      <c r="E132" s="1567" t="s">
        <v>24</v>
      </c>
      <c r="F132" s="1568">
        <v>60</v>
      </c>
      <c r="G132" s="1568"/>
      <c r="H132" s="1716" t="s">
        <v>22</v>
      </c>
      <c r="I132" s="1718">
        <v>90</v>
      </c>
      <c r="J132" s="1577"/>
      <c r="K132" s="1568"/>
      <c r="L132" s="1527" t="s">
        <v>1201</v>
      </c>
      <c r="M132" s="1528" t="s">
        <v>1201</v>
      </c>
      <c r="N132" s="1569">
        <v>55</v>
      </c>
      <c r="O132" s="1570">
        <v>45</v>
      </c>
      <c r="P132" s="1568">
        <v>20</v>
      </c>
      <c r="Q132" s="1718">
        <v>35</v>
      </c>
      <c r="R132" s="1568"/>
      <c r="S132" s="1571" t="s">
        <v>1061</v>
      </c>
      <c r="T132" s="1572" t="s">
        <v>1061</v>
      </c>
      <c r="U132" s="1569">
        <v>180</v>
      </c>
      <c r="V132" s="1188">
        <v>150</v>
      </c>
      <c r="W132" s="1573">
        <v>80</v>
      </c>
      <c r="X132" s="1718">
        <v>120</v>
      </c>
      <c r="Y132" s="1574"/>
      <c r="Z132" s="1571" t="s">
        <v>1061</v>
      </c>
      <c r="AA132" s="1572" t="s">
        <v>1061</v>
      </c>
      <c r="AB132" s="1542"/>
      <c r="AC132" s="1542"/>
      <c r="AD132" s="1542"/>
      <c r="AE132" s="1542"/>
      <c r="AF132" s="1279"/>
      <c r="AJ132"/>
      <c r="AK132"/>
      <c r="AL132" s="1542"/>
      <c r="AM132" s="2371" t="s">
        <v>171</v>
      </c>
      <c r="AN132" s="2352">
        <v>185</v>
      </c>
      <c r="AO132" s="2283" t="s">
        <v>170</v>
      </c>
      <c r="AP132" s="2352">
        <v>220</v>
      </c>
      <c r="AQ132" s="2283" t="s">
        <v>172</v>
      </c>
      <c r="AR132" s="2352">
        <v>265</v>
      </c>
      <c r="AS132" s="2283" t="s">
        <v>173</v>
      </c>
      <c r="AT132" s="2348">
        <v>265</v>
      </c>
      <c r="AU132" s="2285" t="s">
        <v>173</v>
      </c>
      <c r="AV132" s="2348">
        <v>265</v>
      </c>
      <c r="AW132" s="2285" t="s">
        <v>173</v>
      </c>
      <c r="AX132" s="2345">
        <v>180</v>
      </c>
      <c r="AY132" s="2278" t="s">
        <v>172</v>
      </c>
      <c r="AZ132" s="2350">
        <v>225</v>
      </c>
      <c r="BA132" s="2303" t="s">
        <v>2337</v>
      </c>
      <c r="BE132" s="2371" t="s">
        <v>171</v>
      </c>
      <c r="BF132" s="577">
        <v>30</v>
      </c>
      <c r="BG132" s="577">
        <v>40</v>
      </c>
      <c r="BH132" s="577">
        <v>50</v>
      </c>
      <c r="BJ132" s="2371" t="s">
        <v>171</v>
      </c>
      <c r="BK132" s="578">
        <v>110</v>
      </c>
      <c r="BL132" s="577">
        <v>140</v>
      </c>
      <c r="BM132" s="577">
        <v>175</v>
      </c>
      <c r="BP132" s="524"/>
      <c r="BQ132" s="524"/>
      <c r="BR132" s="524"/>
      <c r="BS132" s="2461" t="s">
        <v>178</v>
      </c>
      <c r="BT132" s="2463" t="str">
        <f>IFERROR(INDEX(Liste_Ackerkulturen_Gemüse_DropDown[Ackerkulturen],_xlfn.AGGREGATE(15,6,(ROW(Liste_Ackerkulturen_Gemüse_DropDown[Ackerkulturen])-1)/(--(SEARCH(BU$2,Liste_Ackerkulturen_Gemüse_DropDown[Ackerkulturen])&gt;0)),ROW()-2),1),"")</f>
        <v>Gurken (Salat-) (ungeheizt, Kurzkultur)</v>
      </c>
      <c r="BU132" s="2463"/>
      <c r="BV132" s="2463" t="str">
        <f>IFERROR(INDEX(Liste_Ackerkulturen_Gemüse_DropDown[Ackerkulturen],_xlfn.AGGREGATE(15,6,(ROW(Liste_Ackerkulturen_Gemüse_DropDown[Ackerkulturen])-1)/(--(SEARCH(BW$2,Liste_Ackerkulturen_Gemüse_DropDown[Ackerkulturen])&gt;0)),ROW()-2),1),"")</f>
        <v>Gurken (Salat-) (ungeheizt, Kurzkultur)</v>
      </c>
      <c r="BW132" s="2463"/>
      <c r="BX132" s="2463" t="str">
        <f>IFERROR(INDEX(Liste_Ackerkulturen_Gemüse_DropDown[Ackerkulturen],_xlfn.AGGREGATE(15,6,(ROW(Liste_Ackerkulturen_Gemüse_DropDown[Ackerkulturen])-1)/(--(SEARCH(BY$2,Liste_Ackerkulturen_Gemüse_DropDown[Ackerkulturen])&gt;0)),ROW()-2),1),"")</f>
        <v>Gurken (Salat-) (ungeheizt, Kurzkultur)</v>
      </c>
      <c r="BY132" s="2463"/>
      <c r="BZ132" s="2463" t="str">
        <f>IFERROR(INDEX(Liste_Ackerkulturen_Gemüse_DropDown[Ackerkulturen],_xlfn.AGGREGATE(15,6,(ROW(Liste_Ackerkulturen_Gemüse_DropDown[Ackerkulturen])-1)/(--(SEARCH(CA$2,Liste_Ackerkulturen_Gemüse_DropDown[Ackerkulturen])&gt;0)),ROW()-2),1),"")</f>
        <v>Gurken (Salat-) (ungeheizt, Kurzkultur)</v>
      </c>
      <c r="CA132" s="2463"/>
      <c r="CB132" s="2463" t="str">
        <f>IFERROR(INDEX(Liste_Ackerkulturen_Gemüse_DropDown[Ackerkulturen],_xlfn.AGGREGATE(15,6,(ROW(Liste_Ackerkulturen_Gemüse_DropDown[Ackerkulturen])-1)/(--(SEARCH(CC$2,Liste_Ackerkulturen_Gemüse_DropDown[Ackerkulturen])&gt;0)),ROW()-2),1),"")</f>
        <v>Gurken (Salat-) (ungeheizt, Kurzkultur)</v>
      </c>
      <c r="CC132" s="2463"/>
      <c r="CD132" s="2464" t="str">
        <f>IFERROR(INDEX(Liste_Ackerkulturen_Gemüse_DropDown[Ackerkulturen],_xlfn.AGGREGATE(15,6,(ROW(Liste_Ackerkulturen_Gemüse_DropDown[Ackerkulturen])-1)/(--(SEARCH(CE$2,Liste_Ackerkulturen_Gemüse_DropDown[Ackerkulturen])&gt;0)),ROW()-2),1),"")</f>
        <v>Gurken (Salat-) (ungeheizt, Kurzkultur)</v>
      </c>
      <c r="CE132" s="2464"/>
      <c r="CF132" s="2464" t="str">
        <f>IFERROR(INDEX(Liste_Ackerkulturen_Gemüse_DropDown[Ackerkulturen],_xlfn.AGGREGATE(15,6,(ROW(Liste_Ackerkulturen_Gemüse_DropDown[Ackerkulturen])-1)/(--(SEARCH(CG$2,Liste_Ackerkulturen_Gemüse_DropDown[Ackerkulturen])&gt;0)),ROW()-2),1),"")</f>
        <v>Gurken (Salat-) (ungeheizt, Kurzkultur)</v>
      </c>
      <c r="CG132" s="2464"/>
      <c r="CH132" s="2464" t="str">
        <f>IFERROR(INDEX(Liste_Ackerkulturen_Gemüse_DropDown[Ackerkulturen],_xlfn.AGGREGATE(15,6,(ROW(Liste_Ackerkulturen_Gemüse_DropDown[Ackerkulturen])-1)/(--(SEARCH(CI$2,Liste_Ackerkulturen_Gemüse_DropDown[Ackerkulturen])&gt;0)),ROW()-2),1),"")</f>
        <v>Gurken (Salat-) (ungeheizt, Kurzkultur)</v>
      </c>
      <c r="CI132" s="2464"/>
      <c r="CJ132" s="2464" t="str">
        <f>IFERROR(INDEX(Liste_Ackerkulturen_Gemüse_DropDown[Ackerkulturen],_xlfn.AGGREGATE(15,6,(ROW(Liste_Ackerkulturen_Gemüse_DropDown[Ackerkulturen])-1)/(--(SEARCH(CK$2,Liste_Ackerkulturen_Gemüse_DropDown[Ackerkulturen])&gt;0)),ROW()-2),1),"")</f>
        <v>Gurken (Salat-) (ungeheizt, Kurzkultur)</v>
      </c>
      <c r="CK132" s="2464"/>
      <c r="CL132" s="2464" t="str">
        <f>IFERROR(INDEX(Liste_Ackerkulturen_Gemüse_DropDown[Ackerkulturen],_xlfn.AGGREGATE(15,6,(ROW(Liste_Ackerkulturen_Gemüse_DropDown[Ackerkulturen])-1)/(--(SEARCH(CM$2,Liste_Ackerkulturen_Gemüse_DropDown[Ackerkulturen])&gt;0)),ROW()-2),1),"")</f>
        <v>Gurken (Salat-) (ungeheizt, Kurzkultur)</v>
      </c>
      <c r="CM132" s="2464"/>
      <c r="CN132" s="2464" t="str">
        <f>IFERROR(INDEX(Liste_Ackerkulturen_Gemüse_DropDown[Ackerkulturen],_xlfn.AGGREGATE(15,6,(ROW(Liste_Ackerkulturen_Gemüse_DropDown[Ackerkulturen])-1)/(--(SEARCH(CO$2,Liste_Ackerkulturen_Gemüse_DropDown[Ackerkulturen])&gt;0)),ROW()-2),1),"")</f>
        <v>Gurken (Salat-) (ungeheizt, Kurzkultur)</v>
      </c>
      <c r="CO132" s="2464"/>
      <c r="CP132" s="2464" t="str">
        <f>IFERROR(INDEX(Liste_Ackerkulturen_Gemüse_DropDown[Ackerkulturen],_xlfn.AGGREGATE(15,6,(ROW(Liste_Ackerkulturen_Gemüse_DropDown[Ackerkulturen])-1)/(--(SEARCH(CQ$2,Liste_Ackerkulturen_Gemüse_DropDown[Ackerkulturen])&gt;0)),ROW()-2),1),"")</f>
        <v>Gurken (Salat-) (ungeheizt, Kurzkultur)</v>
      </c>
      <c r="CQ132" s="2464"/>
      <c r="CR132" s="2464" t="str">
        <f>IFERROR(INDEX(Liste_Ackerkulturen_Gemüse_DropDown[Ackerkulturen],_xlfn.AGGREGATE(15,6,(ROW(Liste_Ackerkulturen_Gemüse_DropDown[Ackerkulturen])-1)/(--(SEARCH(CS$2,Liste_Ackerkulturen_Gemüse_DropDown[Ackerkulturen])&gt;0)),ROW()-2),1),"")</f>
        <v>Gurken (Salat-) (ungeheizt, Kurzkultur)</v>
      </c>
      <c r="CS132" s="2464"/>
    </row>
    <row r="133" spans="3:255" ht="21" customHeight="1">
      <c r="C133" s="1575" t="s">
        <v>25</v>
      </c>
      <c r="D133" s="1576"/>
      <c r="E133" s="1567" t="s">
        <v>1201</v>
      </c>
      <c r="F133" s="1568">
        <v>0</v>
      </c>
      <c r="G133" s="1568"/>
      <c r="H133" s="1716" t="s">
        <v>1201</v>
      </c>
      <c r="I133" s="1718">
        <v>0</v>
      </c>
      <c r="J133" s="1188" t="s">
        <v>1201</v>
      </c>
      <c r="K133" s="1568">
        <v>0</v>
      </c>
      <c r="L133" s="1527">
        <v>0</v>
      </c>
      <c r="M133" s="1528">
        <v>0</v>
      </c>
      <c r="N133" s="1569">
        <v>0</v>
      </c>
      <c r="O133" s="1570">
        <v>0</v>
      </c>
      <c r="P133" s="1568">
        <v>0</v>
      </c>
      <c r="Q133" s="1718">
        <v>0</v>
      </c>
      <c r="R133" s="1568"/>
      <c r="S133" s="1571" t="s">
        <v>1201</v>
      </c>
      <c r="T133" s="1572" t="s">
        <v>1201</v>
      </c>
      <c r="U133" s="1569">
        <v>0</v>
      </c>
      <c r="V133" s="1188">
        <v>0</v>
      </c>
      <c r="W133" s="1573">
        <v>0</v>
      </c>
      <c r="X133" s="1718">
        <v>0</v>
      </c>
      <c r="Y133" s="1574"/>
      <c r="Z133" s="1571" t="s">
        <v>1201</v>
      </c>
      <c r="AA133" s="1572" t="s">
        <v>1201</v>
      </c>
      <c r="AB133" s="1542"/>
      <c r="AC133" s="1542"/>
      <c r="AD133" s="1542"/>
      <c r="AE133" s="1542"/>
      <c r="AF133" s="1279"/>
      <c r="AJ133"/>
      <c r="AK133"/>
      <c r="AL133" s="1542"/>
      <c r="AM133" s="2371" t="s">
        <v>174</v>
      </c>
      <c r="AN133" s="2352">
        <v>245</v>
      </c>
      <c r="AO133" s="2283" t="s">
        <v>175</v>
      </c>
      <c r="AP133" s="2352">
        <v>295</v>
      </c>
      <c r="AQ133" s="2283" t="s">
        <v>176</v>
      </c>
      <c r="AR133" s="2352">
        <v>360</v>
      </c>
      <c r="AS133" s="2283" t="s">
        <v>177</v>
      </c>
      <c r="AT133" s="2348">
        <v>360</v>
      </c>
      <c r="AU133" s="2285" t="s">
        <v>177</v>
      </c>
      <c r="AV133" s="2348">
        <v>360</v>
      </c>
      <c r="AW133" s="2285" t="s">
        <v>177</v>
      </c>
      <c r="AX133" s="2345">
        <v>180</v>
      </c>
      <c r="AY133" s="2278" t="s">
        <v>176</v>
      </c>
      <c r="AZ133" s="2350">
        <v>225</v>
      </c>
      <c r="BA133" s="2303" t="s">
        <v>2338</v>
      </c>
      <c r="BE133" s="2371" t="s">
        <v>174</v>
      </c>
      <c r="BF133" s="577">
        <v>65</v>
      </c>
      <c r="BG133" s="577">
        <v>80</v>
      </c>
      <c r="BH133" s="577">
        <v>100</v>
      </c>
      <c r="BJ133" s="2371" t="s">
        <v>174</v>
      </c>
      <c r="BK133" s="578">
        <v>225</v>
      </c>
      <c r="BL133" s="577">
        <v>280</v>
      </c>
      <c r="BM133" s="577">
        <v>350</v>
      </c>
      <c r="BP133" s="524"/>
      <c r="BQ133" s="524"/>
      <c r="BR133" s="524"/>
      <c r="BS133" s="2461" t="s">
        <v>180</v>
      </c>
      <c r="BT133" s="2463" t="str">
        <f>IFERROR(INDEX(Liste_Ackerkulturen_Gemüse_DropDown[Ackerkulturen],_xlfn.AGGREGATE(15,6,(ROW(Liste_Ackerkulturen_Gemüse_DropDown[Ackerkulturen])-1)/(--(SEARCH(BU$2,Liste_Ackerkulturen_Gemüse_DropDown[Ackerkulturen])&gt;0)),ROW()-2),1),"")</f>
        <v>Karfiol</v>
      </c>
      <c r="BU133" s="2463"/>
      <c r="BV133" s="2463" t="str">
        <f>IFERROR(INDEX(Liste_Ackerkulturen_Gemüse_DropDown[Ackerkulturen],_xlfn.AGGREGATE(15,6,(ROW(Liste_Ackerkulturen_Gemüse_DropDown[Ackerkulturen])-1)/(--(SEARCH(BW$2,Liste_Ackerkulturen_Gemüse_DropDown[Ackerkulturen])&gt;0)),ROW()-2),1),"")</f>
        <v>Karfiol</v>
      </c>
      <c r="BW133" s="2463"/>
      <c r="BX133" s="2463" t="str">
        <f>IFERROR(INDEX(Liste_Ackerkulturen_Gemüse_DropDown[Ackerkulturen],_xlfn.AGGREGATE(15,6,(ROW(Liste_Ackerkulturen_Gemüse_DropDown[Ackerkulturen])-1)/(--(SEARCH(BY$2,Liste_Ackerkulturen_Gemüse_DropDown[Ackerkulturen])&gt;0)),ROW()-2),1),"")</f>
        <v>Karfiol</v>
      </c>
      <c r="BY133" s="2463"/>
      <c r="BZ133" s="2463" t="str">
        <f>IFERROR(INDEX(Liste_Ackerkulturen_Gemüse_DropDown[Ackerkulturen],_xlfn.AGGREGATE(15,6,(ROW(Liste_Ackerkulturen_Gemüse_DropDown[Ackerkulturen])-1)/(--(SEARCH(CA$2,Liste_Ackerkulturen_Gemüse_DropDown[Ackerkulturen])&gt;0)),ROW()-2),1),"")</f>
        <v>Karfiol</v>
      </c>
      <c r="CA133" s="2463"/>
      <c r="CB133" s="2463" t="str">
        <f>IFERROR(INDEX(Liste_Ackerkulturen_Gemüse_DropDown[Ackerkulturen],_xlfn.AGGREGATE(15,6,(ROW(Liste_Ackerkulturen_Gemüse_DropDown[Ackerkulturen])-1)/(--(SEARCH(CC$2,Liste_Ackerkulturen_Gemüse_DropDown[Ackerkulturen])&gt;0)),ROW()-2),1),"")</f>
        <v>Karfiol</v>
      </c>
      <c r="CC133" s="2463"/>
      <c r="CD133" s="2464" t="str">
        <f>IFERROR(INDEX(Liste_Ackerkulturen_Gemüse_DropDown[Ackerkulturen],_xlfn.AGGREGATE(15,6,(ROW(Liste_Ackerkulturen_Gemüse_DropDown[Ackerkulturen])-1)/(--(SEARCH(CE$2,Liste_Ackerkulturen_Gemüse_DropDown[Ackerkulturen])&gt;0)),ROW()-2),1),"")</f>
        <v>Karfiol</v>
      </c>
      <c r="CE133" s="2464"/>
      <c r="CF133" s="2464" t="str">
        <f>IFERROR(INDEX(Liste_Ackerkulturen_Gemüse_DropDown[Ackerkulturen],_xlfn.AGGREGATE(15,6,(ROW(Liste_Ackerkulturen_Gemüse_DropDown[Ackerkulturen])-1)/(--(SEARCH(CG$2,Liste_Ackerkulturen_Gemüse_DropDown[Ackerkulturen])&gt;0)),ROW()-2),1),"")</f>
        <v>Karfiol</v>
      </c>
      <c r="CG133" s="2464"/>
      <c r="CH133" s="2464" t="str">
        <f>IFERROR(INDEX(Liste_Ackerkulturen_Gemüse_DropDown[Ackerkulturen],_xlfn.AGGREGATE(15,6,(ROW(Liste_Ackerkulturen_Gemüse_DropDown[Ackerkulturen])-1)/(--(SEARCH(CI$2,Liste_Ackerkulturen_Gemüse_DropDown[Ackerkulturen])&gt;0)),ROW()-2),1),"")</f>
        <v>Karfiol</v>
      </c>
      <c r="CI133" s="2464"/>
      <c r="CJ133" s="2464" t="str">
        <f>IFERROR(INDEX(Liste_Ackerkulturen_Gemüse_DropDown[Ackerkulturen],_xlfn.AGGREGATE(15,6,(ROW(Liste_Ackerkulturen_Gemüse_DropDown[Ackerkulturen])-1)/(--(SEARCH(CK$2,Liste_Ackerkulturen_Gemüse_DropDown[Ackerkulturen])&gt;0)),ROW()-2),1),"")</f>
        <v>Karfiol</v>
      </c>
      <c r="CK133" s="2464"/>
      <c r="CL133" s="2464" t="str">
        <f>IFERROR(INDEX(Liste_Ackerkulturen_Gemüse_DropDown[Ackerkulturen],_xlfn.AGGREGATE(15,6,(ROW(Liste_Ackerkulturen_Gemüse_DropDown[Ackerkulturen])-1)/(--(SEARCH(CM$2,Liste_Ackerkulturen_Gemüse_DropDown[Ackerkulturen])&gt;0)),ROW()-2),1),"")</f>
        <v>Karfiol</v>
      </c>
      <c r="CM133" s="2464"/>
      <c r="CN133" s="2464" t="str">
        <f>IFERROR(INDEX(Liste_Ackerkulturen_Gemüse_DropDown[Ackerkulturen],_xlfn.AGGREGATE(15,6,(ROW(Liste_Ackerkulturen_Gemüse_DropDown[Ackerkulturen])-1)/(--(SEARCH(CO$2,Liste_Ackerkulturen_Gemüse_DropDown[Ackerkulturen])&gt;0)),ROW()-2),1),"")</f>
        <v>Karfiol</v>
      </c>
      <c r="CO133" s="2464"/>
      <c r="CP133" s="2464" t="str">
        <f>IFERROR(INDEX(Liste_Ackerkulturen_Gemüse_DropDown[Ackerkulturen],_xlfn.AGGREGATE(15,6,(ROW(Liste_Ackerkulturen_Gemüse_DropDown[Ackerkulturen])-1)/(--(SEARCH(CQ$2,Liste_Ackerkulturen_Gemüse_DropDown[Ackerkulturen])&gt;0)),ROW()-2),1),"")</f>
        <v>Karfiol</v>
      </c>
      <c r="CQ133" s="2464"/>
      <c r="CR133" s="2464" t="str">
        <f>IFERROR(INDEX(Liste_Ackerkulturen_Gemüse_DropDown[Ackerkulturen],_xlfn.AGGREGATE(15,6,(ROW(Liste_Ackerkulturen_Gemüse_DropDown[Ackerkulturen])-1)/(--(SEARCH(CS$2,Liste_Ackerkulturen_Gemüse_DropDown[Ackerkulturen])&gt;0)),ROW()-2),1),"")</f>
        <v>Karfiol</v>
      </c>
      <c r="CS133" s="2464"/>
    </row>
    <row r="134" spans="3:255" ht="21" customHeight="1">
      <c r="C134" s="1575" t="s">
        <v>26</v>
      </c>
      <c r="D134" s="1576"/>
      <c r="E134" s="1567" t="s">
        <v>1997</v>
      </c>
      <c r="F134" s="1568">
        <v>20</v>
      </c>
      <c r="G134" s="1568"/>
      <c r="H134" s="1716" t="s">
        <v>13</v>
      </c>
      <c r="I134" s="1718">
        <v>30</v>
      </c>
      <c r="J134" s="1188" t="s">
        <v>1201</v>
      </c>
      <c r="K134" s="1568"/>
      <c r="L134" s="1527">
        <v>30</v>
      </c>
      <c r="M134" s="1528">
        <v>30</v>
      </c>
      <c r="N134" s="1569">
        <v>45</v>
      </c>
      <c r="O134" s="1570">
        <v>40</v>
      </c>
      <c r="P134" s="1568">
        <v>15</v>
      </c>
      <c r="Q134" s="1718">
        <v>30</v>
      </c>
      <c r="R134" s="1568"/>
      <c r="S134" s="1571" t="s">
        <v>1061</v>
      </c>
      <c r="T134" s="1572" t="s">
        <v>1061</v>
      </c>
      <c r="U134" s="1569">
        <v>55</v>
      </c>
      <c r="V134" s="1188">
        <v>45</v>
      </c>
      <c r="W134" s="1573">
        <v>20</v>
      </c>
      <c r="X134" s="1718">
        <v>35</v>
      </c>
      <c r="Y134" s="1574"/>
      <c r="Z134" s="1571" t="s">
        <v>1061</v>
      </c>
      <c r="AA134" s="1572" t="s">
        <v>1061</v>
      </c>
      <c r="AB134" s="1542"/>
      <c r="AC134" s="1542"/>
      <c r="AD134" s="1542"/>
      <c r="AE134" s="1542"/>
      <c r="AF134" s="1279"/>
      <c r="AJ134"/>
      <c r="AK134"/>
      <c r="AL134" s="1542"/>
      <c r="AM134" s="2371" t="s">
        <v>178</v>
      </c>
      <c r="AN134" s="2352">
        <v>220</v>
      </c>
      <c r="AO134" s="2283" t="s">
        <v>139</v>
      </c>
      <c r="AP134" s="2352">
        <v>260</v>
      </c>
      <c r="AQ134" s="2283" t="s">
        <v>179</v>
      </c>
      <c r="AR134" s="2352">
        <v>310</v>
      </c>
      <c r="AS134" s="2283" t="s">
        <v>55</v>
      </c>
      <c r="AT134" s="2348">
        <v>310</v>
      </c>
      <c r="AU134" s="2285" t="s">
        <v>55</v>
      </c>
      <c r="AV134" s="2348">
        <v>310</v>
      </c>
      <c r="AW134" s="2285" t="s">
        <v>55</v>
      </c>
      <c r="AX134" s="2345">
        <v>200</v>
      </c>
      <c r="AY134" s="2278" t="s">
        <v>179</v>
      </c>
      <c r="AZ134" s="2350">
        <v>250</v>
      </c>
      <c r="BA134" s="2303" t="s">
        <v>2339</v>
      </c>
      <c r="BE134" s="2371" t="s">
        <v>178</v>
      </c>
      <c r="BF134" s="577">
        <v>30</v>
      </c>
      <c r="BG134" s="577">
        <v>35</v>
      </c>
      <c r="BH134" s="577">
        <v>45</v>
      </c>
      <c r="BJ134" s="2371" t="s">
        <v>178</v>
      </c>
      <c r="BK134" s="578">
        <v>105</v>
      </c>
      <c r="BL134" s="577">
        <v>130</v>
      </c>
      <c r="BM134" s="577">
        <v>165</v>
      </c>
      <c r="BP134" s="524"/>
      <c r="BQ134" s="524"/>
      <c r="BR134" s="524"/>
      <c r="BS134" s="2461" t="s">
        <v>184</v>
      </c>
      <c r="BT134" s="2463" t="str">
        <f>IFERROR(INDEX(Liste_Ackerkulturen_Gemüse_DropDown[Ackerkulturen],_xlfn.AGGREGATE(15,6,(ROW(Liste_Ackerkulturen_Gemüse_DropDown[Ackerkulturen])-1)/(--(SEARCH(BU$2,Liste_Ackerkulturen_Gemüse_DropDown[Ackerkulturen])&gt;0)),ROW()-2),1),"")</f>
        <v>Karotten (Bund oder Vlies)</v>
      </c>
      <c r="BU134" s="2463"/>
      <c r="BV134" s="2463" t="str">
        <f>IFERROR(INDEX(Liste_Ackerkulturen_Gemüse_DropDown[Ackerkulturen],_xlfn.AGGREGATE(15,6,(ROW(Liste_Ackerkulturen_Gemüse_DropDown[Ackerkulturen])-1)/(--(SEARCH(BW$2,Liste_Ackerkulturen_Gemüse_DropDown[Ackerkulturen])&gt;0)),ROW()-2),1),"")</f>
        <v>Karotten (Bund oder Vlies)</v>
      </c>
      <c r="BW134" s="2463"/>
      <c r="BX134" s="2463" t="str">
        <f>IFERROR(INDEX(Liste_Ackerkulturen_Gemüse_DropDown[Ackerkulturen],_xlfn.AGGREGATE(15,6,(ROW(Liste_Ackerkulturen_Gemüse_DropDown[Ackerkulturen])-1)/(--(SEARCH(BY$2,Liste_Ackerkulturen_Gemüse_DropDown[Ackerkulturen])&gt;0)),ROW()-2),1),"")</f>
        <v>Karotten (Bund oder Vlies)</v>
      </c>
      <c r="BY134" s="2463"/>
      <c r="BZ134" s="2463" t="str">
        <f>IFERROR(INDEX(Liste_Ackerkulturen_Gemüse_DropDown[Ackerkulturen],_xlfn.AGGREGATE(15,6,(ROW(Liste_Ackerkulturen_Gemüse_DropDown[Ackerkulturen])-1)/(--(SEARCH(CA$2,Liste_Ackerkulturen_Gemüse_DropDown[Ackerkulturen])&gt;0)),ROW()-2),1),"")</f>
        <v>Karotten (Bund oder Vlies)</v>
      </c>
      <c r="CA134" s="2463"/>
      <c r="CB134" s="2463" t="str">
        <f>IFERROR(INDEX(Liste_Ackerkulturen_Gemüse_DropDown[Ackerkulturen],_xlfn.AGGREGATE(15,6,(ROW(Liste_Ackerkulturen_Gemüse_DropDown[Ackerkulturen])-1)/(--(SEARCH(CC$2,Liste_Ackerkulturen_Gemüse_DropDown[Ackerkulturen])&gt;0)),ROW()-2),1),"")</f>
        <v>Karotten (Bund oder Vlies)</v>
      </c>
      <c r="CC134" s="2463"/>
      <c r="CD134" s="2464" t="str">
        <f>IFERROR(INDEX(Liste_Ackerkulturen_Gemüse_DropDown[Ackerkulturen],_xlfn.AGGREGATE(15,6,(ROW(Liste_Ackerkulturen_Gemüse_DropDown[Ackerkulturen])-1)/(--(SEARCH(CE$2,Liste_Ackerkulturen_Gemüse_DropDown[Ackerkulturen])&gt;0)),ROW()-2),1),"")</f>
        <v>Karotten (Bund oder Vlies)</v>
      </c>
      <c r="CE134" s="2464"/>
      <c r="CF134" s="2464" t="str">
        <f>IFERROR(INDEX(Liste_Ackerkulturen_Gemüse_DropDown[Ackerkulturen],_xlfn.AGGREGATE(15,6,(ROW(Liste_Ackerkulturen_Gemüse_DropDown[Ackerkulturen])-1)/(--(SEARCH(CG$2,Liste_Ackerkulturen_Gemüse_DropDown[Ackerkulturen])&gt;0)),ROW()-2),1),"")</f>
        <v>Karotten (Bund oder Vlies)</v>
      </c>
      <c r="CG134" s="2464"/>
      <c r="CH134" s="2464" t="str">
        <f>IFERROR(INDEX(Liste_Ackerkulturen_Gemüse_DropDown[Ackerkulturen],_xlfn.AGGREGATE(15,6,(ROW(Liste_Ackerkulturen_Gemüse_DropDown[Ackerkulturen])-1)/(--(SEARCH(CI$2,Liste_Ackerkulturen_Gemüse_DropDown[Ackerkulturen])&gt;0)),ROW()-2),1),"")</f>
        <v>Karotten (Bund oder Vlies)</v>
      </c>
      <c r="CI134" s="2464"/>
      <c r="CJ134" s="2464" t="str">
        <f>IFERROR(INDEX(Liste_Ackerkulturen_Gemüse_DropDown[Ackerkulturen],_xlfn.AGGREGATE(15,6,(ROW(Liste_Ackerkulturen_Gemüse_DropDown[Ackerkulturen])-1)/(--(SEARCH(CK$2,Liste_Ackerkulturen_Gemüse_DropDown[Ackerkulturen])&gt;0)),ROW()-2),1),"")</f>
        <v>Karotten (Bund oder Vlies)</v>
      </c>
      <c r="CK134" s="2464"/>
      <c r="CL134" s="2464" t="str">
        <f>IFERROR(INDEX(Liste_Ackerkulturen_Gemüse_DropDown[Ackerkulturen],_xlfn.AGGREGATE(15,6,(ROW(Liste_Ackerkulturen_Gemüse_DropDown[Ackerkulturen])-1)/(--(SEARCH(CM$2,Liste_Ackerkulturen_Gemüse_DropDown[Ackerkulturen])&gt;0)),ROW()-2),1),"")</f>
        <v>Karotten (Bund oder Vlies)</v>
      </c>
      <c r="CM134" s="2464"/>
      <c r="CN134" s="2464" t="str">
        <f>IFERROR(INDEX(Liste_Ackerkulturen_Gemüse_DropDown[Ackerkulturen],_xlfn.AGGREGATE(15,6,(ROW(Liste_Ackerkulturen_Gemüse_DropDown[Ackerkulturen])-1)/(--(SEARCH(CO$2,Liste_Ackerkulturen_Gemüse_DropDown[Ackerkulturen])&gt;0)),ROW()-2),1),"")</f>
        <v>Karotten (Bund oder Vlies)</v>
      </c>
      <c r="CO134" s="2464"/>
      <c r="CP134" s="2464" t="str">
        <f>IFERROR(INDEX(Liste_Ackerkulturen_Gemüse_DropDown[Ackerkulturen],_xlfn.AGGREGATE(15,6,(ROW(Liste_Ackerkulturen_Gemüse_DropDown[Ackerkulturen])-1)/(--(SEARCH(CQ$2,Liste_Ackerkulturen_Gemüse_DropDown[Ackerkulturen])&gt;0)),ROW()-2),1),"")</f>
        <v>Karotten (Bund oder Vlies)</v>
      </c>
      <c r="CQ134" s="2464"/>
      <c r="CR134" s="2464" t="str">
        <f>IFERROR(INDEX(Liste_Ackerkulturen_Gemüse_DropDown[Ackerkulturen],_xlfn.AGGREGATE(15,6,(ROW(Liste_Ackerkulturen_Gemüse_DropDown[Ackerkulturen])-1)/(--(SEARCH(CS$2,Liste_Ackerkulturen_Gemüse_DropDown[Ackerkulturen])&gt;0)),ROW()-2),1),"")</f>
        <v>Karotten (Bund oder Vlies)</v>
      </c>
      <c r="CS134" s="2464"/>
    </row>
    <row r="135" spans="3:255" ht="21" customHeight="1">
      <c r="C135" s="1575" t="s">
        <v>899</v>
      </c>
      <c r="D135" s="1576"/>
      <c r="E135" s="1567" t="s">
        <v>1988</v>
      </c>
      <c r="F135" s="1568">
        <v>80</v>
      </c>
      <c r="G135" s="1568"/>
      <c r="H135" s="1716" t="s">
        <v>27</v>
      </c>
      <c r="I135" s="1718">
        <v>130</v>
      </c>
      <c r="J135" s="1188" t="s">
        <v>1075</v>
      </c>
      <c r="K135" s="1568">
        <v>180</v>
      </c>
      <c r="L135" s="1527">
        <v>100</v>
      </c>
      <c r="M135" s="1528">
        <v>140</v>
      </c>
      <c r="N135" s="1569">
        <v>105</v>
      </c>
      <c r="O135" s="1570">
        <v>90</v>
      </c>
      <c r="P135" s="1568">
        <v>45</v>
      </c>
      <c r="Q135" s="1718">
        <v>70</v>
      </c>
      <c r="R135" s="1568">
        <v>100</v>
      </c>
      <c r="S135" s="1571" t="s">
        <v>1061</v>
      </c>
      <c r="T135" s="1572" t="s">
        <v>1061</v>
      </c>
      <c r="U135" s="1569">
        <v>285</v>
      </c>
      <c r="V135" s="1188">
        <v>240</v>
      </c>
      <c r="W135" s="1573">
        <v>130</v>
      </c>
      <c r="X135" s="1718">
        <v>190</v>
      </c>
      <c r="Y135" s="1574">
        <v>290</v>
      </c>
      <c r="Z135" s="1571" t="s">
        <v>1061</v>
      </c>
      <c r="AA135" s="1572" t="s">
        <v>1061</v>
      </c>
      <c r="AB135" s="1542"/>
      <c r="AC135" s="1542"/>
      <c r="AD135" s="1542"/>
      <c r="AE135" s="1542"/>
      <c r="AF135" s="1279"/>
      <c r="AJ135"/>
      <c r="AK135"/>
      <c r="AL135" s="1542"/>
      <c r="AM135" s="2371" t="s">
        <v>180</v>
      </c>
      <c r="AN135" s="2352">
        <v>180</v>
      </c>
      <c r="AO135" s="2283" t="s">
        <v>181</v>
      </c>
      <c r="AP135" s="2352">
        <v>210</v>
      </c>
      <c r="AQ135" s="2283" t="s">
        <v>182</v>
      </c>
      <c r="AR135" s="2352">
        <v>255</v>
      </c>
      <c r="AS135" s="2283" t="s">
        <v>183</v>
      </c>
      <c r="AT135" s="2348">
        <v>255</v>
      </c>
      <c r="AU135" s="2285" t="s">
        <v>183</v>
      </c>
      <c r="AV135" s="2348">
        <v>255</v>
      </c>
      <c r="AW135" s="2285" t="s">
        <v>183</v>
      </c>
      <c r="AX135" s="2345">
        <v>110</v>
      </c>
      <c r="AY135" s="2278" t="s">
        <v>182</v>
      </c>
      <c r="AZ135" s="2350">
        <v>138</v>
      </c>
      <c r="BA135" s="2303" t="s">
        <v>2340</v>
      </c>
      <c r="BE135" s="2371" t="s">
        <v>180</v>
      </c>
      <c r="BF135" s="577">
        <v>25</v>
      </c>
      <c r="BG135" s="577">
        <v>30</v>
      </c>
      <c r="BH135" s="577">
        <v>40</v>
      </c>
      <c r="BJ135" s="2371" t="s">
        <v>180</v>
      </c>
      <c r="BK135" s="578">
        <v>160</v>
      </c>
      <c r="BL135" s="577">
        <v>200</v>
      </c>
      <c r="BM135" s="577">
        <v>250</v>
      </c>
      <c r="BP135" s="524"/>
      <c r="BQ135" s="524"/>
      <c r="BR135" s="524"/>
      <c r="BS135" s="2461" t="s">
        <v>185</v>
      </c>
      <c r="BT135" s="2463" t="str">
        <f>IFERROR(INDEX(Liste_Ackerkulturen_Gemüse_DropDown[Ackerkulturen],_xlfn.AGGREGATE(15,6,(ROW(Liste_Ackerkulturen_Gemüse_DropDown[Ackerkulturen])-1)/(--(SEARCH(BU$2,Liste_Ackerkulturen_Gemüse_DropDown[Ackerkulturen])&gt;0)),ROW()-2),1),"")</f>
        <v>Karotten (Industrie)</v>
      </c>
      <c r="BU135" s="2463"/>
      <c r="BV135" s="2463" t="str">
        <f>IFERROR(INDEX(Liste_Ackerkulturen_Gemüse_DropDown[Ackerkulturen],_xlfn.AGGREGATE(15,6,(ROW(Liste_Ackerkulturen_Gemüse_DropDown[Ackerkulturen])-1)/(--(SEARCH(BW$2,Liste_Ackerkulturen_Gemüse_DropDown[Ackerkulturen])&gt;0)),ROW()-2),1),"")</f>
        <v>Karotten (Industrie)</v>
      </c>
      <c r="BW135" s="2463"/>
      <c r="BX135" s="2463" t="str">
        <f>IFERROR(INDEX(Liste_Ackerkulturen_Gemüse_DropDown[Ackerkulturen],_xlfn.AGGREGATE(15,6,(ROW(Liste_Ackerkulturen_Gemüse_DropDown[Ackerkulturen])-1)/(--(SEARCH(BY$2,Liste_Ackerkulturen_Gemüse_DropDown[Ackerkulturen])&gt;0)),ROW()-2),1),"")</f>
        <v>Karotten (Industrie)</v>
      </c>
      <c r="BY135" s="2463"/>
      <c r="BZ135" s="2463" t="str">
        <f>IFERROR(INDEX(Liste_Ackerkulturen_Gemüse_DropDown[Ackerkulturen],_xlfn.AGGREGATE(15,6,(ROW(Liste_Ackerkulturen_Gemüse_DropDown[Ackerkulturen])-1)/(--(SEARCH(CA$2,Liste_Ackerkulturen_Gemüse_DropDown[Ackerkulturen])&gt;0)),ROW()-2),1),"")</f>
        <v>Karotten (Industrie)</v>
      </c>
      <c r="CA135" s="2463"/>
      <c r="CB135" s="2463" t="str">
        <f>IFERROR(INDEX(Liste_Ackerkulturen_Gemüse_DropDown[Ackerkulturen],_xlfn.AGGREGATE(15,6,(ROW(Liste_Ackerkulturen_Gemüse_DropDown[Ackerkulturen])-1)/(--(SEARCH(CC$2,Liste_Ackerkulturen_Gemüse_DropDown[Ackerkulturen])&gt;0)),ROW()-2),1),"")</f>
        <v>Karotten (Industrie)</v>
      </c>
      <c r="CC135" s="2463"/>
      <c r="CD135" s="2464" t="str">
        <f>IFERROR(INDEX(Liste_Ackerkulturen_Gemüse_DropDown[Ackerkulturen],_xlfn.AGGREGATE(15,6,(ROW(Liste_Ackerkulturen_Gemüse_DropDown[Ackerkulturen])-1)/(--(SEARCH(CE$2,Liste_Ackerkulturen_Gemüse_DropDown[Ackerkulturen])&gt;0)),ROW()-2),1),"")</f>
        <v>Karotten (Industrie)</v>
      </c>
      <c r="CE135" s="2464"/>
      <c r="CF135" s="2464" t="str">
        <f>IFERROR(INDEX(Liste_Ackerkulturen_Gemüse_DropDown[Ackerkulturen],_xlfn.AGGREGATE(15,6,(ROW(Liste_Ackerkulturen_Gemüse_DropDown[Ackerkulturen])-1)/(--(SEARCH(CG$2,Liste_Ackerkulturen_Gemüse_DropDown[Ackerkulturen])&gt;0)),ROW()-2),1),"")</f>
        <v>Karotten (Industrie)</v>
      </c>
      <c r="CG135" s="2464"/>
      <c r="CH135" s="2464" t="str">
        <f>IFERROR(INDEX(Liste_Ackerkulturen_Gemüse_DropDown[Ackerkulturen],_xlfn.AGGREGATE(15,6,(ROW(Liste_Ackerkulturen_Gemüse_DropDown[Ackerkulturen])-1)/(--(SEARCH(CI$2,Liste_Ackerkulturen_Gemüse_DropDown[Ackerkulturen])&gt;0)),ROW()-2),1),"")</f>
        <v>Karotten (Industrie)</v>
      </c>
      <c r="CI135" s="2464"/>
      <c r="CJ135" s="2464" t="str">
        <f>IFERROR(INDEX(Liste_Ackerkulturen_Gemüse_DropDown[Ackerkulturen],_xlfn.AGGREGATE(15,6,(ROW(Liste_Ackerkulturen_Gemüse_DropDown[Ackerkulturen])-1)/(--(SEARCH(CK$2,Liste_Ackerkulturen_Gemüse_DropDown[Ackerkulturen])&gt;0)),ROW()-2),1),"")</f>
        <v>Karotten (Industrie)</v>
      </c>
      <c r="CK135" s="2464"/>
      <c r="CL135" s="2464" t="str">
        <f>IFERROR(INDEX(Liste_Ackerkulturen_Gemüse_DropDown[Ackerkulturen],_xlfn.AGGREGATE(15,6,(ROW(Liste_Ackerkulturen_Gemüse_DropDown[Ackerkulturen])-1)/(--(SEARCH(CM$2,Liste_Ackerkulturen_Gemüse_DropDown[Ackerkulturen])&gt;0)),ROW()-2),1),"")</f>
        <v>Karotten (Industrie)</v>
      </c>
      <c r="CM135" s="2464"/>
      <c r="CN135" s="2464" t="str">
        <f>IFERROR(INDEX(Liste_Ackerkulturen_Gemüse_DropDown[Ackerkulturen],_xlfn.AGGREGATE(15,6,(ROW(Liste_Ackerkulturen_Gemüse_DropDown[Ackerkulturen])-1)/(--(SEARCH(CO$2,Liste_Ackerkulturen_Gemüse_DropDown[Ackerkulturen])&gt;0)),ROW()-2),1),"")</f>
        <v>Karotten (Industrie)</v>
      </c>
      <c r="CO135" s="2464"/>
      <c r="CP135" s="2464" t="str">
        <f>IFERROR(INDEX(Liste_Ackerkulturen_Gemüse_DropDown[Ackerkulturen],_xlfn.AGGREGATE(15,6,(ROW(Liste_Ackerkulturen_Gemüse_DropDown[Ackerkulturen])-1)/(--(SEARCH(CQ$2,Liste_Ackerkulturen_Gemüse_DropDown[Ackerkulturen])&gt;0)),ROW()-2),1),"")</f>
        <v>Karotten (Industrie)</v>
      </c>
      <c r="CQ135" s="2464"/>
      <c r="CR135" s="2464" t="str">
        <f>IFERROR(INDEX(Liste_Ackerkulturen_Gemüse_DropDown[Ackerkulturen],_xlfn.AGGREGATE(15,6,(ROW(Liste_Ackerkulturen_Gemüse_DropDown[Ackerkulturen])-1)/(--(SEARCH(CS$2,Liste_Ackerkulturen_Gemüse_DropDown[Ackerkulturen])&gt;0)),ROW()-2),1),"")</f>
        <v>Karotten (Industrie)</v>
      </c>
      <c r="CS135" s="2464"/>
    </row>
    <row r="136" spans="3:255" ht="21" customHeight="1">
      <c r="C136" s="1575" t="s">
        <v>28</v>
      </c>
      <c r="D136" s="1576"/>
      <c r="E136" s="1567" t="s">
        <v>2002</v>
      </c>
      <c r="F136" s="1568">
        <v>80</v>
      </c>
      <c r="G136" s="1568"/>
      <c r="H136" s="1716" t="s">
        <v>29</v>
      </c>
      <c r="I136" s="1718">
        <v>130</v>
      </c>
      <c r="J136" s="1188" t="s">
        <v>1201</v>
      </c>
      <c r="K136" s="1568"/>
      <c r="L136" s="1527">
        <v>30</v>
      </c>
      <c r="M136" s="1528">
        <v>30</v>
      </c>
      <c r="N136" s="1569">
        <v>30</v>
      </c>
      <c r="O136" s="1570">
        <v>25</v>
      </c>
      <c r="P136" s="1568">
        <v>10</v>
      </c>
      <c r="Q136" s="1718">
        <v>20</v>
      </c>
      <c r="R136" s="1568"/>
      <c r="S136" s="1571" t="s">
        <v>1061</v>
      </c>
      <c r="T136" s="1572" t="s">
        <v>1061</v>
      </c>
      <c r="U136" s="1569">
        <v>60</v>
      </c>
      <c r="V136" s="1188">
        <v>50</v>
      </c>
      <c r="W136" s="1573">
        <v>20</v>
      </c>
      <c r="X136" s="1718">
        <v>40</v>
      </c>
      <c r="Y136" s="1574"/>
      <c r="Z136" s="1571" t="s">
        <v>1061</v>
      </c>
      <c r="AA136" s="1572" t="s">
        <v>1061</v>
      </c>
      <c r="AB136" s="1542"/>
      <c r="AC136" s="1542"/>
      <c r="AD136" s="1542"/>
      <c r="AE136" s="1542"/>
      <c r="AF136" s="1279"/>
      <c r="AJ136"/>
      <c r="AK136"/>
      <c r="AL136" s="1542"/>
      <c r="AM136" s="2371" t="s">
        <v>184</v>
      </c>
      <c r="AN136" s="2352">
        <v>180</v>
      </c>
      <c r="AO136" s="2283" t="s">
        <v>181</v>
      </c>
      <c r="AP136" s="2352">
        <v>210</v>
      </c>
      <c r="AQ136" s="2283" t="s">
        <v>182</v>
      </c>
      <c r="AR136" s="2352">
        <v>255</v>
      </c>
      <c r="AS136" s="2283" t="s">
        <v>183</v>
      </c>
      <c r="AT136" s="2348">
        <v>255</v>
      </c>
      <c r="AU136" s="2285" t="s">
        <v>183</v>
      </c>
      <c r="AV136" s="2348">
        <v>255</v>
      </c>
      <c r="AW136" s="2285" t="s">
        <v>183</v>
      </c>
      <c r="AX136" s="2345">
        <v>150</v>
      </c>
      <c r="AY136" s="2278" t="s">
        <v>182</v>
      </c>
      <c r="AZ136" s="2350">
        <v>188</v>
      </c>
      <c r="BA136" s="2303" t="s">
        <v>2340</v>
      </c>
      <c r="BE136" s="2371" t="s">
        <v>184</v>
      </c>
      <c r="BF136" s="577">
        <v>40</v>
      </c>
      <c r="BG136" s="577">
        <v>50</v>
      </c>
      <c r="BH136" s="577">
        <v>65</v>
      </c>
      <c r="BJ136" s="2371" t="s">
        <v>184</v>
      </c>
      <c r="BK136" s="578">
        <v>200</v>
      </c>
      <c r="BL136" s="577">
        <v>250</v>
      </c>
      <c r="BM136" s="577">
        <v>315</v>
      </c>
      <c r="BP136" s="524"/>
      <c r="BQ136" s="524"/>
      <c r="BR136" s="524"/>
      <c r="BS136" s="2461" t="s">
        <v>186</v>
      </c>
      <c r="BT136" s="2463" t="str">
        <f>IFERROR(INDEX(Liste_Ackerkulturen_Gemüse_DropDown[Ackerkulturen],_xlfn.AGGREGATE(15,6,(ROW(Liste_Ackerkulturen_Gemüse_DropDown[Ackerkulturen])-1)/(--(SEARCH(BU$2,Liste_Ackerkulturen_Gemüse_DropDown[Ackerkulturen])&gt;0)),ROW()-2),1),"")</f>
        <v>Karotten (Lager)</v>
      </c>
      <c r="BU136" s="2463"/>
      <c r="BV136" s="2463" t="str">
        <f>IFERROR(INDEX(Liste_Ackerkulturen_Gemüse_DropDown[Ackerkulturen],_xlfn.AGGREGATE(15,6,(ROW(Liste_Ackerkulturen_Gemüse_DropDown[Ackerkulturen])-1)/(--(SEARCH(BW$2,Liste_Ackerkulturen_Gemüse_DropDown[Ackerkulturen])&gt;0)),ROW()-2),1),"")</f>
        <v>Karotten (Lager)</v>
      </c>
      <c r="BW136" s="2463"/>
      <c r="BX136" s="2463" t="str">
        <f>IFERROR(INDEX(Liste_Ackerkulturen_Gemüse_DropDown[Ackerkulturen],_xlfn.AGGREGATE(15,6,(ROW(Liste_Ackerkulturen_Gemüse_DropDown[Ackerkulturen])-1)/(--(SEARCH(BY$2,Liste_Ackerkulturen_Gemüse_DropDown[Ackerkulturen])&gt;0)),ROW()-2),1),"")</f>
        <v>Karotten (Lager)</v>
      </c>
      <c r="BY136" s="2463"/>
      <c r="BZ136" s="2463" t="str">
        <f>IFERROR(INDEX(Liste_Ackerkulturen_Gemüse_DropDown[Ackerkulturen],_xlfn.AGGREGATE(15,6,(ROW(Liste_Ackerkulturen_Gemüse_DropDown[Ackerkulturen])-1)/(--(SEARCH(CA$2,Liste_Ackerkulturen_Gemüse_DropDown[Ackerkulturen])&gt;0)),ROW()-2),1),"")</f>
        <v>Karotten (Lager)</v>
      </c>
      <c r="CA136" s="2463"/>
      <c r="CB136" s="2463" t="str">
        <f>IFERROR(INDEX(Liste_Ackerkulturen_Gemüse_DropDown[Ackerkulturen],_xlfn.AGGREGATE(15,6,(ROW(Liste_Ackerkulturen_Gemüse_DropDown[Ackerkulturen])-1)/(--(SEARCH(CC$2,Liste_Ackerkulturen_Gemüse_DropDown[Ackerkulturen])&gt;0)),ROW()-2),1),"")</f>
        <v>Karotten (Lager)</v>
      </c>
      <c r="CC136" s="2463"/>
      <c r="CD136" s="2464" t="str">
        <f>IFERROR(INDEX(Liste_Ackerkulturen_Gemüse_DropDown[Ackerkulturen],_xlfn.AGGREGATE(15,6,(ROW(Liste_Ackerkulturen_Gemüse_DropDown[Ackerkulturen])-1)/(--(SEARCH(CE$2,Liste_Ackerkulturen_Gemüse_DropDown[Ackerkulturen])&gt;0)),ROW()-2),1),"")</f>
        <v>Karotten (Lager)</v>
      </c>
      <c r="CE136" s="2464"/>
      <c r="CF136" s="2464" t="str">
        <f>IFERROR(INDEX(Liste_Ackerkulturen_Gemüse_DropDown[Ackerkulturen],_xlfn.AGGREGATE(15,6,(ROW(Liste_Ackerkulturen_Gemüse_DropDown[Ackerkulturen])-1)/(--(SEARCH(CG$2,Liste_Ackerkulturen_Gemüse_DropDown[Ackerkulturen])&gt;0)),ROW()-2),1),"")</f>
        <v>Karotten (Lager)</v>
      </c>
      <c r="CG136" s="2464"/>
      <c r="CH136" s="2464" t="str">
        <f>IFERROR(INDEX(Liste_Ackerkulturen_Gemüse_DropDown[Ackerkulturen],_xlfn.AGGREGATE(15,6,(ROW(Liste_Ackerkulturen_Gemüse_DropDown[Ackerkulturen])-1)/(--(SEARCH(CI$2,Liste_Ackerkulturen_Gemüse_DropDown[Ackerkulturen])&gt;0)),ROW()-2),1),"")</f>
        <v>Karotten (Lager)</v>
      </c>
      <c r="CI136" s="2464"/>
      <c r="CJ136" s="2464" t="str">
        <f>IFERROR(INDEX(Liste_Ackerkulturen_Gemüse_DropDown[Ackerkulturen],_xlfn.AGGREGATE(15,6,(ROW(Liste_Ackerkulturen_Gemüse_DropDown[Ackerkulturen])-1)/(--(SEARCH(CK$2,Liste_Ackerkulturen_Gemüse_DropDown[Ackerkulturen])&gt;0)),ROW()-2),1),"")</f>
        <v>Karotten (Lager)</v>
      </c>
      <c r="CK136" s="2464"/>
      <c r="CL136" s="2464" t="str">
        <f>IFERROR(INDEX(Liste_Ackerkulturen_Gemüse_DropDown[Ackerkulturen],_xlfn.AGGREGATE(15,6,(ROW(Liste_Ackerkulturen_Gemüse_DropDown[Ackerkulturen])-1)/(--(SEARCH(CM$2,Liste_Ackerkulturen_Gemüse_DropDown[Ackerkulturen])&gt;0)),ROW()-2),1),"")</f>
        <v>Karotten (Lager)</v>
      </c>
      <c r="CM136" s="2464"/>
      <c r="CN136" s="2464" t="str">
        <f>IFERROR(INDEX(Liste_Ackerkulturen_Gemüse_DropDown[Ackerkulturen],_xlfn.AGGREGATE(15,6,(ROW(Liste_Ackerkulturen_Gemüse_DropDown[Ackerkulturen])-1)/(--(SEARCH(CO$2,Liste_Ackerkulturen_Gemüse_DropDown[Ackerkulturen])&gt;0)),ROW()-2),1),"")</f>
        <v>Karotten (Lager)</v>
      </c>
      <c r="CO136" s="2464"/>
      <c r="CP136" s="2464" t="str">
        <f>IFERROR(INDEX(Liste_Ackerkulturen_Gemüse_DropDown[Ackerkulturen],_xlfn.AGGREGATE(15,6,(ROW(Liste_Ackerkulturen_Gemüse_DropDown[Ackerkulturen])-1)/(--(SEARCH(CQ$2,Liste_Ackerkulturen_Gemüse_DropDown[Ackerkulturen])&gt;0)),ROW()-2),1),"")</f>
        <v>Karotten (Lager)</v>
      </c>
      <c r="CQ136" s="2464"/>
      <c r="CR136" s="2464" t="str">
        <f>IFERROR(INDEX(Liste_Ackerkulturen_Gemüse_DropDown[Ackerkulturen],_xlfn.AGGREGATE(15,6,(ROW(Liste_Ackerkulturen_Gemüse_DropDown[Ackerkulturen])-1)/(--(SEARCH(CS$2,Liste_Ackerkulturen_Gemüse_DropDown[Ackerkulturen])&gt;0)),ROW()-2),1),"")</f>
        <v>Karotten (Lager)</v>
      </c>
      <c r="CS136" s="2464"/>
    </row>
    <row r="137" spans="3:255" ht="21" customHeight="1">
      <c r="C137" s="1575" t="s">
        <v>30</v>
      </c>
      <c r="D137" s="1576"/>
      <c r="E137" s="1567" t="s">
        <v>24</v>
      </c>
      <c r="F137" s="1568">
        <v>60</v>
      </c>
      <c r="G137" s="1568"/>
      <c r="H137" s="1716" t="s">
        <v>29</v>
      </c>
      <c r="I137" s="1718">
        <v>100</v>
      </c>
      <c r="J137" s="1188" t="s">
        <v>1201</v>
      </c>
      <c r="K137" s="1568"/>
      <c r="L137" s="1527">
        <v>30</v>
      </c>
      <c r="M137" s="1528">
        <v>30</v>
      </c>
      <c r="N137" s="1569">
        <v>30</v>
      </c>
      <c r="O137" s="1570">
        <v>25</v>
      </c>
      <c r="P137" s="1568">
        <v>10</v>
      </c>
      <c r="Q137" s="1718">
        <v>20</v>
      </c>
      <c r="R137" s="1568"/>
      <c r="S137" s="1571" t="s">
        <v>1061</v>
      </c>
      <c r="T137" s="1572" t="s">
        <v>1061</v>
      </c>
      <c r="U137" s="1569">
        <v>60</v>
      </c>
      <c r="V137" s="1188">
        <v>50</v>
      </c>
      <c r="W137" s="1573">
        <v>20</v>
      </c>
      <c r="X137" s="1718">
        <v>40</v>
      </c>
      <c r="Y137" s="1574"/>
      <c r="Z137" s="1571" t="s">
        <v>1061</v>
      </c>
      <c r="AA137" s="1572" t="s">
        <v>1061</v>
      </c>
      <c r="AB137" s="1542"/>
      <c r="AC137" s="1542"/>
      <c r="AD137" s="1542"/>
      <c r="AE137" s="1542"/>
      <c r="AF137" s="1279"/>
      <c r="AJ137"/>
      <c r="AK137"/>
      <c r="AL137" s="1542"/>
      <c r="AM137" s="2371" t="s">
        <v>185</v>
      </c>
      <c r="AN137" s="2352">
        <v>180</v>
      </c>
      <c r="AO137" s="2283" t="s">
        <v>181</v>
      </c>
      <c r="AP137" s="2352">
        <v>210</v>
      </c>
      <c r="AQ137" s="2283" t="s">
        <v>182</v>
      </c>
      <c r="AR137" s="2352">
        <v>255</v>
      </c>
      <c r="AS137" s="2283" t="s">
        <v>183</v>
      </c>
      <c r="AT137" s="2348">
        <v>255</v>
      </c>
      <c r="AU137" s="2285" t="s">
        <v>183</v>
      </c>
      <c r="AV137" s="2348">
        <v>255</v>
      </c>
      <c r="AW137" s="2285" t="s">
        <v>183</v>
      </c>
      <c r="AX137" s="2345">
        <v>150</v>
      </c>
      <c r="AY137" s="2278" t="s">
        <v>182</v>
      </c>
      <c r="AZ137" s="2350">
        <v>188</v>
      </c>
      <c r="BA137" s="2303" t="s">
        <v>2340</v>
      </c>
      <c r="BE137" s="2371" t="s">
        <v>185</v>
      </c>
      <c r="BF137" s="577">
        <v>40</v>
      </c>
      <c r="BG137" s="577">
        <v>50</v>
      </c>
      <c r="BH137" s="577">
        <v>65</v>
      </c>
      <c r="BJ137" s="2371" t="s">
        <v>185</v>
      </c>
      <c r="BK137" s="578">
        <v>200</v>
      </c>
      <c r="BL137" s="577">
        <v>250</v>
      </c>
      <c r="BM137" s="577">
        <v>315</v>
      </c>
      <c r="BP137" s="524"/>
      <c r="BQ137" s="524"/>
      <c r="BR137" s="524"/>
      <c r="BS137" s="2461" t="s">
        <v>187</v>
      </c>
      <c r="BT137" s="2463" t="str">
        <f>IFERROR(INDEX(Liste_Ackerkulturen_Gemüse_DropDown[Ackerkulturen],_xlfn.AGGREGATE(15,6,(ROW(Liste_Ackerkulturen_Gemüse_DropDown[Ackerkulturen])-1)/(--(SEARCH(BU$2,Liste_Ackerkulturen_Gemüse_DropDown[Ackerkulturen])&gt;0)),ROW()-2),1),"")</f>
        <v>Kerbel</v>
      </c>
      <c r="BU137" s="2463"/>
      <c r="BV137" s="2463" t="str">
        <f>IFERROR(INDEX(Liste_Ackerkulturen_Gemüse_DropDown[Ackerkulturen],_xlfn.AGGREGATE(15,6,(ROW(Liste_Ackerkulturen_Gemüse_DropDown[Ackerkulturen])-1)/(--(SEARCH(BW$2,Liste_Ackerkulturen_Gemüse_DropDown[Ackerkulturen])&gt;0)),ROW()-2),1),"")</f>
        <v>Kerbel</v>
      </c>
      <c r="BW137" s="2463"/>
      <c r="BX137" s="2463" t="str">
        <f>IFERROR(INDEX(Liste_Ackerkulturen_Gemüse_DropDown[Ackerkulturen],_xlfn.AGGREGATE(15,6,(ROW(Liste_Ackerkulturen_Gemüse_DropDown[Ackerkulturen])-1)/(--(SEARCH(BY$2,Liste_Ackerkulturen_Gemüse_DropDown[Ackerkulturen])&gt;0)),ROW()-2),1),"")</f>
        <v>Kerbel</v>
      </c>
      <c r="BY137" s="2463"/>
      <c r="BZ137" s="2463" t="str">
        <f>IFERROR(INDEX(Liste_Ackerkulturen_Gemüse_DropDown[Ackerkulturen],_xlfn.AGGREGATE(15,6,(ROW(Liste_Ackerkulturen_Gemüse_DropDown[Ackerkulturen])-1)/(--(SEARCH(CA$2,Liste_Ackerkulturen_Gemüse_DropDown[Ackerkulturen])&gt;0)),ROW()-2),1),"")</f>
        <v>Kerbel</v>
      </c>
      <c r="CA137" s="2463"/>
      <c r="CB137" s="2463" t="str">
        <f>IFERROR(INDEX(Liste_Ackerkulturen_Gemüse_DropDown[Ackerkulturen],_xlfn.AGGREGATE(15,6,(ROW(Liste_Ackerkulturen_Gemüse_DropDown[Ackerkulturen])-1)/(--(SEARCH(CC$2,Liste_Ackerkulturen_Gemüse_DropDown[Ackerkulturen])&gt;0)),ROW()-2),1),"")</f>
        <v>Kerbel</v>
      </c>
      <c r="CC137" s="2463"/>
      <c r="CD137" s="2464" t="str">
        <f>IFERROR(INDEX(Liste_Ackerkulturen_Gemüse_DropDown[Ackerkulturen],_xlfn.AGGREGATE(15,6,(ROW(Liste_Ackerkulturen_Gemüse_DropDown[Ackerkulturen])-1)/(--(SEARCH(CE$2,Liste_Ackerkulturen_Gemüse_DropDown[Ackerkulturen])&gt;0)),ROW()-2),1),"")</f>
        <v>Kerbel</v>
      </c>
      <c r="CE137" s="2464"/>
      <c r="CF137" s="2464" t="str">
        <f>IFERROR(INDEX(Liste_Ackerkulturen_Gemüse_DropDown[Ackerkulturen],_xlfn.AGGREGATE(15,6,(ROW(Liste_Ackerkulturen_Gemüse_DropDown[Ackerkulturen])-1)/(--(SEARCH(CG$2,Liste_Ackerkulturen_Gemüse_DropDown[Ackerkulturen])&gt;0)),ROW()-2),1),"")</f>
        <v>Kerbel</v>
      </c>
      <c r="CG137" s="2464"/>
      <c r="CH137" s="2464" t="str">
        <f>IFERROR(INDEX(Liste_Ackerkulturen_Gemüse_DropDown[Ackerkulturen],_xlfn.AGGREGATE(15,6,(ROW(Liste_Ackerkulturen_Gemüse_DropDown[Ackerkulturen])-1)/(--(SEARCH(CI$2,Liste_Ackerkulturen_Gemüse_DropDown[Ackerkulturen])&gt;0)),ROW()-2),1),"")</f>
        <v>Kerbel</v>
      </c>
      <c r="CI137" s="2464"/>
      <c r="CJ137" s="2464" t="str">
        <f>IFERROR(INDEX(Liste_Ackerkulturen_Gemüse_DropDown[Ackerkulturen],_xlfn.AGGREGATE(15,6,(ROW(Liste_Ackerkulturen_Gemüse_DropDown[Ackerkulturen])-1)/(--(SEARCH(CK$2,Liste_Ackerkulturen_Gemüse_DropDown[Ackerkulturen])&gt;0)),ROW()-2),1),"")</f>
        <v>Kerbel</v>
      </c>
      <c r="CK137" s="2464"/>
      <c r="CL137" s="2464" t="str">
        <f>IFERROR(INDEX(Liste_Ackerkulturen_Gemüse_DropDown[Ackerkulturen],_xlfn.AGGREGATE(15,6,(ROW(Liste_Ackerkulturen_Gemüse_DropDown[Ackerkulturen])-1)/(--(SEARCH(CM$2,Liste_Ackerkulturen_Gemüse_DropDown[Ackerkulturen])&gt;0)),ROW()-2),1),"")</f>
        <v>Kerbel</v>
      </c>
      <c r="CM137" s="2464"/>
      <c r="CN137" s="2464" t="str">
        <f>IFERROR(INDEX(Liste_Ackerkulturen_Gemüse_DropDown[Ackerkulturen],_xlfn.AGGREGATE(15,6,(ROW(Liste_Ackerkulturen_Gemüse_DropDown[Ackerkulturen])-1)/(--(SEARCH(CO$2,Liste_Ackerkulturen_Gemüse_DropDown[Ackerkulturen])&gt;0)),ROW()-2),1),"")</f>
        <v>Kerbel</v>
      </c>
      <c r="CO137" s="2464"/>
      <c r="CP137" s="2464" t="str">
        <f>IFERROR(INDEX(Liste_Ackerkulturen_Gemüse_DropDown[Ackerkulturen],_xlfn.AGGREGATE(15,6,(ROW(Liste_Ackerkulturen_Gemüse_DropDown[Ackerkulturen])-1)/(--(SEARCH(CQ$2,Liste_Ackerkulturen_Gemüse_DropDown[Ackerkulturen])&gt;0)),ROW()-2),1),"")</f>
        <v>Kerbel</v>
      </c>
      <c r="CQ137" s="2464"/>
      <c r="CR137" s="2464" t="str">
        <f>IFERROR(INDEX(Liste_Ackerkulturen_Gemüse_DropDown[Ackerkulturen],_xlfn.AGGREGATE(15,6,(ROW(Liste_Ackerkulturen_Gemüse_DropDown[Ackerkulturen])-1)/(--(SEARCH(CS$2,Liste_Ackerkulturen_Gemüse_DropDown[Ackerkulturen])&gt;0)),ROW()-2),1),"")</f>
        <v>Kerbel</v>
      </c>
      <c r="CS137" s="2464"/>
    </row>
    <row r="138" spans="3:255" ht="21" customHeight="1">
      <c r="C138" s="1575" t="s">
        <v>1848</v>
      </c>
      <c r="D138" s="1576"/>
      <c r="E138" s="1567" t="s">
        <v>448</v>
      </c>
      <c r="F138" s="1568">
        <v>20</v>
      </c>
      <c r="G138" s="1568"/>
      <c r="H138" s="1716" t="s">
        <v>31</v>
      </c>
      <c r="I138" s="1718">
        <v>30</v>
      </c>
      <c r="J138" s="1188" t="s">
        <v>1201</v>
      </c>
      <c r="K138" s="1568">
        <v>30</v>
      </c>
      <c r="L138" s="1527">
        <v>30</v>
      </c>
      <c r="M138" s="1528">
        <v>30</v>
      </c>
      <c r="N138" s="1569">
        <v>45</v>
      </c>
      <c r="O138" s="1570">
        <v>40</v>
      </c>
      <c r="P138" s="1568">
        <v>15</v>
      </c>
      <c r="Q138" s="1718">
        <v>30</v>
      </c>
      <c r="R138" s="1568"/>
      <c r="S138" s="1571" t="s">
        <v>1061</v>
      </c>
      <c r="T138" s="1572" t="s">
        <v>1061</v>
      </c>
      <c r="U138" s="1569">
        <v>120</v>
      </c>
      <c r="V138" s="1188">
        <v>100</v>
      </c>
      <c r="W138" s="1573">
        <v>45</v>
      </c>
      <c r="X138" s="1718">
        <v>80</v>
      </c>
      <c r="Y138" s="1574"/>
      <c r="Z138" s="1571" t="s">
        <v>1061</v>
      </c>
      <c r="AA138" s="1572" t="s">
        <v>1061</v>
      </c>
      <c r="AB138" s="1542"/>
      <c r="AC138" s="1542"/>
      <c r="AD138" s="1542"/>
      <c r="AE138" s="1542"/>
      <c r="AF138" s="1279"/>
      <c r="AJ138"/>
      <c r="AK138"/>
      <c r="AL138" s="1542"/>
      <c r="AM138" s="2371" t="s">
        <v>186</v>
      </c>
      <c r="AN138" s="2352">
        <v>105</v>
      </c>
      <c r="AO138" s="2283" t="s">
        <v>462</v>
      </c>
      <c r="AP138" s="2352">
        <v>120</v>
      </c>
      <c r="AQ138" s="2283" t="s">
        <v>463</v>
      </c>
      <c r="AR138" s="2352">
        <v>140</v>
      </c>
      <c r="AS138" s="2283" t="s">
        <v>464</v>
      </c>
      <c r="AT138" s="2348">
        <v>140</v>
      </c>
      <c r="AU138" s="2285" t="s">
        <v>464</v>
      </c>
      <c r="AV138" s="2348">
        <v>140</v>
      </c>
      <c r="AW138" s="2285" t="s">
        <v>464</v>
      </c>
      <c r="AX138" s="2345">
        <v>120</v>
      </c>
      <c r="AY138" s="2278" t="s">
        <v>463</v>
      </c>
      <c r="AZ138" s="2350">
        <v>150</v>
      </c>
      <c r="BA138" s="2303" t="s">
        <v>2324</v>
      </c>
      <c r="BE138" s="2371" t="s">
        <v>186</v>
      </c>
      <c r="BF138" s="577">
        <v>25</v>
      </c>
      <c r="BG138" s="577">
        <v>30</v>
      </c>
      <c r="BH138" s="577">
        <v>40</v>
      </c>
      <c r="BJ138" s="2371" t="s">
        <v>186</v>
      </c>
      <c r="BK138" s="578">
        <v>150</v>
      </c>
      <c r="BL138" s="577">
        <v>190</v>
      </c>
      <c r="BM138" s="577">
        <v>240</v>
      </c>
      <c r="BP138" s="524"/>
      <c r="BQ138" s="524"/>
      <c r="BR138" s="524"/>
      <c r="BS138" s="2461" t="s">
        <v>189</v>
      </c>
      <c r="BT138" s="2463" t="str">
        <f>IFERROR(INDEX(Liste_Ackerkulturen_Gemüse_DropDown[Ackerkulturen],_xlfn.AGGREGATE(15,6,(ROW(Liste_Ackerkulturen_Gemüse_DropDown[Ackerkulturen])-1)/(--(SEARCH(BU$2,Liste_Ackerkulturen_Gemüse_DropDown[Ackerkulturen])&gt;0)),ROW()-2),1),"")</f>
        <v>Knoblauch (Frühjahr)</v>
      </c>
      <c r="BU138" s="2463"/>
      <c r="BV138" s="2463" t="str">
        <f>IFERROR(INDEX(Liste_Ackerkulturen_Gemüse_DropDown[Ackerkulturen],_xlfn.AGGREGATE(15,6,(ROW(Liste_Ackerkulturen_Gemüse_DropDown[Ackerkulturen])-1)/(--(SEARCH(BW$2,Liste_Ackerkulturen_Gemüse_DropDown[Ackerkulturen])&gt;0)),ROW()-2),1),"")</f>
        <v>Knoblauch (Frühjahr)</v>
      </c>
      <c r="BW138" s="2463"/>
      <c r="BX138" s="2463" t="str">
        <f>IFERROR(INDEX(Liste_Ackerkulturen_Gemüse_DropDown[Ackerkulturen],_xlfn.AGGREGATE(15,6,(ROW(Liste_Ackerkulturen_Gemüse_DropDown[Ackerkulturen])-1)/(--(SEARCH(BY$2,Liste_Ackerkulturen_Gemüse_DropDown[Ackerkulturen])&gt;0)),ROW()-2),1),"")</f>
        <v>Knoblauch (Frühjahr)</v>
      </c>
      <c r="BY138" s="2463"/>
      <c r="BZ138" s="2463" t="str">
        <f>IFERROR(INDEX(Liste_Ackerkulturen_Gemüse_DropDown[Ackerkulturen],_xlfn.AGGREGATE(15,6,(ROW(Liste_Ackerkulturen_Gemüse_DropDown[Ackerkulturen])-1)/(--(SEARCH(CA$2,Liste_Ackerkulturen_Gemüse_DropDown[Ackerkulturen])&gt;0)),ROW()-2),1),"")</f>
        <v>Knoblauch (Frühjahr)</v>
      </c>
      <c r="CA138" s="2463"/>
      <c r="CB138" s="2463" t="str">
        <f>IFERROR(INDEX(Liste_Ackerkulturen_Gemüse_DropDown[Ackerkulturen],_xlfn.AGGREGATE(15,6,(ROW(Liste_Ackerkulturen_Gemüse_DropDown[Ackerkulturen])-1)/(--(SEARCH(CC$2,Liste_Ackerkulturen_Gemüse_DropDown[Ackerkulturen])&gt;0)),ROW()-2),1),"")</f>
        <v>Knoblauch (Frühjahr)</v>
      </c>
      <c r="CC138" s="2463"/>
      <c r="CD138" s="2464" t="str">
        <f>IFERROR(INDEX(Liste_Ackerkulturen_Gemüse_DropDown[Ackerkulturen],_xlfn.AGGREGATE(15,6,(ROW(Liste_Ackerkulturen_Gemüse_DropDown[Ackerkulturen])-1)/(--(SEARCH(CE$2,Liste_Ackerkulturen_Gemüse_DropDown[Ackerkulturen])&gt;0)),ROW()-2),1),"")</f>
        <v>Knoblauch (Frühjahr)</v>
      </c>
      <c r="CE138" s="2464"/>
      <c r="CF138" s="2464" t="str">
        <f>IFERROR(INDEX(Liste_Ackerkulturen_Gemüse_DropDown[Ackerkulturen],_xlfn.AGGREGATE(15,6,(ROW(Liste_Ackerkulturen_Gemüse_DropDown[Ackerkulturen])-1)/(--(SEARCH(CG$2,Liste_Ackerkulturen_Gemüse_DropDown[Ackerkulturen])&gt;0)),ROW()-2),1),"")</f>
        <v>Knoblauch (Frühjahr)</v>
      </c>
      <c r="CG138" s="2464"/>
      <c r="CH138" s="2464" t="str">
        <f>IFERROR(INDEX(Liste_Ackerkulturen_Gemüse_DropDown[Ackerkulturen],_xlfn.AGGREGATE(15,6,(ROW(Liste_Ackerkulturen_Gemüse_DropDown[Ackerkulturen])-1)/(--(SEARCH(CI$2,Liste_Ackerkulturen_Gemüse_DropDown[Ackerkulturen])&gt;0)),ROW()-2),1),"")</f>
        <v>Knoblauch (Frühjahr)</v>
      </c>
      <c r="CI138" s="2464"/>
      <c r="CJ138" s="2464" t="str">
        <f>IFERROR(INDEX(Liste_Ackerkulturen_Gemüse_DropDown[Ackerkulturen],_xlfn.AGGREGATE(15,6,(ROW(Liste_Ackerkulturen_Gemüse_DropDown[Ackerkulturen])-1)/(--(SEARCH(CK$2,Liste_Ackerkulturen_Gemüse_DropDown[Ackerkulturen])&gt;0)),ROW()-2),1),"")</f>
        <v>Knoblauch (Frühjahr)</v>
      </c>
      <c r="CK138" s="2464"/>
      <c r="CL138" s="2464" t="str">
        <f>IFERROR(INDEX(Liste_Ackerkulturen_Gemüse_DropDown[Ackerkulturen],_xlfn.AGGREGATE(15,6,(ROW(Liste_Ackerkulturen_Gemüse_DropDown[Ackerkulturen])-1)/(--(SEARCH(CM$2,Liste_Ackerkulturen_Gemüse_DropDown[Ackerkulturen])&gt;0)),ROW()-2),1),"")</f>
        <v>Knoblauch (Frühjahr)</v>
      </c>
      <c r="CM138" s="2464"/>
      <c r="CN138" s="2464" t="str">
        <f>IFERROR(INDEX(Liste_Ackerkulturen_Gemüse_DropDown[Ackerkulturen],_xlfn.AGGREGATE(15,6,(ROW(Liste_Ackerkulturen_Gemüse_DropDown[Ackerkulturen])-1)/(--(SEARCH(CO$2,Liste_Ackerkulturen_Gemüse_DropDown[Ackerkulturen])&gt;0)),ROW()-2),1),"")</f>
        <v>Knoblauch (Frühjahr)</v>
      </c>
      <c r="CO138" s="2464"/>
      <c r="CP138" s="2464" t="str">
        <f>IFERROR(INDEX(Liste_Ackerkulturen_Gemüse_DropDown[Ackerkulturen],_xlfn.AGGREGATE(15,6,(ROW(Liste_Ackerkulturen_Gemüse_DropDown[Ackerkulturen])-1)/(--(SEARCH(CQ$2,Liste_Ackerkulturen_Gemüse_DropDown[Ackerkulturen])&gt;0)),ROW()-2),1),"")</f>
        <v>Knoblauch (Frühjahr)</v>
      </c>
      <c r="CQ138" s="2464"/>
      <c r="CR138" s="2464" t="str">
        <f>IFERROR(INDEX(Liste_Ackerkulturen_Gemüse_DropDown[Ackerkulturen],_xlfn.AGGREGATE(15,6,(ROW(Liste_Ackerkulturen_Gemüse_DropDown[Ackerkulturen])-1)/(--(SEARCH(CS$2,Liste_Ackerkulturen_Gemüse_DropDown[Ackerkulturen])&gt;0)),ROW()-2),1),"")</f>
        <v>Knoblauch (Frühjahr)</v>
      </c>
      <c r="CS138" s="2464"/>
    </row>
    <row r="139" spans="3:255" ht="21" customHeight="1">
      <c r="C139" s="1575" t="s">
        <v>32</v>
      </c>
      <c r="D139" s="1576"/>
      <c r="E139" s="1567" t="s">
        <v>1201</v>
      </c>
      <c r="F139" s="1568">
        <v>0</v>
      </c>
      <c r="G139" s="1568"/>
      <c r="H139" s="1716" t="s">
        <v>1201</v>
      </c>
      <c r="I139" s="1718">
        <v>0</v>
      </c>
      <c r="J139" s="1188" t="s">
        <v>1201</v>
      </c>
      <c r="K139" s="1568">
        <v>0</v>
      </c>
      <c r="L139" s="1527">
        <v>0</v>
      </c>
      <c r="M139" s="1528">
        <v>0</v>
      </c>
      <c r="N139" s="1569">
        <v>0</v>
      </c>
      <c r="O139" s="1570">
        <v>0</v>
      </c>
      <c r="P139" s="1568">
        <v>0</v>
      </c>
      <c r="Q139" s="1718">
        <v>0</v>
      </c>
      <c r="R139" s="1568">
        <v>0</v>
      </c>
      <c r="S139" s="1571" t="s">
        <v>1201</v>
      </c>
      <c r="T139" s="1572" t="s">
        <v>1201</v>
      </c>
      <c r="U139" s="1569">
        <v>0</v>
      </c>
      <c r="V139" s="1188">
        <v>0</v>
      </c>
      <c r="W139" s="1573">
        <v>0</v>
      </c>
      <c r="X139" s="1718">
        <v>0</v>
      </c>
      <c r="Y139" s="1574">
        <v>0</v>
      </c>
      <c r="Z139" s="1571" t="s">
        <v>1201</v>
      </c>
      <c r="AA139" s="1572" t="s">
        <v>1201</v>
      </c>
      <c r="AB139" s="1542"/>
      <c r="AC139" s="1542"/>
      <c r="AD139" s="1542"/>
      <c r="AE139" s="1542"/>
      <c r="AF139" s="1279"/>
      <c r="AJ139"/>
      <c r="AK139"/>
      <c r="AL139" s="1542"/>
      <c r="AM139" s="2371" t="s">
        <v>187</v>
      </c>
      <c r="AN139" s="2352">
        <v>80</v>
      </c>
      <c r="AO139" s="2283" t="s">
        <v>1957</v>
      </c>
      <c r="AP139" s="2352">
        <v>95</v>
      </c>
      <c r="AQ139" s="2283" t="s">
        <v>188</v>
      </c>
      <c r="AR139" s="2352">
        <v>115</v>
      </c>
      <c r="AS139" s="2283" t="s">
        <v>166</v>
      </c>
      <c r="AT139" s="2348">
        <v>115</v>
      </c>
      <c r="AU139" s="2285" t="s">
        <v>166</v>
      </c>
      <c r="AV139" s="2348">
        <v>115</v>
      </c>
      <c r="AW139" s="2285" t="s">
        <v>166</v>
      </c>
      <c r="AX139" s="2345">
        <v>75</v>
      </c>
      <c r="AY139" s="2278" t="s">
        <v>188</v>
      </c>
      <c r="AZ139" s="2350">
        <v>94</v>
      </c>
      <c r="BA139" s="2303" t="s">
        <v>2331</v>
      </c>
      <c r="BE139" s="2371" t="s">
        <v>187</v>
      </c>
      <c r="BF139" s="577">
        <v>25</v>
      </c>
      <c r="BG139" s="577">
        <v>30</v>
      </c>
      <c r="BH139" s="577">
        <v>40</v>
      </c>
      <c r="BJ139" s="2371" t="s">
        <v>187</v>
      </c>
      <c r="BK139" s="578">
        <v>65</v>
      </c>
      <c r="BL139" s="577">
        <v>80</v>
      </c>
      <c r="BM139" s="577">
        <v>100</v>
      </c>
      <c r="BP139" s="524"/>
      <c r="BQ139" s="524"/>
      <c r="BR139" s="524"/>
      <c r="BS139" s="2461" t="s">
        <v>193</v>
      </c>
      <c r="BT139" s="2463" t="str">
        <f>IFERROR(INDEX(Liste_Ackerkulturen_Gemüse_DropDown[Ackerkulturen],_xlfn.AGGREGATE(15,6,(ROW(Liste_Ackerkulturen_Gemüse_DropDown[Ackerkulturen])-1)/(--(SEARCH(BU$2,Liste_Ackerkulturen_Gemüse_DropDown[Ackerkulturen])&gt;0)),ROW()-2),1),"")</f>
        <v>Knoblauch (Herbst)</v>
      </c>
      <c r="BU139" s="2463"/>
      <c r="BV139" s="2463" t="str">
        <f>IFERROR(INDEX(Liste_Ackerkulturen_Gemüse_DropDown[Ackerkulturen],_xlfn.AGGREGATE(15,6,(ROW(Liste_Ackerkulturen_Gemüse_DropDown[Ackerkulturen])-1)/(--(SEARCH(BW$2,Liste_Ackerkulturen_Gemüse_DropDown[Ackerkulturen])&gt;0)),ROW()-2),1),"")</f>
        <v>Knoblauch (Herbst)</v>
      </c>
      <c r="BW139" s="2463"/>
      <c r="BX139" s="2463" t="str">
        <f>IFERROR(INDEX(Liste_Ackerkulturen_Gemüse_DropDown[Ackerkulturen],_xlfn.AGGREGATE(15,6,(ROW(Liste_Ackerkulturen_Gemüse_DropDown[Ackerkulturen])-1)/(--(SEARCH(BY$2,Liste_Ackerkulturen_Gemüse_DropDown[Ackerkulturen])&gt;0)),ROW()-2),1),"")</f>
        <v>Knoblauch (Herbst)</v>
      </c>
      <c r="BY139" s="2463"/>
      <c r="BZ139" s="2463" t="str">
        <f>IFERROR(INDEX(Liste_Ackerkulturen_Gemüse_DropDown[Ackerkulturen],_xlfn.AGGREGATE(15,6,(ROW(Liste_Ackerkulturen_Gemüse_DropDown[Ackerkulturen])-1)/(--(SEARCH(CA$2,Liste_Ackerkulturen_Gemüse_DropDown[Ackerkulturen])&gt;0)),ROW()-2),1),"")</f>
        <v>Knoblauch (Herbst)</v>
      </c>
      <c r="CA139" s="2463"/>
      <c r="CB139" s="2463" t="str">
        <f>IFERROR(INDEX(Liste_Ackerkulturen_Gemüse_DropDown[Ackerkulturen],_xlfn.AGGREGATE(15,6,(ROW(Liste_Ackerkulturen_Gemüse_DropDown[Ackerkulturen])-1)/(--(SEARCH(CC$2,Liste_Ackerkulturen_Gemüse_DropDown[Ackerkulturen])&gt;0)),ROW()-2),1),"")</f>
        <v>Knoblauch (Herbst)</v>
      </c>
      <c r="CC139" s="2463"/>
      <c r="CD139" s="2464" t="str">
        <f>IFERROR(INDEX(Liste_Ackerkulturen_Gemüse_DropDown[Ackerkulturen],_xlfn.AGGREGATE(15,6,(ROW(Liste_Ackerkulturen_Gemüse_DropDown[Ackerkulturen])-1)/(--(SEARCH(CE$2,Liste_Ackerkulturen_Gemüse_DropDown[Ackerkulturen])&gt;0)),ROW()-2),1),"")</f>
        <v>Knoblauch (Herbst)</v>
      </c>
      <c r="CE139" s="2464"/>
      <c r="CF139" s="2464" t="str">
        <f>IFERROR(INDEX(Liste_Ackerkulturen_Gemüse_DropDown[Ackerkulturen],_xlfn.AGGREGATE(15,6,(ROW(Liste_Ackerkulturen_Gemüse_DropDown[Ackerkulturen])-1)/(--(SEARCH(CG$2,Liste_Ackerkulturen_Gemüse_DropDown[Ackerkulturen])&gt;0)),ROW()-2),1),"")</f>
        <v>Knoblauch (Herbst)</v>
      </c>
      <c r="CG139" s="2464"/>
      <c r="CH139" s="2464" t="str">
        <f>IFERROR(INDEX(Liste_Ackerkulturen_Gemüse_DropDown[Ackerkulturen],_xlfn.AGGREGATE(15,6,(ROW(Liste_Ackerkulturen_Gemüse_DropDown[Ackerkulturen])-1)/(--(SEARCH(CI$2,Liste_Ackerkulturen_Gemüse_DropDown[Ackerkulturen])&gt;0)),ROW()-2),1),"")</f>
        <v>Knoblauch (Herbst)</v>
      </c>
      <c r="CI139" s="2464"/>
      <c r="CJ139" s="2464" t="str">
        <f>IFERROR(INDEX(Liste_Ackerkulturen_Gemüse_DropDown[Ackerkulturen],_xlfn.AGGREGATE(15,6,(ROW(Liste_Ackerkulturen_Gemüse_DropDown[Ackerkulturen])-1)/(--(SEARCH(CK$2,Liste_Ackerkulturen_Gemüse_DropDown[Ackerkulturen])&gt;0)),ROW()-2),1),"")</f>
        <v>Knoblauch (Herbst)</v>
      </c>
      <c r="CK139" s="2464"/>
      <c r="CL139" s="2464" t="str">
        <f>IFERROR(INDEX(Liste_Ackerkulturen_Gemüse_DropDown[Ackerkulturen],_xlfn.AGGREGATE(15,6,(ROW(Liste_Ackerkulturen_Gemüse_DropDown[Ackerkulturen])-1)/(--(SEARCH(CM$2,Liste_Ackerkulturen_Gemüse_DropDown[Ackerkulturen])&gt;0)),ROW()-2),1),"")</f>
        <v>Knoblauch (Herbst)</v>
      </c>
      <c r="CM139" s="2464"/>
      <c r="CN139" s="2464" t="str">
        <f>IFERROR(INDEX(Liste_Ackerkulturen_Gemüse_DropDown[Ackerkulturen],_xlfn.AGGREGATE(15,6,(ROW(Liste_Ackerkulturen_Gemüse_DropDown[Ackerkulturen])-1)/(--(SEARCH(CO$2,Liste_Ackerkulturen_Gemüse_DropDown[Ackerkulturen])&gt;0)),ROW()-2),1),"")</f>
        <v>Knoblauch (Herbst)</v>
      </c>
      <c r="CO139" s="2464"/>
      <c r="CP139" s="2464" t="str">
        <f>IFERROR(INDEX(Liste_Ackerkulturen_Gemüse_DropDown[Ackerkulturen],_xlfn.AGGREGATE(15,6,(ROW(Liste_Ackerkulturen_Gemüse_DropDown[Ackerkulturen])-1)/(--(SEARCH(CQ$2,Liste_Ackerkulturen_Gemüse_DropDown[Ackerkulturen])&gt;0)),ROW()-2),1),"")</f>
        <v>Knoblauch (Herbst)</v>
      </c>
      <c r="CQ139" s="2464"/>
      <c r="CR139" s="2464" t="str">
        <f>IFERROR(INDEX(Liste_Ackerkulturen_Gemüse_DropDown[Ackerkulturen],_xlfn.AGGREGATE(15,6,(ROW(Liste_Ackerkulturen_Gemüse_DropDown[Ackerkulturen])-1)/(--(SEARCH(CS$2,Liste_Ackerkulturen_Gemüse_DropDown[Ackerkulturen])&gt;0)),ROW()-2),1),"")</f>
        <v>Knoblauch (Herbst)</v>
      </c>
      <c r="CS139" s="2464"/>
    </row>
    <row r="140" spans="3:255" ht="21" customHeight="1">
      <c r="C140" s="1575" t="s">
        <v>1849</v>
      </c>
      <c r="D140" s="1576"/>
      <c r="E140" s="1567" t="s">
        <v>1201</v>
      </c>
      <c r="F140" s="1568">
        <v>0</v>
      </c>
      <c r="G140" s="1568"/>
      <c r="H140" s="1716" t="s">
        <v>1201</v>
      </c>
      <c r="I140" s="1718">
        <v>0</v>
      </c>
      <c r="J140" s="1188" t="s">
        <v>1201</v>
      </c>
      <c r="K140" s="1568"/>
      <c r="L140" s="1527">
        <v>0</v>
      </c>
      <c r="M140" s="1528">
        <v>0</v>
      </c>
      <c r="N140" s="1569">
        <v>0</v>
      </c>
      <c r="O140" s="1570">
        <v>0</v>
      </c>
      <c r="P140" s="1568">
        <v>0</v>
      </c>
      <c r="Q140" s="1718">
        <v>0</v>
      </c>
      <c r="R140" s="1568">
        <v>0</v>
      </c>
      <c r="S140" s="1571" t="s">
        <v>1201</v>
      </c>
      <c r="T140" s="1572" t="s">
        <v>1201</v>
      </c>
      <c r="U140" s="1569">
        <v>0</v>
      </c>
      <c r="V140" s="1188">
        <v>0</v>
      </c>
      <c r="W140" s="1573">
        <v>0</v>
      </c>
      <c r="X140" s="1718">
        <v>0</v>
      </c>
      <c r="Y140" s="1574">
        <v>0</v>
      </c>
      <c r="Z140" s="1571" t="s">
        <v>1201</v>
      </c>
      <c r="AA140" s="1572" t="s">
        <v>1201</v>
      </c>
      <c r="AB140" s="1564"/>
      <c r="AC140" s="1564"/>
      <c r="AD140" s="1564"/>
      <c r="AE140" s="1564"/>
      <c r="AF140" s="1279"/>
      <c r="AJ140"/>
      <c r="AK140"/>
      <c r="AL140" s="1542"/>
      <c r="AM140" s="2371" t="s">
        <v>189</v>
      </c>
      <c r="AN140" s="2352">
        <v>90</v>
      </c>
      <c r="AO140" s="2283" t="s">
        <v>190</v>
      </c>
      <c r="AP140" s="2352">
        <v>110</v>
      </c>
      <c r="AQ140" s="2283" t="s">
        <v>191</v>
      </c>
      <c r="AR140" s="2352">
        <v>135</v>
      </c>
      <c r="AS140" s="2283" t="s">
        <v>192</v>
      </c>
      <c r="AT140" s="2348">
        <v>135</v>
      </c>
      <c r="AU140" s="2285" t="s">
        <v>192</v>
      </c>
      <c r="AV140" s="2348">
        <v>135</v>
      </c>
      <c r="AW140" s="2285" t="s">
        <v>192</v>
      </c>
      <c r="AX140" s="2345">
        <v>90</v>
      </c>
      <c r="AY140" s="2278" t="s">
        <v>191</v>
      </c>
      <c r="AZ140" s="2350">
        <v>113</v>
      </c>
      <c r="BA140" s="2303" t="s">
        <v>2341</v>
      </c>
      <c r="BE140" s="2371" t="s">
        <v>189</v>
      </c>
      <c r="BF140" s="577">
        <v>25</v>
      </c>
      <c r="BG140" s="577">
        <v>30</v>
      </c>
      <c r="BH140" s="577">
        <v>40</v>
      </c>
      <c r="BJ140" s="2371" t="s">
        <v>189</v>
      </c>
      <c r="BK140" s="578">
        <v>65</v>
      </c>
      <c r="BL140" s="577">
        <v>80</v>
      </c>
      <c r="BM140" s="577">
        <v>100</v>
      </c>
      <c r="BP140" s="524"/>
      <c r="BQ140" s="524"/>
      <c r="BR140" s="524"/>
      <c r="BS140" s="2461" t="s">
        <v>194</v>
      </c>
      <c r="BT140" s="2463" t="str">
        <f>IFERROR(INDEX(Liste_Ackerkulturen_Gemüse_DropDown[Ackerkulturen],_xlfn.AGGREGATE(15,6,(ROW(Liste_Ackerkulturen_Gemüse_DropDown[Ackerkulturen])-1)/(--(SEARCH(BU$2,Liste_Ackerkulturen_Gemüse_DropDown[Ackerkulturen])&gt;0)),ROW()-2),1),"")</f>
        <v>Knollenfenchel</v>
      </c>
      <c r="BU140" s="2463"/>
      <c r="BV140" s="2463" t="str">
        <f>IFERROR(INDEX(Liste_Ackerkulturen_Gemüse_DropDown[Ackerkulturen],_xlfn.AGGREGATE(15,6,(ROW(Liste_Ackerkulturen_Gemüse_DropDown[Ackerkulturen])-1)/(--(SEARCH(BW$2,Liste_Ackerkulturen_Gemüse_DropDown[Ackerkulturen])&gt;0)),ROW()-2),1),"")</f>
        <v>Knollenfenchel</v>
      </c>
      <c r="BW140" s="2463"/>
      <c r="BX140" s="2463" t="str">
        <f>IFERROR(INDEX(Liste_Ackerkulturen_Gemüse_DropDown[Ackerkulturen],_xlfn.AGGREGATE(15,6,(ROW(Liste_Ackerkulturen_Gemüse_DropDown[Ackerkulturen])-1)/(--(SEARCH(BY$2,Liste_Ackerkulturen_Gemüse_DropDown[Ackerkulturen])&gt;0)),ROW()-2),1),"")</f>
        <v>Knollenfenchel</v>
      </c>
      <c r="BY140" s="2463"/>
      <c r="BZ140" s="2463" t="str">
        <f>IFERROR(INDEX(Liste_Ackerkulturen_Gemüse_DropDown[Ackerkulturen],_xlfn.AGGREGATE(15,6,(ROW(Liste_Ackerkulturen_Gemüse_DropDown[Ackerkulturen])-1)/(--(SEARCH(CA$2,Liste_Ackerkulturen_Gemüse_DropDown[Ackerkulturen])&gt;0)),ROW()-2),1),"")</f>
        <v>Knollenfenchel</v>
      </c>
      <c r="CA140" s="2463"/>
      <c r="CB140" s="2463" t="str">
        <f>IFERROR(INDEX(Liste_Ackerkulturen_Gemüse_DropDown[Ackerkulturen],_xlfn.AGGREGATE(15,6,(ROW(Liste_Ackerkulturen_Gemüse_DropDown[Ackerkulturen])-1)/(--(SEARCH(CC$2,Liste_Ackerkulturen_Gemüse_DropDown[Ackerkulturen])&gt;0)),ROW()-2),1),"")</f>
        <v>Knollenfenchel</v>
      </c>
      <c r="CC140" s="2463"/>
      <c r="CD140" s="2464" t="str">
        <f>IFERROR(INDEX(Liste_Ackerkulturen_Gemüse_DropDown[Ackerkulturen],_xlfn.AGGREGATE(15,6,(ROW(Liste_Ackerkulturen_Gemüse_DropDown[Ackerkulturen])-1)/(--(SEARCH(CE$2,Liste_Ackerkulturen_Gemüse_DropDown[Ackerkulturen])&gt;0)),ROW()-2),1),"")</f>
        <v>Knollenfenchel</v>
      </c>
      <c r="CE140" s="2464"/>
      <c r="CF140" s="2464" t="str">
        <f>IFERROR(INDEX(Liste_Ackerkulturen_Gemüse_DropDown[Ackerkulturen],_xlfn.AGGREGATE(15,6,(ROW(Liste_Ackerkulturen_Gemüse_DropDown[Ackerkulturen])-1)/(--(SEARCH(CG$2,Liste_Ackerkulturen_Gemüse_DropDown[Ackerkulturen])&gt;0)),ROW()-2),1),"")</f>
        <v>Knollenfenchel</v>
      </c>
      <c r="CG140" s="2464"/>
      <c r="CH140" s="2464" t="str">
        <f>IFERROR(INDEX(Liste_Ackerkulturen_Gemüse_DropDown[Ackerkulturen],_xlfn.AGGREGATE(15,6,(ROW(Liste_Ackerkulturen_Gemüse_DropDown[Ackerkulturen])-1)/(--(SEARCH(CI$2,Liste_Ackerkulturen_Gemüse_DropDown[Ackerkulturen])&gt;0)),ROW()-2),1),"")</f>
        <v>Knollenfenchel</v>
      </c>
      <c r="CI140" s="2464"/>
      <c r="CJ140" s="2464" t="str">
        <f>IFERROR(INDEX(Liste_Ackerkulturen_Gemüse_DropDown[Ackerkulturen],_xlfn.AGGREGATE(15,6,(ROW(Liste_Ackerkulturen_Gemüse_DropDown[Ackerkulturen])-1)/(--(SEARCH(CK$2,Liste_Ackerkulturen_Gemüse_DropDown[Ackerkulturen])&gt;0)),ROW()-2),1),"")</f>
        <v>Knollenfenchel</v>
      </c>
      <c r="CK140" s="2464"/>
      <c r="CL140" s="2464" t="str">
        <f>IFERROR(INDEX(Liste_Ackerkulturen_Gemüse_DropDown[Ackerkulturen],_xlfn.AGGREGATE(15,6,(ROW(Liste_Ackerkulturen_Gemüse_DropDown[Ackerkulturen])-1)/(--(SEARCH(CM$2,Liste_Ackerkulturen_Gemüse_DropDown[Ackerkulturen])&gt;0)),ROW()-2),1),"")</f>
        <v>Knollenfenchel</v>
      </c>
      <c r="CM140" s="2464"/>
      <c r="CN140" s="2464" t="str">
        <f>IFERROR(INDEX(Liste_Ackerkulturen_Gemüse_DropDown[Ackerkulturen],_xlfn.AGGREGATE(15,6,(ROW(Liste_Ackerkulturen_Gemüse_DropDown[Ackerkulturen])-1)/(--(SEARCH(CO$2,Liste_Ackerkulturen_Gemüse_DropDown[Ackerkulturen])&gt;0)),ROW()-2),1),"")</f>
        <v>Knollenfenchel</v>
      </c>
      <c r="CO140" s="2464"/>
      <c r="CP140" s="2464" t="str">
        <f>IFERROR(INDEX(Liste_Ackerkulturen_Gemüse_DropDown[Ackerkulturen],_xlfn.AGGREGATE(15,6,(ROW(Liste_Ackerkulturen_Gemüse_DropDown[Ackerkulturen])-1)/(--(SEARCH(CQ$2,Liste_Ackerkulturen_Gemüse_DropDown[Ackerkulturen])&gt;0)),ROW()-2),1),"")</f>
        <v>Knollenfenchel</v>
      </c>
      <c r="CQ140" s="2464"/>
      <c r="CR140" s="2464" t="str">
        <f>IFERROR(INDEX(Liste_Ackerkulturen_Gemüse_DropDown[Ackerkulturen],_xlfn.AGGREGATE(15,6,(ROW(Liste_Ackerkulturen_Gemüse_DropDown[Ackerkulturen])-1)/(--(SEARCH(CS$2,Liste_Ackerkulturen_Gemüse_DropDown[Ackerkulturen])&gt;0)),ROW()-2),1),"")</f>
        <v>Knollenfenchel</v>
      </c>
      <c r="CS140" s="2464"/>
    </row>
    <row r="141" spans="3:255" ht="21" customHeight="1" thickBot="1">
      <c r="C141" s="1578" t="s">
        <v>33</v>
      </c>
      <c r="D141" s="1579"/>
      <c r="E141" s="1580" t="s">
        <v>1201</v>
      </c>
      <c r="F141" s="1581">
        <v>0</v>
      </c>
      <c r="G141" s="1581"/>
      <c r="H141" s="1775" t="s">
        <v>1201</v>
      </c>
      <c r="I141" s="1777">
        <v>0</v>
      </c>
      <c r="J141" s="1582" t="s">
        <v>1201</v>
      </c>
      <c r="K141" s="1581">
        <v>0</v>
      </c>
      <c r="L141" s="1535">
        <v>0</v>
      </c>
      <c r="M141" s="1536">
        <v>0</v>
      </c>
      <c r="N141" s="1583">
        <v>0</v>
      </c>
      <c r="O141" s="1584">
        <v>0</v>
      </c>
      <c r="P141" s="1581">
        <v>0</v>
      </c>
      <c r="Q141" s="1777">
        <v>0</v>
      </c>
      <c r="R141" s="1581">
        <v>0</v>
      </c>
      <c r="S141" s="1585" t="s">
        <v>34</v>
      </c>
      <c r="T141" s="1586" t="s">
        <v>34</v>
      </c>
      <c r="U141" s="1583">
        <v>0</v>
      </c>
      <c r="V141" s="1582">
        <v>0</v>
      </c>
      <c r="W141" s="1587">
        <v>0</v>
      </c>
      <c r="X141" s="1777">
        <v>0</v>
      </c>
      <c r="Y141" s="1588">
        <v>0</v>
      </c>
      <c r="Z141" s="1585" t="s">
        <v>34</v>
      </c>
      <c r="AA141" s="1586" t="s">
        <v>34</v>
      </c>
      <c r="AB141" s="1542"/>
      <c r="AC141" s="1542"/>
      <c r="AD141" s="1542"/>
      <c r="AE141" s="1542"/>
      <c r="AF141" s="1279"/>
      <c r="AJ141"/>
      <c r="AK141"/>
      <c r="AL141" s="1542"/>
      <c r="AM141" s="2371" t="s">
        <v>193</v>
      </c>
      <c r="AN141" s="2352">
        <v>160</v>
      </c>
      <c r="AO141" s="2283" t="s">
        <v>66</v>
      </c>
      <c r="AP141" s="2352">
        <v>190</v>
      </c>
      <c r="AQ141" s="2283" t="s">
        <v>1058</v>
      </c>
      <c r="AR141" s="2352">
        <v>230</v>
      </c>
      <c r="AS141" s="2283" t="s">
        <v>55</v>
      </c>
      <c r="AT141" s="2348">
        <v>230</v>
      </c>
      <c r="AU141" s="2285" t="s">
        <v>55</v>
      </c>
      <c r="AV141" s="2348">
        <v>230</v>
      </c>
      <c r="AW141" s="2285" t="s">
        <v>55</v>
      </c>
      <c r="AX141" s="2345">
        <v>150</v>
      </c>
      <c r="AY141" s="2278" t="s">
        <v>1058</v>
      </c>
      <c r="AZ141" s="2350">
        <v>188</v>
      </c>
      <c r="BA141" s="2303" t="s">
        <v>2339</v>
      </c>
      <c r="BE141" s="2371" t="s">
        <v>193</v>
      </c>
      <c r="BF141" s="577">
        <v>15</v>
      </c>
      <c r="BG141" s="577">
        <v>20</v>
      </c>
      <c r="BH141" s="577">
        <v>25</v>
      </c>
      <c r="BJ141" s="2371" t="s">
        <v>193</v>
      </c>
      <c r="BK141" s="578">
        <v>110</v>
      </c>
      <c r="BL141" s="577">
        <v>140</v>
      </c>
      <c r="BM141" s="577">
        <v>175</v>
      </c>
      <c r="BP141" s="524"/>
      <c r="BQ141" s="524"/>
      <c r="BR141" s="524"/>
      <c r="BS141" s="2461" t="s">
        <v>195</v>
      </c>
      <c r="BT141" s="2463" t="str">
        <f>IFERROR(INDEX(Liste_Ackerkulturen_Gemüse_DropDown[Ackerkulturen],_xlfn.AGGREGATE(15,6,(ROW(Liste_Ackerkulturen_Gemüse_DropDown[Ackerkulturen])-1)/(--(SEARCH(BU$2,Liste_Ackerkulturen_Gemüse_DropDown[Ackerkulturen])&gt;0)),ROW()-2),1),"")</f>
        <v>Kochsalat</v>
      </c>
      <c r="BU141" s="2463"/>
      <c r="BV141" s="2463" t="str">
        <f>IFERROR(INDEX(Liste_Ackerkulturen_Gemüse_DropDown[Ackerkulturen],_xlfn.AGGREGATE(15,6,(ROW(Liste_Ackerkulturen_Gemüse_DropDown[Ackerkulturen])-1)/(--(SEARCH(BW$2,Liste_Ackerkulturen_Gemüse_DropDown[Ackerkulturen])&gt;0)),ROW()-2),1),"")</f>
        <v>Kochsalat</v>
      </c>
      <c r="BW141" s="2463"/>
      <c r="BX141" s="2463" t="str">
        <f>IFERROR(INDEX(Liste_Ackerkulturen_Gemüse_DropDown[Ackerkulturen],_xlfn.AGGREGATE(15,6,(ROW(Liste_Ackerkulturen_Gemüse_DropDown[Ackerkulturen])-1)/(--(SEARCH(BY$2,Liste_Ackerkulturen_Gemüse_DropDown[Ackerkulturen])&gt;0)),ROW()-2),1),"")</f>
        <v>Kochsalat</v>
      </c>
      <c r="BY141" s="2463"/>
      <c r="BZ141" s="2463" t="str">
        <f>IFERROR(INDEX(Liste_Ackerkulturen_Gemüse_DropDown[Ackerkulturen],_xlfn.AGGREGATE(15,6,(ROW(Liste_Ackerkulturen_Gemüse_DropDown[Ackerkulturen])-1)/(--(SEARCH(CA$2,Liste_Ackerkulturen_Gemüse_DropDown[Ackerkulturen])&gt;0)),ROW()-2),1),"")</f>
        <v>Kochsalat</v>
      </c>
      <c r="CA141" s="2463"/>
      <c r="CB141" s="2463" t="str">
        <f>IFERROR(INDEX(Liste_Ackerkulturen_Gemüse_DropDown[Ackerkulturen],_xlfn.AGGREGATE(15,6,(ROW(Liste_Ackerkulturen_Gemüse_DropDown[Ackerkulturen])-1)/(--(SEARCH(CC$2,Liste_Ackerkulturen_Gemüse_DropDown[Ackerkulturen])&gt;0)),ROW()-2),1),"")</f>
        <v>Kochsalat</v>
      </c>
      <c r="CC141" s="2463"/>
      <c r="CD141" s="2464" t="str">
        <f>IFERROR(INDEX(Liste_Ackerkulturen_Gemüse_DropDown[Ackerkulturen],_xlfn.AGGREGATE(15,6,(ROW(Liste_Ackerkulturen_Gemüse_DropDown[Ackerkulturen])-1)/(--(SEARCH(CE$2,Liste_Ackerkulturen_Gemüse_DropDown[Ackerkulturen])&gt;0)),ROW()-2),1),"")</f>
        <v>Kochsalat</v>
      </c>
      <c r="CE141" s="2464"/>
      <c r="CF141" s="2464" t="str">
        <f>IFERROR(INDEX(Liste_Ackerkulturen_Gemüse_DropDown[Ackerkulturen],_xlfn.AGGREGATE(15,6,(ROW(Liste_Ackerkulturen_Gemüse_DropDown[Ackerkulturen])-1)/(--(SEARCH(CG$2,Liste_Ackerkulturen_Gemüse_DropDown[Ackerkulturen])&gt;0)),ROW()-2),1),"")</f>
        <v>Kochsalat</v>
      </c>
      <c r="CG141" s="2464"/>
      <c r="CH141" s="2464" t="str">
        <f>IFERROR(INDEX(Liste_Ackerkulturen_Gemüse_DropDown[Ackerkulturen],_xlfn.AGGREGATE(15,6,(ROW(Liste_Ackerkulturen_Gemüse_DropDown[Ackerkulturen])-1)/(--(SEARCH(CI$2,Liste_Ackerkulturen_Gemüse_DropDown[Ackerkulturen])&gt;0)),ROW()-2),1),"")</f>
        <v>Kochsalat</v>
      </c>
      <c r="CI141" s="2464"/>
      <c r="CJ141" s="2464" t="str">
        <f>IFERROR(INDEX(Liste_Ackerkulturen_Gemüse_DropDown[Ackerkulturen],_xlfn.AGGREGATE(15,6,(ROW(Liste_Ackerkulturen_Gemüse_DropDown[Ackerkulturen])-1)/(--(SEARCH(CK$2,Liste_Ackerkulturen_Gemüse_DropDown[Ackerkulturen])&gt;0)),ROW()-2),1),"")</f>
        <v>Kochsalat</v>
      </c>
      <c r="CK141" s="2464"/>
      <c r="CL141" s="2464" t="str">
        <f>IFERROR(INDEX(Liste_Ackerkulturen_Gemüse_DropDown[Ackerkulturen],_xlfn.AGGREGATE(15,6,(ROW(Liste_Ackerkulturen_Gemüse_DropDown[Ackerkulturen])-1)/(--(SEARCH(CM$2,Liste_Ackerkulturen_Gemüse_DropDown[Ackerkulturen])&gt;0)),ROW()-2),1),"")</f>
        <v>Kochsalat</v>
      </c>
      <c r="CM141" s="2464"/>
      <c r="CN141" s="2464" t="str">
        <f>IFERROR(INDEX(Liste_Ackerkulturen_Gemüse_DropDown[Ackerkulturen],_xlfn.AGGREGATE(15,6,(ROW(Liste_Ackerkulturen_Gemüse_DropDown[Ackerkulturen])-1)/(--(SEARCH(CO$2,Liste_Ackerkulturen_Gemüse_DropDown[Ackerkulturen])&gt;0)),ROW()-2),1),"")</f>
        <v>Kochsalat</v>
      </c>
      <c r="CO141" s="2464"/>
      <c r="CP141" s="2464" t="str">
        <f>IFERROR(INDEX(Liste_Ackerkulturen_Gemüse_DropDown[Ackerkulturen],_xlfn.AGGREGATE(15,6,(ROW(Liste_Ackerkulturen_Gemüse_DropDown[Ackerkulturen])-1)/(--(SEARCH(CQ$2,Liste_Ackerkulturen_Gemüse_DropDown[Ackerkulturen])&gt;0)),ROW()-2),1),"")</f>
        <v>Kochsalat</v>
      </c>
      <c r="CQ141" s="2464"/>
      <c r="CR141" s="2464" t="str">
        <f>IFERROR(INDEX(Liste_Ackerkulturen_Gemüse_DropDown[Ackerkulturen],_xlfn.AGGREGATE(15,6,(ROW(Liste_Ackerkulturen_Gemüse_DropDown[Ackerkulturen])-1)/(--(SEARCH(CS$2,Liste_Ackerkulturen_Gemüse_DropDown[Ackerkulturen])&gt;0)),ROW()-2),1),"")</f>
        <v>Kochsalat</v>
      </c>
      <c r="CS141" s="2464"/>
    </row>
    <row r="142" spans="3:255" ht="21" customHeight="1" thickBot="1">
      <c r="C142" s="1542"/>
      <c r="D142" s="1542"/>
      <c r="E142" s="1542"/>
      <c r="F142" s="1542"/>
      <c r="G142" s="1542"/>
      <c r="H142" s="1542"/>
      <c r="I142" s="1542"/>
      <c r="J142" s="1542"/>
      <c r="K142" s="1542"/>
      <c r="L142" s="1542"/>
      <c r="M142" s="1542"/>
      <c r="N142" s="1542"/>
      <c r="O142" s="1542"/>
      <c r="P142" s="1542"/>
      <c r="Q142" s="1542"/>
      <c r="R142" s="1542"/>
      <c r="S142" s="1542"/>
      <c r="T142" s="1542"/>
      <c r="U142" s="1542"/>
      <c r="V142" s="1542"/>
      <c r="W142" s="1542"/>
      <c r="X142" s="1542"/>
      <c r="Y142" s="1542"/>
      <c r="Z142" s="1542"/>
      <c r="AA142" s="1542"/>
      <c r="AB142" s="1542"/>
      <c r="AC142" s="1542"/>
      <c r="AD142" s="1542"/>
      <c r="AE142" s="1542"/>
      <c r="AF142" s="1279"/>
      <c r="AJ142"/>
      <c r="AK142"/>
      <c r="AL142" s="1542"/>
      <c r="AM142" s="2371" t="s">
        <v>194</v>
      </c>
      <c r="AN142" s="2352">
        <v>170</v>
      </c>
      <c r="AO142" s="2283" t="s">
        <v>170</v>
      </c>
      <c r="AP142" s="2352">
        <v>200</v>
      </c>
      <c r="AQ142" s="2283" t="s">
        <v>467</v>
      </c>
      <c r="AR142" s="2352">
        <v>240</v>
      </c>
      <c r="AS142" s="2283" t="s">
        <v>69</v>
      </c>
      <c r="AT142" s="2348">
        <v>240</v>
      </c>
      <c r="AU142" s="2285" t="s">
        <v>69</v>
      </c>
      <c r="AV142" s="2348">
        <v>240</v>
      </c>
      <c r="AW142" s="2285" t="s">
        <v>69</v>
      </c>
      <c r="AX142" s="2345">
        <v>160</v>
      </c>
      <c r="AY142" s="2278" t="s">
        <v>467</v>
      </c>
      <c r="AZ142" s="2350">
        <v>200</v>
      </c>
      <c r="BA142" s="2303" t="s">
        <v>2336</v>
      </c>
      <c r="BE142" s="2371" t="s">
        <v>194</v>
      </c>
      <c r="BF142" s="577">
        <v>50</v>
      </c>
      <c r="BG142" s="577">
        <v>60</v>
      </c>
      <c r="BH142" s="577">
        <v>75</v>
      </c>
      <c r="BJ142" s="2371" t="s">
        <v>194</v>
      </c>
      <c r="BK142" s="578">
        <v>145</v>
      </c>
      <c r="BL142" s="577">
        <v>180</v>
      </c>
      <c r="BM142" s="577">
        <v>225</v>
      </c>
      <c r="BP142" s="524"/>
      <c r="BQ142" s="524"/>
      <c r="BR142" s="524"/>
      <c r="BS142" s="2461" t="s">
        <v>196</v>
      </c>
      <c r="BT142" s="2463" t="str">
        <f>IFERROR(INDEX(Liste_Ackerkulturen_Gemüse_DropDown[Ackerkulturen],_xlfn.AGGREGATE(15,6,(ROW(Liste_Ackerkulturen_Gemüse_DropDown[Ackerkulturen])-1)/(--(SEARCH(BU$2,Liste_Ackerkulturen_Gemüse_DropDown[Ackerkulturen])&gt;0)),ROW()-2),1),"")</f>
        <v>Kohl (Herbst)</v>
      </c>
      <c r="BU142" s="2463"/>
      <c r="BV142" s="2463" t="str">
        <f>IFERROR(INDEX(Liste_Ackerkulturen_Gemüse_DropDown[Ackerkulturen],_xlfn.AGGREGATE(15,6,(ROW(Liste_Ackerkulturen_Gemüse_DropDown[Ackerkulturen])-1)/(--(SEARCH(BW$2,Liste_Ackerkulturen_Gemüse_DropDown[Ackerkulturen])&gt;0)),ROW()-2),1),"")</f>
        <v>Kohl (Herbst)</v>
      </c>
      <c r="BW142" s="2463"/>
      <c r="BX142" s="2463" t="str">
        <f>IFERROR(INDEX(Liste_Ackerkulturen_Gemüse_DropDown[Ackerkulturen],_xlfn.AGGREGATE(15,6,(ROW(Liste_Ackerkulturen_Gemüse_DropDown[Ackerkulturen])-1)/(--(SEARCH(BY$2,Liste_Ackerkulturen_Gemüse_DropDown[Ackerkulturen])&gt;0)),ROW()-2),1),"")</f>
        <v>Kohl (Herbst)</v>
      </c>
      <c r="BY142" s="2463"/>
      <c r="BZ142" s="2463" t="str">
        <f>IFERROR(INDEX(Liste_Ackerkulturen_Gemüse_DropDown[Ackerkulturen],_xlfn.AGGREGATE(15,6,(ROW(Liste_Ackerkulturen_Gemüse_DropDown[Ackerkulturen])-1)/(--(SEARCH(CA$2,Liste_Ackerkulturen_Gemüse_DropDown[Ackerkulturen])&gt;0)),ROW()-2),1),"")</f>
        <v>Kohl (Herbst)</v>
      </c>
      <c r="CA142" s="2463"/>
      <c r="CB142" s="2463" t="str">
        <f>IFERROR(INDEX(Liste_Ackerkulturen_Gemüse_DropDown[Ackerkulturen],_xlfn.AGGREGATE(15,6,(ROW(Liste_Ackerkulturen_Gemüse_DropDown[Ackerkulturen])-1)/(--(SEARCH(CC$2,Liste_Ackerkulturen_Gemüse_DropDown[Ackerkulturen])&gt;0)),ROW()-2),1),"")</f>
        <v>Kohl (Herbst)</v>
      </c>
      <c r="CC142" s="2463"/>
      <c r="CD142" s="2464" t="str">
        <f>IFERROR(INDEX(Liste_Ackerkulturen_Gemüse_DropDown[Ackerkulturen],_xlfn.AGGREGATE(15,6,(ROW(Liste_Ackerkulturen_Gemüse_DropDown[Ackerkulturen])-1)/(--(SEARCH(CE$2,Liste_Ackerkulturen_Gemüse_DropDown[Ackerkulturen])&gt;0)),ROW()-2),1),"")</f>
        <v>Kohl (Herbst)</v>
      </c>
      <c r="CE142" s="2464"/>
      <c r="CF142" s="2464" t="str">
        <f>IFERROR(INDEX(Liste_Ackerkulturen_Gemüse_DropDown[Ackerkulturen],_xlfn.AGGREGATE(15,6,(ROW(Liste_Ackerkulturen_Gemüse_DropDown[Ackerkulturen])-1)/(--(SEARCH(CG$2,Liste_Ackerkulturen_Gemüse_DropDown[Ackerkulturen])&gt;0)),ROW()-2),1),"")</f>
        <v>Kohl (Herbst)</v>
      </c>
      <c r="CG142" s="2464"/>
      <c r="CH142" s="2464" t="str">
        <f>IFERROR(INDEX(Liste_Ackerkulturen_Gemüse_DropDown[Ackerkulturen],_xlfn.AGGREGATE(15,6,(ROW(Liste_Ackerkulturen_Gemüse_DropDown[Ackerkulturen])-1)/(--(SEARCH(CI$2,Liste_Ackerkulturen_Gemüse_DropDown[Ackerkulturen])&gt;0)),ROW()-2),1),"")</f>
        <v>Kohl (Herbst)</v>
      </c>
      <c r="CI142" s="2464"/>
      <c r="CJ142" s="2464" t="str">
        <f>IFERROR(INDEX(Liste_Ackerkulturen_Gemüse_DropDown[Ackerkulturen],_xlfn.AGGREGATE(15,6,(ROW(Liste_Ackerkulturen_Gemüse_DropDown[Ackerkulturen])-1)/(--(SEARCH(CK$2,Liste_Ackerkulturen_Gemüse_DropDown[Ackerkulturen])&gt;0)),ROW()-2),1),"")</f>
        <v>Kohl (Herbst)</v>
      </c>
      <c r="CK142" s="2464"/>
      <c r="CL142" s="2464" t="str">
        <f>IFERROR(INDEX(Liste_Ackerkulturen_Gemüse_DropDown[Ackerkulturen],_xlfn.AGGREGATE(15,6,(ROW(Liste_Ackerkulturen_Gemüse_DropDown[Ackerkulturen])-1)/(--(SEARCH(CM$2,Liste_Ackerkulturen_Gemüse_DropDown[Ackerkulturen])&gt;0)),ROW()-2),1),"")</f>
        <v>Kohl (Herbst)</v>
      </c>
      <c r="CM142" s="2464"/>
      <c r="CN142" s="2464" t="str">
        <f>IFERROR(INDEX(Liste_Ackerkulturen_Gemüse_DropDown[Ackerkulturen],_xlfn.AGGREGATE(15,6,(ROW(Liste_Ackerkulturen_Gemüse_DropDown[Ackerkulturen])-1)/(--(SEARCH(CO$2,Liste_Ackerkulturen_Gemüse_DropDown[Ackerkulturen])&gt;0)),ROW()-2),1),"")</f>
        <v>Kohl (Herbst)</v>
      </c>
      <c r="CO142" s="2464"/>
      <c r="CP142" s="2464" t="str">
        <f>IFERROR(INDEX(Liste_Ackerkulturen_Gemüse_DropDown[Ackerkulturen],_xlfn.AGGREGATE(15,6,(ROW(Liste_Ackerkulturen_Gemüse_DropDown[Ackerkulturen])-1)/(--(SEARCH(CQ$2,Liste_Ackerkulturen_Gemüse_DropDown[Ackerkulturen])&gt;0)),ROW()-2),1),"")</f>
        <v>Kohl (Herbst)</v>
      </c>
      <c r="CQ142" s="2464"/>
      <c r="CR142" s="2464" t="str">
        <f>IFERROR(INDEX(Liste_Ackerkulturen_Gemüse_DropDown[Ackerkulturen],_xlfn.AGGREGATE(15,6,(ROW(Liste_Ackerkulturen_Gemüse_DropDown[Ackerkulturen])-1)/(--(SEARCH(CS$2,Liste_Ackerkulturen_Gemüse_DropDown[Ackerkulturen])&gt;0)),ROW()-2),1),"")</f>
        <v>Kohl (Herbst)</v>
      </c>
      <c r="CS142" s="2464"/>
    </row>
    <row r="143" spans="3:255" ht="21" customHeight="1">
      <c r="C143" s="2597" t="s">
        <v>35</v>
      </c>
      <c r="D143" s="2598"/>
      <c r="E143" s="2610" t="s">
        <v>36</v>
      </c>
      <c r="F143" s="2604"/>
      <c r="G143" s="2611"/>
      <c r="H143" s="2604"/>
      <c r="I143" s="2604"/>
      <c r="J143" s="2604"/>
      <c r="K143" s="2604"/>
      <c r="L143" s="2604"/>
      <c r="M143" s="2604"/>
      <c r="N143" s="2604"/>
      <c r="O143" s="2604"/>
      <c r="P143" s="2604" t="s">
        <v>37</v>
      </c>
      <c r="Q143" s="2612"/>
      <c r="R143" s="2601" t="s">
        <v>488</v>
      </c>
      <c r="S143" s="2602"/>
      <c r="T143" s="2602"/>
      <c r="U143" s="2602"/>
      <c r="V143" s="2602"/>
      <c r="W143" s="2602"/>
      <c r="X143" s="2607"/>
      <c r="Y143" s="2601" t="s">
        <v>489</v>
      </c>
      <c r="Z143" s="2602"/>
      <c r="AA143" s="2602"/>
      <c r="AB143" s="2602"/>
      <c r="AC143" s="2602"/>
      <c r="AD143" s="2602"/>
      <c r="AE143" s="2607"/>
      <c r="AF143" s="1279"/>
      <c r="AJ143"/>
      <c r="AK143"/>
      <c r="AL143" s="1542"/>
      <c r="AM143" s="2371" t="s">
        <v>195</v>
      </c>
      <c r="AN143" s="2352">
        <v>240</v>
      </c>
      <c r="AO143" s="2283" t="s">
        <v>1983</v>
      </c>
      <c r="AP143" s="2352">
        <v>290</v>
      </c>
      <c r="AQ143" s="2283" t="s">
        <v>1984</v>
      </c>
      <c r="AR143" s="2352">
        <v>355</v>
      </c>
      <c r="AS143" s="2283" t="s">
        <v>168</v>
      </c>
      <c r="AT143" s="2348">
        <v>355</v>
      </c>
      <c r="AU143" s="2285" t="s">
        <v>168</v>
      </c>
      <c r="AV143" s="2348">
        <v>355</v>
      </c>
      <c r="AW143" s="2285" t="s">
        <v>168</v>
      </c>
      <c r="AX143" s="2345">
        <v>250</v>
      </c>
      <c r="AY143" s="2278" t="s">
        <v>1984</v>
      </c>
      <c r="AZ143" s="2350">
        <v>313</v>
      </c>
      <c r="BA143" s="2303" t="s">
        <v>2327</v>
      </c>
      <c r="BE143" s="2371" t="s">
        <v>195</v>
      </c>
      <c r="BF143" s="577">
        <v>40</v>
      </c>
      <c r="BG143" s="577">
        <v>50</v>
      </c>
      <c r="BH143" s="577">
        <v>65</v>
      </c>
      <c r="BJ143" s="2371" t="s">
        <v>195</v>
      </c>
      <c r="BK143" s="578">
        <v>145</v>
      </c>
      <c r="BL143" s="577">
        <v>180</v>
      </c>
      <c r="BM143" s="577">
        <v>225</v>
      </c>
      <c r="BP143" s="524"/>
      <c r="BQ143" s="524"/>
      <c r="BR143" s="524"/>
      <c r="BS143" s="2461" t="s">
        <v>197</v>
      </c>
      <c r="BT143" s="2463" t="str">
        <f>IFERROR(INDEX(Liste_Ackerkulturen_Gemüse_DropDown[Ackerkulturen],_xlfn.AGGREGATE(15,6,(ROW(Liste_Ackerkulturen_Gemüse_DropDown[Ackerkulturen])-1)/(--(SEARCH(BU$2,Liste_Ackerkulturen_Gemüse_DropDown[Ackerkulturen])&gt;0)),ROW()-2),1),"")</f>
        <v>Kohl (Vlies, Sommer)</v>
      </c>
      <c r="BU143" s="2463"/>
      <c r="BV143" s="2463" t="str">
        <f>IFERROR(INDEX(Liste_Ackerkulturen_Gemüse_DropDown[Ackerkulturen],_xlfn.AGGREGATE(15,6,(ROW(Liste_Ackerkulturen_Gemüse_DropDown[Ackerkulturen])-1)/(--(SEARCH(BW$2,Liste_Ackerkulturen_Gemüse_DropDown[Ackerkulturen])&gt;0)),ROW()-2),1),"")</f>
        <v>Kohl (Vlies, Sommer)</v>
      </c>
      <c r="BW143" s="2463"/>
      <c r="BX143" s="2463" t="str">
        <f>IFERROR(INDEX(Liste_Ackerkulturen_Gemüse_DropDown[Ackerkulturen],_xlfn.AGGREGATE(15,6,(ROW(Liste_Ackerkulturen_Gemüse_DropDown[Ackerkulturen])-1)/(--(SEARCH(BY$2,Liste_Ackerkulturen_Gemüse_DropDown[Ackerkulturen])&gt;0)),ROW()-2),1),"")</f>
        <v>Kohl (Vlies, Sommer)</v>
      </c>
      <c r="BY143" s="2463"/>
      <c r="BZ143" s="2463" t="str">
        <f>IFERROR(INDEX(Liste_Ackerkulturen_Gemüse_DropDown[Ackerkulturen],_xlfn.AGGREGATE(15,6,(ROW(Liste_Ackerkulturen_Gemüse_DropDown[Ackerkulturen])-1)/(--(SEARCH(CA$2,Liste_Ackerkulturen_Gemüse_DropDown[Ackerkulturen])&gt;0)),ROW()-2),1),"")</f>
        <v>Kohl (Vlies, Sommer)</v>
      </c>
      <c r="CA143" s="2463"/>
      <c r="CB143" s="2463" t="str">
        <f>IFERROR(INDEX(Liste_Ackerkulturen_Gemüse_DropDown[Ackerkulturen],_xlfn.AGGREGATE(15,6,(ROW(Liste_Ackerkulturen_Gemüse_DropDown[Ackerkulturen])-1)/(--(SEARCH(CC$2,Liste_Ackerkulturen_Gemüse_DropDown[Ackerkulturen])&gt;0)),ROW()-2),1),"")</f>
        <v>Kohl (Vlies, Sommer)</v>
      </c>
      <c r="CC143" s="2463"/>
      <c r="CD143" s="2464" t="str">
        <f>IFERROR(INDEX(Liste_Ackerkulturen_Gemüse_DropDown[Ackerkulturen],_xlfn.AGGREGATE(15,6,(ROW(Liste_Ackerkulturen_Gemüse_DropDown[Ackerkulturen])-1)/(--(SEARCH(CE$2,Liste_Ackerkulturen_Gemüse_DropDown[Ackerkulturen])&gt;0)),ROW()-2),1),"")</f>
        <v>Kohl (Vlies, Sommer)</v>
      </c>
      <c r="CE143" s="2464"/>
      <c r="CF143" s="2464" t="str">
        <f>IFERROR(INDEX(Liste_Ackerkulturen_Gemüse_DropDown[Ackerkulturen],_xlfn.AGGREGATE(15,6,(ROW(Liste_Ackerkulturen_Gemüse_DropDown[Ackerkulturen])-1)/(--(SEARCH(CG$2,Liste_Ackerkulturen_Gemüse_DropDown[Ackerkulturen])&gt;0)),ROW()-2),1),"")</f>
        <v>Kohl (Vlies, Sommer)</v>
      </c>
      <c r="CG143" s="2464"/>
      <c r="CH143" s="2464" t="str">
        <f>IFERROR(INDEX(Liste_Ackerkulturen_Gemüse_DropDown[Ackerkulturen],_xlfn.AGGREGATE(15,6,(ROW(Liste_Ackerkulturen_Gemüse_DropDown[Ackerkulturen])-1)/(--(SEARCH(CI$2,Liste_Ackerkulturen_Gemüse_DropDown[Ackerkulturen])&gt;0)),ROW()-2),1),"")</f>
        <v>Kohl (Vlies, Sommer)</v>
      </c>
      <c r="CI143" s="2464"/>
      <c r="CJ143" s="2464" t="str">
        <f>IFERROR(INDEX(Liste_Ackerkulturen_Gemüse_DropDown[Ackerkulturen],_xlfn.AGGREGATE(15,6,(ROW(Liste_Ackerkulturen_Gemüse_DropDown[Ackerkulturen])-1)/(--(SEARCH(CK$2,Liste_Ackerkulturen_Gemüse_DropDown[Ackerkulturen])&gt;0)),ROW()-2),1),"")</f>
        <v>Kohl (Vlies, Sommer)</v>
      </c>
      <c r="CK143" s="2464"/>
      <c r="CL143" s="2464" t="str">
        <f>IFERROR(INDEX(Liste_Ackerkulturen_Gemüse_DropDown[Ackerkulturen],_xlfn.AGGREGATE(15,6,(ROW(Liste_Ackerkulturen_Gemüse_DropDown[Ackerkulturen])-1)/(--(SEARCH(CM$2,Liste_Ackerkulturen_Gemüse_DropDown[Ackerkulturen])&gt;0)),ROW()-2),1),"")</f>
        <v>Kohl (Vlies, Sommer)</v>
      </c>
      <c r="CM143" s="2464"/>
      <c r="CN143" s="2464" t="str">
        <f>IFERROR(INDEX(Liste_Ackerkulturen_Gemüse_DropDown[Ackerkulturen],_xlfn.AGGREGATE(15,6,(ROW(Liste_Ackerkulturen_Gemüse_DropDown[Ackerkulturen])-1)/(--(SEARCH(CO$2,Liste_Ackerkulturen_Gemüse_DropDown[Ackerkulturen])&gt;0)),ROW()-2),1),"")</f>
        <v>Kohl (Vlies, Sommer)</v>
      </c>
      <c r="CO143" s="2464"/>
      <c r="CP143" s="2464" t="str">
        <f>IFERROR(INDEX(Liste_Ackerkulturen_Gemüse_DropDown[Ackerkulturen],_xlfn.AGGREGATE(15,6,(ROW(Liste_Ackerkulturen_Gemüse_DropDown[Ackerkulturen])-1)/(--(SEARCH(CQ$2,Liste_Ackerkulturen_Gemüse_DropDown[Ackerkulturen])&gt;0)),ROW()-2),1),"")</f>
        <v>Kohl (Vlies, Sommer)</v>
      </c>
      <c r="CQ143" s="2464"/>
      <c r="CR143" s="2464" t="str">
        <f>IFERROR(INDEX(Liste_Ackerkulturen_Gemüse_DropDown[Ackerkulturen],_xlfn.AGGREGATE(15,6,(ROW(Liste_Ackerkulturen_Gemüse_DropDown[Ackerkulturen])-1)/(--(SEARCH(CS$2,Liste_Ackerkulturen_Gemüse_DropDown[Ackerkulturen])&gt;0)),ROW()-2),1),"")</f>
        <v>Kohl (Vlies, Sommer)</v>
      </c>
      <c r="CS143" s="2464"/>
    </row>
    <row r="144" spans="3:255" ht="21" customHeight="1">
      <c r="C144" s="2599"/>
      <c r="D144" s="2600"/>
      <c r="E144" s="2614" t="s">
        <v>38</v>
      </c>
      <c r="F144" s="2590"/>
      <c r="G144" s="2590"/>
      <c r="H144" s="2590"/>
      <c r="I144" s="2590"/>
      <c r="J144" s="2590"/>
      <c r="K144" s="2590"/>
      <c r="L144" s="2590"/>
      <c r="M144" s="2590"/>
      <c r="N144" s="2590"/>
      <c r="O144" s="2590"/>
      <c r="P144" s="2594"/>
      <c r="Q144" s="2613"/>
      <c r="R144" s="1738" t="s">
        <v>1938</v>
      </c>
      <c r="S144" s="1739" t="s">
        <v>1939</v>
      </c>
      <c r="T144" s="2594" t="s">
        <v>1940</v>
      </c>
      <c r="U144" s="2594"/>
      <c r="V144" s="2594"/>
      <c r="W144" s="1739" t="s">
        <v>1941</v>
      </c>
      <c r="X144" s="1740" t="s">
        <v>1942</v>
      </c>
      <c r="Y144" s="1738" t="s">
        <v>1938</v>
      </c>
      <c r="Z144" s="1739" t="s">
        <v>1939</v>
      </c>
      <c r="AA144" s="2594" t="s">
        <v>1940</v>
      </c>
      <c r="AB144" s="2594"/>
      <c r="AC144" s="2594"/>
      <c r="AD144" s="1739" t="s">
        <v>1941</v>
      </c>
      <c r="AE144" s="1740" t="s">
        <v>1942</v>
      </c>
      <c r="AF144" s="1279"/>
      <c r="AJ144"/>
      <c r="AK144"/>
      <c r="AL144" s="1542"/>
      <c r="AM144" s="2371" t="s">
        <v>196</v>
      </c>
      <c r="AN144" s="2352">
        <v>200</v>
      </c>
      <c r="AO144" s="2283" t="s">
        <v>1983</v>
      </c>
      <c r="AP144" s="2352">
        <v>240</v>
      </c>
      <c r="AQ144" s="2283" t="s">
        <v>1984</v>
      </c>
      <c r="AR144" s="2352">
        <v>290</v>
      </c>
      <c r="AS144" s="2283" t="s">
        <v>168</v>
      </c>
      <c r="AT144" s="2348">
        <v>290</v>
      </c>
      <c r="AU144" s="2285" t="s">
        <v>168</v>
      </c>
      <c r="AV144" s="2348">
        <v>290</v>
      </c>
      <c r="AW144" s="2285" t="s">
        <v>168</v>
      </c>
      <c r="AX144" s="2345">
        <v>250</v>
      </c>
      <c r="AY144" s="2278" t="s">
        <v>1984</v>
      </c>
      <c r="AZ144" s="2350">
        <v>313</v>
      </c>
      <c r="BA144" s="2303" t="s">
        <v>2327</v>
      </c>
      <c r="BE144" s="2371" t="s">
        <v>196</v>
      </c>
      <c r="BF144" s="577">
        <v>30</v>
      </c>
      <c r="BG144" s="577">
        <v>40</v>
      </c>
      <c r="BH144" s="577">
        <v>50</v>
      </c>
      <c r="BJ144" s="2371" t="s">
        <v>196</v>
      </c>
      <c r="BK144" s="578">
        <v>110</v>
      </c>
      <c r="BL144" s="577">
        <v>140</v>
      </c>
      <c r="BM144" s="577">
        <v>175</v>
      </c>
      <c r="BP144" s="524"/>
      <c r="BQ144" s="524"/>
      <c r="BR144" s="524"/>
      <c r="BS144" s="2461" t="s">
        <v>198</v>
      </c>
      <c r="BT144" s="2463" t="str">
        <f>IFERROR(INDEX(Liste_Ackerkulturen_Gemüse_DropDown[Ackerkulturen],_xlfn.AGGREGATE(15,6,(ROW(Liste_Ackerkulturen_Gemüse_DropDown[Ackerkulturen])-1)/(--(SEARCH(BU$2,Liste_Ackerkulturen_Gemüse_DropDown[Ackerkulturen])&gt;0)),ROW()-2),1),"")</f>
        <v>Kohlrabi</v>
      </c>
      <c r="BU144" s="2463"/>
      <c r="BV144" s="2463" t="str">
        <f>IFERROR(INDEX(Liste_Ackerkulturen_Gemüse_DropDown[Ackerkulturen],_xlfn.AGGREGATE(15,6,(ROW(Liste_Ackerkulturen_Gemüse_DropDown[Ackerkulturen])-1)/(--(SEARCH(BW$2,Liste_Ackerkulturen_Gemüse_DropDown[Ackerkulturen])&gt;0)),ROW()-2),1),"")</f>
        <v>Kohlrabi</v>
      </c>
      <c r="BW144" s="2463"/>
      <c r="BX144" s="2463" t="str">
        <f>IFERROR(INDEX(Liste_Ackerkulturen_Gemüse_DropDown[Ackerkulturen],_xlfn.AGGREGATE(15,6,(ROW(Liste_Ackerkulturen_Gemüse_DropDown[Ackerkulturen])-1)/(--(SEARCH(BY$2,Liste_Ackerkulturen_Gemüse_DropDown[Ackerkulturen])&gt;0)),ROW()-2),1),"")</f>
        <v>Kohlrabi</v>
      </c>
      <c r="BY144" s="2463"/>
      <c r="BZ144" s="2463" t="str">
        <f>IFERROR(INDEX(Liste_Ackerkulturen_Gemüse_DropDown[Ackerkulturen],_xlfn.AGGREGATE(15,6,(ROW(Liste_Ackerkulturen_Gemüse_DropDown[Ackerkulturen])-1)/(--(SEARCH(CA$2,Liste_Ackerkulturen_Gemüse_DropDown[Ackerkulturen])&gt;0)),ROW()-2),1),"")</f>
        <v>Kohlrabi</v>
      </c>
      <c r="CA144" s="2463"/>
      <c r="CB144" s="2463" t="str">
        <f>IFERROR(INDEX(Liste_Ackerkulturen_Gemüse_DropDown[Ackerkulturen],_xlfn.AGGREGATE(15,6,(ROW(Liste_Ackerkulturen_Gemüse_DropDown[Ackerkulturen])-1)/(--(SEARCH(CC$2,Liste_Ackerkulturen_Gemüse_DropDown[Ackerkulturen])&gt;0)),ROW()-2),1),"")</f>
        <v>Kohlrabi</v>
      </c>
      <c r="CC144" s="2463"/>
      <c r="CD144" s="2464" t="str">
        <f>IFERROR(INDEX(Liste_Ackerkulturen_Gemüse_DropDown[Ackerkulturen],_xlfn.AGGREGATE(15,6,(ROW(Liste_Ackerkulturen_Gemüse_DropDown[Ackerkulturen])-1)/(--(SEARCH(CE$2,Liste_Ackerkulturen_Gemüse_DropDown[Ackerkulturen])&gt;0)),ROW()-2),1),"")</f>
        <v>Kohlrabi</v>
      </c>
      <c r="CE144" s="2464"/>
      <c r="CF144" s="2464" t="str">
        <f>IFERROR(INDEX(Liste_Ackerkulturen_Gemüse_DropDown[Ackerkulturen],_xlfn.AGGREGATE(15,6,(ROW(Liste_Ackerkulturen_Gemüse_DropDown[Ackerkulturen])-1)/(--(SEARCH(CG$2,Liste_Ackerkulturen_Gemüse_DropDown[Ackerkulturen])&gt;0)),ROW()-2),1),"")</f>
        <v>Kohlrabi</v>
      </c>
      <c r="CG144" s="2464"/>
      <c r="CH144" s="2464" t="str">
        <f>IFERROR(INDEX(Liste_Ackerkulturen_Gemüse_DropDown[Ackerkulturen],_xlfn.AGGREGATE(15,6,(ROW(Liste_Ackerkulturen_Gemüse_DropDown[Ackerkulturen])-1)/(--(SEARCH(CI$2,Liste_Ackerkulturen_Gemüse_DropDown[Ackerkulturen])&gt;0)),ROW()-2),1),"")</f>
        <v>Kohlrabi</v>
      </c>
      <c r="CI144" s="2464"/>
      <c r="CJ144" s="2464" t="str">
        <f>IFERROR(INDEX(Liste_Ackerkulturen_Gemüse_DropDown[Ackerkulturen],_xlfn.AGGREGATE(15,6,(ROW(Liste_Ackerkulturen_Gemüse_DropDown[Ackerkulturen])-1)/(--(SEARCH(CK$2,Liste_Ackerkulturen_Gemüse_DropDown[Ackerkulturen])&gt;0)),ROW()-2),1),"")</f>
        <v>Kohlrabi</v>
      </c>
      <c r="CK144" s="2464"/>
      <c r="CL144" s="2464" t="str">
        <f>IFERROR(INDEX(Liste_Ackerkulturen_Gemüse_DropDown[Ackerkulturen],_xlfn.AGGREGATE(15,6,(ROW(Liste_Ackerkulturen_Gemüse_DropDown[Ackerkulturen])-1)/(--(SEARCH(CM$2,Liste_Ackerkulturen_Gemüse_DropDown[Ackerkulturen])&gt;0)),ROW()-2),1),"")</f>
        <v>Kohlrabi</v>
      </c>
      <c r="CM144" s="2464"/>
      <c r="CN144" s="2464" t="str">
        <f>IFERROR(INDEX(Liste_Ackerkulturen_Gemüse_DropDown[Ackerkulturen],_xlfn.AGGREGATE(15,6,(ROW(Liste_Ackerkulturen_Gemüse_DropDown[Ackerkulturen])-1)/(--(SEARCH(CO$2,Liste_Ackerkulturen_Gemüse_DropDown[Ackerkulturen])&gt;0)),ROW()-2),1),"")</f>
        <v>Kohlrabi</v>
      </c>
      <c r="CO144" s="2464"/>
      <c r="CP144" s="2464" t="str">
        <f>IFERROR(INDEX(Liste_Ackerkulturen_Gemüse_DropDown[Ackerkulturen],_xlfn.AGGREGATE(15,6,(ROW(Liste_Ackerkulturen_Gemüse_DropDown[Ackerkulturen])-1)/(--(SEARCH(CQ$2,Liste_Ackerkulturen_Gemüse_DropDown[Ackerkulturen])&gt;0)),ROW()-2),1),"")</f>
        <v>Kohlrabi</v>
      </c>
      <c r="CQ144" s="2464"/>
      <c r="CR144" s="2464" t="str">
        <f>IFERROR(INDEX(Liste_Ackerkulturen_Gemüse_DropDown[Ackerkulturen],_xlfn.AGGREGATE(15,6,(ROW(Liste_Ackerkulturen_Gemüse_DropDown[Ackerkulturen])-1)/(--(SEARCH(CS$2,Liste_Ackerkulturen_Gemüse_DropDown[Ackerkulturen])&gt;0)),ROW()-2),1),"")</f>
        <v>Kohlrabi</v>
      </c>
      <c r="CS144" s="2464"/>
    </row>
    <row r="145" spans="3:97" ht="21" customHeight="1">
      <c r="C145" s="1741" t="s">
        <v>1778</v>
      </c>
      <c r="D145" s="1742"/>
      <c r="E145" s="2593" t="s">
        <v>1784</v>
      </c>
      <c r="F145" s="2594"/>
      <c r="G145" s="2225"/>
      <c r="H145" s="2594" t="s">
        <v>1095</v>
      </c>
      <c r="I145" s="2594"/>
      <c r="J145" s="2594" t="s">
        <v>1091</v>
      </c>
      <c r="K145" s="2594"/>
      <c r="L145" s="2594" t="s">
        <v>1787</v>
      </c>
      <c r="M145" s="2594"/>
      <c r="N145" s="2594" t="s">
        <v>1788</v>
      </c>
      <c r="O145" s="2594"/>
      <c r="P145" s="1716" t="s">
        <v>1095</v>
      </c>
      <c r="Q145" s="1765" t="s">
        <v>1839</v>
      </c>
      <c r="R145" s="1746"/>
      <c r="S145" s="1766"/>
      <c r="T145" s="1716" t="s">
        <v>1784</v>
      </c>
      <c r="U145" s="1716" t="s">
        <v>1943</v>
      </c>
      <c r="V145" s="1716" t="s">
        <v>1839</v>
      </c>
      <c r="W145" s="1739"/>
      <c r="X145" s="1740"/>
      <c r="Y145" s="1767"/>
      <c r="Z145" s="1716"/>
      <c r="AA145" s="1716" t="s">
        <v>1784</v>
      </c>
      <c r="AB145" s="1716" t="s">
        <v>1943</v>
      </c>
      <c r="AC145" s="1716" t="s">
        <v>1839</v>
      </c>
      <c r="AD145" s="1739"/>
      <c r="AE145" s="1740"/>
      <c r="AF145" s="1279"/>
      <c r="AJ145"/>
      <c r="AK145"/>
      <c r="AL145" s="1542"/>
      <c r="AM145" s="2371" t="s">
        <v>197</v>
      </c>
      <c r="AN145" s="2352">
        <v>170</v>
      </c>
      <c r="AO145" s="2283" t="s">
        <v>66</v>
      </c>
      <c r="AP145" s="2352">
        <v>200</v>
      </c>
      <c r="AQ145" s="2283" t="s">
        <v>67</v>
      </c>
      <c r="AR145" s="2352">
        <v>240</v>
      </c>
      <c r="AS145" s="2283" t="s">
        <v>151</v>
      </c>
      <c r="AT145" s="2348">
        <v>240</v>
      </c>
      <c r="AU145" s="2285" t="s">
        <v>151</v>
      </c>
      <c r="AV145" s="2348">
        <v>240</v>
      </c>
      <c r="AW145" s="2285" t="s">
        <v>151</v>
      </c>
      <c r="AX145" s="2345">
        <v>160</v>
      </c>
      <c r="AY145" s="2278" t="s">
        <v>67</v>
      </c>
      <c r="AZ145" s="2350">
        <v>200</v>
      </c>
      <c r="BA145" s="2303" t="s">
        <v>2326</v>
      </c>
      <c r="BE145" s="2371" t="s">
        <v>197</v>
      </c>
      <c r="BF145" s="577">
        <v>30</v>
      </c>
      <c r="BG145" s="577">
        <v>40</v>
      </c>
      <c r="BH145" s="577">
        <v>50</v>
      </c>
      <c r="BJ145" s="2371" t="s">
        <v>197</v>
      </c>
      <c r="BK145" s="578">
        <v>110</v>
      </c>
      <c r="BL145" s="577">
        <v>140</v>
      </c>
      <c r="BM145" s="577">
        <v>175</v>
      </c>
      <c r="BP145" s="524"/>
      <c r="BQ145" s="524"/>
      <c r="BR145" s="524"/>
      <c r="BS145" s="2461" t="s">
        <v>201</v>
      </c>
      <c r="BT145" s="2463" t="str">
        <f>IFERROR(INDEX(Liste_Ackerkulturen_Gemüse_DropDown[Ackerkulturen],_xlfn.AGGREGATE(15,6,(ROW(Liste_Ackerkulturen_Gemüse_DropDown[Ackerkulturen])-1)/(--(SEARCH(BU$2,Liste_Ackerkulturen_Gemüse_DropDown[Ackerkulturen])&gt;0)),ROW()-2),1),"")</f>
        <v>Kohlrabi (geschützt, Herbst)</v>
      </c>
      <c r="BU145" s="2463"/>
      <c r="BV145" s="2463" t="str">
        <f>IFERROR(INDEX(Liste_Ackerkulturen_Gemüse_DropDown[Ackerkulturen],_xlfn.AGGREGATE(15,6,(ROW(Liste_Ackerkulturen_Gemüse_DropDown[Ackerkulturen])-1)/(--(SEARCH(BW$2,Liste_Ackerkulturen_Gemüse_DropDown[Ackerkulturen])&gt;0)),ROW()-2),1),"")</f>
        <v>Kohlrabi (geschützt, Herbst)</v>
      </c>
      <c r="BW145" s="2463"/>
      <c r="BX145" s="2463" t="str">
        <f>IFERROR(INDEX(Liste_Ackerkulturen_Gemüse_DropDown[Ackerkulturen],_xlfn.AGGREGATE(15,6,(ROW(Liste_Ackerkulturen_Gemüse_DropDown[Ackerkulturen])-1)/(--(SEARCH(BY$2,Liste_Ackerkulturen_Gemüse_DropDown[Ackerkulturen])&gt;0)),ROW()-2),1),"")</f>
        <v>Kohlrabi (geschützt, Herbst)</v>
      </c>
      <c r="BY145" s="2463"/>
      <c r="BZ145" s="2463" t="str">
        <f>IFERROR(INDEX(Liste_Ackerkulturen_Gemüse_DropDown[Ackerkulturen],_xlfn.AGGREGATE(15,6,(ROW(Liste_Ackerkulturen_Gemüse_DropDown[Ackerkulturen])-1)/(--(SEARCH(CA$2,Liste_Ackerkulturen_Gemüse_DropDown[Ackerkulturen])&gt;0)),ROW()-2),1),"")</f>
        <v>Kohlrabi (geschützt, Herbst)</v>
      </c>
      <c r="CA145" s="2463"/>
      <c r="CB145" s="2463" t="str">
        <f>IFERROR(INDEX(Liste_Ackerkulturen_Gemüse_DropDown[Ackerkulturen],_xlfn.AGGREGATE(15,6,(ROW(Liste_Ackerkulturen_Gemüse_DropDown[Ackerkulturen])-1)/(--(SEARCH(CC$2,Liste_Ackerkulturen_Gemüse_DropDown[Ackerkulturen])&gt;0)),ROW()-2),1),"")</f>
        <v>Kohlrabi (geschützt, Herbst)</v>
      </c>
      <c r="CC145" s="2463"/>
      <c r="CD145" s="2464" t="str">
        <f>IFERROR(INDEX(Liste_Ackerkulturen_Gemüse_DropDown[Ackerkulturen],_xlfn.AGGREGATE(15,6,(ROW(Liste_Ackerkulturen_Gemüse_DropDown[Ackerkulturen])-1)/(--(SEARCH(CE$2,Liste_Ackerkulturen_Gemüse_DropDown[Ackerkulturen])&gt;0)),ROW()-2),1),"")</f>
        <v>Kohlrabi (geschützt, Herbst)</v>
      </c>
      <c r="CE145" s="2464"/>
      <c r="CF145" s="2464" t="str">
        <f>IFERROR(INDEX(Liste_Ackerkulturen_Gemüse_DropDown[Ackerkulturen],_xlfn.AGGREGATE(15,6,(ROW(Liste_Ackerkulturen_Gemüse_DropDown[Ackerkulturen])-1)/(--(SEARCH(CG$2,Liste_Ackerkulturen_Gemüse_DropDown[Ackerkulturen])&gt;0)),ROW()-2),1),"")</f>
        <v>Kohlrabi (geschützt, Herbst)</v>
      </c>
      <c r="CG145" s="2464"/>
      <c r="CH145" s="2464" t="str">
        <f>IFERROR(INDEX(Liste_Ackerkulturen_Gemüse_DropDown[Ackerkulturen],_xlfn.AGGREGATE(15,6,(ROW(Liste_Ackerkulturen_Gemüse_DropDown[Ackerkulturen])-1)/(--(SEARCH(CI$2,Liste_Ackerkulturen_Gemüse_DropDown[Ackerkulturen])&gt;0)),ROW()-2),1),"")</f>
        <v>Kohlrabi (geschützt, Herbst)</v>
      </c>
      <c r="CI145" s="2464"/>
      <c r="CJ145" s="2464" t="str">
        <f>IFERROR(INDEX(Liste_Ackerkulturen_Gemüse_DropDown[Ackerkulturen],_xlfn.AGGREGATE(15,6,(ROW(Liste_Ackerkulturen_Gemüse_DropDown[Ackerkulturen])-1)/(--(SEARCH(CK$2,Liste_Ackerkulturen_Gemüse_DropDown[Ackerkulturen])&gt;0)),ROW()-2),1),"")</f>
        <v>Kohlrabi (geschützt, Herbst)</v>
      </c>
      <c r="CK145" s="2464"/>
      <c r="CL145" s="2464" t="str">
        <f>IFERROR(INDEX(Liste_Ackerkulturen_Gemüse_DropDown[Ackerkulturen],_xlfn.AGGREGATE(15,6,(ROW(Liste_Ackerkulturen_Gemüse_DropDown[Ackerkulturen])-1)/(--(SEARCH(CM$2,Liste_Ackerkulturen_Gemüse_DropDown[Ackerkulturen])&gt;0)),ROW()-2),1),"")</f>
        <v>Kohlrabi (geschützt, Herbst)</v>
      </c>
      <c r="CM145" s="2464"/>
      <c r="CN145" s="2464" t="str">
        <f>IFERROR(INDEX(Liste_Ackerkulturen_Gemüse_DropDown[Ackerkulturen],_xlfn.AGGREGATE(15,6,(ROW(Liste_Ackerkulturen_Gemüse_DropDown[Ackerkulturen])-1)/(--(SEARCH(CO$2,Liste_Ackerkulturen_Gemüse_DropDown[Ackerkulturen])&gt;0)),ROW()-2),1),"")</f>
        <v>Kohlrabi (geschützt, Herbst)</v>
      </c>
      <c r="CO145" s="2464"/>
      <c r="CP145" s="2464" t="str">
        <f>IFERROR(INDEX(Liste_Ackerkulturen_Gemüse_DropDown[Ackerkulturen],_xlfn.AGGREGATE(15,6,(ROW(Liste_Ackerkulturen_Gemüse_DropDown[Ackerkulturen])-1)/(--(SEARCH(CQ$2,Liste_Ackerkulturen_Gemüse_DropDown[Ackerkulturen])&gt;0)),ROW()-2),1),"")</f>
        <v>Kohlrabi (geschützt, Herbst)</v>
      </c>
      <c r="CQ145" s="2464"/>
      <c r="CR145" s="2464" t="str">
        <f>IFERROR(INDEX(Liste_Ackerkulturen_Gemüse_DropDown[Ackerkulturen],_xlfn.AGGREGATE(15,6,(ROW(Liste_Ackerkulturen_Gemüse_DropDown[Ackerkulturen])-1)/(--(SEARCH(CS$2,Liste_Ackerkulturen_Gemüse_DropDown[Ackerkulturen])&gt;0)),ROW()-2),1),"")</f>
        <v>Kohlrabi (geschützt, Herbst)</v>
      </c>
      <c r="CS145" s="2464"/>
    </row>
    <row r="146" spans="3:97" ht="21" customHeight="1">
      <c r="C146" s="1741" t="s">
        <v>493</v>
      </c>
      <c r="D146" s="1742"/>
      <c r="E146" s="1768" t="s">
        <v>1945</v>
      </c>
      <c r="F146" s="1747" t="s">
        <v>1946</v>
      </c>
      <c r="G146" s="2226"/>
      <c r="H146" s="1747" t="s">
        <v>1945</v>
      </c>
      <c r="I146" s="1747" t="s">
        <v>1946</v>
      </c>
      <c r="J146" s="1747" t="s">
        <v>1945</v>
      </c>
      <c r="K146" s="1747" t="s">
        <v>1946</v>
      </c>
      <c r="L146" s="1747" t="s">
        <v>1945</v>
      </c>
      <c r="M146" s="1747" t="s">
        <v>1946</v>
      </c>
      <c r="N146" s="1747" t="s">
        <v>1945</v>
      </c>
      <c r="O146" s="1747" t="s">
        <v>1946</v>
      </c>
      <c r="P146" s="2595" t="s">
        <v>1946</v>
      </c>
      <c r="Q146" s="2596"/>
      <c r="R146" s="1756"/>
      <c r="S146" s="1757"/>
      <c r="T146" s="2588" t="s">
        <v>1055</v>
      </c>
      <c r="U146" s="2588"/>
      <c r="V146" s="2588"/>
      <c r="W146" s="1758"/>
      <c r="X146" s="1759"/>
      <c r="Y146" s="1756"/>
      <c r="Z146" s="1757"/>
      <c r="AA146" s="2588" t="s">
        <v>1056</v>
      </c>
      <c r="AB146" s="2588"/>
      <c r="AC146" s="2588"/>
      <c r="AD146" s="1758"/>
      <c r="AE146" s="1759"/>
      <c r="AF146" s="1279"/>
      <c r="AJ146"/>
      <c r="AK146"/>
      <c r="AL146" s="1542"/>
      <c r="AM146" s="2371" t="s">
        <v>198</v>
      </c>
      <c r="AN146" s="2352">
        <v>170</v>
      </c>
      <c r="AO146" s="2283" t="s">
        <v>199</v>
      </c>
      <c r="AP146" s="2352">
        <v>200</v>
      </c>
      <c r="AQ146" s="2283" t="s">
        <v>200</v>
      </c>
      <c r="AR146" s="2352">
        <v>235</v>
      </c>
      <c r="AS146" s="2283" t="s">
        <v>159</v>
      </c>
      <c r="AT146" s="2348">
        <v>235</v>
      </c>
      <c r="AU146" s="2285" t="s">
        <v>159</v>
      </c>
      <c r="AV146" s="2348">
        <v>235</v>
      </c>
      <c r="AW146" s="2285" t="s">
        <v>159</v>
      </c>
      <c r="AX146" s="2345">
        <v>160</v>
      </c>
      <c r="AY146" s="2278" t="s">
        <v>200</v>
      </c>
      <c r="AZ146" s="2350">
        <v>200</v>
      </c>
      <c r="BA146" s="2303" t="s">
        <v>2335</v>
      </c>
      <c r="BE146" s="2371" t="s">
        <v>198</v>
      </c>
      <c r="BF146" s="577">
        <v>30</v>
      </c>
      <c r="BG146" s="577">
        <v>40</v>
      </c>
      <c r="BH146" s="577">
        <v>50</v>
      </c>
      <c r="BJ146" s="2371" t="s">
        <v>198</v>
      </c>
      <c r="BK146" s="578">
        <v>110</v>
      </c>
      <c r="BL146" s="577">
        <v>140</v>
      </c>
      <c r="BM146" s="577">
        <v>175</v>
      </c>
      <c r="BP146" s="524"/>
      <c r="BQ146" s="524"/>
      <c r="BR146" s="524"/>
      <c r="BS146" s="2461" t="s">
        <v>202</v>
      </c>
      <c r="BT146" s="2463" t="str">
        <f>IFERROR(INDEX(Liste_Ackerkulturen_Gemüse_DropDown[Ackerkulturen],_xlfn.AGGREGATE(15,6,(ROW(Liste_Ackerkulturen_Gemüse_DropDown[Ackerkulturen])-1)/(--(SEARCH(BU$2,Liste_Ackerkulturen_Gemüse_DropDown[Ackerkulturen])&gt;0)),ROW()-2),1),"")</f>
        <v>Kohlrabi (Industrie)</v>
      </c>
      <c r="BU146" s="2463"/>
      <c r="BV146" s="2463" t="str">
        <f>IFERROR(INDEX(Liste_Ackerkulturen_Gemüse_DropDown[Ackerkulturen],_xlfn.AGGREGATE(15,6,(ROW(Liste_Ackerkulturen_Gemüse_DropDown[Ackerkulturen])-1)/(--(SEARCH(BW$2,Liste_Ackerkulturen_Gemüse_DropDown[Ackerkulturen])&gt;0)),ROW()-2),1),"")</f>
        <v>Kohlrabi (Industrie)</v>
      </c>
      <c r="BW146" s="2463"/>
      <c r="BX146" s="2463" t="str">
        <f>IFERROR(INDEX(Liste_Ackerkulturen_Gemüse_DropDown[Ackerkulturen],_xlfn.AGGREGATE(15,6,(ROW(Liste_Ackerkulturen_Gemüse_DropDown[Ackerkulturen])-1)/(--(SEARCH(BY$2,Liste_Ackerkulturen_Gemüse_DropDown[Ackerkulturen])&gt;0)),ROW()-2),1),"")</f>
        <v>Kohlrabi (Industrie)</v>
      </c>
      <c r="BY146" s="2463"/>
      <c r="BZ146" s="2463" t="str">
        <f>IFERROR(INDEX(Liste_Ackerkulturen_Gemüse_DropDown[Ackerkulturen],_xlfn.AGGREGATE(15,6,(ROW(Liste_Ackerkulturen_Gemüse_DropDown[Ackerkulturen])-1)/(--(SEARCH(CA$2,Liste_Ackerkulturen_Gemüse_DropDown[Ackerkulturen])&gt;0)),ROW()-2),1),"")</f>
        <v>Kohlrabi (Industrie)</v>
      </c>
      <c r="CA146" s="2463"/>
      <c r="CB146" s="2463" t="str">
        <f>IFERROR(INDEX(Liste_Ackerkulturen_Gemüse_DropDown[Ackerkulturen],_xlfn.AGGREGATE(15,6,(ROW(Liste_Ackerkulturen_Gemüse_DropDown[Ackerkulturen])-1)/(--(SEARCH(CC$2,Liste_Ackerkulturen_Gemüse_DropDown[Ackerkulturen])&gt;0)),ROW()-2),1),"")</f>
        <v>Kohlrabi (Industrie)</v>
      </c>
      <c r="CC146" s="2463"/>
      <c r="CD146" s="2464" t="str">
        <f>IFERROR(INDEX(Liste_Ackerkulturen_Gemüse_DropDown[Ackerkulturen],_xlfn.AGGREGATE(15,6,(ROW(Liste_Ackerkulturen_Gemüse_DropDown[Ackerkulturen])-1)/(--(SEARCH(CE$2,Liste_Ackerkulturen_Gemüse_DropDown[Ackerkulturen])&gt;0)),ROW()-2),1),"")</f>
        <v>Kohlrabi (Industrie)</v>
      </c>
      <c r="CE146" s="2464"/>
      <c r="CF146" s="2464" t="str">
        <f>IFERROR(INDEX(Liste_Ackerkulturen_Gemüse_DropDown[Ackerkulturen],_xlfn.AGGREGATE(15,6,(ROW(Liste_Ackerkulturen_Gemüse_DropDown[Ackerkulturen])-1)/(--(SEARCH(CG$2,Liste_Ackerkulturen_Gemüse_DropDown[Ackerkulturen])&gt;0)),ROW()-2),1),"")</f>
        <v>Kohlrabi (Industrie)</v>
      </c>
      <c r="CG146" s="2464"/>
      <c r="CH146" s="2464" t="str">
        <f>IFERROR(INDEX(Liste_Ackerkulturen_Gemüse_DropDown[Ackerkulturen],_xlfn.AGGREGATE(15,6,(ROW(Liste_Ackerkulturen_Gemüse_DropDown[Ackerkulturen])-1)/(--(SEARCH(CI$2,Liste_Ackerkulturen_Gemüse_DropDown[Ackerkulturen])&gt;0)),ROW()-2),1),"")</f>
        <v>Kohlrabi (Industrie)</v>
      </c>
      <c r="CI146" s="2464"/>
      <c r="CJ146" s="2464" t="str">
        <f>IFERROR(INDEX(Liste_Ackerkulturen_Gemüse_DropDown[Ackerkulturen],_xlfn.AGGREGATE(15,6,(ROW(Liste_Ackerkulturen_Gemüse_DropDown[Ackerkulturen])-1)/(--(SEARCH(CK$2,Liste_Ackerkulturen_Gemüse_DropDown[Ackerkulturen])&gt;0)),ROW()-2),1),"")</f>
        <v>Kohlrabi (Industrie)</v>
      </c>
      <c r="CK146" s="2464"/>
      <c r="CL146" s="2464" t="str">
        <f>IFERROR(INDEX(Liste_Ackerkulturen_Gemüse_DropDown[Ackerkulturen],_xlfn.AGGREGATE(15,6,(ROW(Liste_Ackerkulturen_Gemüse_DropDown[Ackerkulturen])-1)/(--(SEARCH(CM$2,Liste_Ackerkulturen_Gemüse_DropDown[Ackerkulturen])&gt;0)),ROW()-2),1),"")</f>
        <v>Kohlrabi (Industrie)</v>
      </c>
      <c r="CM146" s="2464"/>
      <c r="CN146" s="2464" t="str">
        <f>IFERROR(INDEX(Liste_Ackerkulturen_Gemüse_DropDown[Ackerkulturen],_xlfn.AGGREGATE(15,6,(ROW(Liste_Ackerkulturen_Gemüse_DropDown[Ackerkulturen])-1)/(--(SEARCH(CO$2,Liste_Ackerkulturen_Gemüse_DropDown[Ackerkulturen])&gt;0)),ROW()-2),1),"")</f>
        <v>Kohlrabi (Industrie)</v>
      </c>
      <c r="CO146" s="2464"/>
      <c r="CP146" s="2464" t="str">
        <f>IFERROR(INDEX(Liste_Ackerkulturen_Gemüse_DropDown[Ackerkulturen],_xlfn.AGGREGATE(15,6,(ROW(Liste_Ackerkulturen_Gemüse_DropDown[Ackerkulturen])-1)/(--(SEARCH(CQ$2,Liste_Ackerkulturen_Gemüse_DropDown[Ackerkulturen])&gt;0)),ROW()-2),1),"")</f>
        <v>Kohlrabi (Industrie)</v>
      </c>
      <c r="CQ146" s="2464"/>
      <c r="CR146" s="2464" t="str">
        <f>IFERROR(INDEX(Liste_Ackerkulturen_Gemüse_DropDown[Ackerkulturen],_xlfn.AGGREGATE(15,6,(ROW(Liste_Ackerkulturen_Gemüse_DropDown[Ackerkulturen])-1)/(--(SEARCH(CS$2,Liste_Ackerkulturen_Gemüse_DropDown[Ackerkulturen])&gt;0)),ROW()-2),1),"")</f>
        <v>Kohlrabi (Industrie)</v>
      </c>
      <c r="CS146" s="2464"/>
    </row>
    <row r="147" spans="3:97" ht="21" customHeight="1">
      <c r="C147" s="1575" t="s">
        <v>39</v>
      </c>
      <c r="D147" s="1576"/>
      <c r="E147" s="1589" t="s">
        <v>40</v>
      </c>
      <c r="F147" s="1568"/>
      <c r="G147" s="1568"/>
      <c r="H147" s="1716"/>
      <c r="I147" s="1718"/>
      <c r="J147" s="1188"/>
      <c r="K147" s="1568"/>
      <c r="L147" s="1188"/>
      <c r="M147" s="1568"/>
      <c r="N147" s="1188"/>
      <c r="O147" s="1568"/>
      <c r="P147" s="1590" t="s">
        <v>40</v>
      </c>
      <c r="Q147" s="1591"/>
      <c r="R147" s="1569">
        <v>90</v>
      </c>
      <c r="S147" s="1570">
        <v>75</v>
      </c>
      <c r="T147" s="1568">
        <v>55</v>
      </c>
      <c r="U147" s="1718">
        <v>60</v>
      </c>
      <c r="V147" s="1568">
        <v>70</v>
      </c>
      <c r="W147" s="1188" t="s">
        <v>1954</v>
      </c>
      <c r="X147" s="1592" t="s">
        <v>1955</v>
      </c>
      <c r="Y147" s="1593"/>
      <c r="Z147" s="1570"/>
      <c r="AA147" s="1568"/>
      <c r="AB147" s="1718"/>
      <c r="AC147" s="1568"/>
      <c r="AD147" s="1188"/>
      <c r="AE147" s="1592"/>
      <c r="AF147" s="1279"/>
      <c r="AJ147"/>
      <c r="AK147"/>
      <c r="AL147" s="1542"/>
      <c r="AM147" s="2371" t="s">
        <v>201</v>
      </c>
      <c r="AN147" s="2352">
        <v>210</v>
      </c>
      <c r="AO147" s="2283" t="s">
        <v>143</v>
      </c>
      <c r="AP147" s="2352">
        <v>250</v>
      </c>
      <c r="AQ147" s="2283" t="s">
        <v>144</v>
      </c>
      <c r="AR147" s="2352">
        <v>305</v>
      </c>
      <c r="AS147" s="2283" t="s">
        <v>145</v>
      </c>
      <c r="AT147" s="2348">
        <v>305</v>
      </c>
      <c r="AU147" s="2285" t="s">
        <v>145</v>
      </c>
      <c r="AV147" s="2348">
        <v>305</v>
      </c>
      <c r="AW147" s="2285" t="s">
        <v>145</v>
      </c>
      <c r="AX147" s="2345">
        <v>210</v>
      </c>
      <c r="AY147" s="2278" t="s">
        <v>144</v>
      </c>
      <c r="AZ147" s="2350">
        <v>263</v>
      </c>
      <c r="BA147" s="2303" t="s">
        <v>2333</v>
      </c>
      <c r="BE147" s="2371" t="s">
        <v>201</v>
      </c>
      <c r="BF147" s="577">
        <v>50</v>
      </c>
      <c r="BG147" s="577">
        <v>60</v>
      </c>
      <c r="BH147" s="577">
        <v>75</v>
      </c>
      <c r="BJ147" s="2371" t="s">
        <v>201</v>
      </c>
      <c r="BK147" s="578">
        <v>170</v>
      </c>
      <c r="BL147" s="577">
        <v>210</v>
      </c>
      <c r="BM147" s="577">
        <v>265</v>
      </c>
      <c r="BP147" s="524"/>
      <c r="BQ147" s="524"/>
      <c r="BR147" s="524"/>
      <c r="BS147" s="2461" t="s">
        <v>203</v>
      </c>
      <c r="BT147" s="2463" t="str">
        <f>IFERROR(INDEX(Liste_Ackerkulturen_Gemüse_DropDown[Ackerkulturen],_xlfn.AGGREGATE(15,6,(ROW(Liste_Ackerkulturen_Gemüse_DropDown[Ackerkulturen])-1)/(--(SEARCH(BU$2,Liste_Ackerkulturen_Gemüse_DropDown[Ackerkulturen])&gt;0)),ROW()-2),1),"")</f>
        <v>Kohlrabi (Vlies)</v>
      </c>
      <c r="BU147" s="2463"/>
      <c r="BV147" s="2463" t="str">
        <f>IFERROR(INDEX(Liste_Ackerkulturen_Gemüse_DropDown[Ackerkulturen],_xlfn.AGGREGATE(15,6,(ROW(Liste_Ackerkulturen_Gemüse_DropDown[Ackerkulturen])-1)/(--(SEARCH(BW$2,Liste_Ackerkulturen_Gemüse_DropDown[Ackerkulturen])&gt;0)),ROW()-2),1),"")</f>
        <v>Kohlrabi (Vlies)</v>
      </c>
      <c r="BW147" s="2463"/>
      <c r="BX147" s="2463" t="str">
        <f>IFERROR(INDEX(Liste_Ackerkulturen_Gemüse_DropDown[Ackerkulturen],_xlfn.AGGREGATE(15,6,(ROW(Liste_Ackerkulturen_Gemüse_DropDown[Ackerkulturen])-1)/(--(SEARCH(BY$2,Liste_Ackerkulturen_Gemüse_DropDown[Ackerkulturen])&gt;0)),ROW()-2),1),"")</f>
        <v>Kohlrabi (Vlies)</v>
      </c>
      <c r="BY147" s="2463"/>
      <c r="BZ147" s="2463" t="str">
        <f>IFERROR(INDEX(Liste_Ackerkulturen_Gemüse_DropDown[Ackerkulturen],_xlfn.AGGREGATE(15,6,(ROW(Liste_Ackerkulturen_Gemüse_DropDown[Ackerkulturen])-1)/(--(SEARCH(CA$2,Liste_Ackerkulturen_Gemüse_DropDown[Ackerkulturen])&gt;0)),ROW()-2),1),"")</f>
        <v>Kohlrabi (Vlies)</v>
      </c>
      <c r="CA147" s="2463"/>
      <c r="CB147" s="2463" t="str">
        <f>IFERROR(INDEX(Liste_Ackerkulturen_Gemüse_DropDown[Ackerkulturen],_xlfn.AGGREGATE(15,6,(ROW(Liste_Ackerkulturen_Gemüse_DropDown[Ackerkulturen])-1)/(--(SEARCH(CC$2,Liste_Ackerkulturen_Gemüse_DropDown[Ackerkulturen])&gt;0)),ROW()-2),1),"")</f>
        <v>Kohlrabi (Vlies)</v>
      </c>
      <c r="CC147" s="2463"/>
      <c r="CD147" s="2464" t="str">
        <f>IFERROR(INDEX(Liste_Ackerkulturen_Gemüse_DropDown[Ackerkulturen],_xlfn.AGGREGATE(15,6,(ROW(Liste_Ackerkulturen_Gemüse_DropDown[Ackerkulturen])-1)/(--(SEARCH(CE$2,Liste_Ackerkulturen_Gemüse_DropDown[Ackerkulturen])&gt;0)),ROW()-2),1),"")</f>
        <v>Kohlrabi (Vlies)</v>
      </c>
      <c r="CE147" s="2464"/>
      <c r="CF147" s="2464" t="str">
        <f>IFERROR(INDEX(Liste_Ackerkulturen_Gemüse_DropDown[Ackerkulturen],_xlfn.AGGREGATE(15,6,(ROW(Liste_Ackerkulturen_Gemüse_DropDown[Ackerkulturen])-1)/(--(SEARCH(CG$2,Liste_Ackerkulturen_Gemüse_DropDown[Ackerkulturen])&gt;0)),ROW()-2),1),"")</f>
        <v>Kohlrabi (Vlies)</v>
      </c>
      <c r="CG147" s="2464"/>
      <c r="CH147" s="2464" t="str">
        <f>IFERROR(INDEX(Liste_Ackerkulturen_Gemüse_DropDown[Ackerkulturen],_xlfn.AGGREGATE(15,6,(ROW(Liste_Ackerkulturen_Gemüse_DropDown[Ackerkulturen])-1)/(--(SEARCH(CI$2,Liste_Ackerkulturen_Gemüse_DropDown[Ackerkulturen])&gt;0)),ROW()-2),1),"")</f>
        <v>Kohlrabi (Vlies)</v>
      </c>
      <c r="CI147" s="2464"/>
      <c r="CJ147" s="2464" t="str">
        <f>IFERROR(INDEX(Liste_Ackerkulturen_Gemüse_DropDown[Ackerkulturen],_xlfn.AGGREGATE(15,6,(ROW(Liste_Ackerkulturen_Gemüse_DropDown[Ackerkulturen])-1)/(--(SEARCH(CK$2,Liste_Ackerkulturen_Gemüse_DropDown[Ackerkulturen])&gt;0)),ROW()-2),1),"")</f>
        <v>Kohlrabi (Vlies)</v>
      </c>
      <c r="CK147" s="2464"/>
      <c r="CL147" s="2464" t="str">
        <f>IFERROR(INDEX(Liste_Ackerkulturen_Gemüse_DropDown[Ackerkulturen],_xlfn.AGGREGATE(15,6,(ROW(Liste_Ackerkulturen_Gemüse_DropDown[Ackerkulturen])-1)/(--(SEARCH(CM$2,Liste_Ackerkulturen_Gemüse_DropDown[Ackerkulturen])&gt;0)),ROW()-2),1),"")</f>
        <v>Kohlrabi (Vlies)</v>
      </c>
      <c r="CM147" s="2464"/>
      <c r="CN147" s="2464" t="str">
        <f>IFERROR(INDEX(Liste_Ackerkulturen_Gemüse_DropDown[Ackerkulturen],_xlfn.AGGREGATE(15,6,(ROW(Liste_Ackerkulturen_Gemüse_DropDown[Ackerkulturen])-1)/(--(SEARCH(CO$2,Liste_Ackerkulturen_Gemüse_DropDown[Ackerkulturen])&gt;0)),ROW()-2),1),"")</f>
        <v>Kohlrabi (Vlies)</v>
      </c>
      <c r="CO147" s="2464"/>
      <c r="CP147" s="2464" t="str">
        <f>IFERROR(INDEX(Liste_Ackerkulturen_Gemüse_DropDown[Ackerkulturen],_xlfn.AGGREGATE(15,6,(ROW(Liste_Ackerkulturen_Gemüse_DropDown[Ackerkulturen])-1)/(--(SEARCH(CQ$2,Liste_Ackerkulturen_Gemüse_DropDown[Ackerkulturen])&gt;0)),ROW()-2),1),"")</f>
        <v>Kohlrabi (Vlies)</v>
      </c>
      <c r="CQ147" s="2464"/>
      <c r="CR147" s="2464" t="str">
        <f>IFERROR(INDEX(Liste_Ackerkulturen_Gemüse_DropDown[Ackerkulturen],_xlfn.AGGREGATE(15,6,(ROW(Liste_Ackerkulturen_Gemüse_DropDown[Ackerkulturen])-1)/(--(SEARCH(CS$2,Liste_Ackerkulturen_Gemüse_DropDown[Ackerkulturen])&gt;0)),ROW()-2),1),"")</f>
        <v>Kohlrabi (Vlies)</v>
      </c>
      <c r="CS147" s="2464"/>
    </row>
    <row r="148" spans="3:97" ht="21" customHeight="1">
      <c r="C148" s="1575" t="s">
        <v>41</v>
      </c>
      <c r="D148" s="1576"/>
      <c r="E148" s="1594" t="s">
        <v>473</v>
      </c>
      <c r="F148" s="1568">
        <v>40</v>
      </c>
      <c r="G148" s="1568"/>
      <c r="H148" s="1716" t="s">
        <v>42</v>
      </c>
      <c r="I148" s="1718">
        <v>40</v>
      </c>
      <c r="J148" s="1188" t="s">
        <v>43</v>
      </c>
      <c r="K148" s="1568">
        <v>40</v>
      </c>
      <c r="L148" s="1188" t="s">
        <v>44</v>
      </c>
      <c r="M148" s="1568">
        <v>40</v>
      </c>
      <c r="N148" s="1188" t="s">
        <v>1060</v>
      </c>
      <c r="O148" s="1568">
        <v>40</v>
      </c>
      <c r="P148" s="1527">
        <v>40</v>
      </c>
      <c r="Q148" s="1591">
        <v>40</v>
      </c>
      <c r="R148" s="1569">
        <v>85</v>
      </c>
      <c r="S148" s="1570">
        <v>70</v>
      </c>
      <c r="T148" s="1568">
        <v>50</v>
      </c>
      <c r="U148" s="1718">
        <v>55</v>
      </c>
      <c r="V148" s="1568">
        <v>65</v>
      </c>
      <c r="W148" s="1188" t="s">
        <v>1954</v>
      </c>
      <c r="X148" s="1592" t="s">
        <v>1955</v>
      </c>
      <c r="Y148" s="1569">
        <v>75</v>
      </c>
      <c r="Z148" s="1570">
        <v>65</v>
      </c>
      <c r="AA148" s="1568">
        <v>45</v>
      </c>
      <c r="AB148" s="1718">
        <v>50</v>
      </c>
      <c r="AC148" s="1568">
        <v>60</v>
      </c>
      <c r="AD148" s="1188" t="s">
        <v>1956</v>
      </c>
      <c r="AE148" s="1592" t="s">
        <v>1955</v>
      </c>
      <c r="AF148" s="1279"/>
      <c r="AJ148"/>
      <c r="AK148"/>
      <c r="AL148" s="1542"/>
      <c r="AM148" s="2371" t="s">
        <v>202</v>
      </c>
      <c r="AN148" s="2352">
        <v>180</v>
      </c>
      <c r="AO148" s="2283" t="s">
        <v>66</v>
      </c>
      <c r="AP148" s="2352">
        <v>210</v>
      </c>
      <c r="AQ148" s="2283" t="s">
        <v>67</v>
      </c>
      <c r="AR148" s="2352">
        <v>250</v>
      </c>
      <c r="AS148" s="2283" t="s">
        <v>151</v>
      </c>
      <c r="AT148" s="2348">
        <v>250</v>
      </c>
      <c r="AU148" s="2285" t="s">
        <v>151</v>
      </c>
      <c r="AV148" s="2348">
        <v>250</v>
      </c>
      <c r="AW148" s="2285" t="s">
        <v>151</v>
      </c>
      <c r="AX148" s="2345">
        <v>150</v>
      </c>
      <c r="AY148" s="2278" t="s">
        <v>67</v>
      </c>
      <c r="AZ148" s="2350">
        <v>188</v>
      </c>
      <c r="BA148" s="2303" t="s">
        <v>2326</v>
      </c>
      <c r="BE148" s="2371" t="s">
        <v>202</v>
      </c>
      <c r="BF148" s="577">
        <v>30</v>
      </c>
      <c r="BG148" s="577">
        <v>35</v>
      </c>
      <c r="BH148" s="577">
        <v>45</v>
      </c>
      <c r="BJ148" s="2371" t="s">
        <v>202</v>
      </c>
      <c r="BK148" s="578">
        <v>110</v>
      </c>
      <c r="BL148" s="577">
        <v>140</v>
      </c>
      <c r="BM148" s="577">
        <v>175</v>
      </c>
      <c r="BP148" s="524"/>
      <c r="BQ148" s="524"/>
      <c r="BR148" s="524"/>
      <c r="BS148" s="2461" t="s">
        <v>204</v>
      </c>
      <c r="BT148" s="2463" t="str">
        <f>IFERROR(INDEX(Liste_Ackerkulturen_Gemüse_DropDown[Ackerkulturen],_xlfn.AGGREGATE(15,6,(ROW(Liste_Ackerkulturen_Gemüse_DropDown[Ackerkulturen])-1)/(--(SEARCH(BU$2,Liste_Ackerkulturen_Gemüse_DropDown[Ackerkulturen])&gt;0)),ROW()-2),1),"")</f>
        <v>Kopfsalat</v>
      </c>
      <c r="BU148" s="2463"/>
      <c r="BV148" s="2463" t="str">
        <f>IFERROR(INDEX(Liste_Ackerkulturen_Gemüse_DropDown[Ackerkulturen],_xlfn.AGGREGATE(15,6,(ROW(Liste_Ackerkulturen_Gemüse_DropDown[Ackerkulturen])-1)/(--(SEARCH(BW$2,Liste_Ackerkulturen_Gemüse_DropDown[Ackerkulturen])&gt;0)),ROW()-2),1),"")</f>
        <v>Kopfsalat</v>
      </c>
      <c r="BW148" s="2463"/>
      <c r="BX148" s="2463" t="str">
        <f>IFERROR(INDEX(Liste_Ackerkulturen_Gemüse_DropDown[Ackerkulturen],_xlfn.AGGREGATE(15,6,(ROW(Liste_Ackerkulturen_Gemüse_DropDown[Ackerkulturen])-1)/(--(SEARCH(BY$2,Liste_Ackerkulturen_Gemüse_DropDown[Ackerkulturen])&gt;0)),ROW()-2),1),"")</f>
        <v>Kopfsalat</v>
      </c>
      <c r="BY148" s="2463"/>
      <c r="BZ148" s="2463" t="str">
        <f>IFERROR(INDEX(Liste_Ackerkulturen_Gemüse_DropDown[Ackerkulturen],_xlfn.AGGREGATE(15,6,(ROW(Liste_Ackerkulturen_Gemüse_DropDown[Ackerkulturen])-1)/(--(SEARCH(CA$2,Liste_Ackerkulturen_Gemüse_DropDown[Ackerkulturen])&gt;0)),ROW()-2),1),"")</f>
        <v>Kopfsalat</v>
      </c>
      <c r="CA148" s="2463"/>
      <c r="CB148" s="2463" t="str">
        <f>IFERROR(INDEX(Liste_Ackerkulturen_Gemüse_DropDown[Ackerkulturen],_xlfn.AGGREGATE(15,6,(ROW(Liste_Ackerkulturen_Gemüse_DropDown[Ackerkulturen])-1)/(--(SEARCH(CC$2,Liste_Ackerkulturen_Gemüse_DropDown[Ackerkulturen])&gt;0)),ROW()-2),1),"")</f>
        <v>Kopfsalat</v>
      </c>
      <c r="CC148" s="2463"/>
      <c r="CD148" s="2464" t="str">
        <f>IFERROR(INDEX(Liste_Ackerkulturen_Gemüse_DropDown[Ackerkulturen],_xlfn.AGGREGATE(15,6,(ROW(Liste_Ackerkulturen_Gemüse_DropDown[Ackerkulturen])-1)/(--(SEARCH(CE$2,Liste_Ackerkulturen_Gemüse_DropDown[Ackerkulturen])&gt;0)),ROW()-2),1),"")</f>
        <v>Kopfsalat</v>
      </c>
      <c r="CE148" s="2464"/>
      <c r="CF148" s="2464" t="str">
        <f>IFERROR(INDEX(Liste_Ackerkulturen_Gemüse_DropDown[Ackerkulturen],_xlfn.AGGREGATE(15,6,(ROW(Liste_Ackerkulturen_Gemüse_DropDown[Ackerkulturen])-1)/(--(SEARCH(CG$2,Liste_Ackerkulturen_Gemüse_DropDown[Ackerkulturen])&gt;0)),ROW()-2),1),"")</f>
        <v>Kopfsalat</v>
      </c>
      <c r="CG148" s="2464"/>
      <c r="CH148" s="2464" t="str">
        <f>IFERROR(INDEX(Liste_Ackerkulturen_Gemüse_DropDown[Ackerkulturen],_xlfn.AGGREGATE(15,6,(ROW(Liste_Ackerkulturen_Gemüse_DropDown[Ackerkulturen])-1)/(--(SEARCH(CI$2,Liste_Ackerkulturen_Gemüse_DropDown[Ackerkulturen])&gt;0)),ROW()-2),1),"")</f>
        <v>Kopfsalat</v>
      </c>
      <c r="CI148" s="2464"/>
      <c r="CJ148" s="2464" t="str">
        <f>IFERROR(INDEX(Liste_Ackerkulturen_Gemüse_DropDown[Ackerkulturen],_xlfn.AGGREGATE(15,6,(ROW(Liste_Ackerkulturen_Gemüse_DropDown[Ackerkulturen])-1)/(--(SEARCH(CK$2,Liste_Ackerkulturen_Gemüse_DropDown[Ackerkulturen])&gt;0)),ROW()-2),1),"")</f>
        <v>Kopfsalat</v>
      </c>
      <c r="CK148" s="2464"/>
      <c r="CL148" s="2464" t="str">
        <f>IFERROR(INDEX(Liste_Ackerkulturen_Gemüse_DropDown[Ackerkulturen],_xlfn.AGGREGATE(15,6,(ROW(Liste_Ackerkulturen_Gemüse_DropDown[Ackerkulturen])-1)/(--(SEARCH(CM$2,Liste_Ackerkulturen_Gemüse_DropDown[Ackerkulturen])&gt;0)),ROW()-2),1),"")</f>
        <v>Kopfsalat</v>
      </c>
      <c r="CM148" s="2464"/>
      <c r="CN148" s="2464" t="str">
        <f>IFERROR(INDEX(Liste_Ackerkulturen_Gemüse_DropDown[Ackerkulturen],_xlfn.AGGREGATE(15,6,(ROW(Liste_Ackerkulturen_Gemüse_DropDown[Ackerkulturen])-1)/(--(SEARCH(CO$2,Liste_Ackerkulturen_Gemüse_DropDown[Ackerkulturen])&gt;0)),ROW()-2),1),"")</f>
        <v>Kopfsalat</v>
      </c>
      <c r="CO148" s="2464"/>
      <c r="CP148" s="2464" t="str">
        <f>IFERROR(INDEX(Liste_Ackerkulturen_Gemüse_DropDown[Ackerkulturen],_xlfn.AGGREGATE(15,6,(ROW(Liste_Ackerkulturen_Gemüse_DropDown[Ackerkulturen])-1)/(--(SEARCH(CQ$2,Liste_Ackerkulturen_Gemüse_DropDown[Ackerkulturen])&gt;0)),ROW()-2),1),"")</f>
        <v>Kopfsalat</v>
      </c>
      <c r="CQ148" s="2464"/>
      <c r="CR148" s="2464" t="str">
        <f>IFERROR(INDEX(Liste_Ackerkulturen_Gemüse_DropDown[Ackerkulturen],_xlfn.AGGREGATE(15,6,(ROW(Liste_Ackerkulturen_Gemüse_DropDown[Ackerkulturen])-1)/(--(SEARCH(CS$2,Liste_Ackerkulturen_Gemüse_DropDown[Ackerkulturen])&gt;0)),ROW()-2),1),"")</f>
        <v>Kopfsalat</v>
      </c>
      <c r="CS148" s="2464"/>
    </row>
    <row r="149" spans="3:97" ht="21" customHeight="1">
      <c r="C149" s="1575" t="s">
        <v>45</v>
      </c>
      <c r="D149" s="1576"/>
      <c r="E149" s="1594" t="s">
        <v>1201</v>
      </c>
      <c r="F149" s="1568">
        <v>0</v>
      </c>
      <c r="G149" s="1568"/>
      <c r="H149" s="1716" t="s">
        <v>1201</v>
      </c>
      <c r="I149" s="1718">
        <v>0</v>
      </c>
      <c r="J149" s="1188" t="s">
        <v>1201</v>
      </c>
      <c r="K149" s="1568">
        <v>0</v>
      </c>
      <c r="L149" s="1188" t="s">
        <v>1201</v>
      </c>
      <c r="M149" s="1568">
        <v>0</v>
      </c>
      <c r="N149" s="1188" t="s">
        <v>1201</v>
      </c>
      <c r="O149" s="1568">
        <v>0</v>
      </c>
      <c r="P149" s="1527">
        <v>0</v>
      </c>
      <c r="Q149" s="1591">
        <v>0</v>
      </c>
      <c r="R149" s="1569">
        <v>0</v>
      </c>
      <c r="S149" s="1570">
        <v>0</v>
      </c>
      <c r="T149" s="1568">
        <v>0</v>
      </c>
      <c r="U149" s="1718">
        <v>0</v>
      </c>
      <c r="V149" s="1568">
        <v>0</v>
      </c>
      <c r="W149" s="1188" t="s">
        <v>1201</v>
      </c>
      <c r="X149" s="1592" t="s">
        <v>1201</v>
      </c>
      <c r="Y149" s="1569">
        <v>0</v>
      </c>
      <c r="Z149" s="1570">
        <v>0</v>
      </c>
      <c r="AA149" s="1568">
        <v>0</v>
      </c>
      <c r="AB149" s="1718">
        <v>0</v>
      </c>
      <c r="AC149" s="1568">
        <v>0</v>
      </c>
      <c r="AD149" s="1188" t="s">
        <v>1201</v>
      </c>
      <c r="AE149" s="1592" t="s">
        <v>1201</v>
      </c>
      <c r="AF149" s="1279"/>
      <c r="AJ149"/>
      <c r="AK149"/>
      <c r="AL149" s="1542"/>
      <c r="AM149" s="2371" t="s">
        <v>203</v>
      </c>
      <c r="AN149" s="2352">
        <v>140</v>
      </c>
      <c r="AO149" s="2283" t="s">
        <v>66</v>
      </c>
      <c r="AP149" s="2352">
        <v>160</v>
      </c>
      <c r="AQ149" s="2283" t="s">
        <v>67</v>
      </c>
      <c r="AR149" s="2352">
        <v>185</v>
      </c>
      <c r="AS149" s="2283" t="s">
        <v>151</v>
      </c>
      <c r="AT149" s="2348">
        <v>185</v>
      </c>
      <c r="AU149" s="2285" t="s">
        <v>151</v>
      </c>
      <c r="AV149" s="2348">
        <v>185</v>
      </c>
      <c r="AW149" s="2285" t="s">
        <v>151</v>
      </c>
      <c r="AX149" s="2345">
        <v>100</v>
      </c>
      <c r="AY149" s="2278" t="s">
        <v>67</v>
      </c>
      <c r="AZ149" s="2350">
        <v>125</v>
      </c>
      <c r="BA149" s="2303" t="s">
        <v>2326</v>
      </c>
      <c r="BE149" s="2371" t="s">
        <v>203</v>
      </c>
      <c r="BF149" s="577">
        <v>25</v>
      </c>
      <c r="BG149" s="577">
        <v>30</v>
      </c>
      <c r="BH149" s="577">
        <v>40</v>
      </c>
      <c r="BJ149" s="2371" t="s">
        <v>203</v>
      </c>
      <c r="BK149" s="578">
        <v>110</v>
      </c>
      <c r="BL149" s="577">
        <v>140</v>
      </c>
      <c r="BM149" s="577">
        <v>175</v>
      </c>
      <c r="BP149" s="524"/>
      <c r="BQ149" s="524"/>
      <c r="BR149" s="524"/>
      <c r="BS149" s="2461" t="s">
        <v>205</v>
      </c>
      <c r="BT149" s="2463" t="str">
        <f>IFERROR(INDEX(Liste_Ackerkulturen_Gemüse_DropDown[Ackerkulturen],_xlfn.AGGREGATE(15,6,(ROW(Liste_Ackerkulturen_Gemüse_DropDown[Ackerkulturen])-1)/(--(SEARCH(BU$2,Liste_Ackerkulturen_Gemüse_DropDown[Ackerkulturen])&gt;0)),ROW()-2),1),"")</f>
        <v>Kopfsalat (geschützt)</v>
      </c>
      <c r="BU149" s="2463"/>
      <c r="BV149" s="2463" t="str">
        <f>IFERROR(INDEX(Liste_Ackerkulturen_Gemüse_DropDown[Ackerkulturen],_xlfn.AGGREGATE(15,6,(ROW(Liste_Ackerkulturen_Gemüse_DropDown[Ackerkulturen])-1)/(--(SEARCH(BW$2,Liste_Ackerkulturen_Gemüse_DropDown[Ackerkulturen])&gt;0)),ROW()-2),1),"")</f>
        <v>Kopfsalat (geschützt)</v>
      </c>
      <c r="BW149" s="2463"/>
      <c r="BX149" s="2463" t="str">
        <f>IFERROR(INDEX(Liste_Ackerkulturen_Gemüse_DropDown[Ackerkulturen],_xlfn.AGGREGATE(15,6,(ROW(Liste_Ackerkulturen_Gemüse_DropDown[Ackerkulturen])-1)/(--(SEARCH(BY$2,Liste_Ackerkulturen_Gemüse_DropDown[Ackerkulturen])&gt;0)),ROW()-2),1),"")</f>
        <v>Kopfsalat (geschützt)</v>
      </c>
      <c r="BY149" s="2463"/>
      <c r="BZ149" s="2463" t="str">
        <f>IFERROR(INDEX(Liste_Ackerkulturen_Gemüse_DropDown[Ackerkulturen],_xlfn.AGGREGATE(15,6,(ROW(Liste_Ackerkulturen_Gemüse_DropDown[Ackerkulturen])-1)/(--(SEARCH(CA$2,Liste_Ackerkulturen_Gemüse_DropDown[Ackerkulturen])&gt;0)),ROW()-2),1),"")</f>
        <v>Kopfsalat (geschützt)</v>
      </c>
      <c r="CA149" s="2463"/>
      <c r="CB149" s="2463" t="str">
        <f>IFERROR(INDEX(Liste_Ackerkulturen_Gemüse_DropDown[Ackerkulturen],_xlfn.AGGREGATE(15,6,(ROW(Liste_Ackerkulturen_Gemüse_DropDown[Ackerkulturen])-1)/(--(SEARCH(CC$2,Liste_Ackerkulturen_Gemüse_DropDown[Ackerkulturen])&gt;0)),ROW()-2),1),"")</f>
        <v>Kopfsalat (geschützt)</v>
      </c>
      <c r="CC149" s="2463"/>
      <c r="CD149" s="2464" t="str">
        <f>IFERROR(INDEX(Liste_Ackerkulturen_Gemüse_DropDown[Ackerkulturen],_xlfn.AGGREGATE(15,6,(ROW(Liste_Ackerkulturen_Gemüse_DropDown[Ackerkulturen])-1)/(--(SEARCH(CE$2,Liste_Ackerkulturen_Gemüse_DropDown[Ackerkulturen])&gt;0)),ROW()-2),1),"")</f>
        <v>Kopfsalat (geschützt)</v>
      </c>
      <c r="CE149" s="2464"/>
      <c r="CF149" s="2464" t="str">
        <f>IFERROR(INDEX(Liste_Ackerkulturen_Gemüse_DropDown[Ackerkulturen],_xlfn.AGGREGATE(15,6,(ROW(Liste_Ackerkulturen_Gemüse_DropDown[Ackerkulturen])-1)/(--(SEARCH(CG$2,Liste_Ackerkulturen_Gemüse_DropDown[Ackerkulturen])&gt;0)),ROW()-2),1),"")</f>
        <v>Kopfsalat (geschützt)</v>
      </c>
      <c r="CG149" s="2464"/>
      <c r="CH149" s="2464" t="str">
        <f>IFERROR(INDEX(Liste_Ackerkulturen_Gemüse_DropDown[Ackerkulturen],_xlfn.AGGREGATE(15,6,(ROW(Liste_Ackerkulturen_Gemüse_DropDown[Ackerkulturen])-1)/(--(SEARCH(CI$2,Liste_Ackerkulturen_Gemüse_DropDown[Ackerkulturen])&gt;0)),ROW()-2),1),"")</f>
        <v>Kopfsalat (geschützt)</v>
      </c>
      <c r="CI149" s="2464"/>
      <c r="CJ149" s="2464" t="str">
        <f>IFERROR(INDEX(Liste_Ackerkulturen_Gemüse_DropDown[Ackerkulturen],_xlfn.AGGREGATE(15,6,(ROW(Liste_Ackerkulturen_Gemüse_DropDown[Ackerkulturen])-1)/(--(SEARCH(CK$2,Liste_Ackerkulturen_Gemüse_DropDown[Ackerkulturen])&gt;0)),ROW()-2),1),"")</f>
        <v>Kopfsalat (geschützt)</v>
      </c>
      <c r="CK149" s="2464"/>
      <c r="CL149" s="2464" t="str">
        <f>IFERROR(INDEX(Liste_Ackerkulturen_Gemüse_DropDown[Ackerkulturen],_xlfn.AGGREGATE(15,6,(ROW(Liste_Ackerkulturen_Gemüse_DropDown[Ackerkulturen])-1)/(--(SEARCH(CM$2,Liste_Ackerkulturen_Gemüse_DropDown[Ackerkulturen])&gt;0)),ROW()-2),1),"")</f>
        <v>Kopfsalat (geschützt)</v>
      </c>
      <c r="CM149" s="2464"/>
      <c r="CN149" s="2464" t="str">
        <f>IFERROR(INDEX(Liste_Ackerkulturen_Gemüse_DropDown[Ackerkulturen],_xlfn.AGGREGATE(15,6,(ROW(Liste_Ackerkulturen_Gemüse_DropDown[Ackerkulturen])-1)/(--(SEARCH(CO$2,Liste_Ackerkulturen_Gemüse_DropDown[Ackerkulturen])&gt;0)),ROW()-2),1),"")</f>
        <v>Kopfsalat (geschützt)</v>
      </c>
      <c r="CO149" s="2464"/>
      <c r="CP149" s="2464" t="str">
        <f>IFERROR(INDEX(Liste_Ackerkulturen_Gemüse_DropDown[Ackerkulturen],_xlfn.AGGREGATE(15,6,(ROW(Liste_Ackerkulturen_Gemüse_DropDown[Ackerkulturen])-1)/(--(SEARCH(CQ$2,Liste_Ackerkulturen_Gemüse_DropDown[Ackerkulturen])&gt;0)),ROW()-2),1),"")</f>
        <v>Kopfsalat (geschützt)</v>
      </c>
      <c r="CQ149" s="2464"/>
      <c r="CR149" s="2464" t="str">
        <f>IFERROR(INDEX(Liste_Ackerkulturen_Gemüse_DropDown[Ackerkulturen],_xlfn.AGGREGATE(15,6,(ROW(Liste_Ackerkulturen_Gemüse_DropDown[Ackerkulturen])-1)/(--(SEARCH(CS$2,Liste_Ackerkulturen_Gemüse_DropDown[Ackerkulturen])&gt;0)),ROW()-2),1),"")</f>
        <v>Kopfsalat (geschützt)</v>
      </c>
      <c r="CS149" s="2464"/>
    </row>
    <row r="150" spans="3:97" ht="21" customHeight="1">
      <c r="C150" s="1575" t="s">
        <v>46</v>
      </c>
      <c r="D150" s="1576"/>
      <c r="E150" s="1594" t="s">
        <v>2002</v>
      </c>
      <c r="F150" s="1568">
        <v>60</v>
      </c>
      <c r="G150" s="1568"/>
      <c r="H150" s="1716" t="s">
        <v>47</v>
      </c>
      <c r="I150" s="1718">
        <v>60</v>
      </c>
      <c r="J150" s="1188" t="s">
        <v>48</v>
      </c>
      <c r="K150" s="1568">
        <v>60</v>
      </c>
      <c r="L150" s="1188" t="s">
        <v>49</v>
      </c>
      <c r="M150" s="1568">
        <v>60</v>
      </c>
      <c r="N150" s="1188" t="s">
        <v>50</v>
      </c>
      <c r="O150" s="1568">
        <v>60</v>
      </c>
      <c r="P150" s="1527">
        <v>0</v>
      </c>
      <c r="Q150" s="1591">
        <v>0</v>
      </c>
      <c r="R150" s="1569">
        <v>100</v>
      </c>
      <c r="S150" s="1570">
        <v>80</v>
      </c>
      <c r="T150" s="1568">
        <v>60</v>
      </c>
      <c r="U150" s="1718">
        <v>65</v>
      </c>
      <c r="V150" s="1568">
        <v>75</v>
      </c>
      <c r="W150" s="1188" t="s">
        <v>1954</v>
      </c>
      <c r="X150" s="1592" t="s">
        <v>1955</v>
      </c>
      <c r="Y150" s="1569">
        <v>150</v>
      </c>
      <c r="Z150" s="1570">
        <v>125</v>
      </c>
      <c r="AA150" s="1568">
        <v>90</v>
      </c>
      <c r="AB150" s="1718">
        <v>100</v>
      </c>
      <c r="AC150" s="1568">
        <v>115</v>
      </c>
      <c r="AD150" s="1188" t="s">
        <v>1956</v>
      </c>
      <c r="AE150" s="1592" t="s">
        <v>1955</v>
      </c>
      <c r="AF150" s="1279"/>
      <c r="AJ150"/>
      <c r="AK150"/>
      <c r="AL150" s="1542"/>
      <c r="AM150" s="2371" t="s">
        <v>204</v>
      </c>
      <c r="AN150" s="2352">
        <v>140</v>
      </c>
      <c r="AO150" s="2283" t="s">
        <v>66</v>
      </c>
      <c r="AP150" s="2352">
        <v>160</v>
      </c>
      <c r="AQ150" s="2283" t="s">
        <v>67</v>
      </c>
      <c r="AR150" s="2352">
        <v>185</v>
      </c>
      <c r="AS150" s="2283" t="s">
        <v>151</v>
      </c>
      <c r="AT150" s="2348">
        <v>185</v>
      </c>
      <c r="AU150" s="2285" t="s">
        <v>151</v>
      </c>
      <c r="AV150" s="2348">
        <v>185</v>
      </c>
      <c r="AW150" s="2285" t="s">
        <v>151</v>
      </c>
      <c r="AX150" s="2345">
        <v>100</v>
      </c>
      <c r="AY150" s="2278" t="s">
        <v>67</v>
      </c>
      <c r="AZ150" s="2350">
        <v>125</v>
      </c>
      <c r="BA150" s="2303" t="s">
        <v>2326</v>
      </c>
      <c r="BE150" s="2371" t="s">
        <v>204</v>
      </c>
      <c r="BF150" s="577">
        <v>25</v>
      </c>
      <c r="BG150" s="577">
        <v>30</v>
      </c>
      <c r="BH150" s="577">
        <v>40</v>
      </c>
      <c r="BJ150" s="2371" t="s">
        <v>204</v>
      </c>
      <c r="BK150" s="578">
        <v>110</v>
      </c>
      <c r="BL150" s="577">
        <v>140</v>
      </c>
      <c r="BM150" s="577">
        <v>175</v>
      </c>
      <c r="BP150" s="524"/>
      <c r="BQ150" s="524"/>
      <c r="BR150" s="524"/>
      <c r="BS150" s="2461" t="s">
        <v>206</v>
      </c>
      <c r="BT150" s="2463" t="str">
        <f>IFERROR(INDEX(Liste_Ackerkulturen_Gemüse_DropDown[Ackerkulturen],_xlfn.AGGREGATE(15,6,(ROW(Liste_Ackerkulturen_Gemüse_DropDown[Ackerkulturen])-1)/(--(SEARCH(BU$2,Liste_Ackerkulturen_Gemüse_DropDown[Ackerkulturen])&gt;0)),ROW()-2),1),"")</f>
        <v>Kopfsalat (Vlies)</v>
      </c>
      <c r="BU150" s="2463"/>
      <c r="BV150" s="2463" t="str">
        <f>IFERROR(INDEX(Liste_Ackerkulturen_Gemüse_DropDown[Ackerkulturen],_xlfn.AGGREGATE(15,6,(ROW(Liste_Ackerkulturen_Gemüse_DropDown[Ackerkulturen])-1)/(--(SEARCH(BW$2,Liste_Ackerkulturen_Gemüse_DropDown[Ackerkulturen])&gt;0)),ROW()-2),1),"")</f>
        <v>Kopfsalat (Vlies)</v>
      </c>
      <c r="BW150" s="2463"/>
      <c r="BX150" s="2463" t="str">
        <f>IFERROR(INDEX(Liste_Ackerkulturen_Gemüse_DropDown[Ackerkulturen],_xlfn.AGGREGATE(15,6,(ROW(Liste_Ackerkulturen_Gemüse_DropDown[Ackerkulturen])-1)/(--(SEARCH(BY$2,Liste_Ackerkulturen_Gemüse_DropDown[Ackerkulturen])&gt;0)),ROW()-2),1),"")</f>
        <v>Kopfsalat (Vlies)</v>
      </c>
      <c r="BY150" s="2463"/>
      <c r="BZ150" s="2463" t="str">
        <f>IFERROR(INDEX(Liste_Ackerkulturen_Gemüse_DropDown[Ackerkulturen],_xlfn.AGGREGATE(15,6,(ROW(Liste_Ackerkulturen_Gemüse_DropDown[Ackerkulturen])-1)/(--(SEARCH(CA$2,Liste_Ackerkulturen_Gemüse_DropDown[Ackerkulturen])&gt;0)),ROW()-2),1),"")</f>
        <v>Kopfsalat (Vlies)</v>
      </c>
      <c r="CA150" s="2463"/>
      <c r="CB150" s="2463" t="str">
        <f>IFERROR(INDEX(Liste_Ackerkulturen_Gemüse_DropDown[Ackerkulturen],_xlfn.AGGREGATE(15,6,(ROW(Liste_Ackerkulturen_Gemüse_DropDown[Ackerkulturen])-1)/(--(SEARCH(CC$2,Liste_Ackerkulturen_Gemüse_DropDown[Ackerkulturen])&gt;0)),ROW()-2),1),"")</f>
        <v>Kopfsalat (Vlies)</v>
      </c>
      <c r="CC150" s="2463"/>
      <c r="CD150" s="2464" t="str">
        <f>IFERROR(INDEX(Liste_Ackerkulturen_Gemüse_DropDown[Ackerkulturen],_xlfn.AGGREGATE(15,6,(ROW(Liste_Ackerkulturen_Gemüse_DropDown[Ackerkulturen])-1)/(--(SEARCH(CE$2,Liste_Ackerkulturen_Gemüse_DropDown[Ackerkulturen])&gt;0)),ROW()-2),1),"")</f>
        <v>Kopfsalat (Vlies)</v>
      </c>
      <c r="CE150" s="2464"/>
      <c r="CF150" s="2464" t="str">
        <f>IFERROR(INDEX(Liste_Ackerkulturen_Gemüse_DropDown[Ackerkulturen],_xlfn.AGGREGATE(15,6,(ROW(Liste_Ackerkulturen_Gemüse_DropDown[Ackerkulturen])-1)/(--(SEARCH(CG$2,Liste_Ackerkulturen_Gemüse_DropDown[Ackerkulturen])&gt;0)),ROW()-2),1),"")</f>
        <v>Kopfsalat (Vlies)</v>
      </c>
      <c r="CG150" s="2464"/>
      <c r="CH150" s="2464" t="str">
        <f>IFERROR(INDEX(Liste_Ackerkulturen_Gemüse_DropDown[Ackerkulturen],_xlfn.AGGREGATE(15,6,(ROW(Liste_Ackerkulturen_Gemüse_DropDown[Ackerkulturen])-1)/(--(SEARCH(CI$2,Liste_Ackerkulturen_Gemüse_DropDown[Ackerkulturen])&gt;0)),ROW()-2),1),"")</f>
        <v>Kopfsalat (Vlies)</v>
      </c>
      <c r="CI150" s="2464"/>
      <c r="CJ150" s="2464" t="str">
        <f>IFERROR(INDEX(Liste_Ackerkulturen_Gemüse_DropDown[Ackerkulturen],_xlfn.AGGREGATE(15,6,(ROW(Liste_Ackerkulturen_Gemüse_DropDown[Ackerkulturen])-1)/(--(SEARCH(CK$2,Liste_Ackerkulturen_Gemüse_DropDown[Ackerkulturen])&gt;0)),ROW()-2),1),"")</f>
        <v>Kopfsalat (Vlies)</v>
      </c>
      <c r="CK150" s="2464"/>
      <c r="CL150" s="2464" t="str">
        <f>IFERROR(INDEX(Liste_Ackerkulturen_Gemüse_DropDown[Ackerkulturen],_xlfn.AGGREGATE(15,6,(ROW(Liste_Ackerkulturen_Gemüse_DropDown[Ackerkulturen])-1)/(--(SEARCH(CM$2,Liste_Ackerkulturen_Gemüse_DropDown[Ackerkulturen])&gt;0)),ROW()-2),1),"")</f>
        <v>Kopfsalat (Vlies)</v>
      </c>
      <c r="CM150" s="2464"/>
      <c r="CN150" s="2464" t="str">
        <f>IFERROR(INDEX(Liste_Ackerkulturen_Gemüse_DropDown[Ackerkulturen],_xlfn.AGGREGATE(15,6,(ROW(Liste_Ackerkulturen_Gemüse_DropDown[Ackerkulturen])-1)/(--(SEARCH(CO$2,Liste_Ackerkulturen_Gemüse_DropDown[Ackerkulturen])&gt;0)),ROW()-2),1),"")</f>
        <v>Kopfsalat (Vlies)</v>
      </c>
      <c r="CO150" s="2464"/>
      <c r="CP150" s="2464" t="str">
        <f>IFERROR(INDEX(Liste_Ackerkulturen_Gemüse_DropDown[Ackerkulturen],_xlfn.AGGREGATE(15,6,(ROW(Liste_Ackerkulturen_Gemüse_DropDown[Ackerkulturen])-1)/(--(SEARCH(CQ$2,Liste_Ackerkulturen_Gemüse_DropDown[Ackerkulturen])&gt;0)),ROW()-2),1),"")</f>
        <v>Kopfsalat (Vlies)</v>
      </c>
      <c r="CQ150" s="2464"/>
      <c r="CR150" s="2464" t="str">
        <f>IFERROR(INDEX(Liste_Ackerkulturen_Gemüse_DropDown[Ackerkulturen],_xlfn.AGGREGATE(15,6,(ROW(Liste_Ackerkulturen_Gemüse_DropDown[Ackerkulturen])-1)/(--(SEARCH(CS$2,Liste_Ackerkulturen_Gemüse_DropDown[Ackerkulturen])&gt;0)),ROW()-2),1),"")</f>
        <v>Kopfsalat (Vlies)</v>
      </c>
      <c r="CS150" s="2464"/>
    </row>
    <row r="151" spans="3:97" ht="21" customHeight="1">
      <c r="C151" s="1575" t="s">
        <v>51</v>
      </c>
      <c r="D151" s="1576"/>
      <c r="E151" s="1594" t="s">
        <v>52</v>
      </c>
      <c r="F151" s="1568">
        <v>50</v>
      </c>
      <c r="G151" s="1568"/>
      <c r="H151" s="1716" t="s">
        <v>42</v>
      </c>
      <c r="I151" s="1718">
        <v>50</v>
      </c>
      <c r="J151" s="1188" t="s">
        <v>43</v>
      </c>
      <c r="K151" s="1568">
        <v>50</v>
      </c>
      <c r="L151" s="1188" t="s">
        <v>449</v>
      </c>
      <c r="M151" s="1568">
        <v>50</v>
      </c>
      <c r="N151" s="1188" t="s">
        <v>452</v>
      </c>
      <c r="O151" s="1568">
        <v>50</v>
      </c>
      <c r="P151" s="1527">
        <v>50</v>
      </c>
      <c r="Q151" s="1591">
        <v>50</v>
      </c>
      <c r="R151" s="1569">
        <v>85</v>
      </c>
      <c r="S151" s="1570">
        <v>70</v>
      </c>
      <c r="T151" s="1568">
        <v>50</v>
      </c>
      <c r="U151" s="1718">
        <v>55</v>
      </c>
      <c r="V151" s="1568">
        <v>65</v>
      </c>
      <c r="W151" s="1188" t="s">
        <v>1954</v>
      </c>
      <c r="X151" s="1592" t="s">
        <v>1955</v>
      </c>
      <c r="Y151" s="1569">
        <v>75</v>
      </c>
      <c r="Z151" s="1570">
        <v>65</v>
      </c>
      <c r="AA151" s="1568">
        <v>45</v>
      </c>
      <c r="AB151" s="1718">
        <v>50</v>
      </c>
      <c r="AC151" s="1568">
        <v>60</v>
      </c>
      <c r="AD151" s="1188" t="s">
        <v>1956</v>
      </c>
      <c r="AE151" s="1592" t="s">
        <v>1955</v>
      </c>
      <c r="AF151" s="1279"/>
      <c r="AJ151"/>
      <c r="AK151"/>
      <c r="AL151" s="1542"/>
      <c r="AM151" s="2371" t="s">
        <v>205</v>
      </c>
      <c r="AN151" s="2352">
        <v>140</v>
      </c>
      <c r="AO151" s="2283" t="s">
        <v>66</v>
      </c>
      <c r="AP151" s="2352">
        <v>160</v>
      </c>
      <c r="AQ151" s="2283" t="s">
        <v>67</v>
      </c>
      <c r="AR151" s="2352">
        <v>185</v>
      </c>
      <c r="AS151" s="2283" t="s">
        <v>151</v>
      </c>
      <c r="AT151" s="2348">
        <v>185</v>
      </c>
      <c r="AU151" s="2285" t="s">
        <v>151</v>
      </c>
      <c r="AV151" s="2348">
        <v>185</v>
      </c>
      <c r="AW151" s="2285" t="s">
        <v>151</v>
      </c>
      <c r="AX151" s="2345">
        <v>100</v>
      </c>
      <c r="AY151" s="2278" t="s">
        <v>67</v>
      </c>
      <c r="AZ151" s="2350">
        <v>125</v>
      </c>
      <c r="BA151" s="2303" t="s">
        <v>2326</v>
      </c>
      <c r="BE151" s="2371" t="s">
        <v>205</v>
      </c>
      <c r="BF151" s="577">
        <v>25</v>
      </c>
      <c r="BG151" s="577">
        <v>30</v>
      </c>
      <c r="BH151" s="577">
        <v>40</v>
      </c>
      <c r="BJ151" s="2371" t="s">
        <v>205</v>
      </c>
      <c r="BK151" s="578">
        <v>110</v>
      </c>
      <c r="BL151" s="577">
        <v>140</v>
      </c>
      <c r="BM151" s="577">
        <v>175</v>
      </c>
      <c r="BP151" s="524"/>
      <c r="BQ151" s="524"/>
      <c r="BR151" s="524"/>
      <c r="BS151" s="2461" t="s">
        <v>207</v>
      </c>
      <c r="BT151" s="2463" t="str">
        <f>IFERROR(INDEX(Liste_Ackerkulturen_Gemüse_DropDown[Ackerkulturen],_xlfn.AGGREGATE(15,6,(ROW(Liste_Ackerkulturen_Gemüse_DropDown[Ackerkulturen])-1)/(--(SEARCH(BU$2,Liste_Ackerkulturen_Gemüse_DropDown[Ackerkulturen])&gt;0)),ROW()-2),1),"")</f>
        <v>Kraut (Früh, Vlies)</v>
      </c>
      <c r="BU151" s="2463"/>
      <c r="BV151" s="2463" t="str">
        <f>IFERROR(INDEX(Liste_Ackerkulturen_Gemüse_DropDown[Ackerkulturen],_xlfn.AGGREGATE(15,6,(ROW(Liste_Ackerkulturen_Gemüse_DropDown[Ackerkulturen])-1)/(--(SEARCH(BW$2,Liste_Ackerkulturen_Gemüse_DropDown[Ackerkulturen])&gt;0)),ROW()-2),1),"")</f>
        <v>Kraut (Früh, Vlies)</v>
      </c>
      <c r="BW151" s="2463"/>
      <c r="BX151" s="2463" t="str">
        <f>IFERROR(INDEX(Liste_Ackerkulturen_Gemüse_DropDown[Ackerkulturen],_xlfn.AGGREGATE(15,6,(ROW(Liste_Ackerkulturen_Gemüse_DropDown[Ackerkulturen])-1)/(--(SEARCH(BY$2,Liste_Ackerkulturen_Gemüse_DropDown[Ackerkulturen])&gt;0)),ROW()-2),1),"")</f>
        <v>Kraut (Früh, Vlies)</v>
      </c>
      <c r="BY151" s="2463"/>
      <c r="BZ151" s="2463" t="str">
        <f>IFERROR(INDEX(Liste_Ackerkulturen_Gemüse_DropDown[Ackerkulturen],_xlfn.AGGREGATE(15,6,(ROW(Liste_Ackerkulturen_Gemüse_DropDown[Ackerkulturen])-1)/(--(SEARCH(CA$2,Liste_Ackerkulturen_Gemüse_DropDown[Ackerkulturen])&gt;0)),ROW()-2),1),"")</f>
        <v>Kraut (Früh, Vlies)</v>
      </c>
      <c r="CA151" s="2463"/>
      <c r="CB151" s="2463" t="str">
        <f>IFERROR(INDEX(Liste_Ackerkulturen_Gemüse_DropDown[Ackerkulturen],_xlfn.AGGREGATE(15,6,(ROW(Liste_Ackerkulturen_Gemüse_DropDown[Ackerkulturen])-1)/(--(SEARCH(CC$2,Liste_Ackerkulturen_Gemüse_DropDown[Ackerkulturen])&gt;0)),ROW()-2),1),"")</f>
        <v>Kraut (Früh, Vlies)</v>
      </c>
      <c r="CC151" s="2463"/>
      <c r="CD151" s="2464" t="str">
        <f>IFERROR(INDEX(Liste_Ackerkulturen_Gemüse_DropDown[Ackerkulturen],_xlfn.AGGREGATE(15,6,(ROW(Liste_Ackerkulturen_Gemüse_DropDown[Ackerkulturen])-1)/(--(SEARCH(CE$2,Liste_Ackerkulturen_Gemüse_DropDown[Ackerkulturen])&gt;0)),ROW()-2),1),"")</f>
        <v>Kraut (Früh, Vlies)</v>
      </c>
      <c r="CE151" s="2464"/>
      <c r="CF151" s="2464" t="str">
        <f>IFERROR(INDEX(Liste_Ackerkulturen_Gemüse_DropDown[Ackerkulturen],_xlfn.AGGREGATE(15,6,(ROW(Liste_Ackerkulturen_Gemüse_DropDown[Ackerkulturen])-1)/(--(SEARCH(CG$2,Liste_Ackerkulturen_Gemüse_DropDown[Ackerkulturen])&gt;0)),ROW()-2),1),"")</f>
        <v>Kraut (Früh, Vlies)</v>
      </c>
      <c r="CG151" s="2464"/>
      <c r="CH151" s="2464" t="str">
        <f>IFERROR(INDEX(Liste_Ackerkulturen_Gemüse_DropDown[Ackerkulturen],_xlfn.AGGREGATE(15,6,(ROW(Liste_Ackerkulturen_Gemüse_DropDown[Ackerkulturen])-1)/(--(SEARCH(CI$2,Liste_Ackerkulturen_Gemüse_DropDown[Ackerkulturen])&gt;0)),ROW()-2),1),"")</f>
        <v>Kraut (Früh, Vlies)</v>
      </c>
      <c r="CI151" s="2464"/>
      <c r="CJ151" s="2464" t="str">
        <f>IFERROR(INDEX(Liste_Ackerkulturen_Gemüse_DropDown[Ackerkulturen],_xlfn.AGGREGATE(15,6,(ROW(Liste_Ackerkulturen_Gemüse_DropDown[Ackerkulturen])-1)/(--(SEARCH(CK$2,Liste_Ackerkulturen_Gemüse_DropDown[Ackerkulturen])&gt;0)),ROW()-2),1),"")</f>
        <v>Kraut (Früh, Vlies)</v>
      </c>
      <c r="CK151" s="2464"/>
      <c r="CL151" s="2464" t="str">
        <f>IFERROR(INDEX(Liste_Ackerkulturen_Gemüse_DropDown[Ackerkulturen],_xlfn.AGGREGATE(15,6,(ROW(Liste_Ackerkulturen_Gemüse_DropDown[Ackerkulturen])-1)/(--(SEARCH(CM$2,Liste_Ackerkulturen_Gemüse_DropDown[Ackerkulturen])&gt;0)),ROW()-2),1),"")</f>
        <v>Kraut (Früh, Vlies)</v>
      </c>
      <c r="CM151" s="2464"/>
      <c r="CN151" s="2464" t="str">
        <f>IFERROR(INDEX(Liste_Ackerkulturen_Gemüse_DropDown[Ackerkulturen],_xlfn.AGGREGATE(15,6,(ROW(Liste_Ackerkulturen_Gemüse_DropDown[Ackerkulturen])-1)/(--(SEARCH(CO$2,Liste_Ackerkulturen_Gemüse_DropDown[Ackerkulturen])&gt;0)),ROW()-2),1),"")</f>
        <v>Kraut (Früh, Vlies)</v>
      </c>
      <c r="CO151" s="2464"/>
      <c r="CP151" s="2464" t="str">
        <f>IFERROR(INDEX(Liste_Ackerkulturen_Gemüse_DropDown[Ackerkulturen],_xlfn.AGGREGATE(15,6,(ROW(Liste_Ackerkulturen_Gemüse_DropDown[Ackerkulturen])-1)/(--(SEARCH(CQ$2,Liste_Ackerkulturen_Gemüse_DropDown[Ackerkulturen])&gt;0)),ROW()-2),1),"")</f>
        <v>Kraut (Früh, Vlies)</v>
      </c>
      <c r="CQ151" s="2464"/>
      <c r="CR151" s="2464" t="str">
        <f>IFERROR(INDEX(Liste_Ackerkulturen_Gemüse_DropDown[Ackerkulturen],_xlfn.AGGREGATE(15,6,(ROW(Liste_Ackerkulturen_Gemüse_DropDown[Ackerkulturen])-1)/(--(SEARCH(CS$2,Liste_Ackerkulturen_Gemüse_DropDown[Ackerkulturen])&gt;0)),ROW()-2),1),"")</f>
        <v>Kraut (Früh, Vlies)</v>
      </c>
      <c r="CS151" s="2464"/>
    </row>
    <row r="152" spans="3:97" ht="21" customHeight="1">
      <c r="C152" s="1575" t="s">
        <v>53</v>
      </c>
      <c r="D152" s="1576"/>
      <c r="E152" s="1594" t="s">
        <v>462</v>
      </c>
      <c r="F152" s="1568">
        <v>40</v>
      </c>
      <c r="G152" s="1568"/>
      <c r="H152" s="1716" t="s">
        <v>463</v>
      </c>
      <c r="I152" s="1718">
        <v>40</v>
      </c>
      <c r="J152" s="1188" t="s">
        <v>54</v>
      </c>
      <c r="K152" s="1568">
        <v>40</v>
      </c>
      <c r="L152" s="1188" t="s">
        <v>1058</v>
      </c>
      <c r="M152" s="1568">
        <v>40</v>
      </c>
      <c r="N152" s="1188" t="s">
        <v>55</v>
      </c>
      <c r="O152" s="1568">
        <v>40</v>
      </c>
      <c r="P152" s="1527">
        <v>40</v>
      </c>
      <c r="Q152" s="1591">
        <v>40</v>
      </c>
      <c r="R152" s="1569">
        <v>85</v>
      </c>
      <c r="S152" s="1570">
        <v>70</v>
      </c>
      <c r="T152" s="1568">
        <v>50</v>
      </c>
      <c r="U152" s="1718">
        <v>55</v>
      </c>
      <c r="V152" s="1568">
        <v>65</v>
      </c>
      <c r="W152" s="1188" t="s">
        <v>1954</v>
      </c>
      <c r="X152" s="1592" t="s">
        <v>1955</v>
      </c>
      <c r="Y152" s="1569">
        <v>150</v>
      </c>
      <c r="Z152" s="1570">
        <v>125</v>
      </c>
      <c r="AA152" s="1568">
        <v>90</v>
      </c>
      <c r="AB152" s="1718">
        <v>100</v>
      </c>
      <c r="AC152" s="1568">
        <v>115</v>
      </c>
      <c r="AD152" s="1188" t="s">
        <v>1956</v>
      </c>
      <c r="AE152" s="1592" t="s">
        <v>1955</v>
      </c>
      <c r="AF152" s="1279"/>
      <c r="AJ152"/>
      <c r="AK152"/>
      <c r="AL152" s="1542"/>
      <c r="AM152" s="2371" t="s">
        <v>206</v>
      </c>
      <c r="AN152" s="2352">
        <v>220</v>
      </c>
      <c r="AO152" s="2283" t="s">
        <v>66</v>
      </c>
      <c r="AP152" s="2352">
        <v>260</v>
      </c>
      <c r="AQ152" s="2283" t="s">
        <v>67</v>
      </c>
      <c r="AR152" s="2352">
        <v>310</v>
      </c>
      <c r="AS152" s="2283" t="s">
        <v>151</v>
      </c>
      <c r="AT152" s="2348">
        <v>310</v>
      </c>
      <c r="AU152" s="2285" t="s">
        <v>151</v>
      </c>
      <c r="AV152" s="2348">
        <v>310</v>
      </c>
      <c r="AW152" s="2285" t="s">
        <v>151</v>
      </c>
      <c r="AX152" s="2345">
        <v>200</v>
      </c>
      <c r="AY152" s="2278" t="s">
        <v>67</v>
      </c>
      <c r="AZ152" s="2350">
        <v>250</v>
      </c>
      <c r="BA152" s="2303" t="s">
        <v>2326</v>
      </c>
      <c r="BE152" s="2371" t="s">
        <v>206</v>
      </c>
      <c r="BF152" s="577">
        <v>30</v>
      </c>
      <c r="BG152" s="577">
        <v>40</v>
      </c>
      <c r="BH152" s="577">
        <v>50</v>
      </c>
      <c r="BJ152" s="2371" t="s">
        <v>206</v>
      </c>
      <c r="BK152" s="578">
        <v>115</v>
      </c>
      <c r="BL152" s="577">
        <v>145</v>
      </c>
      <c r="BM152" s="577">
        <v>180</v>
      </c>
      <c r="BP152" s="524"/>
      <c r="BQ152" s="524"/>
      <c r="BR152" s="524"/>
      <c r="BS152" s="2461" t="s">
        <v>211</v>
      </c>
      <c r="BT152" s="2463" t="str">
        <f>IFERROR(INDEX(Liste_Ackerkulturen_Gemüse_DropDown[Ackerkulturen],_xlfn.AGGREGATE(15,6,(ROW(Liste_Ackerkulturen_Gemüse_DropDown[Ackerkulturen])-1)/(--(SEARCH(BU$2,Liste_Ackerkulturen_Gemüse_DropDown[Ackerkulturen])&gt;0)),ROW()-2),1),"")</f>
        <v>Kraut (Herbst)</v>
      </c>
      <c r="BU152" s="2463"/>
      <c r="BV152" s="2463" t="str">
        <f>IFERROR(INDEX(Liste_Ackerkulturen_Gemüse_DropDown[Ackerkulturen],_xlfn.AGGREGATE(15,6,(ROW(Liste_Ackerkulturen_Gemüse_DropDown[Ackerkulturen])-1)/(--(SEARCH(BW$2,Liste_Ackerkulturen_Gemüse_DropDown[Ackerkulturen])&gt;0)),ROW()-2),1),"")</f>
        <v>Kraut (Herbst)</v>
      </c>
      <c r="BW152" s="2463"/>
      <c r="BX152" s="2463" t="str">
        <f>IFERROR(INDEX(Liste_Ackerkulturen_Gemüse_DropDown[Ackerkulturen],_xlfn.AGGREGATE(15,6,(ROW(Liste_Ackerkulturen_Gemüse_DropDown[Ackerkulturen])-1)/(--(SEARCH(BY$2,Liste_Ackerkulturen_Gemüse_DropDown[Ackerkulturen])&gt;0)),ROW()-2),1),"")</f>
        <v>Kraut (Herbst)</v>
      </c>
      <c r="BY152" s="2463"/>
      <c r="BZ152" s="2463" t="str">
        <f>IFERROR(INDEX(Liste_Ackerkulturen_Gemüse_DropDown[Ackerkulturen],_xlfn.AGGREGATE(15,6,(ROW(Liste_Ackerkulturen_Gemüse_DropDown[Ackerkulturen])-1)/(--(SEARCH(CA$2,Liste_Ackerkulturen_Gemüse_DropDown[Ackerkulturen])&gt;0)),ROW()-2),1),"")</f>
        <v>Kraut (Herbst)</v>
      </c>
      <c r="CA152" s="2463"/>
      <c r="CB152" s="2463" t="str">
        <f>IFERROR(INDEX(Liste_Ackerkulturen_Gemüse_DropDown[Ackerkulturen],_xlfn.AGGREGATE(15,6,(ROW(Liste_Ackerkulturen_Gemüse_DropDown[Ackerkulturen])-1)/(--(SEARCH(CC$2,Liste_Ackerkulturen_Gemüse_DropDown[Ackerkulturen])&gt;0)),ROW()-2),1),"")</f>
        <v>Kraut (Herbst)</v>
      </c>
      <c r="CC152" s="2463"/>
      <c r="CD152" s="2464" t="str">
        <f>IFERROR(INDEX(Liste_Ackerkulturen_Gemüse_DropDown[Ackerkulturen],_xlfn.AGGREGATE(15,6,(ROW(Liste_Ackerkulturen_Gemüse_DropDown[Ackerkulturen])-1)/(--(SEARCH(CE$2,Liste_Ackerkulturen_Gemüse_DropDown[Ackerkulturen])&gt;0)),ROW()-2),1),"")</f>
        <v>Kraut (Herbst)</v>
      </c>
      <c r="CE152" s="2464"/>
      <c r="CF152" s="2464" t="str">
        <f>IFERROR(INDEX(Liste_Ackerkulturen_Gemüse_DropDown[Ackerkulturen],_xlfn.AGGREGATE(15,6,(ROW(Liste_Ackerkulturen_Gemüse_DropDown[Ackerkulturen])-1)/(--(SEARCH(CG$2,Liste_Ackerkulturen_Gemüse_DropDown[Ackerkulturen])&gt;0)),ROW()-2),1),"")</f>
        <v>Kraut (Herbst)</v>
      </c>
      <c r="CG152" s="2464"/>
      <c r="CH152" s="2464" t="str">
        <f>IFERROR(INDEX(Liste_Ackerkulturen_Gemüse_DropDown[Ackerkulturen],_xlfn.AGGREGATE(15,6,(ROW(Liste_Ackerkulturen_Gemüse_DropDown[Ackerkulturen])-1)/(--(SEARCH(CI$2,Liste_Ackerkulturen_Gemüse_DropDown[Ackerkulturen])&gt;0)),ROW()-2),1),"")</f>
        <v>Kraut (Herbst)</v>
      </c>
      <c r="CI152" s="2464"/>
      <c r="CJ152" s="2464" t="str">
        <f>IFERROR(INDEX(Liste_Ackerkulturen_Gemüse_DropDown[Ackerkulturen],_xlfn.AGGREGATE(15,6,(ROW(Liste_Ackerkulturen_Gemüse_DropDown[Ackerkulturen])-1)/(--(SEARCH(CK$2,Liste_Ackerkulturen_Gemüse_DropDown[Ackerkulturen])&gt;0)),ROW()-2),1),"")</f>
        <v>Kraut (Herbst)</v>
      </c>
      <c r="CK152" s="2464"/>
      <c r="CL152" s="2464" t="str">
        <f>IFERROR(INDEX(Liste_Ackerkulturen_Gemüse_DropDown[Ackerkulturen],_xlfn.AGGREGATE(15,6,(ROW(Liste_Ackerkulturen_Gemüse_DropDown[Ackerkulturen])-1)/(--(SEARCH(CM$2,Liste_Ackerkulturen_Gemüse_DropDown[Ackerkulturen])&gt;0)),ROW()-2),1),"")</f>
        <v>Kraut (Herbst)</v>
      </c>
      <c r="CM152" s="2464"/>
      <c r="CN152" s="2464" t="str">
        <f>IFERROR(INDEX(Liste_Ackerkulturen_Gemüse_DropDown[Ackerkulturen],_xlfn.AGGREGATE(15,6,(ROW(Liste_Ackerkulturen_Gemüse_DropDown[Ackerkulturen])-1)/(--(SEARCH(CO$2,Liste_Ackerkulturen_Gemüse_DropDown[Ackerkulturen])&gt;0)),ROW()-2),1),"")</f>
        <v>Kraut (Herbst)</v>
      </c>
      <c r="CO152" s="2464"/>
      <c r="CP152" s="2464" t="str">
        <f>IFERROR(INDEX(Liste_Ackerkulturen_Gemüse_DropDown[Ackerkulturen],_xlfn.AGGREGATE(15,6,(ROW(Liste_Ackerkulturen_Gemüse_DropDown[Ackerkulturen])-1)/(--(SEARCH(CQ$2,Liste_Ackerkulturen_Gemüse_DropDown[Ackerkulturen])&gt;0)),ROW()-2),1),"")</f>
        <v>Kraut (Herbst)</v>
      </c>
      <c r="CQ152" s="2464"/>
      <c r="CR152" s="2464" t="str">
        <f>IFERROR(INDEX(Liste_Ackerkulturen_Gemüse_DropDown[Ackerkulturen],_xlfn.AGGREGATE(15,6,(ROW(Liste_Ackerkulturen_Gemüse_DropDown[Ackerkulturen])-1)/(--(SEARCH(CS$2,Liste_Ackerkulturen_Gemüse_DropDown[Ackerkulturen])&gt;0)),ROW()-2),1),"")</f>
        <v>Kraut (Herbst)</v>
      </c>
      <c r="CS152" s="2464"/>
    </row>
    <row r="153" spans="3:97" ht="21" customHeight="1">
      <c r="C153" s="1575" t="s">
        <v>56</v>
      </c>
      <c r="D153" s="1576"/>
      <c r="E153" s="1594" t="s">
        <v>57</v>
      </c>
      <c r="F153" s="1568">
        <v>105</v>
      </c>
      <c r="G153" s="1568"/>
      <c r="H153" s="1716" t="s">
        <v>58</v>
      </c>
      <c r="I153" s="1718">
        <v>145</v>
      </c>
      <c r="J153" s="1188" t="s">
        <v>1950</v>
      </c>
      <c r="K153" s="1568">
        <v>170</v>
      </c>
      <c r="L153" s="1188" t="s">
        <v>1951</v>
      </c>
      <c r="M153" s="1568">
        <v>180</v>
      </c>
      <c r="N153" s="1188" t="s">
        <v>1966</v>
      </c>
      <c r="O153" s="1568">
        <v>195</v>
      </c>
      <c r="P153" s="1527">
        <v>80</v>
      </c>
      <c r="Q153" s="1591">
        <v>80</v>
      </c>
      <c r="R153" s="1569">
        <v>85</v>
      </c>
      <c r="S153" s="1570">
        <v>70</v>
      </c>
      <c r="T153" s="1568">
        <v>50</v>
      </c>
      <c r="U153" s="1718">
        <v>55</v>
      </c>
      <c r="V153" s="1568">
        <v>65</v>
      </c>
      <c r="W153" s="1188" t="s">
        <v>1954</v>
      </c>
      <c r="X153" s="1592" t="s">
        <v>1955</v>
      </c>
      <c r="Y153" s="1569">
        <v>120</v>
      </c>
      <c r="Z153" s="1570">
        <v>100</v>
      </c>
      <c r="AA153" s="1568">
        <v>70</v>
      </c>
      <c r="AB153" s="1718">
        <v>80</v>
      </c>
      <c r="AC153" s="1568">
        <v>90</v>
      </c>
      <c r="AD153" s="1188" t="s">
        <v>1956</v>
      </c>
      <c r="AE153" s="1592" t="s">
        <v>1955</v>
      </c>
      <c r="AF153" s="1279"/>
      <c r="AJ153"/>
      <c r="AK153"/>
      <c r="AL153" s="1542"/>
      <c r="AM153" s="2371" t="s">
        <v>207</v>
      </c>
      <c r="AN153" s="2352">
        <v>240</v>
      </c>
      <c r="AO153" s="2283" t="s">
        <v>208</v>
      </c>
      <c r="AP153" s="2352">
        <v>290</v>
      </c>
      <c r="AQ153" s="2283" t="s">
        <v>209</v>
      </c>
      <c r="AR153" s="2352">
        <v>355</v>
      </c>
      <c r="AS153" s="2283" t="s">
        <v>210</v>
      </c>
      <c r="AT153" s="2348">
        <v>355</v>
      </c>
      <c r="AU153" s="2285" t="s">
        <v>210</v>
      </c>
      <c r="AV153" s="2348">
        <v>355</v>
      </c>
      <c r="AW153" s="2285" t="s">
        <v>210</v>
      </c>
      <c r="AX153" s="2345" t="s">
        <v>1082</v>
      </c>
      <c r="AY153" s="2278" t="s">
        <v>209</v>
      </c>
      <c r="AZ153" s="2350" t="s">
        <v>1082</v>
      </c>
      <c r="BA153" s="2303" t="s">
        <v>2342</v>
      </c>
      <c r="BE153" s="2371" t="s">
        <v>207</v>
      </c>
      <c r="BF153" s="577">
        <v>50</v>
      </c>
      <c r="BG153" s="577">
        <v>60</v>
      </c>
      <c r="BH153" s="577">
        <v>75</v>
      </c>
      <c r="BJ153" s="2371" t="s">
        <v>207</v>
      </c>
      <c r="BK153" s="578">
        <v>200</v>
      </c>
      <c r="BL153" s="577">
        <v>250</v>
      </c>
      <c r="BM153" s="577">
        <v>315</v>
      </c>
      <c r="BP153" s="524"/>
      <c r="BQ153" s="524"/>
      <c r="BR153" s="524"/>
      <c r="BS153" s="2461" t="s">
        <v>213</v>
      </c>
      <c r="BT153" s="2463" t="str">
        <f>IFERROR(INDEX(Liste_Ackerkulturen_Gemüse_DropDown[Ackerkulturen],_xlfn.AGGREGATE(15,6,(ROW(Liste_Ackerkulturen_Gemüse_DropDown[Ackerkulturen])-1)/(--(SEARCH(BU$2,Liste_Ackerkulturen_Gemüse_DropDown[Ackerkulturen])&gt;0)),ROW()-2),1),"")</f>
        <v>Kraut (Industrie, früh)</v>
      </c>
      <c r="BU153" s="2463"/>
      <c r="BV153" s="2463" t="str">
        <f>IFERROR(INDEX(Liste_Ackerkulturen_Gemüse_DropDown[Ackerkulturen],_xlfn.AGGREGATE(15,6,(ROW(Liste_Ackerkulturen_Gemüse_DropDown[Ackerkulturen])-1)/(--(SEARCH(BW$2,Liste_Ackerkulturen_Gemüse_DropDown[Ackerkulturen])&gt;0)),ROW()-2),1),"")</f>
        <v>Kraut (Industrie, früh)</v>
      </c>
      <c r="BW153" s="2463"/>
      <c r="BX153" s="2463" t="str">
        <f>IFERROR(INDEX(Liste_Ackerkulturen_Gemüse_DropDown[Ackerkulturen],_xlfn.AGGREGATE(15,6,(ROW(Liste_Ackerkulturen_Gemüse_DropDown[Ackerkulturen])-1)/(--(SEARCH(BY$2,Liste_Ackerkulturen_Gemüse_DropDown[Ackerkulturen])&gt;0)),ROW()-2),1),"")</f>
        <v>Kraut (Industrie, früh)</v>
      </c>
      <c r="BY153" s="2463"/>
      <c r="BZ153" s="2463" t="str">
        <f>IFERROR(INDEX(Liste_Ackerkulturen_Gemüse_DropDown[Ackerkulturen],_xlfn.AGGREGATE(15,6,(ROW(Liste_Ackerkulturen_Gemüse_DropDown[Ackerkulturen])-1)/(--(SEARCH(CA$2,Liste_Ackerkulturen_Gemüse_DropDown[Ackerkulturen])&gt;0)),ROW()-2),1),"")</f>
        <v>Kraut (Industrie, früh)</v>
      </c>
      <c r="CA153" s="2463"/>
      <c r="CB153" s="2463" t="str">
        <f>IFERROR(INDEX(Liste_Ackerkulturen_Gemüse_DropDown[Ackerkulturen],_xlfn.AGGREGATE(15,6,(ROW(Liste_Ackerkulturen_Gemüse_DropDown[Ackerkulturen])-1)/(--(SEARCH(CC$2,Liste_Ackerkulturen_Gemüse_DropDown[Ackerkulturen])&gt;0)),ROW()-2),1),"")</f>
        <v>Kraut (Industrie, früh)</v>
      </c>
      <c r="CC153" s="2463"/>
      <c r="CD153" s="2464" t="str">
        <f>IFERROR(INDEX(Liste_Ackerkulturen_Gemüse_DropDown[Ackerkulturen],_xlfn.AGGREGATE(15,6,(ROW(Liste_Ackerkulturen_Gemüse_DropDown[Ackerkulturen])-1)/(--(SEARCH(CE$2,Liste_Ackerkulturen_Gemüse_DropDown[Ackerkulturen])&gt;0)),ROW()-2),1),"")</f>
        <v>Kraut (Industrie, früh)</v>
      </c>
      <c r="CE153" s="2464"/>
      <c r="CF153" s="2464" t="str">
        <f>IFERROR(INDEX(Liste_Ackerkulturen_Gemüse_DropDown[Ackerkulturen],_xlfn.AGGREGATE(15,6,(ROW(Liste_Ackerkulturen_Gemüse_DropDown[Ackerkulturen])-1)/(--(SEARCH(CG$2,Liste_Ackerkulturen_Gemüse_DropDown[Ackerkulturen])&gt;0)),ROW()-2),1),"")</f>
        <v>Kraut (Industrie, früh)</v>
      </c>
      <c r="CG153" s="2464"/>
      <c r="CH153" s="2464" t="str">
        <f>IFERROR(INDEX(Liste_Ackerkulturen_Gemüse_DropDown[Ackerkulturen],_xlfn.AGGREGATE(15,6,(ROW(Liste_Ackerkulturen_Gemüse_DropDown[Ackerkulturen])-1)/(--(SEARCH(CI$2,Liste_Ackerkulturen_Gemüse_DropDown[Ackerkulturen])&gt;0)),ROW()-2),1),"")</f>
        <v>Kraut (Industrie, früh)</v>
      </c>
      <c r="CI153" s="2464"/>
      <c r="CJ153" s="2464" t="str">
        <f>IFERROR(INDEX(Liste_Ackerkulturen_Gemüse_DropDown[Ackerkulturen],_xlfn.AGGREGATE(15,6,(ROW(Liste_Ackerkulturen_Gemüse_DropDown[Ackerkulturen])-1)/(--(SEARCH(CK$2,Liste_Ackerkulturen_Gemüse_DropDown[Ackerkulturen])&gt;0)),ROW()-2),1),"")</f>
        <v>Kraut (Industrie, früh)</v>
      </c>
      <c r="CK153" s="2464"/>
      <c r="CL153" s="2464" t="str">
        <f>IFERROR(INDEX(Liste_Ackerkulturen_Gemüse_DropDown[Ackerkulturen],_xlfn.AGGREGATE(15,6,(ROW(Liste_Ackerkulturen_Gemüse_DropDown[Ackerkulturen])-1)/(--(SEARCH(CM$2,Liste_Ackerkulturen_Gemüse_DropDown[Ackerkulturen])&gt;0)),ROW()-2),1),"")</f>
        <v>Kraut (Industrie, früh)</v>
      </c>
      <c r="CM153" s="2464"/>
      <c r="CN153" s="2464" t="str">
        <f>IFERROR(INDEX(Liste_Ackerkulturen_Gemüse_DropDown[Ackerkulturen],_xlfn.AGGREGATE(15,6,(ROW(Liste_Ackerkulturen_Gemüse_DropDown[Ackerkulturen])-1)/(--(SEARCH(CO$2,Liste_Ackerkulturen_Gemüse_DropDown[Ackerkulturen])&gt;0)),ROW()-2),1),"")</f>
        <v>Kraut (Industrie, früh)</v>
      </c>
      <c r="CO153" s="2464"/>
      <c r="CP153" s="2464" t="str">
        <f>IFERROR(INDEX(Liste_Ackerkulturen_Gemüse_DropDown[Ackerkulturen],_xlfn.AGGREGATE(15,6,(ROW(Liste_Ackerkulturen_Gemüse_DropDown[Ackerkulturen])-1)/(--(SEARCH(CQ$2,Liste_Ackerkulturen_Gemüse_DropDown[Ackerkulturen])&gt;0)),ROW()-2),1),"")</f>
        <v>Kraut (Industrie, früh)</v>
      </c>
      <c r="CQ153" s="2464"/>
      <c r="CR153" s="2464" t="str">
        <f>IFERROR(INDEX(Liste_Ackerkulturen_Gemüse_DropDown[Ackerkulturen],_xlfn.AGGREGATE(15,6,(ROW(Liste_Ackerkulturen_Gemüse_DropDown[Ackerkulturen])-1)/(--(SEARCH(CS$2,Liste_Ackerkulturen_Gemüse_DropDown[Ackerkulturen])&gt;0)),ROW()-2),1),"")</f>
        <v>Kraut (Industrie, früh)</v>
      </c>
      <c r="CS153" s="2464"/>
    </row>
    <row r="154" spans="3:97" ht="21" customHeight="1">
      <c r="C154" s="1575" t="s">
        <v>59</v>
      </c>
      <c r="D154" s="1576"/>
      <c r="E154" s="1589" t="s">
        <v>1082</v>
      </c>
      <c r="F154" s="1568"/>
      <c r="G154" s="1568"/>
      <c r="H154" s="1716"/>
      <c r="I154" s="1718"/>
      <c r="J154" s="1188"/>
      <c r="K154" s="1568"/>
      <c r="L154" s="1188"/>
      <c r="M154" s="1568"/>
      <c r="N154" s="1188"/>
      <c r="O154" s="1568"/>
      <c r="P154" s="1527">
        <v>0</v>
      </c>
      <c r="Q154" s="1591">
        <v>0</v>
      </c>
      <c r="R154" s="1569">
        <v>90</v>
      </c>
      <c r="S154" s="1570">
        <v>75</v>
      </c>
      <c r="T154" s="1568">
        <v>55</v>
      </c>
      <c r="U154" s="1718">
        <v>60</v>
      </c>
      <c r="V154" s="1568">
        <v>70</v>
      </c>
      <c r="W154" s="1188" t="s">
        <v>1954</v>
      </c>
      <c r="X154" s="1592" t="s">
        <v>1955</v>
      </c>
      <c r="Y154" s="1569">
        <v>135</v>
      </c>
      <c r="Z154" s="1570">
        <v>115</v>
      </c>
      <c r="AA154" s="1568">
        <v>80</v>
      </c>
      <c r="AB154" s="1718">
        <v>90</v>
      </c>
      <c r="AC154" s="1568">
        <v>105</v>
      </c>
      <c r="AD154" s="1188" t="s">
        <v>1956</v>
      </c>
      <c r="AE154" s="1592" t="s">
        <v>1955</v>
      </c>
      <c r="AF154" s="1279"/>
      <c r="AJ154"/>
      <c r="AK154"/>
      <c r="AL154" s="1542"/>
      <c r="AM154" s="2371" t="s">
        <v>211</v>
      </c>
      <c r="AN154" s="2352">
        <v>295</v>
      </c>
      <c r="AO154" s="2283" t="s">
        <v>212</v>
      </c>
      <c r="AP154" s="2352">
        <v>360</v>
      </c>
      <c r="AQ154" s="2283" t="s">
        <v>459</v>
      </c>
      <c r="AR154" s="2352">
        <v>440</v>
      </c>
      <c r="AS154" s="2283" t="s">
        <v>183</v>
      </c>
      <c r="AT154" s="2348">
        <v>440</v>
      </c>
      <c r="AU154" s="2285" t="s">
        <v>183</v>
      </c>
      <c r="AV154" s="2348">
        <v>440</v>
      </c>
      <c r="AW154" s="2285" t="s">
        <v>183</v>
      </c>
      <c r="AX154" s="2345">
        <v>320</v>
      </c>
      <c r="AY154" s="2278" t="s">
        <v>459</v>
      </c>
      <c r="AZ154" s="2350">
        <v>400</v>
      </c>
      <c r="BA154" s="2303" t="s">
        <v>2340</v>
      </c>
      <c r="BE154" s="2371" t="s">
        <v>211</v>
      </c>
      <c r="BF154" s="577">
        <v>55</v>
      </c>
      <c r="BG154" s="577">
        <v>70</v>
      </c>
      <c r="BH154" s="577">
        <v>90</v>
      </c>
      <c r="BJ154" s="2371" t="s">
        <v>211</v>
      </c>
      <c r="BK154" s="578">
        <v>230</v>
      </c>
      <c r="BL154" s="577">
        <v>285</v>
      </c>
      <c r="BM154" s="577">
        <v>355</v>
      </c>
      <c r="BP154" s="524"/>
      <c r="BQ154" s="524"/>
      <c r="BR154" s="524"/>
      <c r="BS154" s="2461" t="s">
        <v>217</v>
      </c>
      <c r="BT154" s="2463" t="str">
        <f>IFERROR(INDEX(Liste_Ackerkulturen_Gemüse_DropDown[Ackerkulturen],_xlfn.AGGREGATE(15,6,(ROW(Liste_Ackerkulturen_Gemüse_DropDown[Ackerkulturen])-1)/(--(SEARCH(BU$2,Liste_Ackerkulturen_Gemüse_DropDown[Ackerkulturen])&gt;0)),ROW()-2),1),"")</f>
        <v>Kraut (Industrie, spät)</v>
      </c>
      <c r="BU154" s="2463"/>
      <c r="BV154" s="2463" t="str">
        <f>IFERROR(INDEX(Liste_Ackerkulturen_Gemüse_DropDown[Ackerkulturen],_xlfn.AGGREGATE(15,6,(ROW(Liste_Ackerkulturen_Gemüse_DropDown[Ackerkulturen])-1)/(--(SEARCH(BW$2,Liste_Ackerkulturen_Gemüse_DropDown[Ackerkulturen])&gt;0)),ROW()-2),1),"")</f>
        <v>Kraut (Industrie, spät)</v>
      </c>
      <c r="BW154" s="2463"/>
      <c r="BX154" s="2463" t="str">
        <f>IFERROR(INDEX(Liste_Ackerkulturen_Gemüse_DropDown[Ackerkulturen],_xlfn.AGGREGATE(15,6,(ROW(Liste_Ackerkulturen_Gemüse_DropDown[Ackerkulturen])-1)/(--(SEARCH(BY$2,Liste_Ackerkulturen_Gemüse_DropDown[Ackerkulturen])&gt;0)),ROW()-2),1),"")</f>
        <v>Kraut (Industrie, spät)</v>
      </c>
      <c r="BY154" s="2463"/>
      <c r="BZ154" s="2463" t="str">
        <f>IFERROR(INDEX(Liste_Ackerkulturen_Gemüse_DropDown[Ackerkulturen],_xlfn.AGGREGATE(15,6,(ROW(Liste_Ackerkulturen_Gemüse_DropDown[Ackerkulturen])-1)/(--(SEARCH(CA$2,Liste_Ackerkulturen_Gemüse_DropDown[Ackerkulturen])&gt;0)),ROW()-2),1),"")</f>
        <v>Kraut (Industrie, spät)</v>
      </c>
      <c r="CA154" s="2463"/>
      <c r="CB154" s="2463" t="str">
        <f>IFERROR(INDEX(Liste_Ackerkulturen_Gemüse_DropDown[Ackerkulturen],_xlfn.AGGREGATE(15,6,(ROW(Liste_Ackerkulturen_Gemüse_DropDown[Ackerkulturen])-1)/(--(SEARCH(CC$2,Liste_Ackerkulturen_Gemüse_DropDown[Ackerkulturen])&gt;0)),ROW()-2),1),"")</f>
        <v>Kraut (Industrie, spät)</v>
      </c>
      <c r="CC154" s="2463"/>
      <c r="CD154" s="2464" t="str">
        <f>IFERROR(INDEX(Liste_Ackerkulturen_Gemüse_DropDown[Ackerkulturen],_xlfn.AGGREGATE(15,6,(ROW(Liste_Ackerkulturen_Gemüse_DropDown[Ackerkulturen])-1)/(--(SEARCH(CE$2,Liste_Ackerkulturen_Gemüse_DropDown[Ackerkulturen])&gt;0)),ROW()-2),1),"")</f>
        <v>Kraut (Industrie, spät)</v>
      </c>
      <c r="CE154" s="2464"/>
      <c r="CF154" s="2464" t="str">
        <f>IFERROR(INDEX(Liste_Ackerkulturen_Gemüse_DropDown[Ackerkulturen],_xlfn.AGGREGATE(15,6,(ROW(Liste_Ackerkulturen_Gemüse_DropDown[Ackerkulturen])-1)/(--(SEARCH(CG$2,Liste_Ackerkulturen_Gemüse_DropDown[Ackerkulturen])&gt;0)),ROW()-2),1),"")</f>
        <v>Kraut (Industrie, spät)</v>
      </c>
      <c r="CG154" s="2464"/>
      <c r="CH154" s="2464" t="str">
        <f>IFERROR(INDEX(Liste_Ackerkulturen_Gemüse_DropDown[Ackerkulturen],_xlfn.AGGREGATE(15,6,(ROW(Liste_Ackerkulturen_Gemüse_DropDown[Ackerkulturen])-1)/(--(SEARCH(CI$2,Liste_Ackerkulturen_Gemüse_DropDown[Ackerkulturen])&gt;0)),ROW()-2),1),"")</f>
        <v>Kraut (Industrie, spät)</v>
      </c>
      <c r="CI154" s="2464"/>
      <c r="CJ154" s="2464" t="str">
        <f>IFERROR(INDEX(Liste_Ackerkulturen_Gemüse_DropDown[Ackerkulturen],_xlfn.AGGREGATE(15,6,(ROW(Liste_Ackerkulturen_Gemüse_DropDown[Ackerkulturen])-1)/(--(SEARCH(CK$2,Liste_Ackerkulturen_Gemüse_DropDown[Ackerkulturen])&gt;0)),ROW()-2),1),"")</f>
        <v>Kraut (Industrie, spät)</v>
      </c>
      <c r="CK154" s="2464"/>
      <c r="CL154" s="2464" t="str">
        <f>IFERROR(INDEX(Liste_Ackerkulturen_Gemüse_DropDown[Ackerkulturen],_xlfn.AGGREGATE(15,6,(ROW(Liste_Ackerkulturen_Gemüse_DropDown[Ackerkulturen])-1)/(--(SEARCH(CM$2,Liste_Ackerkulturen_Gemüse_DropDown[Ackerkulturen])&gt;0)),ROW()-2),1),"")</f>
        <v>Kraut (Industrie, spät)</v>
      </c>
      <c r="CM154" s="2464"/>
      <c r="CN154" s="2464" t="str">
        <f>IFERROR(INDEX(Liste_Ackerkulturen_Gemüse_DropDown[Ackerkulturen],_xlfn.AGGREGATE(15,6,(ROW(Liste_Ackerkulturen_Gemüse_DropDown[Ackerkulturen])-1)/(--(SEARCH(CO$2,Liste_Ackerkulturen_Gemüse_DropDown[Ackerkulturen])&gt;0)),ROW()-2),1),"")</f>
        <v>Kraut (Industrie, spät)</v>
      </c>
      <c r="CO154" s="2464"/>
      <c r="CP154" s="2464" t="str">
        <f>IFERROR(INDEX(Liste_Ackerkulturen_Gemüse_DropDown[Ackerkulturen],_xlfn.AGGREGATE(15,6,(ROW(Liste_Ackerkulturen_Gemüse_DropDown[Ackerkulturen])-1)/(--(SEARCH(CQ$2,Liste_Ackerkulturen_Gemüse_DropDown[Ackerkulturen])&gt;0)),ROW()-2),1),"")</f>
        <v>Kraut (Industrie, spät)</v>
      </c>
      <c r="CQ154" s="2464"/>
      <c r="CR154" s="2464" t="str">
        <f>IFERROR(INDEX(Liste_Ackerkulturen_Gemüse_DropDown[Ackerkulturen],_xlfn.AGGREGATE(15,6,(ROW(Liste_Ackerkulturen_Gemüse_DropDown[Ackerkulturen])-1)/(--(SEARCH(CS$2,Liste_Ackerkulturen_Gemüse_DropDown[Ackerkulturen])&gt;0)),ROW()-2),1),"")</f>
        <v>Kraut (Industrie, spät)</v>
      </c>
      <c r="CS154" s="2464"/>
    </row>
    <row r="155" spans="3:97" ht="21" customHeight="1">
      <c r="C155" s="1575" t="s">
        <v>60</v>
      </c>
      <c r="D155" s="1576"/>
      <c r="E155" s="1594" t="s">
        <v>470</v>
      </c>
      <c r="F155" s="1568">
        <v>50</v>
      </c>
      <c r="G155" s="1568"/>
      <c r="H155" s="1716" t="s">
        <v>61</v>
      </c>
      <c r="I155" s="1718">
        <v>50</v>
      </c>
      <c r="J155" s="1188" t="s">
        <v>62</v>
      </c>
      <c r="K155" s="1568">
        <v>50</v>
      </c>
      <c r="L155" s="1188" t="s">
        <v>63</v>
      </c>
      <c r="M155" s="1568">
        <v>50</v>
      </c>
      <c r="N155" s="1188" t="s">
        <v>64</v>
      </c>
      <c r="O155" s="1568">
        <v>50</v>
      </c>
      <c r="P155" s="1527">
        <v>50</v>
      </c>
      <c r="Q155" s="1591">
        <v>50</v>
      </c>
      <c r="R155" s="1569">
        <v>85</v>
      </c>
      <c r="S155" s="1570">
        <v>70</v>
      </c>
      <c r="T155" s="1568">
        <v>50</v>
      </c>
      <c r="U155" s="1718">
        <v>55</v>
      </c>
      <c r="V155" s="1568">
        <v>65</v>
      </c>
      <c r="W155" s="1188" t="s">
        <v>1954</v>
      </c>
      <c r="X155" s="1592" t="s">
        <v>1955</v>
      </c>
      <c r="Y155" s="1569">
        <v>120</v>
      </c>
      <c r="Z155" s="1570">
        <v>100</v>
      </c>
      <c r="AA155" s="1568">
        <v>70</v>
      </c>
      <c r="AB155" s="1718">
        <v>80</v>
      </c>
      <c r="AC155" s="1568">
        <v>90</v>
      </c>
      <c r="AD155" s="1188" t="s">
        <v>1956</v>
      </c>
      <c r="AE155" s="1592" t="s">
        <v>1955</v>
      </c>
      <c r="AF155" s="1279"/>
      <c r="AJ155"/>
      <c r="AK155"/>
      <c r="AL155" s="1542"/>
      <c r="AM155" s="2371" t="s">
        <v>213</v>
      </c>
      <c r="AN155" s="2352">
        <v>310</v>
      </c>
      <c r="AO155" s="2283" t="s">
        <v>214</v>
      </c>
      <c r="AP155" s="2352">
        <v>380</v>
      </c>
      <c r="AQ155" s="2283" t="s">
        <v>215</v>
      </c>
      <c r="AR155" s="2352">
        <v>465</v>
      </c>
      <c r="AS155" s="2283" t="s">
        <v>216</v>
      </c>
      <c r="AT155" s="2348">
        <v>465</v>
      </c>
      <c r="AU155" s="2285" t="s">
        <v>216</v>
      </c>
      <c r="AV155" s="2348">
        <v>465</v>
      </c>
      <c r="AW155" s="2285" t="s">
        <v>216</v>
      </c>
      <c r="AX155" s="2345">
        <v>320</v>
      </c>
      <c r="AY155" s="2278" t="s">
        <v>215</v>
      </c>
      <c r="AZ155" s="2350">
        <v>400</v>
      </c>
      <c r="BA155" s="2303" t="s">
        <v>2343</v>
      </c>
      <c r="BE155" s="2371" t="s">
        <v>213</v>
      </c>
      <c r="BF155" s="577">
        <v>65</v>
      </c>
      <c r="BG155" s="577">
        <v>80</v>
      </c>
      <c r="BH155" s="577">
        <v>100</v>
      </c>
      <c r="BJ155" s="2371" t="s">
        <v>213</v>
      </c>
      <c r="BK155" s="578">
        <v>250</v>
      </c>
      <c r="BL155" s="577">
        <v>310</v>
      </c>
      <c r="BM155" s="577">
        <v>390</v>
      </c>
      <c r="BP155" s="524"/>
      <c r="BQ155" s="524"/>
      <c r="BR155" s="524"/>
      <c r="BS155" s="2461" t="s">
        <v>218</v>
      </c>
      <c r="BT155" s="2463" t="str">
        <f>IFERROR(INDEX(Liste_Ackerkulturen_Gemüse_DropDown[Ackerkulturen],_xlfn.AGGREGATE(15,6,(ROW(Liste_Ackerkulturen_Gemüse_DropDown[Ackerkulturen])-1)/(--(SEARCH(BU$2,Liste_Ackerkulturen_Gemüse_DropDown[Ackerkulturen])&gt;0)),ROW()-2),1),"")</f>
        <v>Kraut (Lager)</v>
      </c>
      <c r="BU155" s="2463"/>
      <c r="BV155" s="2463" t="str">
        <f>IFERROR(INDEX(Liste_Ackerkulturen_Gemüse_DropDown[Ackerkulturen],_xlfn.AGGREGATE(15,6,(ROW(Liste_Ackerkulturen_Gemüse_DropDown[Ackerkulturen])-1)/(--(SEARCH(BW$2,Liste_Ackerkulturen_Gemüse_DropDown[Ackerkulturen])&gt;0)),ROW()-2),1),"")</f>
        <v>Kraut (Lager)</v>
      </c>
      <c r="BW155" s="2463"/>
      <c r="BX155" s="2463" t="str">
        <f>IFERROR(INDEX(Liste_Ackerkulturen_Gemüse_DropDown[Ackerkulturen],_xlfn.AGGREGATE(15,6,(ROW(Liste_Ackerkulturen_Gemüse_DropDown[Ackerkulturen])-1)/(--(SEARCH(BY$2,Liste_Ackerkulturen_Gemüse_DropDown[Ackerkulturen])&gt;0)),ROW()-2),1),"")</f>
        <v>Kraut (Lager)</v>
      </c>
      <c r="BY155" s="2463"/>
      <c r="BZ155" s="2463" t="str">
        <f>IFERROR(INDEX(Liste_Ackerkulturen_Gemüse_DropDown[Ackerkulturen],_xlfn.AGGREGATE(15,6,(ROW(Liste_Ackerkulturen_Gemüse_DropDown[Ackerkulturen])-1)/(--(SEARCH(CA$2,Liste_Ackerkulturen_Gemüse_DropDown[Ackerkulturen])&gt;0)),ROW()-2),1),"")</f>
        <v>Kraut (Lager)</v>
      </c>
      <c r="CA155" s="2463"/>
      <c r="CB155" s="2463" t="str">
        <f>IFERROR(INDEX(Liste_Ackerkulturen_Gemüse_DropDown[Ackerkulturen],_xlfn.AGGREGATE(15,6,(ROW(Liste_Ackerkulturen_Gemüse_DropDown[Ackerkulturen])-1)/(--(SEARCH(CC$2,Liste_Ackerkulturen_Gemüse_DropDown[Ackerkulturen])&gt;0)),ROW()-2),1),"")</f>
        <v>Kraut (Lager)</v>
      </c>
      <c r="CC155" s="2463"/>
      <c r="CD155" s="2464" t="str">
        <f>IFERROR(INDEX(Liste_Ackerkulturen_Gemüse_DropDown[Ackerkulturen],_xlfn.AGGREGATE(15,6,(ROW(Liste_Ackerkulturen_Gemüse_DropDown[Ackerkulturen])-1)/(--(SEARCH(CE$2,Liste_Ackerkulturen_Gemüse_DropDown[Ackerkulturen])&gt;0)),ROW()-2),1),"")</f>
        <v>Kraut (Lager)</v>
      </c>
      <c r="CE155" s="2464"/>
      <c r="CF155" s="2464" t="str">
        <f>IFERROR(INDEX(Liste_Ackerkulturen_Gemüse_DropDown[Ackerkulturen],_xlfn.AGGREGATE(15,6,(ROW(Liste_Ackerkulturen_Gemüse_DropDown[Ackerkulturen])-1)/(--(SEARCH(CG$2,Liste_Ackerkulturen_Gemüse_DropDown[Ackerkulturen])&gt;0)),ROW()-2),1),"")</f>
        <v>Kraut (Lager)</v>
      </c>
      <c r="CG155" s="2464"/>
      <c r="CH155" s="2464" t="str">
        <f>IFERROR(INDEX(Liste_Ackerkulturen_Gemüse_DropDown[Ackerkulturen],_xlfn.AGGREGATE(15,6,(ROW(Liste_Ackerkulturen_Gemüse_DropDown[Ackerkulturen])-1)/(--(SEARCH(CI$2,Liste_Ackerkulturen_Gemüse_DropDown[Ackerkulturen])&gt;0)),ROW()-2),1),"")</f>
        <v>Kraut (Lager)</v>
      </c>
      <c r="CI155" s="2464"/>
      <c r="CJ155" s="2464" t="str">
        <f>IFERROR(INDEX(Liste_Ackerkulturen_Gemüse_DropDown[Ackerkulturen],_xlfn.AGGREGATE(15,6,(ROW(Liste_Ackerkulturen_Gemüse_DropDown[Ackerkulturen])-1)/(--(SEARCH(CK$2,Liste_Ackerkulturen_Gemüse_DropDown[Ackerkulturen])&gt;0)),ROW()-2),1),"")</f>
        <v>Kraut (Lager)</v>
      </c>
      <c r="CK155" s="2464"/>
      <c r="CL155" s="2464" t="str">
        <f>IFERROR(INDEX(Liste_Ackerkulturen_Gemüse_DropDown[Ackerkulturen],_xlfn.AGGREGATE(15,6,(ROW(Liste_Ackerkulturen_Gemüse_DropDown[Ackerkulturen])-1)/(--(SEARCH(CM$2,Liste_Ackerkulturen_Gemüse_DropDown[Ackerkulturen])&gt;0)),ROW()-2),1),"")</f>
        <v>Kraut (Lager)</v>
      </c>
      <c r="CM155" s="2464"/>
      <c r="CN155" s="2464" t="str">
        <f>IFERROR(INDEX(Liste_Ackerkulturen_Gemüse_DropDown[Ackerkulturen],_xlfn.AGGREGATE(15,6,(ROW(Liste_Ackerkulturen_Gemüse_DropDown[Ackerkulturen])-1)/(--(SEARCH(CO$2,Liste_Ackerkulturen_Gemüse_DropDown[Ackerkulturen])&gt;0)),ROW()-2),1),"")</f>
        <v>Kraut (Lager)</v>
      </c>
      <c r="CO155" s="2464"/>
      <c r="CP155" s="2464" t="str">
        <f>IFERROR(INDEX(Liste_Ackerkulturen_Gemüse_DropDown[Ackerkulturen],_xlfn.AGGREGATE(15,6,(ROW(Liste_Ackerkulturen_Gemüse_DropDown[Ackerkulturen])-1)/(--(SEARCH(CQ$2,Liste_Ackerkulturen_Gemüse_DropDown[Ackerkulturen])&gt;0)),ROW()-2),1),"")</f>
        <v>Kraut (Lager)</v>
      </c>
      <c r="CQ155" s="2464"/>
      <c r="CR155" s="2464" t="str">
        <f>IFERROR(INDEX(Liste_Ackerkulturen_Gemüse_DropDown[Ackerkulturen],_xlfn.AGGREGATE(15,6,(ROW(Liste_Ackerkulturen_Gemüse_DropDown[Ackerkulturen])-1)/(--(SEARCH(CS$2,Liste_Ackerkulturen_Gemüse_DropDown[Ackerkulturen])&gt;0)),ROW()-2),1),"")</f>
        <v>Kraut (Lager)</v>
      </c>
      <c r="CS155" s="2464"/>
    </row>
    <row r="156" spans="3:97" ht="21" customHeight="1">
      <c r="C156" s="1575" t="s">
        <v>65</v>
      </c>
      <c r="D156" s="1576"/>
      <c r="E156" s="1594" t="s">
        <v>66</v>
      </c>
      <c r="F156" s="1568">
        <v>105</v>
      </c>
      <c r="G156" s="1568"/>
      <c r="H156" s="1716" t="s">
        <v>67</v>
      </c>
      <c r="I156" s="1718">
        <v>145</v>
      </c>
      <c r="J156" s="1188" t="s">
        <v>68</v>
      </c>
      <c r="K156" s="1568">
        <v>170</v>
      </c>
      <c r="L156" s="1188" t="s">
        <v>467</v>
      </c>
      <c r="M156" s="1568">
        <v>180</v>
      </c>
      <c r="N156" s="1188" t="s">
        <v>69</v>
      </c>
      <c r="O156" s="1568">
        <v>195</v>
      </c>
      <c r="P156" s="1527">
        <v>130</v>
      </c>
      <c r="Q156" s="1591">
        <v>150</v>
      </c>
      <c r="R156" s="1569">
        <v>100</v>
      </c>
      <c r="S156" s="1570">
        <v>80</v>
      </c>
      <c r="T156" s="1568">
        <v>60</v>
      </c>
      <c r="U156" s="1718">
        <v>65</v>
      </c>
      <c r="V156" s="1568">
        <v>75</v>
      </c>
      <c r="W156" s="1188" t="s">
        <v>1954</v>
      </c>
      <c r="X156" s="1592" t="s">
        <v>1955</v>
      </c>
      <c r="Y156" s="1569">
        <v>300</v>
      </c>
      <c r="Z156" s="1570">
        <v>250</v>
      </c>
      <c r="AA156" s="1568">
        <v>180</v>
      </c>
      <c r="AB156" s="1718">
        <v>200</v>
      </c>
      <c r="AC156" s="1568">
        <v>230</v>
      </c>
      <c r="AD156" s="1188" t="s">
        <v>1956</v>
      </c>
      <c r="AE156" s="1592" t="s">
        <v>1955</v>
      </c>
      <c r="AF156" s="1279"/>
      <c r="AJ156"/>
      <c r="AK156"/>
      <c r="AL156" s="1542"/>
      <c r="AM156" s="2371" t="s">
        <v>217</v>
      </c>
      <c r="AN156" s="2352">
        <v>250</v>
      </c>
      <c r="AO156" s="2283" t="s">
        <v>208</v>
      </c>
      <c r="AP156" s="2352">
        <v>305</v>
      </c>
      <c r="AQ156" s="2283" t="s">
        <v>209</v>
      </c>
      <c r="AR156" s="2352">
        <v>370</v>
      </c>
      <c r="AS156" s="2283" t="s">
        <v>210</v>
      </c>
      <c r="AT156" s="2348">
        <v>370</v>
      </c>
      <c r="AU156" s="2285" t="s">
        <v>210</v>
      </c>
      <c r="AV156" s="2348">
        <v>370</v>
      </c>
      <c r="AW156" s="2285" t="s">
        <v>210</v>
      </c>
      <c r="AX156" s="2345">
        <v>265</v>
      </c>
      <c r="AY156" s="2278" t="s">
        <v>209</v>
      </c>
      <c r="AZ156" s="2350">
        <v>331</v>
      </c>
      <c r="BA156" s="2303" t="s">
        <v>2342</v>
      </c>
      <c r="BE156" s="2371" t="s">
        <v>217</v>
      </c>
      <c r="BF156" s="577">
        <v>55</v>
      </c>
      <c r="BG156" s="577">
        <v>70</v>
      </c>
      <c r="BH156" s="577">
        <v>90</v>
      </c>
      <c r="BJ156" s="2371" t="s">
        <v>217</v>
      </c>
      <c r="BK156" s="578">
        <v>230</v>
      </c>
      <c r="BL156" s="577">
        <v>285</v>
      </c>
      <c r="BM156" s="577">
        <v>355</v>
      </c>
      <c r="BP156" s="524"/>
      <c r="BQ156" s="524"/>
      <c r="BR156" s="524"/>
      <c r="BS156" s="2461" t="s">
        <v>219</v>
      </c>
      <c r="BT156" s="2463" t="str">
        <f>IFERROR(INDEX(Liste_Ackerkulturen_Gemüse_DropDown[Ackerkulturen],_xlfn.AGGREGATE(15,6,(ROW(Liste_Ackerkulturen_Gemüse_DropDown[Ackerkulturen])-1)/(--(SEARCH(BU$2,Liste_Ackerkulturen_Gemüse_DropDown[Ackerkulturen])&gt;0)),ROW()-2),1),"")</f>
        <v>Kraut (Sommer)</v>
      </c>
      <c r="BU156" s="2463"/>
      <c r="BV156" s="2463" t="str">
        <f>IFERROR(INDEX(Liste_Ackerkulturen_Gemüse_DropDown[Ackerkulturen],_xlfn.AGGREGATE(15,6,(ROW(Liste_Ackerkulturen_Gemüse_DropDown[Ackerkulturen])-1)/(--(SEARCH(BW$2,Liste_Ackerkulturen_Gemüse_DropDown[Ackerkulturen])&gt;0)),ROW()-2),1),"")</f>
        <v>Kraut (Sommer)</v>
      </c>
      <c r="BW156" s="2463"/>
      <c r="BX156" s="2463" t="str">
        <f>IFERROR(INDEX(Liste_Ackerkulturen_Gemüse_DropDown[Ackerkulturen],_xlfn.AGGREGATE(15,6,(ROW(Liste_Ackerkulturen_Gemüse_DropDown[Ackerkulturen])-1)/(--(SEARCH(BY$2,Liste_Ackerkulturen_Gemüse_DropDown[Ackerkulturen])&gt;0)),ROW()-2),1),"")</f>
        <v>Kraut (Sommer)</v>
      </c>
      <c r="BY156" s="2463"/>
      <c r="BZ156" s="2463" t="str">
        <f>IFERROR(INDEX(Liste_Ackerkulturen_Gemüse_DropDown[Ackerkulturen],_xlfn.AGGREGATE(15,6,(ROW(Liste_Ackerkulturen_Gemüse_DropDown[Ackerkulturen])-1)/(--(SEARCH(CA$2,Liste_Ackerkulturen_Gemüse_DropDown[Ackerkulturen])&gt;0)),ROW()-2),1),"")</f>
        <v>Kraut (Sommer)</v>
      </c>
      <c r="CA156" s="2463"/>
      <c r="CB156" s="2463" t="str">
        <f>IFERROR(INDEX(Liste_Ackerkulturen_Gemüse_DropDown[Ackerkulturen],_xlfn.AGGREGATE(15,6,(ROW(Liste_Ackerkulturen_Gemüse_DropDown[Ackerkulturen])-1)/(--(SEARCH(CC$2,Liste_Ackerkulturen_Gemüse_DropDown[Ackerkulturen])&gt;0)),ROW()-2),1),"")</f>
        <v>Kraut (Sommer)</v>
      </c>
      <c r="CC156" s="2463"/>
      <c r="CD156" s="2464" t="str">
        <f>IFERROR(INDEX(Liste_Ackerkulturen_Gemüse_DropDown[Ackerkulturen],_xlfn.AGGREGATE(15,6,(ROW(Liste_Ackerkulturen_Gemüse_DropDown[Ackerkulturen])-1)/(--(SEARCH(CE$2,Liste_Ackerkulturen_Gemüse_DropDown[Ackerkulturen])&gt;0)),ROW()-2),1),"")</f>
        <v>Kraut (Sommer)</v>
      </c>
      <c r="CE156" s="2464"/>
      <c r="CF156" s="2464" t="str">
        <f>IFERROR(INDEX(Liste_Ackerkulturen_Gemüse_DropDown[Ackerkulturen],_xlfn.AGGREGATE(15,6,(ROW(Liste_Ackerkulturen_Gemüse_DropDown[Ackerkulturen])-1)/(--(SEARCH(CG$2,Liste_Ackerkulturen_Gemüse_DropDown[Ackerkulturen])&gt;0)),ROW()-2),1),"")</f>
        <v>Kraut (Sommer)</v>
      </c>
      <c r="CG156" s="2464"/>
      <c r="CH156" s="2464" t="str">
        <f>IFERROR(INDEX(Liste_Ackerkulturen_Gemüse_DropDown[Ackerkulturen],_xlfn.AGGREGATE(15,6,(ROW(Liste_Ackerkulturen_Gemüse_DropDown[Ackerkulturen])-1)/(--(SEARCH(CI$2,Liste_Ackerkulturen_Gemüse_DropDown[Ackerkulturen])&gt;0)),ROW()-2),1),"")</f>
        <v>Kraut (Sommer)</v>
      </c>
      <c r="CI156" s="2464"/>
      <c r="CJ156" s="2464" t="str">
        <f>IFERROR(INDEX(Liste_Ackerkulturen_Gemüse_DropDown[Ackerkulturen],_xlfn.AGGREGATE(15,6,(ROW(Liste_Ackerkulturen_Gemüse_DropDown[Ackerkulturen])-1)/(--(SEARCH(CK$2,Liste_Ackerkulturen_Gemüse_DropDown[Ackerkulturen])&gt;0)),ROW()-2),1),"")</f>
        <v>Kraut (Sommer)</v>
      </c>
      <c r="CK156" s="2464"/>
      <c r="CL156" s="2464" t="str">
        <f>IFERROR(INDEX(Liste_Ackerkulturen_Gemüse_DropDown[Ackerkulturen],_xlfn.AGGREGATE(15,6,(ROW(Liste_Ackerkulturen_Gemüse_DropDown[Ackerkulturen])-1)/(--(SEARCH(CM$2,Liste_Ackerkulturen_Gemüse_DropDown[Ackerkulturen])&gt;0)),ROW()-2),1),"")</f>
        <v>Kraut (Sommer)</v>
      </c>
      <c r="CM156" s="2464"/>
      <c r="CN156" s="2464" t="str">
        <f>IFERROR(INDEX(Liste_Ackerkulturen_Gemüse_DropDown[Ackerkulturen],_xlfn.AGGREGATE(15,6,(ROW(Liste_Ackerkulturen_Gemüse_DropDown[Ackerkulturen])-1)/(--(SEARCH(CO$2,Liste_Ackerkulturen_Gemüse_DropDown[Ackerkulturen])&gt;0)),ROW()-2),1),"")</f>
        <v>Kraut (Sommer)</v>
      </c>
      <c r="CO156" s="2464"/>
      <c r="CP156" s="2464" t="str">
        <f>IFERROR(INDEX(Liste_Ackerkulturen_Gemüse_DropDown[Ackerkulturen],_xlfn.AGGREGATE(15,6,(ROW(Liste_Ackerkulturen_Gemüse_DropDown[Ackerkulturen])-1)/(--(SEARCH(CQ$2,Liste_Ackerkulturen_Gemüse_DropDown[Ackerkulturen])&gt;0)),ROW()-2),1),"")</f>
        <v>Kraut (Sommer)</v>
      </c>
      <c r="CQ156" s="2464"/>
      <c r="CR156" s="2464" t="str">
        <f>IFERROR(INDEX(Liste_Ackerkulturen_Gemüse_DropDown[Ackerkulturen],_xlfn.AGGREGATE(15,6,(ROW(Liste_Ackerkulturen_Gemüse_DropDown[Ackerkulturen])-1)/(--(SEARCH(CS$2,Liste_Ackerkulturen_Gemüse_DropDown[Ackerkulturen])&gt;0)),ROW()-2),1),"")</f>
        <v>Kraut (Sommer)</v>
      </c>
      <c r="CS156" s="2464"/>
    </row>
    <row r="157" spans="3:97" ht="21" customHeight="1">
      <c r="C157" s="1575" t="s">
        <v>70</v>
      </c>
      <c r="D157" s="1576"/>
      <c r="E157" s="1594"/>
      <c r="F157" s="1568">
        <v>120</v>
      </c>
      <c r="G157" s="1568"/>
      <c r="H157" s="1716"/>
      <c r="I157" s="1718">
        <v>120</v>
      </c>
      <c r="J157" s="1188"/>
      <c r="K157" s="1568">
        <v>120</v>
      </c>
      <c r="L157" s="1188"/>
      <c r="M157" s="1568">
        <v>120</v>
      </c>
      <c r="N157" s="1188"/>
      <c r="O157" s="1568">
        <v>120</v>
      </c>
      <c r="P157" s="1527">
        <v>120</v>
      </c>
      <c r="Q157" s="1591">
        <v>120</v>
      </c>
      <c r="R157" s="1569">
        <v>85</v>
      </c>
      <c r="S157" s="1570">
        <v>70</v>
      </c>
      <c r="T157" s="1568">
        <v>45</v>
      </c>
      <c r="U157" s="1718">
        <v>50</v>
      </c>
      <c r="V157" s="1568">
        <v>60</v>
      </c>
      <c r="W157" s="1188" t="s">
        <v>1954</v>
      </c>
      <c r="X157" s="1592" t="s">
        <v>1955</v>
      </c>
      <c r="Y157" s="1569">
        <v>270</v>
      </c>
      <c r="Z157" s="1570">
        <v>225</v>
      </c>
      <c r="AA157" s="1568">
        <v>160</v>
      </c>
      <c r="AB157" s="1718">
        <v>180</v>
      </c>
      <c r="AC157" s="1568">
        <v>205</v>
      </c>
      <c r="AD157" s="1188" t="s">
        <v>1956</v>
      </c>
      <c r="AE157" s="1592" t="s">
        <v>1955</v>
      </c>
      <c r="AF157" s="1279"/>
      <c r="AJ157"/>
      <c r="AK157"/>
      <c r="AL157" s="1542"/>
      <c r="AM157" s="2371" t="s">
        <v>218</v>
      </c>
      <c r="AN157" s="2352">
        <v>220</v>
      </c>
      <c r="AO157" s="2283" t="s">
        <v>170</v>
      </c>
      <c r="AP157" s="2352">
        <v>260</v>
      </c>
      <c r="AQ157" s="2283" t="s">
        <v>467</v>
      </c>
      <c r="AR157" s="2352">
        <v>310</v>
      </c>
      <c r="AS157" s="2283" t="s">
        <v>69</v>
      </c>
      <c r="AT157" s="2348">
        <v>310</v>
      </c>
      <c r="AU157" s="2285" t="s">
        <v>69</v>
      </c>
      <c r="AV157" s="2348">
        <v>310</v>
      </c>
      <c r="AW157" s="2285" t="s">
        <v>69</v>
      </c>
      <c r="AX157" s="2345" t="s">
        <v>1082</v>
      </c>
      <c r="AY157" s="2278" t="s">
        <v>467</v>
      </c>
      <c r="AZ157" s="2350" t="s">
        <v>1082</v>
      </c>
      <c r="BA157" s="2303" t="s">
        <v>2336</v>
      </c>
      <c r="BE157" s="2371" t="s">
        <v>218</v>
      </c>
      <c r="BF157" s="577">
        <v>40</v>
      </c>
      <c r="BG157" s="577">
        <v>50</v>
      </c>
      <c r="BH157" s="577">
        <v>65</v>
      </c>
      <c r="BJ157" s="2371" t="s">
        <v>218</v>
      </c>
      <c r="BK157" s="578">
        <v>150</v>
      </c>
      <c r="BL157" s="577">
        <v>190</v>
      </c>
      <c r="BM157" s="577">
        <v>240</v>
      </c>
      <c r="BP157" s="524"/>
      <c r="BQ157" s="524"/>
      <c r="BR157" s="524"/>
      <c r="BS157" s="2461" t="s">
        <v>221</v>
      </c>
      <c r="BT157" s="2463" t="str">
        <f>IFERROR(INDEX(Liste_Ackerkulturen_Gemüse_DropDown[Ackerkulturen],_xlfn.AGGREGATE(15,6,(ROW(Liste_Ackerkulturen_Gemüse_DropDown[Ackerkulturen])-1)/(--(SEARCH(BU$2,Liste_Ackerkulturen_Gemüse_DropDown[Ackerkulturen])&gt;0)),ROW()-2),1),"")</f>
        <v>Kren (Meerettich)</v>
      </c>
      <c r="BU157" s="2463"/>
      <c r="BV157" s="2463" t="str">
        <f>IFERROR(INDEX(Liste_Ackerkulturen_Gemüse_DropDown[Ackerkulturen],_xlfn.AGGREGATE(15,6,(ROW(Liste_Ackerkulturen_Gemüse_DropDown[Ackerkulturen])-1)/(--(SEARCH(BW$2,Liste_Ackerkulturen_Gemüse_DropDown[Ackerkulturen])&gt;0)),ROW()-2),1),"")</f>
        <v>Kren (Meerettich)</v>
      </c>
      <c r="BW157" s="2463"/>
      <c r="BX157" s="2463" t="str">
        <f>IFERROR(INDEX(Liste_Ackerkulturen_Gemüse_DropDown[Ackerkulturen],_xlfn.AGGREGATE(15,6,(ROW(Liste_Ackerkulturen_Gemüse_DropDown[Ackerkulturen])-1)/(--(SEARCH(BY$2,Liste_Ackerkulturen_Gemüse_DropDown[Ackerkulturen])&gt;0)),ROW()-2),1),"")</f>
        <v>Kren (Meerettich)</v>
      </c>
      <c r="BY157" s="2463"/>
      <c r="BZ157" s="2463" t="str">
        <f>IFERROR(INDEX(Liste_Ackerkulturen_Gemüse_DropDown[Ackerkulturen],_xlfn.AGGREGATE(15,6,(ROW(Liste_Ackerkulturen_Gemüse_DropDown[Ackerkulturen])-1)/(--(SEARCH(CA$2,Liste_Ackerkulturen_Gemüse_DropDown[Ackerkulturen])&gt;0)),ROW()-2),1),"")</f>
        <v>Kren (Meerettich)</v>
      </c>
      <c r="CA157" s="2463"/>
      <c r="CB157" s="2463" t="str">
        <f>IFERROR(INDEX(Liste_Ackerkulturen_Gemüse_DropDown[Ackerkulturen],_xlfn.AGGREGATE(15,6,(ROW(Liste_Ackerkulturen_Gemüse_DropDown[Ackerkulturen])-1)/(--(SEARCH(CC$2,Liste_Ackerkulturen_Gemüse_DropDown[Ackerkulturen])&gt;0)),ROW()-2),1),"")</f>
        <v>Kren (Meerettich)</v>
      </c>
      <c r="CC157" s="2463"/>
      <c r="CD157" s="2464" t="str">
        <f>IFERROR(INDEX(Liste_Ackerkulturen_Gemüse_DropDown[Ackerkulturen],_xlfn.AGGREGATE(15,6,(ROW(Liste_Ackerkulturen_Gemüse_DropDown[Ackerkulturen])-1)/(--(SEARCH(CE$2,Liste_Ackerkulturen_Gemüse_DropDown[Ackerkulturen])&gt;0)),ROW()-2),1),"")</f>
        <v>Kren (Meerettich)</v>
      </c>
      <c r="CE157" s="2464"/>
      <c r="CF157" s="2464" t="str">
        <f>IFERROR(INDEX(Liste_Ackerkulturen_Gemüse_DropDown[Ackerkulturen],_xlfn.AGGREGATE(15,6,(ROW(Liste_Ackerkulturen_Gemüse_DropDown[Ackerkulturen])-1)/(--(SEARCH(CG$2,Liste_Ackerkulturen_Gemüse_DropDown[Ackerkulturen])&gt;0)),ROW()-2),1),"")</f>
        <v>Kren (Meerettich)</v>
      </c>
      <c r="CG157" s="2464"/>
      <c r="CH157" s="2464" t="str">
        <f>IFERROR(INDEX(Liste_Ackerkulturen_Gemüse_DropDown[Ackerkulturen],_xlfn.AGGREGATE(15,6,(ROW(Liste_Ackerkulturen_Gemüse_DropDown[Ackerkulturen])-1)/(--(SEARCH(CI$2,Liste_Ackerkulturen_Gemüse_DropDown[Ackerkulturen])&gt;0)),ROW()-2),1),"")</f>
        <v>Kren (Meerettich)</v>
      </c>
      <c r="CI157" s="2464"/>
      <c r="CJ157" s="2464" t="str">
        <f>IFERROR(INDEX(Liste_Ackerkulturen_Gemüse_DropDown[Ackerkulturen],_xlfn.AGGREGATE(15,6,(ROW(Liste_Ackerkulturen_Gemüse_DropDown[Ackerkulturen])-1)/(--(SEARCH(CK$2,Liste_Ackerkulturen_Gemüse_DropDown[Ackerkulturen])&gt;0)),ROW()-2),1),"")</f>
        <v>Kren (Meerettich)</v>
      </c>
      <c r="CK157" s="2464"/>
      <c r="CL157" s="2464" t="str">
        <f>IFERROR(INDEX(Liste_Ackerkulturen_Gemüse_DropDown[Ackerkulturen],_xlfn.AGGREGATE(15,6,(ROW(Liste_Ackerkulturen_Gemüse_DropDown[Ackerkulturen])-1)/(--(SEARCH(CM$2,Liste_Ackerkulturen_Gemüse_DropDown[Ackerkulturen])&gt;0)),ROW()-2),1),"")</f>
        <v>Kren (Meerettich)</v>
      </c>
      <c r="CM157" s="2464"/>
      <c r="CN157" s="2464" t="str">
        <f>IFERROR(INDEX(Liste_Ackerkulturen_Gemüse_DropDown[Ackerkulturen],_xlfn.AGGREGATE(15,6,(ROW(Liste_Ackerkulturen_Gemüse_DropDown[Ackerkulturen])-1)/(--(SEARCH(CO$2,Liste_Ackerkulturen_Gemüse_DropDown[Ackerkulturen])&gt;0)),ROW()-2),1),"")</f>
        <v>Kren (Meerettich)</v>
      </c>
      <c r="CO157" s="2464"/>
      <c r="CP157" s="2464" t="str">
        <f>IFERROR(INDEX(Liste_Ackerkulturen_Gemüse_DropDown[Ackerkulturen],_xlfn.AGGREGATE(15,6,(ROW(Liste_Ackerkulturen_Gemüse_DropDown[Ackerkulturen])-1)/(--(SEARCH(CQ$2,Liste_Ackerkulturen_Gemüse_DropDown[Ackerkulturen])&gt;0)),ROW()-2),1),"")</f>
        <v>Kren (Meerettich)</v>
      </c>
      <c r="CQ157" s="2464"/>
      <c r="CR157" s="2464" t="str">
        <f>IFERROR(INDEX(Liste_Ackerkulturen_Gemüse_DropDown[Ackerkulturen],_xlfn.AGGREGATE(15,6,(ROW(Liste_Ackerkulturen_Gemüse_DropDown[Ackerkulturen])-1)/(--(SEARCH(CS$2,Liste_Ackerkulturen_Gemüse_DropDown[Ackerkulturen])&gt;0)),ROW()-2),1),"")</f>
        <v>Kren (Meerettich)</v>
      </c>
      <c r="CS157" s="2464"/>
    </row>
    <row r="158" spans="3:97" ht="21" customHeight="1">
      <c r="C158" s="1575" t="s">
        <v>71</v>
      </c>
      <c r="D158" s="1576"/>
      <c r="E158" s="1594" t="s">
        <v>1983</v>
      </c>
      <c r="F158" s="1568">
        <v>130</v>
      </c>
      <c r="G158" s="1568"/>
      <c r="H158" s="1716" t="s">
        <v>1984</v>
      </c>
      <c r="I158" s="1718">
        <v>175</v>
      </c>
      <c r="J158" s="1188" t="s">
        <v>1985</v>
      </c>
      <c r="K158" s="1568">
        <v>210</v>
      </c>
      <c r="L158" s="1188" t="s">
        <v>1986</v>
      </c>
      <c r="M158" s="1568">
        <v>225</v>
      </c>
      <c r="N158" s="1188" t="s">
        <v>1987</v>
      </c>
      <c r="O158" s="1568">
        <v>240</v>
      </c>
      <c r="P158" s="1527">
        <v>160</v>
      </c>
      <c r="Q158" s="1591">
        <v>180</v>
      </c>
      <c r="R158" s="1569">
        <v>130</v>
      </c>
      <c r="S158" s="1570">
        <v>105</v>
      </c>
      <c r="T158" s="1568">
        <v>75</v>
      </c>
      <c r="U158" s="1718">
        <v>85</v>
      </c>
      <c r="V158" s="1568">
        <v>100</v>
      </c>
      <c r="W158" s="1188" t="s">
        <v>1954</v>
      </c>
      <c r="X158" s="1592" t="s">
        <v>1955</v>
      </c>
      <c r="Y158" s="1569">
        <v>340</v>
      </c>
      <c r="Z158" s="1570">
        <v>280</v>
      </c>
      <c r="AA158" s="1568">
        <v>205</v>
      </c>
      <c r="AB158" s="1718">
        <v>225</v>
      </c>
      <c r="AC158" s="1568">
        <v>260</v>
      </c>
      <c r="AD158" s="1188" t="s">
        <v>1956</v>
      </c>
      <c r="AE158" s="1592" t="s">
        <v>1955</v>
      </c>
      <c r="AF158" s="1279"/>
      <c r="AJ158"/>
      <c r="AK158"/>
      <c r="AL158" s="1542"/>
      <c r="AM158" s="2371" t="s">
        <v>219</v>
      </c>
      <c r="AN158" s="2352">
        <v>200</v>
      </c>
      <c r="AO158" s="2283" t="s">
        <v>132</v>
      </c>
      <c r="AP158" s="2352">
        <v>240</v>
      </c>
      <c r="AQ158" s="2283" t="s">
        <v>220</v>
      </c>
      <c r="AR158" s="2352">
        <v>290</v>
      </c>
      <c r="AS158" s="2283" t="s">
        <v>1991</v>
      </c>
      <c r="AT158" s="2348">
        <v>290</v>
      </c>
      <c r="AU158" s="2285" t="s">
        <v>1991</v>
      </c>
      <c r="AV158" s="2348">
        <v>290</v>
      </c>
      <c r="AW158" s="2285" t="s">
        <v>1991</v>
      </c>
      <c r="AX158" s="2345">
        <v>200</v>
      </c>
      <c r="AY158" s="2278" t="s">
        <v>220</v>
      </c>
      <c r="AZ158" s="2350">
        <v>250</v>
      </c>
      <c r="BA158" s="2303" t="s">
        <v>2344</v>
      </c>
      <c r="BE158" s="2371" t="s">
        <v>219</v>
      </c>
      <c r="BF158" s="577">
        <v>50</v>
      </c>
      <c r="BG158" s="577">
        <v>60</v>
      </c>
      <c r="BH158" s="577">
        <v>75</v>
      </c>
      <c r="BJ158" s="2371" t="s">
        <v>219</v>
      </c>
      <c r="BK158" s="578">
        <v>145</v>
      </c>
      <c r="BL158" s="577">
        <v>180</v>
      </c>
      <c r="BM158" s="577">
        <v>225</v>
      </c>
      <c r="BP158" s="524"/>
      <c r="BQ158" s="524"/>
      <c r="BR158" s="524"/>
      <c r="BS158" s="2461" t="s">
        <v>222</v>
      </c>
      <c r="BT158" s="2463" t="str">
        <f>IFERROR(INDEX(Liste_Ackerkulturen_Gemüse_DropDown[Ackerkulturen],_xlfn.AGGREGATE(15,6,(ROW(Liste_Ackerkulturen_Gemüse_DropDown[Ackerkulturen])-1)/(--(SEARCH(BU$2,Liste_Ackerkulturen_Gemüse_DropDown[Ackerkulturen])&gt;0)),ROW()-2),1),"")</f>
        <v>Lollo</v>
      </c>
      <c r="BU158" s="2463"/>
      <c r="BV158" s="2463" t="str">
        <f>IFERROR(INDEX(Liste_Ackerkulturen_Gemüse_DropDown[Ackerkulturen],_xlfn.AGGREGATE(15,6,(ROW(Liste_Ackerkulturen_Gemüse_DropDown[Ackerkulturen])-1)/(--(SEARCH(BW$2,Liste_Ackerkulturen_Gemüse_DropDown[Ackerkulturen])&gt;0)),ROW()-2),1),"")</f>
        <v>Lollo</v>
      </c>
      <c r="BW158" s="2463"/>
      <c r="BX158" s="2463" t="str">
        <f>IFERROR(INDEX(Liste_Ackerkulturen_Gemüse_DropDown[Ackerkulturen],_xlfn.AGGREGATE(15,6,(ROW(Liste_Ackerkulturen_Gemüse_DropDown[Ackerkulturen])-1)/(--(SEARCH(BY$2,Liste_Ackerkulturen_Gemüse_DropDown[Ackerkulturen])&gt;0)),ROW()-2),1),"")</f>
        <v>Lollo</v>
      </c>
      <c r="BY158" s="2463"/>
      <c r="BZ158" s="2463" t="str">
        <f>IFERROR(INDEX(Liste_Ackerkulturen_Gemüse_DropDown[Ackerkulturen],_xlfn.AGGREGATE(15,6,(ROW(Liste_Ackerkulturen_Gemüse_DropDown[Ackerkulturen])-1)/(--(SEARCH(CA$2,Liste_Ackerkulturen_Gemüse_DropDown[Ackerkulturen])&gt;0)),ROW()-2),1),"")</f>
        <v>Lollo</v>
      </c>
      <c r="CA158" s="2463"/>
      <c r="CB158" s="2463" t="str">
        <f>IFERROR(INDEX(Liste_Ackerkulturen_Gemüse_DropDown[Ackerkulturen],_xlfn.AGGREGATE(15,6,(ROW(Liste_Ackerkulturen_Gemüse_DropDown[Ackerkulturen])-1)/(--(SEARCH(CC$2,Liste_Ackerkulturen_Gemüse_DropDown[Ackerkulturen])&gt;0)),ROW()-2),1),"")</f>
        <v>Lollo</v>
      </c>
      <c r="CC158" s="2463"/>
      <c r="CD158" s="2464" t="str">
        <f>IFERROR(INDEX(Liste_Ackerkulturen_Gemüse_DropDown[Ackerkulturen],_xlfn.AGGREGATE(15,6,(ROW(Liste_Ackerkulturen_Gemüse_DropDown[Ackerkulturen])-1)/(--(SEARCH(CE$2,Liste_Ackerkulturen_Gemüse_DropDown[Ackerkulturen])&gt;0)),ROW()-2),1),"")</f>
        <v>Lollo</v>
      </c>
      <c r="CE158" s="2464"/>
      <c r="CF158" s="2464" t="str">
        <f>IFERROR(INDEX(Liste_Ackerkulturen_Gemüse_DropDown[Ackerkulturen],_xlfn.AGGREGATE(15,6,(ROW(Liste_Ackerkulturen_Gemüse_DropDown[Ackerkulturen])-1)/(--(SEARCH(CG$2,Liste_Ackerkulturen_Gemüse_DropDown[Ackerkulturen])&gt;0)),ROW()-2),1),"")</f>
        <v>Lollo</v>
      </c>
      <c r="CG158" s="2464"/>
      <c r="CH158" s="2464" t="str">
        <f>IFERROR(INDEX(Liste_Ackerkulturen_Gemüse_DropDown[Ackerkulturen],_xlfn.AGGREGATE(15,6,(ROW(Liste_Ackerkulturen_Gemüse_DropDown[Ackerkulturen])-1)/(--(SEARCH(CI$2,Liste_Ackerkulturen_Gemüse_DropDown[Ackerkulturen])&gt;0)),ROW()-2),1),"")</f>
        <v>Lollo</v>
      </c>
      <c r="CI158" s="2464"/>
      <c r="CJ158" s="2464" t="str">
        <f>IFERROR(INDEX(Liste_Ackerkulturen_Gemüse_DropDown[Ackerkulturen],_xlfn.AGGREGATE(15,6,(ROW(Liste_Ackerkulturen_Gemüse_DropDown[Ackerkulturen])-1)/(--(SEARCH(CK$2,Liste_Ackerkulturen_Gemüse_DropDown[Ackerkulturen])&gt;0)),ROW()-2),1),"")</f>
        <v>Lollo</v>
      </c>
      <c r="CK158" s="2464"/>
      <c r="CL158" s="2464" t="str">
        <f>IFERROR(INDEX(Liste_Ackerkulturen_Gemüse_DropDown[Ackerkulturen],_xlfn.AGGREGATE(15,6,(ROW(Liste_Ackerkulturen_Gemüse_DropDown[Ackerkulturen])-1)/(--(SEARCH(CM$2,Liste_Ackerkulturen_Gemüse_DropDown[Ackerkulturen])&gt;0)),ROW()-2),1),"")</f>
        <v>Lollo</v>
      </c>
      <c r="CM158" s="2464"/>
      <c r="CN158" s="2464" t="str">
        <f>IFERROR(INDEX(Liste_Ackerkulturen_Gemüse_DropDown[Ackerkulturen],_xlfn.AGGREGATE(15,6,(ROW(Liste_Ackerkulturen_Gemüse_DropDown[Ackerkulturen])-1)/(--(SEARCH(CO$2,Liste_Ackerkulturen_Gemüse_DropDown[Ackerkulturen])&gt;0)),ROW()-2),1),"")</f>
        <v>Lollo</v>
      </c>
      <c r="CO158" s="2464"/>
      <c r="CP158" s="2464" t="str">
        <f>IFERROR(INDEX(Liste_Ackerkulturen_Gemüse_DropDown[Ackerkulturen],_xlfn.AGGREGATE(15,6,(ROW(Liste_Ackerkulturen_Gemüse_DropDown[Ackerkulturen])-1)/(--(SEARCH(CQ$2,Liste_Ackerkulturen_Gemüse_DropDown[Ackerkulturen])&gt;0)),ROW()-2),1),"")</f>
        <v>Lollo</v>
      </c>
      <c r="CQ158" s="2464"/>
      <c r="CR158" s="2464" t="str">
        <f>IFERROR(INDEX(Liste_Ackerkulturen_Gemüse_DropDown[Ackerkulturen],_xlfn.AGGREGATE(15,6,(ROW(Liste_Ackerkulturen_Gemüse_DropDown[Ackerkulturen])-1)/(--(SEARCH(CS$2,Liste_Ackerkulturen_Gemüse_DropDown[Ackerkulturen])&gt;0)),ROW()-2),1),"")</f>
        <v>Lollo</v>
      </c>
      <c r="CS158" s="2464"/>
    </row>
    <row r="159" spans="3:97" ht="21" customHeight="1">
      <c r="C159" s="1575" t="s">
        <v>72</v>
      </c>
      <c r="D159" s="1576"/>
      <c r="E159" s="1594" t="s">
        <v>1967</v>
      </c>
      <c r="F159" s="1568">
        <v>80</v>
      </c>
      <c r="G159" s="1568"/>
      <c r="H159" s="1716" t="s">
        <v>1968</v>
      </c>
      <c r="I159" s="1718">
        <v>110</v>
      </c>
      <c r="J159" s="1188" t="s">
        <v>1972</v>
      </c>
      <c r="K159" s="1568">
        <v>130</v>
      </c>
      <c r="L159" s="1188" t="s">
        <v>1973</v>
      </c>
      <c r="M159" s="1568">
        <v>140</v>
      </c>
      <c r="N159" s="1188" t="s">
        <v>1974</v>
      </c>
      <c r="O159" s="1568">
        <v>150</v>
      </c>
      <c r="P159" s="1527">
        <v>100</v>
      </c>
      <c r="Q159" s="1591">
        <v>110</v>
      </c>
      <c r="R159" s="1569">
        <v>85</v>
      </c>
      <c r="S159" s="1570">
        <v>70</v>
      </c>
      <c r="T159" s="1568">
        <v>50</v>
      </c>
      <c r="U159" s="1718">
        <v>55</v>
      </c>
      <c r="V159" s="1568">
        <v>65</v>
      </c>
      <c r="W159" s="1188" t="s">
        <v>1954</v>
      </c>
      <c r="X159" s="1592" t="s">
        <v>1955</v>
      </c>
      <c r="Y159" s="1569">
        <v>120</v>
      </c>
      <c r="Z159" s="1570">
        <v>100</v>
      </c>
      <c r="AA159" s="1568">
        <v>70</v>
      </c>
      <c r="AB159" s="1718">
        <v>80</v>
      </c>
      <c r="AC159" s="1568">
        <v>90</v>
      </c>
      <c r="AD159" s="1188" t="s">
        <v>1956</v>
      </c>
      <c r="AE159" s="1592" t="s">
        <v>1955</v>
      </c>
      <c r="AF159" s="1279"/>
      <c r="AJ159"/>
      <c r="AK159"/>
      <c r="AL159" s="1542"/>
      <c r="AM159" s="2371" t="s">
        <v>221</v>
      </c>
      <c r="AN159" s="2352">
        <v>120</v>
      </c>
      <c r="AO159" s="2283" t="s">
        <v>66</v>
      </c>
      <c r="AP159" s="2352">
        <v>140</v>
      </c>
      <c r="AQ159" s="2283" t="s">
        <v>1058</v>
      </c>
      <c r="AR159" s="2352">
        <v>165</v>
      </c>
      <c r="AS159" s="2283" t="s">
        <v>55</v>
      </c>
      <c r="AT159" s="2348">
        <v>165</v>
      </c>
      <c r="AU159" s="2285" t="s">
        <v>55</v>
      </c>
      <c r="AV159" s="2348">
        <v>165</v>
      </c>
      <c r="AW159" s="2285" t="s">
        <v>55</v>
      </c>
      <c r="AX159" s="2345">
        <v>100</v>
      </c>
      <c r="AY159" s="2278" t="s">
        <v>1058</v>
      </c>
      <c r="AZ159" s="2350">
        <v>125</v>
      </c>
      <c r="BA159" s="2303" t="s">
        <v>2339</v>
      </c>
      <c r="BE159" s="2371" t="s">
        <v>221</v>
      </c>
      <c r="BF159" s="577">
        <v>25</v>
      </c>
      <c r="BG159" s="577">
        <v>30</v>
      </c>
      <c r="BH159" s="577">
        <v>40</v>
      </c>
      <c r="BJ159" s="2371" t="s">
        <v>221</v>
      </c>
      <c r="BK159" s="578">
        <v>110</v>
      </c>
      <c r="BL159" s="577">
        <v>140</v>
      </c>
      <c r="BM159" s="577">
        <v>175</v>
      </c>
      <c r="BP159" s="524"/>
      <c r="BQ159" s="524"/>
      <c r="BR159" s="524"/>
      <c r="BS159" s="2461" t="s">
        <v>223</v>
      </c>
      <c r="BT159" s="2463" t="str">
        <f>IFERROR(INDEX(Liste_Ackerkulturen_Gemüse_DropDown[Ackerkulturen],_xlfn.AGGREGATE(15,6,(ROW(Liste_Ackerkulturen_Gemüse_DropDown[Ackerkulturen])-1)/(--(SEARCH(BU$2,Liste_Ackerkulturen_Gemüse_DropDown[Ackerkulturen])&gt;0)),ROW()-2),1),"")</f>
        <v>Lollo (geschützt)</v>
      </c>
      <c r="BU159" s="2463"/>
      <c r="BV159" s="2463" t="str">
        <f>IFERROR(INDEX(Liste_Ackerkulturen_Gemüse_DropDown[Ackerkulturen],_xlfn.AGGREGATE(15,6,(ROW(Liste_Ackerkulturen_Gemüse_DropDown[Ackerkulturen])-1)/(--(SEARCH(BW$2,Liste_Ackerkulturen_Gemüse_DropDown[Ackerkulturen])&gt;0)),ROW()-2),1),"")</f>
        <v>Lollo (geschützt)</v>
      </c>
      <c r="BW159" s="2463"/>
      <c r="BX159" s="2463" t="str">
        <f>IFERROR(INDEX(Liste_Ackerkulturen_Gemüse_DropDown[Ackerkulturen],_xlfn.AGGREGATE(15,6,(ROW(Liste_Ackerkulturen_Gemüse_DropDown[Ackerkulturen])-1)/(--(SEARCH(BY$2,Liste_Ackerkulturen_Gemüse_DropDown[Ackerkulturen])&gt;0)),ROW()-2),1),"")</f>
        <v>Lollo (geschützt)</v>
      </c>
      <c r="BY159" s="2463"/>
      <c r="BZ159" s="2463" t="str">
        <f>IFERROR(INDEX(Liste_Ackerkulturen_Gemüse_DropDown[Ackerkulturen],_xlfn.AGGREGATE(15,6,(ROW(Liste_Ackerkulturen_Gemüse_DropDown[Ackerkulturen])-1)/(--(SEARCH(CA$2,Liste_Ackerkulturen_Gemüse_DropDown[Ackerkulturen])&gt;0)),ROW()-2),1),"")</f>
        <v>Lollo (geschützt)</v>
      </c>
      <c r="CA159" s="2463"/>
      <c r="CB159" s="2463" t="str">
        <f>IFERROR(INDEX(Liste_Ackerkulturen_Gemüse_DropDown[Ackerkulturen],_xlfn.AGGREGATE(15,6,(ROW(Liste_Ackerkulturen_Gemüse_DropDown[Ackerkulturen])-1)/(--(SEARCH(CC$2,Liste_Ackerkulturen_Gemüse_DropDown[Ackerkulturen])&gt;0)),ROW()-2),1),"")</f>
        <v>Lollo (geschützt)</v>
      </c>
      <c r="CC159" s="2463"/>
      <c r="CD159" s="2464" t="str">
        <f>IFERROR(INDEX(Liste_Ackerkulturen_Gemüse_DropDown[Ackerkulturen],_xlfn.AGGREGATE(15,6,(ROW(Liste_Ackerkulturen_Gemüse_DropDown[Ackerkulturen])-1)/(--(SEARCH(CE$2,Liste_Ackerkulturen_Gemüse_DropDown[Ackerkulturen])&gt;0)),ROW()-2),1),"")</f>
        <v>Lollo (geschützt)</v>
      </c>
      <c r="CE159" s="2464"/>
      <c r="CF159" s="2464" t="str">
        <f>IFERROR(INDEX(Liste_Ackerkulturen_Gemüse_DropDown[Ackerkulturen],_xlfn.AGGREGATE(15,6,(ROW(Liste_Ackerkulturen_Gemüse_DropDown[Ackerkulturen])-1)/(--(SEARCH(CG$2,Liste_Ackerkulturen_Gemüse_DropDown[Ackerkulturen])&gt;0)),ROW()-2),1),"")</f>
        <v>Lollo (geschützt)</v>
      </c>
      <c r="CG159" s="2464"/>
      <c r="CH159" s="2464" t="str">
        <f>IFERROR(INDEX(Liste_Ackerkulturen_Gemüse_DropDown[Ackerkulturen],_xlfn.AGGREGATE(15,6,(ROW(Liste_Ackerkulturen_Gemüse_DropDown[Ackerkulturen])-1)/(--(SEARCH(CI$2,Liste_Ackerkulturen_Gemüse_DropDown[Ackerkulturen])&gt;0)),ROW()-2),1),"")</f>
        <v>Lollo (geschützt)</v>
      </c>
      <c r="CI159" s="2464"/>
      <c r="CJ159" s="2464" t="str">
        <f>IFERROR(INDEX(Liste_Ackerkulturen_Gemüse_DropDown[Ackerkulturen],_xlfn.AGGREGATE(15,6,(ROW(Liste_Ackerkulturen_Gemüse_DropDown[Ackerkulturen])-1)/(--(SEARCH(CK$2,Liste_Ackerkulturen_Gemüse_DropDown[Ackerkulturen])&gt;0)),ROW()-2),1),"")</f>
        <v>Lollo (geschützt)</v>
      </c>
      <c r="CK159" s="2464"/>
      <c r="CL159" s="2464" t="str">
        <f>IFERROR(INDEX(Liste_Ackerkulturen_Gemüse_DropDown[Ackerkulturen],_xlfn.AGGREGATE(15,6,(ROW(Liste_Ackerkulturen_Gemüse_DropDown[Ackerkulturen])-1)/(--(SEARCH(CM$2,Liste_Ackerkulturen_Gemüse_DropDown[Ackerkulturen])&gt;0)),ROW()-2),1),"")</f>
        <v>Lollo (geschützt)</v>
      </c>
      <c r="CM159" s="2464"/>
      <c r="CN159" s="2464" t="str">
        <f>IFERROR(INDEX(Liste_Ackerkulturen_Gemüse_DropDown[Ackerkulturen],_xlfn.AGGREGATE(15,6,(ROW(Liste_Ackerkulturen_Gemüse_DropDown[Ackerkulturen])-1)/(--(SEARCH(CO$2,Liste_Ackerkulturen_Gemüse_DropDown[Ackerkulturen])&gt;0)),ROW()-2),1),"")</f>
        <v>Lollo (geschützt)</v>
      </c>
      <c r="CO159" s="2464"/>
      <c r="CP159" s="2464" t="str">
        <f>IFERROR(INDEX(Liste_Ackerkulturen_Gemüse_DropDown[Ackerkulturen],_xlfn.AGGREGATE(15,6,(ROW(Liste_Ackerkulturen_Gemüse_DropDown[Ackerkulturen])-1)/(--(SEARCH(CQ$2,Liste_Ackerkulturen_Gemüse_DropDown[Ackerkulturen])&gt;0)),ROW()-2),1),"")</f>
        <v>Lollo (geschützt)</v>
      </c>
      <c r="CQ159" s="2464"/>
      <c r="CR159" s="2464" t="str">
        <f>IFERROR(INDEX(Liste_Ackerkulturen_Gemüse_DropDown[Ackerkulturen],_xlfn.AGGREGATE(15,6,(ROW(Liste_Ackerkulturen_Gemüse_DropDown[Ackerkulturen])-1)/(--(SEARCH(CS$2,Liste_Ackerkulturen_Gemüse_DropDown[Ackerkulturen])&gt;0)),ROW()-2),1),"")</f>
        <v>Lollo (geschützt)</v>
      </c>
      <c r="CS159" s="2464"/>
    </row>
    <row r="160" spans="3:97" ht="21" customHeight="1">
      <c r="C160" s="1575" t="s">
        <v>73</v>
      </c>
      <c r="D160" s="1576"/>
      <c r="E160" s="1594" t="s">
        <v>74</v>
      </c>
      <c r="F160" s="1568">
        <v>60</v>
      </c>
      <c r="G160" s="1568"/>
      <c r="H160" s="1716" t="s">
        <v>75</v>
      </c>
      <c r="I160" s="1718">
        <v>80</v>
      </c>
      <c r="J160" s="1188" t="s">
        <v>76</v>
      </c>
      <c r="K160" s="1568">
        <v>120</v>
      </c>
      <c r="L160" s="1188"/>
      <c r="M160" s="1568">
        <v>120</v>
      </c>
      <c r="N160" s="1188"/>
      <c r="O160" s="1568">
        <v>120</v>
      </c>
      <c r="P160" s="1527">
        <v>70</v>
      </c>
      <c r="Q160" s="1591">
        <v>70</v>
      </c>
      <c r="R160" s="1569">
        <v>85</v>
      </c>
      <c r="S160" s="1570">
        <v>70</v>
      </c>
      <c r="T160" s="1568">
        <v>50</v>
      </c>
      <c r="U160" s="1718">
        <v>55</v>
      </c>
      <c r="V160" s="1568">
        <v>65</v>
      </c>
      <c r="W160" s="1188" t="s">
        <v>1954</v>
      </c>
      <c r="X160" s="1592" t="s">
        <v>1955</v>
      </c>
      <c r="Y160" s="1569">
        <v>205</v>
      </c>
      <c r="Z160" s="1570">
        <v>170</v>
      </c>
      <c r="AA160" s="1568">
        <v>120</v>
      </c>
      <c r="AB160" s="1718">
        <v>135</v>
      </c>
      <c r="AC160" s="1568">
        <v>155</v>
      </c>
      <c r="AD160" s="1188" t="s">
        <v>1956</v>
      </c>
      <c r="AE160" s="1592" t="s">
        <v>1955</v>
      </c>
      <c r="AF160" s="1279"/>
      <c r="AJ160"/>
      <c r="AK160"/>
      <c r="AL160" s="1542"/>
      <c r="AM160" s="2371" t="s">
        <v>222</v>
      </c>
      <c r="AN160" s="2352">
        <v>120</v>
      </c>
      <c r="AO160" s="2283" t="s">
        <v>66</v>
      </c>
      <c r="AP160" s="2352">
        <v>140</v>
      </c>
      <c r="AQ160" s="2283" t="s">
        <v>1058</v>
      </c>
      <c r="AR160" s="2352">
        <v>165</v>
      </c>
      <c r="AS160" s="2283" t="s">
        <v>55</v>
      </c>
      <c r="AT160" s="2348">
        <v>165</v>
      </c>
      <c r="AU160" s="2285" t="s">
        <v>55</v>
      </c>
      <c r="AV160" s="2348">
        <v>165</v>
      </c>
      <c r="AW160" s="2285" t="s">
        <v>55</v>
      </c>
      <c r="AX160" s="2345">
        <v>100</v>
      </c>
      <c r="AY160" s="2278" t="s">
        <v>1058</v>
      </c>
      <c r="AZ160" s="2350">
        <v>125</v>
      </c>
      <c r="BA160" s="2303" t="s">
        <v>2339</v>
      </c>
      <c r="BE160" s="2371" t="s">
        <v>222</v>
      </c>
      <c r="BF160" s="577">
        <v>25</v>
      </c>
      <c r="BG160" s="577">
        <v>30</v>
      </c>
      <c r="BH160" s="577">
        <v>40</v>
      </c>
      <c r="BJ160" s="2371" t="s">
        <v>222</v>
      </c>
      <c r="BK160" s="578">
        <v>110</v>
      </c>
      <c r="BL160" s="577">
        <v>140</v>
      </c>
      <c r="BM160" s="577">
        <v>175</v>
      </c>
      <c r="BP160" s="524"/>
      <c r="BQ160" s="524"/>
      <c r="BR160" s="524"/>
      <c r="BS160" s="2461" t="s">
        <v>225</v>
      </c>
      <c r="BT160" s="2463" t="str">
        <f>IFERROR(INDEX(Liste_Ackerkulturen_Gemüse_DropDown[Ackerkulturen],_xlfn.AGGREGATE(15,6,(ROW(Liste_Ackerkulturen_Gemüse_DropDown[Ackerkulturen])-1)/(--(SEARCH(BU$2,Liste_Ackerkulturen_Gemüse_DropDown[Ackerkulturen])&gt;0)),ROW()-2),1),"")</f>
        <v>Lollo (Vlies)</v>
      </c>
      <c r="BU160" s="2463"/>
      <c r="BV160" s="2463" t="str">
        <f>IFERROR(INDEX(Liste_Ackerkulturen_Gemüse_DropDown[Ackerkulturen],_xlfn.AGGREGATE(15,6,(ROW(Liste_Ackerkulturen_Gemüse_DropDown[Ackerkulturen])-1)/(--(SEARCH(BW$2,Liste_Ackerkulturen_Gemüse_DropDown[Ackerkulturen])&gt;0)),ROW()-2),1),"")</f>
        <v>Lollo (Vlies)</v>
      </c>
      <c r="BW160" s="2463"/>
      <c r="BX160" s="2463" t="str">
        <f>IFERROR(INDEX(Liste_Ackerkulturen_Gemüse_DropDown[Ackerkulturen],_xlfn.AGGREGATE(15,6,(ROW(Liste_Ackerkulturen_Gemüse_DropDown[Ackerkulturen])-1)/(--(SEARCH(BY$2,Liste_Ackerkulturen_Gemüse_DropDown[Ackerkulturen])&gt;0)),ROW()-2),1),"")</f>
        <v>Lollo (Vlies)</v>
      </c>
      <c r="BY160" s="2463"/>
      <c r="BZ160" s="2463" t="str">
        <f>IFERROR(INDEX(Liste_Ackerkulturen_Gemüse_DropDown[Ackerkulturen],_xlfn.AGGREGATE(15,6,(ROW(Liste_Ackerkulturen_Gemüse_DropDown[Ackerkulturen])-1)/(--(SEARCH(CA$2,Liste_Ackerkulturen_Gemüse_DropDown[Ackerkulturen])&gt;0)),ROW()-2),1),"")</f>
        <v>Lollo (Vlies)</v>
      </c>
      <c r="CA160" s="2463"/>
      <c r="CB160" s="2463" t="str">
        <f>IFERROR(INDEX(Liste_Ackerkulturen_Gemüse_DropDown[Ackerkulturen],_xlfn.AGGREGATE(15,6,(ROW(Liste_Ackerkulturen_Gemüse_DropDown[Ackerkulturen])-1)/(--(SEARCH(CC$2,Liste_Ackerkulturen_Gemüse_DropDown[Ackerkulturen])&gt;0)),ROW()-2),1),"")</f>
        <v>Lollo (Vlies)</v>
      </c>
      <c r="CC160" s="2463"/>
      <c r="CD160" s="2464" t="str">
        <f>IFERROR(INDEX(Liste_Ackerkulturen_Gemüse_DropDown[Ackerkulturen],_xlfn.AGGREGATE(15,6,(ROW(Liste_Ackerkulturen_Gemüse_DropDown[Ackerkulturen])-1)/(--(SEARCH(CE$2,Liste_Ackerkulturen_Gemüse_DropDown[Ackerkulturen])&gt;0)),ROW()-2),1),"")</f>
        <v>Lollo (Vlies)</v>
      </c>
      <c r="CE160" s="2464"/>
      <c r="CF160" s="2464" t="str">
        <f>IFERROR(INDEX(Liste_Ackerkulturen_Gemüse_DropDown[Ackerkulturen],_xlfn.AGGREGATE(15,6,(ROW(Liste_Ackerkulturen_Gemüse_DropDown[Ackerkulturen])-1)/(--(SEARCH(CG$2,Liste_Ackerkulturen_Gemüse_DropDown[Ackerkulturen])&gt;0)),ROW()-2),1),"")</f>
        <v>Lollo (Vlies)</v>
      </c>
      <c r="CG160" s="2464"/>
      <c r="CH160" s="2464" t="str">
        <f>IFERROR(INDEX(Liste_Ackerkulturen_Gemüse_DropDown[Ackerkulturen],_xlfn.AGGREGATE(15,6,(ROW(Liste_Ackerkulturen_Gemüse_DropDown[Ackerkulturen])-1)/(--(SEARCH(CI$2,Liste_Ackerkulturen_Gemüse_DropDown[Ackerkulturen])&gt;0)),ROW()-2),1),"")</f>
        <v>Lollo (Vlies)</v>
      </c>
      <c r="CI160" s="2464"/>
      <c r="CJ160" s="2464" t="str">
        <f>IFERROR(INDEX(Liste_Ackerkulturen_Gemüse_DropDown[Ackerkulturen],_xlfn.AGGREGATE(15,6,(ROW(Liste_Ackerkulturen_Gemüse_DropDown[Ackerkulturen])-1)/(--(SEARCH(CK$2,Liste_Ackerkulturen_Gemüse_DropDown[Ackerkulturen])&gt;0)),ROW()-2),1),"")</f>
        <v>Lollo (Vlies)</v>
      </c>
      <c r="CK160" s="2464"/>
      <c r="CL160" s="2464" t="str">
        <f>IFERROR(INDEX(Liste_Ackerkulturen_Gemüse_DropDown[Ackerkulturen],_xlfn.AGGREGATE(15,6,(ROW(Liste_Ackerkulturen_Gemüse_DropDown[Ackerkulturen])-1)/(--(SEARCH(CM$2,Liste_Ackerkulturen_Gemüse_DropDown[Ackerkulturen])&gt;0)),ROW()-2),1),"")</f>
        <v>Lollo (Vlies)</v>
      </c>
      <c r="CM160" s="2464"/>
      <c r="CN160" s="2464" t="str">
        <f>IFERROR(INDEX(Liste_Ackerkulturen_Gemüse_DropDown[Ackerkulturen],_xlfn.AGGREGATE(15,6,(ROW(Liste_Ackerkulturen_Gemüse_DropDown[Ackerkulturen])-1)/(--(SEARCH(CO$2,Liste_Ackerkulturen_Gemüse_DropDown[Ackerkulturen])&gt;0)),ROW()-2),1),"")</f>
        <v>Lollo (Vlies)</v>
      </c>
      <c r="CO160" s="2464"/>
      <c r="CP160" s="2464" t="str">
        <f>IFERROR(INDEX(Liste_Ackerkulturen_Gemüse_DropDown[Ackerkulturen],_xlfn.AGGREGATE(15,6,(ROW(Liste_Ackerkulturen_Gemüse_DropDown[Ackerkulturen])-1)/(--(SEARCH(CQ$2,Liste_Ackerkulturen_Gemüse_DropDown[Ackerkulturen])&gt;0)),ROW()-2),1),"")</f>
        <v>Lollo (Vlies)</v>
      </c>
      <c r="CQ160" s="2464"/>
      <c r="CR160" s="2464" t="str">
        <f>IFERROR(INDEX(Liste_Ackerkulturen_Gemüse_DropDown[Ackerkulturen],_xlfn.AGGREGATE(15,6,(ROW(Liste_Ackerkulturen_Gemüse_DropDown[Ackerkulturen])-1)/(--(SEARCH(CS$2,Liste_Ackerkulturen_Gemüse_DropDown[Ackerkulturen])&gt;0)),ROW()-2),1),"")</f>
        <v>Lollo (Vlies)</v>
      </c>
      <c r="CS160" s="2464"/>
    </row>
    <row r="161" spans="1:117" ht="21" customHeight="1">
      <c r="C161" s="1575" t="s">
        <v>77</v>
      </c>
      <c r="D161" s="1576"/>
      <c r="E161" s="1594" t="s">
        <v>1201</v>
      </c>
      <c r="F161" s="1568">
        <v>45</v>
      </c>
      <c r="G161" s="1568"/>
      <c r="H161" s="1716" t="s">
        <v>1201</v>
      </c>
      <c r="I161" s="1718">
        <v>45</v>
      </c>
      <c r="J161" s="1188" t="s">
        <v>1201</v>
      </c>
      <c r="K161" s="1568">
        <v>45</v>
      </c>
      <c r="L161" s="1188" t="s">
        <v>1201</v>
      </c>
      <c r="M161" s="1568">
        <v>45</v>
      </c>
      <c r="N161" s="1188" t="s">
        <v>1201</v>
      </c>
      <c r="O161" s="1568">
        <v>45</v>
      </c>
      <c r="P161" s="1527">
        <v>45</v>
      </c>
      <c r="Q161" s="1591">
        <v>45</v>
      </c>
      <c r="R161" s="1569">
        <v>25</v>
      </c>
      <c r="S161" s="1570">
        <v>20</v>
      </c>
      <c r="T161" s="1568">
        <v>15</v>
      </c>
      <c r="U161" s="1718">
        <v>15</v>
      </c>
      <c r="V161" s="1568">
        <v>15</v>
      </c>
      <c r="W161" s="1188" t="s">
        <v>1954</v>
      </c>
      <c r="X161" s="1592" t="s">
        <v>1955</v>
      </c>
      <c r="Y161" s="1569">
        <v>90</v>
      </c>
      <c r="Z161" s="1570">
        <v>75</v>
      </c>
      <c r="AA161" s="1568">
        <v>55</v>
      </c>
      <c r="AB161" s="1718">
        <v>60</v>
      </c>
      <c r="AC161" s="1568">
        <v>70</v>
      </c>
      <c r="AD161" s="1188" t="s">
        <v>1956</v>
      </c>
      <c r="AE161" s="1592" t="s">
        <v>1955</v>
      </c>
      <c r="AF161" s="1279"/>
      <c r="AJ161"/>
      <c r="AK161"/>
      <c r="AL161" s="1542"/>
      <c r="AM161" s="2371" t="s">
        <v>223</v>
      </c>
      <c r="AN161" s="2352">
        <v>140</v>
      </c>
      <c r="AO161" s="2283" t="s">
        <v>139</v>
      </c>
      <c r="AP161" s="2352">
        <v>160</v>
      </c>
      <c r="AQ161" s="2283" t="s">
        <v>54</v>
      </c>
      <c r="AR161" s="2352">
        <v>185</v>
      </c>
      <c r="AS161" s="2283" t="s">
        <v>224</v>
      </c>
      <c r="AT161" s="2348">
        <v>185</v>
      </c>
      <c r="AU161" s="2285" t="s">
        <v>224</v>
      </c>
      <c r="AV161" s="2348">
        <v>185</v>
      </c>
      <c r="AW161" s="2285" t="s">
        <v>224</v>
      </c>
      <c r="AX161" s="2345">
        <v>100</v>
      </c>
      <c r="AY161" s="2278" t="s">
        <v>54</v>
      </c>
      <c r="AZ161" s="2350">
        <v>125</v>
      </c>
      <c r="BA161" s="2303" t="s">
        <v>2345</v>
      </c>
      <c r="BE161" s="2371" t="s">
        <v>223</v>
      </c>
      <c r="BF161" s="577">
        <v>25</v>
      </c>
      <c r="BG161" s="577">
        <v>30</v>
      </c>
      <c r="BH161" s="577">
        <v>40</v>
      </c>
      <c r="BJ161" s="2371" t="s">
        <v>223</v>
      </c>
      <c r="BK161" s="578">
        <v>110</v>
      </c>
      <c r="BL161" s="577">
        <v>140</v>
      </c>
      <c r="BM161" s="577">
        <v>175</v>
      </c>
      <c r="BP161" s="524"/>
      <c r="BQ161" s="524"/>
      <c r="BR161" s="524"/>
      <c r="BS161" s="2461" t="s">
        <v>226</v>
      </c>
      <c r="BT161" s="2463" t="str">
        <f>IFERROR(INDEX(Liste_Ackerkulturen_Gemüse_DropDown[Ackerkulturen],_xlfn.AGGREGATE(15,6,(ROW(Liste_Ackerkulturen_Gemüse_DropDown[Ackerkulturen])-1)/(--(SEARCH(BU$2,Liste_Ackerkulturen_Gemüse_DropDown[Ackerkulturen])&gt;0)),ROW()-2),1),"")</f>
        <v>Mangold</v>
      </c>
      <c r="BU161" s="2463"/>
      <c r="BV161" s="2463" t="str">
        <f>IFERROR(INDEX(Liste_Ackerkulturen_Gemüse_DropDown[Ackerkulturen],_xlfn.AGGREGATE(15,6,(ROW(Liste_Ackerkulturen_Gemüse_DropDown[Ackerkulturen])-1)/(--(SEARCH(BW$2,Liste_Ackerkulturen_Gemüse_DropDown[Ackerkulturen])&gt;0)),ROW()-2),1),"")</f>
        <v>Mangold</v>
      </c>
      <c r="BW161" s="2463"/>
      <c r="BX161" s="2463" t="str">
        <f>IFERROR(INDEX(Liste_Ackerkulturen_Gemüse_DropDown[Ackerkulturen],_xlfn.AGGREGATE(15,6,(ROW(Liste_Ackerkulturen_Gemüse_DropDown[Ackerkulturen])-1)/(--(SEARCH(BY$2,Liste_Ackerkulturen_Gemüse_DropDown[Ackerkulturen])&gt;0)),ROW()-2),1),"")</f>
        <v>Mangold</v>
      </c>
      <c r="BY161" s="2463"/>
      <c r="BZ161" s="2463" t="str">
        <f>IFERROR(INDEX(Liste_Ackerkulturen_Gemüse_DropDown[Ackerkulturen],_xlfn.AGGREGATE(15,6,(ROW(Liste_Ackerkulturen_Gemüse_DropDown[Ackerkulturen])-1)/(--(SEARCH(CA$2,Liste_Ackerkulturen_Gemüse_DropDown[Ackerkulturen])&gt;0)),ROW()-2),1),"")</f>
        <v>Mangold</v>
      </c>
      <c r="CA161" s="2463"/>
      <c r="CB161" s="2463" t="str">
        <f>IFERROR(INDEX(Liste_Ackerkulturen_Gemüse_DropDown[Ackerkulturen],_xlfn.AGGREGATE(15,6,(ROW(Liste_Ackerkulturen_Gemüse_DropDown[Ackerkulturen])-1)/(--(SEARCH(CC$2,Liste_Ackerkulturen_Gemüse_DropDown[Ackerkulturen])&gt;0)),ROW()-2),1),"")</f>
        <v>Mangold</v>
      </c>
      <c r="CC161" s="2463"/>
      <c r="CD161" s="2464" t="str">
        <f>IFERROR(INDEX(Liste_Ackerkulturen_Gemüse_DropDown[Ackerkulturen],_xlfn.AGGREGATE(15,6,(ROW(Liste_Ackerkulturen_Gemüse_DropDown[Ackerkulturen])-1)/(--(SEARCH(CE$2,Liste_Ackerkulturen_Gemüse_DropDown[Ackerkulturen])&gt;0)),ROW()-2),1),"")</f>
        <v>Mangold</v>
      </c>
      <c r="CE161" s="2464"/>
      <c r="CF161" s="2464" t="str">
        <f>IFERROR(INDEX(Liste_Ackerkulturen_Gemüse_DropDown[Ackerkulturen],_xlfn.AGGREGATE(15,6,(ROW(Liste_Ackerkulturen_Gemüse_DropDown[Ackerkulturen])-1)/(--(SEARCH(CG$2,Liste_Ackerkulturen_Gemüse_DropDown[Ackerkulturen])&gt;0)),ROW()-2),1),"")</f>
        <v>Mangold</v>
      </c>
      <c r="CG161" s="2464"/>
      <c r="CH161" s="2464" t="str">
        <f>IFERROR(INDEX(Liste_Ackerkulturen_Gemüse_DropDown[Ackerkulturen],_xlfn.AGGREGATE(15,6,(ROW(Liste_Ackerkulturen_Gemüse_DropDown[Ackerkulturen])-1)/(--(SEARCH(CI$2,Liste_Ackerkulturen_Gemüse_DropDown[Ackerkulturen])&gt;0)),ROW()-2),1),"")</f>
        <v>Mangold</v>
      </c>
      <c r="CI161" s="2464"/>
      <c r="CJ161" s="2464" t="str">
        <f>IFERROR(INDEX(Liste_Ackerkulturen_Gemüse_DropDown[Ackerkulturen],_xlfn.AGGREGATE(15,6,(ROW(Liste_Ackerkulturen_Gemüse_DropDown[Ackerkulturen])-1)/(--(SEARCH(CK$2,Liste_Ackerkulturen_Gemüse_DropDown[Ackerkulturen])&gt;0)),ROW()-2),1),"")</f>
        <v>Mangold</v>
      </c>
      <c r="CK161" s="2464"/>
      <c r="CL161" s="2464" t="str">
        <f>IFERROR(INDEX(Liste_Ackerkulturen_Gemüse_DropDown[Ackerkulturen],_xlfn.AGGREGATE(15,6,(ROW(Liste_Ackerkulturen_Gemüse_DropDown[Ackerkulturen])-1)/(--(SEARCH(CM$2,Liste_Ackerkulturen_Gemüse_DropDown[Ackerkulturen])&gt;0)),ROW()-2),1),"")</f>
        <v>Mangold</v>
      </c>
      <c r="CM161" s="2464"/>
      <c r="CN161" s="2464" t="str">
        <f>IFERROR(INDEX(Liste_Ackerkulturen_Gemüse_DropDown[Ackerkulturen],_xlfn.AGGREGATE(15,6,(ROW(Liste_Ackerkulturen_Gemüse_DropDown[Ackerkulturen])-1)/(--(SEARCH(CO$2,Liste_Ackerkulturen_Gemüse_DropDown[Ackerkulturen])&gt;0)),ROW()-2),1),"")</f>
        <v>Mangold</v>
      </c>
      <c r="CO161" s="2464"/>
      <c r="CP161" s="2464" t="str">
        <f>IFERROR(INDEX(Liste_Ackerkulturen_Gemüse_DropDown[Ackerkulturen],_xlfn.AGGREGATE(15,6,(ROW(Liste_Ackerkulturen_Gemüse_DropDown[Ackerkulturen])-1)/(--(SEARCH(CQ$2,Liste_Ackerkulturen_Gemüse_DropDown[Ackerkulturen])&gt;0)),ROW()-2),1),"")</f>
        <v>Mangold</v>
      </c>
      <c r="CQ161" s="2464"/>
      <c r="CR161" s="2464" t="str">
        <f>IFERROR(INDEX(Liste_Ackerkulturen_Gemüse_DropDown[Ackerkulturen],_xlfn.AGGREGATE(15,6,(ROW(Liste_Ackerkulturen_Gemüse_DropDown[Ackerkulturen])-1)/(--(SEARCH(CS$2,Liste_Ackerkulturen_Gemüse_DropDown[Ackerkulturen])&gt;0)),ROW()-2),1),"")</f>
        <v>Mangold</v>
      </c>
      <c r="CS161" s="2464"/>
    </row>
    <row r="162" spans="1:117" ht="21" customHeight="1">
      <c r="C162" s="1575" t="s">
        <v>78</v>
      </c>
      <c r="D162" s="1576"/>
      <c r="E162" s="1594" t="s">
        <v>57</v>
      </c>
      <c r="F162" s="1568">
        <v>60</v>
      </c>
      <c r="G162" s="1568"/>
      <c r="H162" s="1716" t="s">
        <v>79</v>
      </c>
      <c r="I162" s="1718">
        <v>80</v>
      </c>
      <c r="J162" s="1188" t="s">
        <v>80</v>
      </c>
      <c r="K162" s="1568">
        <v>100</v>
      </c>
      <c r="L162" s="1188" t="s">
        <v>81</v>
      </c>
      <c r="M162" s="1568">
        <v>100</v>
      </c>
      <c r="N162" s="1188" t="s">
        <v>82</v>
      </c>
      <c r="O162" s="1568">
        <v>100</v>
      </c>
      <c r="P162" s="1527">
        <v>100</v>
      </c>
      <c r="Q162" s="1591">
        <v>100</v>
      </c>
      <c r="R162" s="1569">
        <v>85</v>
      </c>
      <c r="S162" s="1570">
        <v>70</v>
      </c>
      <c r="T162" s="1568">
        <v>50</v>
      </c>
      <c r="U162" s="1718">
        <v>55</v>
      </c>
      <c r="V162" s="1568">
        <v>65</v>
      </c>
      <c r="W162" s="1188" t="s">
        <v>1954</v>
      </c>
      <c r="X162" s="1592" t="s">
        <v>1955</v>
      </c>
      <c r="Y162" s="1569">
        <v>75</v>
      </c>
      <c r="Z162" s="1570">
        <v>65</v>
      </c>
      <c r="AA162" s="1568">
        <v>45</v>
      </c>
      <c r="AB162" s="1718">
        <v>50</v>
      </c>
      <c r="AC162" s="1568">
        <v>60</v>
      </c>
      <c r="AD162" s="1188" t="s">
        <v>1956</v>
      </c>
      <c r="AE162" s="1592" t="s">
        <v>1955</v>
      </c>
      <c r="AF162" s="1279"/>
      <c r="AJ162"/>
      <c r="AK162"/>
      <c r="AL162" s="1542"/>
      <c r="AM162" s="2371" t="s">
        <v>225</v>
      </c>
      <c r="AN162" s="2352">
        <v>150</v>
      </c>
      <c r="AO162" s="2283" t="s">
        <v>462</v>
      </c>
      <c r="AP162" s="2352">
        <v>180</v>
      </c>
      <c r="AQ162" s="2283" t="s">
        <v>463</v>
      </c>
      <c r="AR162" s="2352">
        <v>215</v>
      </c>
      <c r="AS162" s="2283" t="s">
        <v>464</v>
      </c>
      <c r="AT162" s="2348">
        <v>215</v>
      </c>
      <c r="AU162" s="2285" t="s">
        <v>464</v>
      </c>
      <c r="AV162" s="2348">
        <v>215</v>
      </c>
      <c r="AW162" s="2285" t="s">
        <v>464</v>
      </c>
      <c r="AX162" s="2345">
        <v>140</v>
      </c>
      <c r="AY162" s="2278" t="s">
        <v>463</v>
      </c>
      <c r="AZ162" s="2350">
        <v>175</v>
      </c>
      <c r="BA162" s="2303" t="s">
        <v>2324</v>
      </c>
      <c r="BE162" s="2371" t="s">
        <v>225</v>
      </c>
      <c r="BF162" s="577">
        <v>30</v>
      </c>
      <c r="BG162" s="577">
        <v>40</v>
      </c>
      <c r="BH162" s="577">
        <v>50</v>
      </c>
      <c r="BJ162" s="2371" t="s">
        <v>225</v>
      </c>
      <c r="BK162" s="578">
        <v>145</v>
      </c>
      <c r="BL162" s="577">
        <v>180</v>
      </c>
      <c r="BM162" s="577">
        <v>225</v>
      </c>
      <c r="BP162" s="524"/>
      <c r="BQ162" s="524"/>
      <c r="BR162" s="524"/>
      <c r="BS162" s="2461" t="s">
        <v>228</v>
      </c>
      <c r="BT162" s="2463" t="str">
        <f>IFERROR(INDEX(Liste_Ackerkulturen_Gemüse_DropDown[Ackerkulturen],_xlfn.AGGREGATE(15,6,(ROW(Liste_Ackerkulturen_Gemüse_DropDown[Ackerkulturen])-1)/(--(SEARCH(BU$2,Liste_Ackerkulturen_Gemüse_DropDown[Ackerkulturen])&gt;0)),ROW()-2),1),"")</f>
        <v>Melanzani, Aubergine (Freiland)</v>
      </c>
      <c r="BU162" s="2463"/>
      <c r="BV162" s="2463" t="str">
        <f>IFERROR(INDEX(Liste_Ackerkulturen_Gemüse_DropDown[Ackerkulturen],_xlfn.AGGREGATE(15,6,(ROW(Liste_Ackerkulturen_Gemüse_DropDown[Ackerkulturen])-1)/(--(SEARCH(BW$2,Liste_Ackerkulturen_Gemüse_DropDown[Ackerkulturen])&gt;0)),ROW()-2),1),"")</f>
        <v>Melanzani, Aubergine (Freiland)</v>
      </c>
      <c r="BW162" s="2463"/>
      <c r="BX162" s="2463" t="str">
        <f>IFERROR(INDEX(Liste_Ackerkulturen_Gemüse_DropDown[Ackerkulturen],_xlfn.AGGREGATE(15,6,(ROW(Liste_Ackerkulturen_Gemüse_DropDown[Ackerkulturen])-1)/(--(SEARCH(BY$2,Liste_Ackerkulturen_Gemüse_DropDown[Ackerkulturen])&gt;0)),ROW()-2),1),"")</f>
        <v>Melanzani, Aubergine (Freiland)</v>
      </c>
      <c r="BY162" s="2463"/>
      <c r="BZ162" s="2463" t="str">
        <f>IFERROR(INDEX(Liste_Ackerkulturen_Gemüse_DropDown[Ackerkulturen],_xlfn.AGGREGATE(15,6,(ROW(Liste_Ackerkulturen_Gemüse_DropDown[Ackerkulturen])-1)/(--(SEARCH(CA$2,Liste_Ackerkulturen_Gemüse_DropDown[Ackerkulturen])&gt;0)),ROW()-2),1),"")</f>
        <v>Melanzani, Aubergine (Freiland)</v>
      </c>
      <c r="CA162" s="2463"/>
      <c r="CB162" s="2463" t="str">
        <f>IFERROR(INDEX(Liste_Ackerkulturen_Gemüse_DropDown[Ackerkulturen],_xlfn.AGGREGATE(15,6,(ROW(Liste_Ackerkulturen_Gemüse_DropDown[Ackerkulturen])-1)/(--(SEARCH(CC$2,Liste_Ackerkulturen_Gemüse_DropDown[Ackerkulturen])&gt;0)),ROW()-2),1),"")</f>
        <v>Melanzani, Aubergine (Freiland)</v>
      </c>
      <c r="CC162" s="2463"/>
      <c r="CD162" s="2464" t="str">
        <f>IFERROR(INDEX(Liste_Ackerkulturen_Gemüse_DropDown[Ackerkulturen],_xlfn.AGGREGATE(15,6,(ROW(Liste_Ackerkulturen_Gemüse_DropDown[Ackerkulturen])-1)/(--(SEARCH(CE$2,Liste_Ackerkulturen_Gemüse_DropDown[Ackerkulturen])&gt;0)),ROW()-2),1),"")</f>
        <v>Melanzani, Aubergine (Freiland)</v>
      </c>
      <c r="CE162" s="2464"/>
      <c r="CF162" s="2464" t="str">
        <f>IFERROR(INDEX(Liste_Ackerkulturen_Gemüse_DropDown[Ackerkulturen],_xlfn.AGGREGATE(15,6,(ROW(Liste_Ackerkulturen_Gemüse_DropDown[Ackerkulturen])-1)/(--(SEARCH(CG$2,Liste_Ackerkulturen_Gemüse_DropDown[Ackerkulturen])&gt;0)),ROW()-2),1),"")</f>
        <v>Melanzani, Aubergine (Freiland)</v>
      </c>
      <c r="CG162" s="2464"/>
      <c r="CH162" s="2464" t="str">
        <f>IFERROR(INDEX(Liste_Ackerkulturen_Gemüse_DropDown[Ackerkulturen],_xlfn.AGGREGATE(15,6,(ROW(Liste_Ackerkulturen_Gemüse_DropDown[Ackerkulturen])-1)/(--(SEARCH(CI$2,Liste_Ackerkulturen_Gemüse_DropDown[Ackerkulturen])&gt;0)),ROW()-2),1),"")</f>
        <v>Melanzani, Aubergine (Freiland)</v>
      </c>
      <c r="CI162" s="2464"/>
      <c r="CJ162" s="2464" t="str">
        <f>IFERROR(INDEX(Liste_Ackerkulturen_Gemüse_DropDown[Ackerkulturen],_xlfn.AGGREGATE(15,6,(ROW(Liste_Ackerkulturen_Gemüse_DropDown[Ackerkulturen])-1)/(--(SEARCH(CK$2,Liste_Ackerkulturen_Gemüse_DropDown[Ackerkulturen])&gt;0)),ROW()-2),1),"")</f>
        <v>Melanzani, Aubergine (Freiland)</v>
      </c>
      <c r="CK162" s="2464"/>
      <c r="CL162" s="2464" t="str">
        <f>IFERROR(INDEX(Liste_Ackerkulturen_Gemüse_DropDown[Ackerkulturen],_xlfn.AGGREGATE(15,6,(ROW(Liste_Ackerkulturen_Gemüse_DropDown[Ackerkulturen])-1)/(--(SEARCH(CM$2,Liste_Ackerkulturen_Gemüse_DropDown[Ackerkulturen])&gt;0)),ROW()-2),1),"")</f>
        <v>Melanzani, Aubergine (Freiland)</v>
      </c>
      <c r="CM162" s="2464"/>
      <c r="CN162" s="2464" t="str">
        <f>IFERROR(INDEX(Liste_Ackerkulturen_Gemüse_DropDown[Ackerkulturen],_xlfn.AGGREGATE(15,6,(ROW(Liste_Ackerkulturen_Gemüse_DropDown[Ackerkulturen])-1)/(--(SEARCH(CO$2,Liste_Ackerkulturen_Gemüse_DropDown[Ackerkulturen])&gt;0)),ROW()-2),1),"")</f>
        <v>Melanzani, Aubergine (Freiland)</v>
      </c>
      <c r="CO162" s="2464"/>
      <c r="CP162" s="2464" t="str">
        <f>IFERROR(INDEX(Liste_Ackerkulturen_Gemüse_DropDown[Ackerkulturen],_xlfn.AGGREGATE(15,6,(ROW(Liste_Ackerkulturen_Gemüse_DropDown[Ackerkulturen])-1)/(--(SEARCH(CQ$2,Liste_Ackerkulturen_Gemüse_DropDown[Ackerkulturen])&gt;0)),ROW()-2),1),"")</f>
        <v>Melanzani, Aubergine (Freiland)</v>
      </c>
      <c r="CQ162" s="2464"/>
      <c r="CR162" s="2464" t="str">
        <f>IFERROR(INDEX(Liste_Ackerkulturen_Gemüse_DropDown[Ackerkulturen],_xlfn.AGGREGATE(15,6,(ROW(Liste_Ackerkulturen_Gemüse_DropDown[Ackerkulturen])-1)/(--(SEARCH(CS$2,Liste_Ackerkulturen_Gemüse_DropDown[Ackerkulturen])&gt;0)),ROW()-2),1),"")</f>
        <v>Melanzani, Aubergine (Freiland)</v>
      </c>
      <c r="CS162" s="2464"/>
    </row>
    <row r="163" spans="1:117" ht="18" customHeight="1">
      <c r="A163" s="597"/>
      <c r="B163" s="597"/>
      <c r="C163" s="1575" t="s">
        <v>83</v>
      </c>
      <c r="D163" s="1576"/>
      <c r="E163" s="1594" t="s">
        <v>1957</v>
      </c>
      <c r="F163" s="1568">
        <v>60</v>
      </c>
      <c r="G163" s="1568"/>
      <c r="H163" s="1716" t="s">
        <v>84</v>
      </c>
      <c r="I163" s="1718">
        <v>60</v>
      </c>
      <c r="J163" s="1188" t="s">
        <v>85</v>
      </c>
      <c r="K163" s="1568">
        <v>60</v>
      </c>
      <c r="L163" s="1188" t="s">
        <v>86</v>
      </c>
      <c r="M163" s="1568">
        <v>60</v>
      </c>
      <c r="N163" s="1188" t="s">
        <v>1977</v>
      </c>
      <c r="O163" s="1568">
        <v>60</v>
      </c>
      <c r="P163" s="1527">
        <v>0</v>
      </c>
      <c r="Q163" s="1591">
        <v>0</v>
      </c>
      <c r="R163" s="1569">
        <v>85</v>
      </c>
      <c r="S163" s="1570">
        <v>70</v>
      </c>
      <c r="T163" s="1568">
        <v>50</v>
      </c>
      <c r="U163" s="1718">
        <v>55</v>
      </c>
      <c r="V163" s="1568">
        <v>65</v>
      </c>
      <c r="W163" s="1188" t="s">
        <v>1954</v>
      </c>
      <c r="X163" s="1592" t="s">
        <v>1955</v>
      </c>
      <c r="Y163" s="1569">
        <v>150</v>
      </c>
      <c r="Z163" s="1570">
        <v>125</v>
      </c>
      <c r="AA163" s="1568">
        <v>90</v>
      </c>
      <c r="AB163" s="1718">
        <v>100</v>
      </c>
      <c r="AC163" s="1568">
        <v>115</v>
      </c>
      <c r="AD163" s="1188" t="s">
        <v>1956</v>
      </c>
      <c r="AE163" s="1592" t="s">
        <v>1955</v>
      </c>
      <c r="AF163" s="1284"/>
      <c r="AG163" s="597"/>
      <c r="AH163" s="597"/>
      <c r="AI163" s="597"/>
      <c r="AJ163" s="597"/>
      <c r="AK163" s="597"/>
      <c r="AL163" s="597"/>
      <c r="AM163" s="2371" t="s">
        <v>226</v>
      </c>
      <c r="AN163" s="2352">
        <v>190</v>
      </c>
      <c r="AO163" s="2283" t="s">
        <v>465</v>
      </c>
      <c r="AP163" s="2352">
        <v>230</v>
      </c>
      <c r="AQ163" s="2283" t="s">
        <v>227</v>
      </c>
      <c r="AR163" s="2352">
        <v>280</v>
      </c>
      <c r="AS163" s="2283" t="s">
        <v>168</v>
      </c>
      <c r="AT163" s="2348">
        <v>280</v>
      </c>
      <c r="AU163" s="2285" t="s">
        <v>168</v>
      </c>
      <c r="AV163" s="2348">
        <v>280</v>
      </c>
      <c r="AW163" s="2285" t="s">
        <v>168</v>
      </c>
      <c r="AX163" s="2345">
        <v>300</v>
      </c>
      <c r="AY163" s="2278" t="s">
        <v>227</v>
      </c>
      <c r="AZ163" s="2350">
        <v>375</v>
      </c>
      <c r="BA163" s="2303" t="s">
        <v>2327</v>
      </c>
      <c r="BE163" s="2371" t="s">
        <v>226</v>
      </c>
      <c r="BF163" s="577">
        <v>25</v>
      </c>
      <c r="BG163" s="577">
        <v>30</v>
      </c>
      <c r="BH163" s="577">
        <v>40</v>
      </c>
      <c r="BJ163" s="2371" t="s">
        <v>226</v>
      </c>
      <c r="BK163" s="578">
        <v>160</v>
      </c>
      <c r="BL163" s="577">
        <v>200</v>
      </c>
      <c r="BM163" s="577">
        <v>250</v>
      </c>
      <c r="BP163" s="524"/>
      <c r="BQ163" s="524"/>
      <c r="BR163" s="524"/>
      <c r="BS163" s="2461" t="s">
        <v>231</v>
      </c>
      <c r="BT163" s="2463" t="str">
        <f>IFERROR(INDEX(Liste_Ackerkulturen_Gemüse_DropDown[Ackerkulturen],_xlfn.AGGREGATE(15,6,(ROW(Liste_Ackerkulturen_Gemüse_DropDown[Ackerkulturen])-1)/(--(SEARCH(BU$2,Liste_Ackerkulturen_Gemüse_DropDown[Ackerkulturen])&gt;0)),ROW()-2),1),"")</f>
        <v>Melanzani, Aubergine (geschützt)</v>
      </c>
      <c r="BU163" s="2463"/>
      <c r="BV163" s="2463" t="str">
        <f>IFERROR(INDEX(Liste_Ackerkulturen_Gemüse_DropDown[Ackerkulturen],_xlfn.AGGREGATE(15,6,(ROW(Liste_Ackerkulturen_Gemüse_DropDown[Ackerkulturen])-1)/(--(SEARCH(BW$2,Liste_Ackerkulturen_Gemüse_DropDown[Ackerkulturen])&gt;0)),ROW()-2),1),"")</f>
        <v>Melanzani, Aubergine (geschützt)</v>
      </c>
      <c r="BW163" s="2463"/>
      <c r="BX163" s="2463" t="str">
        <f>IFERROR(INDEX(Liste_Ackerkulturen_Gemüse_DropDown[Ackerkulturen],_xlfn.AGGREGATE(15,6,(ROW(Liste_Ackerkulturen_Gemüse_DropDown[Ackerkulturen])-1)/(--(SEARCH(BY$2,Liste_Ackerkulturen_Gemüse_DropDown[Ackerkulturen])&gt;0)),ROW()-2),1),"")</f>
        <v>Melanzani, Aubergine (geschützt)</v>
      </c>
      <c r="BY163" s="2463"/>
      <c r="BZ163" s="2463" t="str">
        <f>IFERROR(INDEX(Liste_Ackerkulturen_Gemüse_DropDown[Ackerkulturen],_xlfn.AGGREGATE(15,6,(ROW(Liste_Ackerkulturen_Gemüse_DropDown[Ackerkulturen])-1)/(--(SEARCH(CA$2,Liste_Ackerkulturen_Gemüse_DropDown[Ackerkulturen])&gt;0)),ROW()-2),1),"")</f>
        <v>Melanzani, Aubergine (geschützt)</v>
      </c>
      <c r="CA163" s="2463"/>
      <c r="CB163" s="2463" t="str">
        <f>IFERROR(INDEX(Liste_Ackerkulturen_Gemüse_DropDown[Ackerkulturen],_xlfn.AGGREGATE(15,6,(ROW(Liste_Ackerkulturen_Gemüse_DropDown[Ackerkulturen])-1)/(--(SEARCH(CC$2,Liste_Ackerkulturen_Gemüse_DropDown[Ackerkulturen])&gt;0)),ROW()-2),1),"")</f>
        <v>Melanzani, Aubergine (geschützt)</v>
      </c>
      <c r="CC163" s="2463"/>
      <c r="CD163" s="2464" t="str">
        <f>IFERROR(INDEX(Liste_Ackerkulturen_Gemüse_DropDown[Ackerkulturen],_xlfn.AGGREGATE(15,6,(ROW(Liste_Ackerkulturen_Gemüse_DropDown[Ackerkulturen])-1)/(--(SEARCH(CE$2,Liste_Ackerkulturen_Gemüse_DropDown[Ackerkulturen])&gt;0)),ROW()-2),1),"")</f>
        <v>Melanzani, Aubergine (geschützt)</v>
      </c>
      <c r="CE163" s="2464"/>
      <c r="CF163" s="2464" t="str">
        <f>IFERROR(INDEX(Liste_Ackerkulturen_Gemüse_DropDown[Ackerkulturen],_xlfn.AGGREGATE(15,6,(ROW(Liste_Ackerkulturen_Gemüse_DropDown[Ackerkulturen])-1)/(--(SEARCH(CG$2,Liste_Ackerkulturen_Gemüse_DropDown[Ackerkulturen])&gt;0)),ROW()-2),1),"")</f>
        <v>Melanzani, Aubergine (geschützt)</v>
      </c>
      <c r="CG163" s="2464"/>
      <c r="CH163" s="2464" t="str">
        <f>IFERROR(INDEX(Liste_Ackerkulturen_Gemüse_DropDown[Ackerkulturen],_xlfn.AGGREGATE(15,6,(ROW(Liste_Ackerkulturen_Gemüse_DropDown[Ackerkulturen])-1)/(--(SEARCH(CI$2,Liste_Ackerkulturen_Gemüse_DropDown[Ackerkulturen])&gt;0)),ROW()-2),1),"")</f>
        <v>Melanzani, Aubergine (geschützt)</v>
      </c>
      <c r="CI163" s="2464"/>
      <c r="CJ163" s="2464" t="str">
        <f>IFERROR(INDEX(Liste_Ackerkulturen_Gemüse_DropDown[Ackerkulturen],_xlfn.AGGREGATE(15,6,(ROW(Liste_Ackerkulturen_Gemüse_DropDown[Ackerkulturen])-1)/(--(SEARCH(CK$2,Liste_Ackerkulturen_Gemüse_DropDown[Ackerkulturen])&gt;0)),ROW()-2),1),"")</f>
        <v>Melanzani, Aubergine (geschützt)</v>
      </c>
      <c r="CK163" s="2464"/>
      <c r="CL163" s="2464" t="str">
        <f>IFERROR(INDEX(Liste_Ackerkulturen_Gemüse_DropDown[Ackerkulturen],_xlfn.AGGREGATE(15,6,(ROW(Liste_Ackerkulturen_Gemüse_DropDown[Ackerkulturen])-1)/(--(SEARCH(CM$2,Liste_Ackerkulturen_Gemüse_DropDown[Ackerkulturen])&gt;0)),ROW()-2),1),"")</f>
        <v>Melanzani, Aubergine (geschützt)</v>
      </c>
      <c r="CM163" s="2464"/>
      <c r="CN163" s="2464" t="str">
        <f>IFERROR(INDEX(Liste_Ackerkulturen_Gemüse_DropDown[Ackerkulturen],_xlfn.AGGREGATE(15,6,(ROW(Liste_Ackerkulturen_Gemüse_DropDown[Ackerkulturen])-1)/(--(SEARCH(CO$2,Liste_Ackerkulturen_Gemüse_DropDown[Ackerkulturen])&gt;0)),ROW()-2),1),"")</f>
        <v>Melanzani, Aubergine (geschützt)</v>
      </c>
      <c r="CO163" s="2464"/>
      <c r="CP163" s="2464" t="str">
        <f>IFERROR(INDEX(Liste_Ackerkulturen_Gemüse_DropDown[Ackerkulturen],_xlfn.AGGREGATE(15,6,(ROW(Liste_Ackerkulturen_Gemüse_DropDown[Ackerkulturen])-1)/(--(SEARCH(CQ$2,Liste_Ackerkulturen_Gemüse_DropDown[Ackerkulturen])&gt;0)),ROW()-2),1),"")</f>
        <v>Melanzani, Aubergine (geschützt)</v>
      </c>
      <c r="CQ163" s="2464"/>
      <c r="CR163" s="2464" t="str">
        <f>IFERROR(INDEX(Liste_Ackerkulturen_Gemüse_DropDown[Ackerkulturen],_xlfn.AGGREGATE(15,6,(ROW(Liste_Ackerkulturen_Gemüse_DropDown[Ackerkulturen])-1)/(--(SEARCH(CS$2,Liste_Ackerkulturen_Gemüse_DropDown[Ackerkulturen])&gt;0)),ROW()-2),1),"")</f>
        <v>Melanzani, Aubergine (geschützt)</v>
      </c>
      <c r="CS163" s="2464"/>
    </row>
    <row r="164" spans="1:117" ht="21.75" customHeight="1">
      <c r="C164" s="1575" t="s">
        <v>87</v>
      </c>
      <c r="D164" s="1576"/>
      <c r="E164" s="1594" t="s">
        <v>57</v>
      </c>
      <c r="F164" s="1568">
        <v>75</v>
      </c>
      <c r="G164" s="1568"/>
      <c r="H164" s="1716" t="s">
        <v>88</v>
      </c>
      <c r="I164" s="1718">
        <v>100</v>
      </c>
      <c r="J164" s="1188" t="s">
        <v>89</v>
      </c>
      <c r="K164" s="1568">
        <v>115</v>
      </c>
      <c r="L164" s="1188" t="s">
        <v>90</v>
      </c>
      <c r="M164" s="1568">
        <v>125</v>
      </c>
      <c r="N164" s="1188" t="s">
        <v>1961</v>
      </c>
      <c r="O164" s="1568">
        <v>135</v>
      </c>
      <c r="P164" s="1527">
        <v>80</v>
      </c>
      <c r="Q164" s="1591">
        <v>80</v>
      </c>
      <c r="R164" s="1569">
        <v>85</v>
      </c>
      <c r="S164" s="1570">
        <v>70</v>
      </c>
      <c r="T164" s="1568">
        <v>50</v>
      </c>
      <c r="U164" s="1718">
        <v>55</v>
      </c>
      <c r="V164" s="1568">
        <v>65</v>
      </c>
      <c r="W164" s="1188" t="s">
        <v>1954</v>
      </c>
      <c r="X164" s="1592" t="s">
        <v>1955</v>
      </c>
      <c r="Y164" s="1569">
        <v>120</v>
      </c>
      <c r="Z164" s="1570">
        <v>100</v>
      </c>
      <c r="AA164" s="1568">
        <v>70</v>
      </c>
      <c r="AB164" s="1718">
        <v>80</v>
      </c>
      <c r="AC164" s="1568">
        <v>90</v>
      </c>
      <c r="AD164" s="1188" t="s">
        <v>1956</v>
      </c>
      <c r="AE164" s="1592" t="s">
        <v>1955</v>
      </c>
      <c r="AF164" s="1279"/>
      <c r="AJ164"/>
      <c r="AK164"/>
      <c r="AL164" s="1542"/>
      <c r="AM164" s="2371" t="s">
        <v>228</v>
      </c>
      <c r="AN164" s="2352">
        <v>210</v>
      </c>
      <c r="AO164" s="2283" t="s">
        <v>229</v>
      </c>
      <c r="AP164" s="2352">
        <v>250</v>
      </c>
      <c r="AQ164" s="2283" t="s">
        <v>230</v>
      </c>
      <c r="AR164" s="2352">
        <v>300</v>
      </c>
      <c r="AS164" s="2283" t="s">
        <v>457</v>
      </c>
      <c r="AT164" s="2348">
        <v>300</v>
      </c>
      <c r="AU164" s="2285" t="s">
        <v>457</v>
      </c>
      <c r="AV164" s="2348">
        <v>300</v>
      </c>
      <c r="AW164" s="2285" t="s">
        <v>457</v>
      </c>
      <c r="AX164" s="2345">
        <v>300</v>
      </c>
      <c r="AY164" s="2278" t="s">
        <v>230</v>
      </c>
      <c r="AZ164" s="2350">
        <v>375</v>
      </c>
      <c r="BA164" s="2303" t="s">
        <v>2346</v>
      </c>
      <c r="BE164" s="2371" t="s">
        <v>228</v>
      </c>
      <c r="BF164" s="577">
        <v>40</v>
      </c>
      <c r="BG164" s="577">
        <v>50</v>
      </c>
      <c r="BH164" s="577">
        <v>65</v>
      </c>
      <c r="BJ164" s="2371" t="s">
        <v>228</v>
      </c>
      <c r="BK164" s="578">
        <v>190</v>
      </c>
      <c r="BL164" s="577">
        <v>240</v>
      </c>
      <c r="BM164" s="577">
        <v>300</v>
      </c>
      <c r="BP164" s="524"/>
      <c r="BQ164" s="524"/>
      <c r="BR164" s="524"/>
      <c r="BS164" s="2461" t="s">
        <v>232</v>
      </c>
      <c r="BT164" s="2463" t="str">
        <f>IFERROR(INDEX(Liste_Ackerkulturen_Gemüse_DropDown[Ackerkulturen],_xlfn.AGGREGATE(15,6,(ROW(Liste_Ackerkulturen_Gemüse_DropDown[Ackerkulturen])-1)/(--(SEARCH(BU$2,Liste_Ackerkulturen_Gemüse_DropDown[Ackerkulturen])&gt;0)),ROW()-2),1),"")</f>
        <v>Melone</v>
      </c>
      <c r="BU164" s="2463"/>
      <c r="BV164" s="2463" t="str">
        <f>IFERROR(INDEX(Liste_Ackerkulturen_Gemüse_DropDown[Ackerkulturen],_xlfn.AGGREGATE(15,6,(ROW(Liste_Ackerkulturen_Gemüse_DropDown[Ackerkulturen])-1)/(--(SEARCH(BW$2,Liste_Ackerkulturen_Gemüse_DropDown[Ackerkulturen])&gt;0)),ROW()-2),1),"")</f>
        <v>Melone</v>
      </c>
      <c r="BW164" s="2463"/>
      <c r="BX164" s="2463" t="str">
        <f>IFERROR(INDEX(Liste_Ackerkulturen_Gemüse_DropDown[Ackerkulturen],_xlfn.AGGREGATE(15,6,(ROW(Liste_Ackerkulturen_Gemüse_DropDown[Ackerkulturen])-1)/(--(SEARCH(BY$2,Liste_Ackerkulturen_Gemüse_DropDown[Ackerkulturen])&gt;0)),ROW()-2),1),"")</f>
        <v>Melone</v>
      </c>
      <c r="BY164" s="2463"/>
      <c r="BZ164" s="2463" t="str">
        <f>IFERROR(INDEX(Liste_Ackerkulturen_Gemüse_DropDown[Ackerkulturen],_xlfn.AGGREGATE(15,6,(ROW(Liste_Ackerkulturen_Gemüse_DropDown[Ackerkulturen])-1)/(--(SEARCH(CA$2,Liste_Ackerkulturen_Gemüse_DropDown[Ackerkulturen])&gt;0)),ROW()-2),1),"")</f>
        <v>Melone</v>
      </c>
      <c r="CA164" s="2463"/>
      <c r="CB164" s="2463" t="str">
        <f>IFERROR(INDEX(Liste_Ackerkulturen_Gemüse_DropDown[Ackerkulturen],_xlfn.AGGREGATE(15,6,(ROW(Liste_Ackerkulturen_Gemüse_DropDown[Ackerkulturen])-1)/(--(SEARCH(CC$2,Liste_Ackerkulturen_Gemüse_DropDown[Ackerkulturen])&gt;0)),ROW()-2),1),"")</f>
        <v>Melone</v>
      </c>
      <c r="CC164" s="2463"/>
      <c r="CD164" s="2464" t="str">
        <f>IFERROR(INDEX(Liste_Ackerkulturen_Gemüse_DropDown[Ackerkulturen],_xlfn.AGGREGATE(15,6,(ROW(Liste_Ackerkulturen_Gemüse_DropDown[Ackerkulturen])-1)/(--(SEARCH(CE$2,Liste_Ackerkulturen_Gemüse_DropDown[Ackerkulturen])&gt;0)),ROW()-2),1),"")</f>
        <v>Melone</v>
      </c>
      <c r="CE164" s="2464"/>
      <c r="CF164" s="2464" t="str">
        <f>IFERROR(INDEX(Liste_Ackerkulturen_Gemüse_DropDown[Ackerkulturen],_xlfn.AGGREGATE(15,6,(ROW(Liste_Ackerkulturen_Gemüse_DropDown[Ackerkulturen])-1)/(--(SEARCH(CG$2,Liste_Ackerkulturen_Gemüse_DropDown[Ackerkulturen])&gt;0)),ROW()-2),1),"")</f>
        <v>Melone</v>
      </c>
      <c r="CG164" s="2464"/>
      <c r="CH164" s="2464" t="str">
        <f>IFERROR(INDEX(Liste_Ackerkulturen_Gemüse_DropDown[Ackerkulturen],_xlfn.AGGREGATE(15,6,(ROW(Liste_Ackerkulturen_Gemüse_DropDown[Ackerkulturen])-1)/(--(SEARCH(CI$2,Liste_Ackerkulturen_Gemüse_DropDown[Ackerkulturen])&gt;0)),ROW()-2),1),"")</f>
        <v>Melone</v>
      </c>
      <c r="CI164" s="2464"/>
      <c r="CJ164" s="2464" t="str">
        <f>IFERROR(INDEX(Liste_Ackerkulturen_Gemüse_DropDown[Ackerkulturen],_xlfn.AGGREGATE(15,6,(ROW(Liste_Ackerkulturen_Gemüse_DropDown[Ackerkulturen])-1)/(--(SEARCH(CK$2,Liste_Ackerkulturen_Gemüse_DropDown[Ackerkulturen])&gt;0)),ROW()-2),1),"")</f>
        <v>Melone</v>
      </c>
      <c r="CK164" s="2464"/>
      <c r="CL164" s="2464" t="str">
        <f>IFERROR(INDEX(Liste_Ackerkulturen_Gemüse_DropDown[Ackerkulturen],_xlfn.AGGREGATE(15,6,(ROW(Liste_Ackerkulturen_Gemüse_DropDown[Ackerkulturen])-1)/(--(SEARCH(CM$2,Liste_Ackerkulturen_Gemüse_DropDown[Ackerkulturen])&gt;0)),ROW()-2),1),"")</f>
        <v>Melone</v>
      </c>
      <c r="CM164" s="2464"/>
      <c r="CN164" s="2464" t="str">
        <f>IFERROR(INDEX(Liste_Ackerkulturen_Gemüse_DropDown[Ackerkulturen],_xlfn.AGGREGATE(15,6,(ROW(Liste_Ackerkulturen_Gemüse_DropDown[Ackerkulturen])-1)/(--(SEARCH(CO$2,Liste_Ackerkulturen_Gemüse_DropDown[Ackerkulturen])&gt;0)),ROW()-2),1),"")</f>
        <v>Melone</v>
      </c>
      <c r="CO164" s="2464"/>
      <c r="CP164" s="2464" t="str">
        <f>IFERROR(INDEX(Liste_Ackerkulturen_Gemüse_DropDown[Ackerkulturen],_xlfn.AGGREGATE(15,6,(ROW(Liste_Ackerkulturen_Gemüse_DropDown[Ackerkulturen])-1)/(--(SEARCH(CQ$2,Liste_Ackerkulturen_Gemüse_DropDown[Ackerkulturen])&gt;0)),ROW()-2),1),"")</f>
        <v>Melone</v>
      </c>
      <c r="CQ164" s="2464"/>
      <c r="CR164" s="2464" t="str">
        <f>IFERROR(INDEX(Liste_Ackerkulturen_Gemüse_DropDown[Ackerkulturen],_xlfn.AGGREGATE(15,6,(ROW(Liste_Ackerkulturen_Gemüse_DropDown[Ackerkulturen])-1)/(--(SEARCH(CS$2,Liste_Ackerkulturen_Gemüse_DropDown[Ackerkulturen])&gt;0)),ROW()-2),1),"")</f>
        <v>Melone</v>
      </c>
      <c r="CS164" s="2464"/>
    </row>
    <row r="165" spans="1:117" ht="18" customHeight="1">
      <c r="C165" s="1575" t="s">
        <v>91</v>
      </c>
      <c r="D165" s="1576"/>
      <c r="E165" s="1594" t="s">
        <v>57</v>
      </c>
      <c r="F165" s="1568">
        <v>60</v>
      </c>
      <c r="G165" s="1568"/>
      <c r="H165" s="1716" t="s">
        <v>88</v>
      </c>
      <c r="I165" s="1718">
        <v>60</v>
      </c>
      <c r="J165" s="1188" t="s">
        <v>89</v>
      </c>
      <c r="K165" s="1568">
        <v>60</v>
      </c>
      <c r="L165" s="1188" t="s">
        <v>90</v>
      </c>
      <c r="M165" s="1568">
        <v>60</v>
      </c>
      <c r="N165" s="1188" t="s">
        <v>1961</v>
      </c>
      <c r="O165" s="1568">
        <v>60</v>
      </c>
      <c r="P165" s="1527">
        <v>0</v>
      </c>
      <c r="Q165" s="1591">
        <v>0</v>
      </c>
      <c r="R165" s="1569">
        <v>100</v>
      </c>
      <c r="S165" s="1570">
        <v>80</v>
      </c>
      <c r="T165" s="1568">
        <v>60</v>
      </c>
      <c r="U165" s="1718">
        <v>65</v>
      </c>
      <c r="V165" s="1568">
        <v>75</v>
      </c>
      <c r="W165" s="1188" t="s">
        <v>1954</v>
      </c>
      <c r="X165" s="1592" t="s">
        <v>1955</v>
      </c>
      <c r="Y165" s="1569">
        <v>75</v>
      </c>
      <c r="Z165" s="1570">
        <v>65</v>
      </c>
      <c r="AA165" s="1568">
        <v>45</v>
      </c>
      <c r="AB165" s="1718">
        <v>50</v>
      </c>
      <c r="AC165" s="1568">
        <v>60</v>
      </c>
      <c r="AD165" s="1188" t="s">
        <v>1956</v>
      </c>
      <c r="AE165" s="1592" t="s">
        <v>1955</v>
      </c>
      <c r="AF165" s="1279"/>
      <c r="AJ165"/>
      <c r="AK165"/>
      <c r="AL165" s="1542"/>
      <c r="AM165" s="2371" t="s">
        <v>231</v>
      </c>
      <c r="AN165" s="2352">
        <v>155</v>
      </c>
      <c r="AO165" s="2283" t="s">
        <v>462</v>
      </c>
      <c r="AP165" s="2352">
        <v>185</v>
      </c>
      <c r="AQ165" s="2283" t="s">
        <v>1057</v>
      </c>
      <c r="AR165" s="2352">
        <v>220</v>
      </c>
      <c r="AS165" s="2283" t="s">
        <v>224</v>
      </c>
      <c r="AT165" s="2348">
        <v>220</v>
      </c>
      <c r="AU165" s="2285" t="s">
        <v>224</v>
      </c>
      <c r="AV165" s="2348">
        <v>220</v>
      </c>
      <c r="AW165" s="2285" t="s">
        <v>224</v>
      </c>
      <c r="AX165" s="2345">
        <v>145</v>
      </c>
      <c r="AY165" s="2278" t="s">
        <v>1057</v>
      </c>
      <c r="AZ165" s="2350">
        <v>181</v>
      </c>
      <c r="BA165" s="2303" t="s">
        <v>2345</v>
      </c>
      <c r="BE165" s="2371" t="s">
        <v>231</v>
      </c>
      <c r="BF165" s="577">
        <v>40</v>
      </c>
      <c r="BG165" s="577">
        <v>50</v>
      </c>
      <c r="BH165" s="577">
        <v>65</v>
      </c>
      <c r="BJ165" s="2371" t="s">
        <v>231</v>
      </c>
      <c r="BK165" s="578">
        <v>170</v>
      </c>
      <c r="BL165" s="577">
        <v>210</v>
      </c>
      <c r="BM165" s="577">
        <v>265</v>
      </c>
      <c r="BP165" s="524"/>
      <c r="BQ165" s="524"/>
      <c r="BR165" s="524"/>
      <c r="BS165" s="2461" t="s">
        <v>234</v>
      </c>
      <c r="BT165" s="2463" t="str">
        <f>IFERROR(INDEX(Liste_Ackerkulturen_Gemüse_DropDown[Ackerkulturen],_xlfn.AGGREGATE(15,6,(ROW(Liste_Ackerkulturen_Gemüse_DropDown[Ackerkulturen])-1)/(--(SEARCH(BU$2,Liste_Ackerkulturen_Gemüse_DropDown[Ackerkulturen])&gt;0)),ROW()-2),1),"")</f>
        <v>Paprika</v>
      </c>
      <c r="BU165" s="2463"/>
      <c r="BV165" s="2463" t="str">
        <f>IFERROR(INDEX(Liste_Ackerkulturen_Gemüse_DropDown[Ackerkulturen],_xlfn.AGGREGATE(15,6,(ROW(Liste_Ackerkulturen_Gemüse_DropDown[Ackerkulturen])-1)/(--(SEARCH(BW$2,Liste_Ackerkulturen_Gemüse_DropDown[Ackerkulturen])&gt;0)),ROW()-2),1),"")</f>
        <v>Paprika</v>
      </c>
      <c r="BW165" s="2463"/>
      <c r="BX165" s="2463" t="str">
        <f>IFERROR(INDEX(Liste_Ackerkulturen_Gemüse_DropDown[Ackerkulturen],_xlfn.AGGREGATE(15,6,(ROW(Liste_Ackerkulturen_Gemüse_DropDown[Ackerkulturen])-1)/(--(SEARCH(BY$2,Liste_Ackerkulturen_Gemüse_DropDown[Ackerkulturen])&gt;0)),ROW()-2),1),"")</f>
        <v>Paprika</v>
      </c>
      <c r="BY165" s="2463"/>
      <c r="BZ165" s="2463" t="str">
        <f>IFERROR(INDEX(Liste_Ackerkulturen_Gemüse_DropDown[Ackerkulturen],_xlfn.AGGREGATE(15,6,(ROW(Liste_Ackerkulturen_Gemüse_DropDown[Ackerkulturen])-1)/(--(SEARCH(CA$2,Liste_Ackerkulturen_Gemüse_DropDown[Ackerkulturen])&gt;0)),ROW()-2),1),"")</f>
        <v>Paprika</v>
      </c>
      <c r="CA165" s="2463"/>
      <c r="CB165" s="2463" t="str">
        <f>IFERROR(INDEX(Liste_Ackerkulturen_Gemüse_DropDown[Ackerkulturen],_xlfn.AGGREGATE(15,6,(ROW(Liste_Ackerkulturen_Gemüse_DropDown[Ackerkulturen])-1)/(--(SEARCH(CC$2,Liste_Ackerkulturen_Gemüse_DropDown[Ackerkulturen])&gt;0)),ROW()-2),1),"")</f>
        <v>Paprika</v>
      </c>
      <c r="CC165" s="2463"/>
      <c r="CD165" s="2464" t="str">
        <f>IFERROR(INDEX(Liste_Ackerkulturen_Gemüse_DropDown[Ackerkulturen],_xlfn.AGGREGATE(15,6,(ROW(Liste_Ackerkulturen_Gemüse_DropDown[Ackerkulturen])-1)/(--(SEARCH(CE$2,Liste_Ackerkulturen_Gemüse_DropDown[Ackerkulturen])&gt;0)),ROW()-2),1),"")</f>
        <v>Paprika</v>
      </c>
      <c r="CE165" s="2464"/>
      <c r="CF165" s="2464" t="str">
        <f>IFERROR(INDEX(Liste_Ackerkulturen_Gemüse_DropDown[Ackerkulturen],_xlfn.AGGREGATE(15,6,(ROW(Liste_Ackerkulturen_Gemüse_DropDown[Ackerkulturen])-1)/(--(SEARCH(CG$2,Liste_Ackerkulturen_Gemüse_DropDown[Ackerkulturen])&gt;0)),ROW()-2),1),"")</f>
        <v>Paprika</v>
      </c>
      <c r="CG165" s="2464"/>
      <c r="CH165" s="2464" t="str">
        <f>IFERROR(INDEX(Liste_Ackerkulturen_Gemüse_DropDown[Ackerkulturen],_xlfn.AGGREGATE(15,6,(ROW(Liste_Ackerkulturen_Gemüse_DropDown[Ackerkulturen])-1)/(--(SEARCH(CI$2,Liste_Ackerkulturen_Gemüse_DropDown[Ackerkulturen])&gt;0)),ROW()-2),1),"")</f>
        <v>Paprika</v>
      </c>
      <c r="CI165" s="2464"/>
      <c r="CJ165" s="2464" t="str">
        <f>IFERROR(INDEX(Liste_Ackerkulturen_Gemüse_DropDown[Ackerkulturen],_xlfn.AGGREGATE(15,6,(ROW(Liste_Ackerkulturen_Gemüse_DropDown[Ackerkulturen])-1)/(--(SEARCH(CK$2,Liste_Ackerkulturen_Gemüse_DropDown[Ackerkulturen])&gt;0)),ROW()-2),1),"")</f>
        <v>Paprika</v>
      </c>
      <c r="CK165" s="2464"/>
      <c r="CL165" s="2464" t="str">
        <f>IFERROR(INDEX(Liste_Ackerkulturen_Gemüse_DropDown[Ackerkulturen],_xlfn.AGGREGATE(15,6,(ROW(Liste_Ackerkulturen_Gemüse_DropDown[Ackerkulturen])-1)/(--(SEARCH(CM$2,Liste_Ackerkulturen_Gemüse_DropDown[Ackerkulturen])&gt;0)),ROW()-2),1),"")</f>
        <v>Paprika</v>
      </c>
      <c r="CM165" s="2464"/>
      <c r="CN165" s="2464" t="str">
        <f>IFERROR(INDEX(Liste_Ackerkulturen_Gemüse_DropDown[Ackerkulturen],_xlfn.AGGREGATE(15,6,(ROW(Liste_Ackerkulturen_Gemüse_DropDown[Ackerkulturen])-1)/(--(SEARCH(CO$2,Liste_Ackerkulturen_Gemüse_DropDown[Ackerkulturen])&gt;0)),ROW()-2),1),"")</f>
        <v>Paprika</v>
      </c>
      <c r="CO165" s="2464"/>
      <c r="CP165" s="2464" t="str">
        <f>IFERROR(INDEX(Liste_Ackerkulturen_Gemüse_DropDown[Ackerkulturen],_xlfn.AGGREGATE(15,6,(ROW(Liste_Ackerkulturen_Gemüse_DropDown[Ackerkulturen])-1)/(--(SEARCH(CQ$2,Liste_Ackerkulturen_Gemüse_DropDown[Ackerkulturen])&gt;0)),ROW()-2),1),"")</f>
        <v>Paprika</v>
      </c>
      <c r="CQ165" s="2464"/>
      <c r="CR165" s="2464" t="str">
        <f>IFERROR(INDEX(Liste_Ackerkulturen_Gemüse_DropDown[Ackerkulturen],_xlfn.AGGREGATE(15,6,(ROW(Liste_Ackerkulturen_Gemüse_DropDown[Ackerkulturen])-1)/(--(SEARCH(CS$2,Liste_Ackerkulturen_Gemüse_DropDown[Ackerkulturen])&gt;0)),ROW()-2),1),"")</f>
        <v>Paprika</v>
      </c>
      <c r="CS165" s="2464"/>
    </row>
    <row r="166" spans="1:117" ht="21.75" customHeight="1">
      <c r="C166" s="1575" t="s">
        <v>92</v>
      </c>
      <c r="D166" s="1576"/>
      <c r="E166" s="1594"/>
      <c r="F166" s="1568">
        <v>80</v>
      </c>
      <c r="G166" s="1568"/>
      <c r="H166" s="1716" t="s">
        <v>1201</v>
      </c>
      <c r="I166" s="1718">
        <v>100</v>
      </c>
      <c r="J166" s="1188" t="s">
        <v>1201</v>
      </c>
      <c r="K166" s="1568">
        <v>110</v>
      </c>
      <c r="L166" s="1188" t="s">
        <v>1201</v>
      </c>
      <c r="M166" s="1568">
        <v>120</v>
      </c>
      <c r="N166" s="1188" t="s">
        <v>1201</v>
      </c>
      <c r="O166" s="1568">
        <v>130</v>
      </c>
      <c r="P166" s="1527">
        <v>100</v>
      </c>
      <c r="Q166" s="1591">
        <v>100</v>
      </c>
      <c r="R166" s="1569">
        <v>115</v>
      </c>
      <c r="S166" s="1570">
        <v>95</v>
      </c>
      <c r="T166" s="1568">
        <v>75</v>
      </c>
      <c r="U166" s="1718">
        <v>85</v>
      </c>
      <c r="V166" s="1568">
        <v>100</v>
      </c>
      <c r="W166" s="1188" t="s">
        <v>1954</v>
      </c>
      <c r="X166" s="1592" t="s">
        <v>1201</v>
      </c>
      <c r="Y166" s="1569">
        <v>300</v>
      </c>
      <c r="Z166" s="1570">
        <v>250</v>
      </c>
      <c r="AA166" s="1568">
        <v>180</v>
      </c>
      <c r="AB166" s="1718">
        <v>200</v>
      </c>
      <c r="AC166" s="1568">
        <v>230</v>
      </c>
      <c r="AD166" s="1188" t="s">
        <v>1956</v>
      </c>
      <c r="AE166" s="1592" t="s">
        <v>1201</v>
      </c>
      <c r="AF166" s="1279"/>
      <c r="AJ166"/>
      <c r="AK166"/>
      <c r="AL166" s="1542"/>
      <c r="AM166" s="2371" t="s">
        <v>232</v>
      </c>
      <c r="AN166" s="2352">
        <v>240</v>
      </c>
      <c r="AO166" s="2283" t="s">
        <v>1983</v>
      </c>
      <c r="AP166" s="2352">
        <v>290</v>
      </c>
      <c r="AQ166" s="2283" t="s">
        <v>233</v>
      </c>
      <c r="AR166" s="2352">
        <v>355</v>
      </c>
      <c r="AS166" s="2283" t="s">
        <v>173</v>
      </c>
      <c r="AT166" s="2348">
        <v>355</v>
      </c>
      <c r="AU166" s="2285" t="s">
        <v>173</v>
      </c>
      <c r="AV166" s="2348">
        <v>355</v>
      </c>
      <c r="AW166" s="2285" t="s">
        <v>173</v>
      </c>
      <c r="AX166" s="2345">
        <v>250</v>
      </c>
      <c r="AY166" s="2278" t="s">
        <v>233</v>
      </c>
      <c r="AZ166" s="2350">
        <v>313</v>
      </c>
      <c r="BA166" s="2303" t="s">
        <v>2337</v>
      </c>
      <c r="BE166" s="2371" t="s">
        <v>232</v>
      </c>
      <c r="BF166" s="577">
        <v>40</v>
      </c>
      <c r="BG166" s="577">
        <v>50</v>
      </c>
      <c r="BH166" s="577">
        <v>65</v>
      </c>
      <c r="BJ166" s="2371" t="s">
        <v>232</v>
      </c>
      <c r="BK166" s="578">
        <v>175</v>
      </c>
      <c r="BL166" s="577">
        <v>220</v>
      </c>
      <c r="BM166" s="577">
        <v>275</v>
      </c>
      <c r="BP166" s="524"/>
      <c r="BQ166" s="524"/>
      <c r="BR166" s="524"/>
      <c r="BS166" s="2461" t="s">
        <v>235</v>
      </c>
      <c r="BT166" s="2463" t="str">
        <f>IFERROR(INDEX(Liste_Ackerkulturen_Gemüse_DropDown[Ackerkulturen],_xlfn.AGGREGATE(15,6,(ROW(Liste_Ackerkulturen_Gemüse_DropDown[Ackerkulturen])-1)/(--(SEARCH(BU$2,Liste_Ackerkulturen_Gemüse_DropDown[Ackerkulturen])&gt;0)),ROW()-2),1),"")</f>
        <v>Pastinak</v>
      </c>
      <c r="BU166" s="2463"/>
      <c r="BV166" s="2463" t="str">
        <f>IFERROR(INDEX(Liste_Ackerkulturen_Gemüse_DropDown[Ackerkulturen],_xlfn.AGGREGATE(15,6,(ROW(Liste_Ackerkulturen_Gemüse_DropDown[Ackerkulturen])-1)/(--(SEARCH(BW$2,Liste_Ackerkulturen_Gemüse_DropDown[Ackerkulturen])&gt;0)),ROW()-2),1),"")</f>
        <v>Pastinak</v>
      </c>
      <c r="BW166" s="2463"/>
      <c r="BX166" s="2463" t="str">
        <f>IFERROR(INDEX(Liste_Ackerkulturen_Gemüse_DropDown[Ackerkulturen],_xlfn.AGGREGATE(15,6,(ROW(Liste_Ackerkulturen_Gemüse_DropDown[Ackerkulturen])-1)/(--(SEARCH(BY$2,Liste_Ackerkulturen_Gemüse_DropDown[Ackerkulturen])&gt;0)),ROW()-2),1),"")</f>
        <v>Pastinak</v>
      </c>
      <c r="BY166" s="2463"/>
      <c r="BZ166" s="2463" t="str">
        <f>IFERROR(INDEX(Liste_Ackerkulturen_Gemüse_DropDown[Ackerkulturen],_xlfn.AGGREGATE(15,6,(ROW(Liste_Ackerkulturen_Gemüse_DropDown[Ackerkulturen])-1)/(--(SEARCH(CA$2,Liste_Ackerkulturen_Gemüse_DropDown[Ackerkulturen])&gt;0)),ROW()-2),1),"")</f>
        <v>Pastinak</v>
      </c>
      <c r="CA166" s="2463"/>
      <c r="CB166" s="2463" t="str">
        <f>IFERROR(INDEX(Liste_Ackerkulturen_Gemüse_DropDown[Ackerkulturen],_xlfn.AGGREGATE(15,6,(ROW(Liste_Ackerkulturen_Gemüse_DropDown[Ackerkulturen])-1)/(--(SEARCH(CC$2,Liste_Ackerkulturen_Gemüse_DropDown[Ackerkulturen])&gt;0)),ROW()-2),1),"")</f>
        <v>Pastinak</v>
      </c>
      <c r="CC166" s="2463"/>
      <c r="CD166" s="2464" t="str">
        <f>IFERROR(INDEX(Liste_Ackerkulturen_Gemüse_DropDown[Ackerkulturen],_xlfn.AGGREGATE(15,6,(ROW(Liste_Ackerkulturen_Gemüse_DropDown[Ackerkulturen])-1)/(--(SEARCH(CE$2,Liste_Ackerkulturen_Gemüse_DropDown[Ackerkulturen])&gt;0)),ROW()-2),1),"")</f>
        <v>Pastinak</v>
      </c>
      <c r="CE166" s="2464"/>
      <c r="CF166" s="2464" t="str">
        <f>IFERROR(INDEX(Liste_Ackerkulturen_Gemüse_DropDown[Ackerkulturen],_xlfn.AGGREGATE(15,6,(ROW(Liste_Ackerkulturen_Gemüse_DropDown[Ackerkulturen])-1)/(--(SEARCH(CG$2,Liste_Ackerkulturen_Gemüse_DropDown[Ackerkulturen])&gt;0)),ROW()-2),1),"")</f>
        <v>Pastinak</v>
      </c>
      <c r="CG166" s="2464"/>
      <c r="CH166" s="2464" t="str">
        <f>IFERROR(INDEX(Liste_Ackerkulturen_Gemüse_DropDown[Ackerkulturen],_xlfn.AGGREGATE(15,6,(ROW(Liste_Ackerkulturen_Gemüse_DropDown[Ackerkulturen])-1)/(--(SEARCH(CI$2,Liste_Ackerkulturen_Gemüse_DropDown[Ackerkulturen])&gt;0)),ROW()-2),1),"")</f>
        <v>Pastinak</v>
      </c>
      <c r="CI166" s="2464"/>
      <c r="CJ166" s="2464" t="str">
        <f>IFERROR(INDEX(Liste_Ackerkulturen_Gemüse_DropDown[Ackerkulturen],_xlfn.AGGREGATE(15,6,(ROW(Liste_Ackerkulturen_Gemüse_DropDown[Ackerkulturen])-1)/(--(SEARCH(CK$2,Liste_Ackerkulturen_Gemüse_DropDown[Ackerkulturen])&gt;0)),ROW()-2),1),"")</f>
        <v>Pastinak</v>
      </c>
      <c r="CK166" s="2464"/>
      <c r="CL166" s="2464" t="str">
        <f>IFERROR(INDEX(Liste_Ackerkulturen_Gemüse_DropDown[Ackerkulturen],_xlfn.AGGREGATE(15,6,(ROW(Liste_Ackerkulturen_Gemüse_DropDown[Ackerkulturen])-1)/(--(SEARCH(CM$2,Liste_Ackerkulturen_Gemüse_DropDown[Ackerkulturen])&gt;0)),ROW()-2),1),"")</f>
        <v>Pastinak</v>
      </c>
      <c r="CM166" s="2464"/>
      <c r="CN166" s="2464" t="str">
        <f>IFERROR(INDEX(Liste_Ackerkulturen_Gemüse_DropDown[Ackerkulturen],_xlfn.AGGREGATE(15,6,(ROW(Liste_Ackerkulturen_Gemüse_DropDown[Ackerkulturen])-1)/(--(SEARCH(CO$2,Liste_Ackerkulturen_Gemüse_DropDown[Ackerkulturen])&gt;0)),ROW()-2),1),"")</f>
        <v>Pastinak</v>
      </c>
      <c r="CO166" s="2464"/>
      <c r="CP166" s="2464" t="str">
        <f>IFERROR(INDEX(Liste_Ackerkulturen_Gemüse_DropDown[Ackerkulturen],_xlfn.AGGREGATE(15,6,(ROW(Liste_Ackerkulturen_Gemüse_DropDown[Ackerkulturen])-1)/(--(SEARCH(CQ$2,Liste_Ackerkulturen_Gemüse_DropDown[Ackerkulturen])&gt;0)),ROW()-2),1),"")</f>
        <v>Pastinak</v>
      </c>
      <c r="CQ166" s="2464"/>
      <c r="CR166" s="2464" t="str">
        <f>IFERROR(INDEX(Liste_Ackerkulturen_Gemüse_DropDown[Ackerkulturen],_xlfn.AGGREGATE(15,6,(ROW(Liste_Ackerkulturen_Gemüse_DropDown[Ackerkulturen])-1)/(--(SEARCH(CS$2,Liste_Ackerkulturen_Gemüse_DropDown[Ackerkulturen])&gt;0)),ROW()-2),1),"")</f>
        <v>Pastinak</v>
      </c>
      <c r="CS166" s="2464"/>
    </row>
    <row r="167" spans="1:117" ht="21.75" customHeight="1">
      <c r="C167" s="1575" t="s">
        <v>93</v>
      </c>
      <c r="D167" s="1576"/>
      <c r="E167" s="1594" t="s">
        <v>94</v>
      </c>
      <c r="F167" s="1568">
        <v>80</v>
      </c>
      <c r="G167" s="1568"/>
      <c r="H167" s="1716" t="s">
        <v>43</v>
      </c>
      <c r="I167" s="1718">
        <v>80</v>
      </c>
      <c r="J167" s="1188" t="s">
        <v>44</v>
      </c>
      <c r="K167" s="1568">
        <v>80</v>
      </c>
      <c r="L167" s="1188" t="s">
        <v>95</v>
      </c>
      <c r="M167" s="1568">
        <v>80</v>
      </c>
      <c r="N167" s="1188" t="s">
        <v>96</v>
      </c>
      <c r="O167" s="1568">
        <v>80</v>
      </c>
      <c r="P167" s="1527">
        <v>60</v>
      </c>
      <c r="Q167" s="1591">
        <v>60</v>
      </c>
      <c r="R167" s="1569">
        <v>85</v>
      </c>
      <c r="S167" s="1570">
        <v>70</v>
      </c>
      <c r="T167" s="1568">
        <v>50</v>
      </c>
      <c r="U167" s="1718">
        <v>55</v>
      </c>
      <c r="V167" s="1568">
        <v>65</v>
      </c>
      <c r="W167" s="1188" t="s">
        <v>1954</v>
      </c>
      <c r="X167" s="1592" t="s">
        <v>1955</v>
      </c>
      <c r="Y167" s="1569">
        <v>225</v>
      </c>
      <c r="Z167" s="1570">
        <v>190</v>
      </c>
      <c r="AA167" s="1568">
        <v>135</v>
      </c>
      <c r="AB167" s="1718">
        <v>150</v>
      </c>
      <c r="AC167" s="1568">
        <v>175</v>
      </c>
      <c r="AD167" s="1188" t="s">
        <v>1956</v>
      </c>
      <c r="AE167" s="1592" t="s">
        <v>1955</v>
      </c>
      <c r="AF167" s="1279"/>
      <c r="AJ167"/>
      <c r="AK167"/>
      <c r="AL167" s="1542"/>
      <c r="AM167" s="2371" t="s">
        <v>234</v>
      </c>
      <c r="AN167" s="2352">
        <v>145</v>
      </c>
      <c r="AO167" s="2283" t="s">
        <v>1983</v>
      </c>
      <c r="AP167" s="2352">
        <v>170</v>
      </c>
      <c r="AQ167" s="2283" t="s">
        <v>1984</v>
      </c>
      <c r="AR167" s="2352">
        <v>205</v>
      </c>
      <c r="AS167" s="2283" t="s">
        <v>168</v>
      </c>
      <c r="AT167" s="2348">
        <v>205</v>
      </c>
      <c r="AU167" s="2285" t="s">
        <v>168</v>
      </c>
      <c r="AV167" s="2348">
        <v>205</v>
      </c>
      <c r="AW167" s="2285" t="s">
        <v>168</v>
      </c>
      <c r="AX167" s="2345">
        <v>130</v>
      </c>
      <c r="AY167" s="2278" t="s">
        <v>1984</v>
      </c>
      <c r="AZ167" s="2350">
        <v>163</v>
      </c>
      <c r="BA167" s="2303" t="s">
        <v>2327</v>
      </c>
      <c r="BE167" s="2371" t="s">
        <v>234</v>
      </c>
      <c r="BF167" s="577">
        <v>25</v>
      </c>
      <c r="BG167" s="577">
        <v>30</v>
      </c>
      <c r="BH167" s="577">
        <v>40</v>
      </c>
      <c r="BJ167" s="2371" t="s">
        <v>234</v>
      </c>
      <c r="BK167" s="578">
        <v>150</v>
      </c>
      <c r="BL167" s="577">
        <v>190</v>
      </c>
      <c r="BM167" s="577">
        <v>240</v>
      </c>
      <c r="BP167" s="524"/>
      <c r="BQ167" s="524"/>
      <c r="BR167" s="524"/>
      <c r="BS167" s="2461" t="s">
        <v>236</v>
      </c>
      <c r="BT167" s="2463" t="str">
        <f>IFERROR(INDEX(Liste_Ackerkulturen_Gemüse_DropDown[Ackerkulturen],_xlfn.AGGREGATE(15,6,(ROW(Liste_Ackerkulturen_Gemüse_DropDown[Ackerkulturen])-1)/(--(SEARCH(BU$2,Liste_Ackerkulturen_Gemüse_DropDown[Ackerkulturen])&gt;0)),ROW()-2),1),"")</f>
        <v>Petersilie</v>
      </c>
      <c r="BU167" s="2463"/>
      <c r="BV167" s="2463" t="str">
        <f>IFERROR(INDEX(Liste_Ackerkulturen_Gemüse_DropDown[Ackerkulturen],_xlfn.AGGREGATE(15,6,(ROW(Liste_Ackerkulturen_Gemüse_DropDown[Ackerkulturen])-1)/(--(SEARCH(BW$2,Liste_Ackerkulturen_Gemüse_DropDown[Ackerkulturen])&gt;0)),ROW()-2),1),"")</f>
        <v>Petersilie</v>
      </c>
      <c r="BW167" s="2463"/>
      <c r="BX167" s="2463" t="str">
        <f>IFERROR(INDEX(Liste_Ackerkulturen_Gemüse_DropDown[Ackerkulturen],_xlfn.AGGREGATE(15,6,(ROW(Liste_Ackerkulturen_Gemüse_DropDown[Ackerkulturen])-1)/(--(SEARCH(BY$2,Liste_Ackerkulturen_Gemüse_DropDown[Ackerkulturen])&gt;0)),ROW()-2),1),"")</f>
        <v>Petersilie</v>
      </c>
      <c r="BY167" s="2463"/>
      <c r="BZ167" s="2463" t="str">
        <f>IFERROR(INDEX(Liste_Ackerkulturen_Gemüse_DropDown[Ackerkulturen],_xlfn.AGGREGATE(15,6,(ROW(Liste_Ackerkulturen_Gemüse_DropDown[Ackerkulturen])-1)/(--(SEARCH(CA$2,Liste_Ackerkulturen_Gemüse_DropDown[Ackerkulturen])&gt;0)),ROW()-2),1),"")</f>
        <v>Petersilie</v>
      </c>
      <c r="CA167" s="2463"/>
      <c r="CB167" s="2463" t="str">
        <f>IFERROR(INDEX(Liste_Ackerkulturen_Gemüse_DropDown[Ackerkulturen],_xlfn.AGGREGATE(15,6,(ROW(Liste_Ackerkulturen_Gemüse_DropDown[Ackerkulturen])-1)/(--(SEARCH(CC$2,Liste_Ackerkulturen_Gemüse_DropDown[Ackerkulturen])&gt;0)),ROW()-2),1),"")</f>
        <v>Petersilie</v>
      </c>
      <c r="CC167" s="2463"/>
      <c r="CD167" s="2464" t="str">
        <f>IFERROR(INDEX(Liste_Ackerkulturen_Gemüse_DropDown[Ackerkulturen],_xlfn.AGGREGATE(15,6,(ROW(Liste_Ackerkulturen_Gemüse_DropDown[Ackerkulturen])-1)/(--(SEARCH(CE$2,Liste_Ackerkulturen_Gemüse_DropDown[Ackerkulturen])&gt;0)),ROW()-2),1),"")</f>
        <v>Petersilie</v>
      </c>
      <c r="CE167" s="2464"/>
      <c r="CF167" s="2464" t="str">
        <f>IFERROR(INDEX(Liste_Ackerkulturen_Gemüse_DropDown[Ackerkulturen],_xlfn.AGGREGATE(15,6,(ROW(Liste_Ackerkulturen_Gemüse_DropDown[Ackerkulturen])-1)/(--(SEARCH(CG$2,Liste_Ackerkulturen_Gemüse_DropDown[Ackerkulturen])&gt;0)),ROW()-2),1),"")</f>
        <v>Petersilie</v>
      </c>
      <c r="CG167" s="2464"/>
      <c r="CH167" s="2464" t="str">
        <f>IFERROR(INDEX(Liste_Ackerkulturen_Gemüse_DropDown[Ackerkulturen],_xlfn.AGGREGATE(15,6,(ROW(Liste_Ackerkulturen_Gemüse_DropDown[Ackerkulturen])-1)/(--(SEARCH(CI$2,Liste_Ackerkulturen_Gemüse_DropDown[Ackerkulturen])&gt;0)),ROW()-2),1),"")</f>
        <v>Petersilie</v>
      </c>
      <c r="CI167" s="2464"/>
      <c r="CJ167" s="2464" t="str">
        <f>IFERROR(INDEX(Liste_Ackerkulturen_Gemüse_DropDown[Ackerkulturen],_xlfn.AGGREGATE(15,6,(ROW(Liste_Ackerkulturen_Gemüse_DropDown[Ackerkulturen])-1)/(--(SEARCH(CK$2,Liste_Ackerkulturen_Gemüse_DropDown[Ackerkulturen])&gt;0)),ROW()-2),1),"")</f>
        <v>Petersilie</v>
      </c>
      <c r="CK167" s="2464"/>
      <c r="CL167" s="2464" t="str">
        <f>IFERROR(INDEX(Liste_Ackerkulturen_Gemüse_DropDown[Ackerkulturen],_xlfn.AGGREGATE(15,6,(ROW(Liste_Ackerkulturen_Gemüse_DropDown[Ackerkulturen])-1)/(--(SEARCH(CM$2,Liste_Ackerkulturen_Gemüse_DropDown[Ackerkulturen])&gt;0)),ROW()-2),1),"")</f>
        <v>Petersilie</v>
      </c>
      <c r="CM167" s="2464"/>
      <c r="CN167" s="2464" t="str">
        <f>IFERROR(INDEX(Liste_Ackerkulturen_Gemüse_DropDown[Ackerkulturen],_xlfn.AGGREGATE(15,6,(ROW(Liste_Ackerkulturen_Gemüse_DropDown[Ackerkulturen])-1)/(--(SEARCH(CO$2,Liste_Ackerkulturen_Gemüse_DropDown[Ackerkulturen])&gt;0)),ROW()-2),1),"")</f>
        <v>Petersilie</v>
      </c>
      <c r="CO167" s="2464"/>
      <c r="CP167" s="2464" t="str">
        <f>IFERROR(INDEX(Liste_Ackerkulturen_Gemüse_DropDown[Ackerkulturen],_xlfn.AGGREGATE(15,6,(ROW(Liste_Ackerkulturen_Gemüse_DropDown[Ackerkulturen])-1)/(--(SEARCH(CQ$2,Liste_Ackerkulturen_Gemüse_DropDown[Ackerkulturen])&gt;0)),ROW()-2),1),"")</f>
        <v>Petersilie</v>
      </c>
      <c r="CQ167" s="2464"/>
      <c r="CR167" s="2464" t="str">
        <f>IFERROR(INDEX(Liste_Ackerkulturen_Gemüse_DropDown[Ackerkulturen],_xlfn.AGGREGATE(15,6,(ROW(Liste_Ackerkulturen_Gemüse_DropDown[Ackerkulturen])-1)/(--(SEARCH(CS$2,Liste_Ackerkulturen_Gemüse_DropDown[Ackerkulturen])&gt;0)),ROW()-2),1),"")</f>
        <v>Petersilie</v>
      </c>
      <c r="CS167" s="2464"/>
    </row>
    <row r="168" spans="1:117" s="470" customFormat="1" ht="21" customHeight="1">
      <c r="A168" s="465"/>
      <c r="B168" s="465"/>
      <c r="C168" s="1575" t="s">
        <v>97</v>
      </c>
      <c r="D168" s="1576"/>
      <c r="E168" s="1594" t="s">
        <v>94</v>
      </c>
      <c r="F168" s="1568">
        <v>50</v>
      </c>
      <c r="G168" s="1568"/>
      <c r="H168" s="1716" t="s">
        <v>43</v>
      </c>
      <c r="I168" s="1718">
        <v>50</v>
      </c>
      <c r="J168" s="1188" t="s">
        <v>44</v>
      </c>
      <c r="K168" s="1568">
        <v>50</v>
      </c>
      <c r="L168" s="1188" t="s">
        <v>95</v>
      </c>
      <c r="M168" s="1568">
        <v>50</v>
      </c>
      <c r="N168" s="1188" t="s">
        <v>96</v>
      </c>
      <c r="O168" s="1568">
        <v>50</v>
      </c>
      <c r="P168" s="1527">
        <v>50</v>
      </c>
      <c r="Q168" s="1591">
        <v>50</v>
      </c>
      <c r="R168" s="1569">
        <v>85</v>
      </c>
      <c r="S168" s="1570">
        <v>70</v>
      </c>
      <c r="T168" s="1568">
        <v>50</v>
      </c>
      <c r="U168" s="1718">
        <v>55</v>
      </c>
      <c r="V168" s="1568">
        <v>65</v>
      </c>
      <c r="W168" s="1188" t="s">
        <v>1954</v>
      </c>
      <c r="X168" s="1592" t="s">
        <v>1955</v>
      </c>
      <c r="Y168" s="1569">
        <v>105</v>
      </c>
      <c r="Z168" s="1570">
        <v>90</v>
      </c>
      <c r="AA168" s="1568">
        <v>65</v>
      </c>
      <c r="AB168" s="1718">
        <v>70</v>
      </c>
      <c r="AC168" s="1568">
        <v>80</v>
      </c>
      <c r="AD168" s="1188" t="s">
        <v>1956</v>
      </c>
      <c r="AE168" s="1592" t="s">
        <v>1955</v>
      </c>
      <c r="AF168" s="1279"/>
      <c r="AG168" s="176"/>
      <c r="AH168" s="176"/>
      <c r="AI168" s="176"/>
      <c r="AJ168" s="471"/>
      <c r="AK168" s="471"/>
      <c r="AL168" s="471"/>
      <c r="AM168" s="2371" t="s">
        <v>235</v>
      </c>
      <c r="AN168" s="2352">
        <v>145</v>
      </c>
      <c r="AO168" s="2283" t="s">
        <v>66</v>
      </c>
      <c r="AP168" s="2352">
        <v>170</v>
      </c>
      <c r="AQ168" s="2283" t="s">
        <v>67</v>
      </c>
      <c r="AR168" s="2352">
        <v>205</v>
      </c>
      <c r="AS168" s="2283" t="s">
        <v>151</v>
      </c>
      <c r="AT168" s="2348">
        <v>205</v>
      </c>
      <c r="AU168" s="2285" t="s">
        <v>151</v>
      </c>
      <c r="AV168" s="2348">
        <v>205</v>
      </c>
      <c r="AW168" s="2285" t="s">
        <v>151</v>
      </c>
      <c r="AX168" s="2345">
        <v>130</v>
      </c>
      <c r="AY168" s="2278" t="s">
        <v>67</v>
      </c>
      <c r="AZ168" s="2350">
        <v>163</v>
      </c>
      <c r="BA168" s="2303" t="s">
        <v>2326</v>
      </c>
      <c r="BE168" s="2371" t="s">
        <v>235</v>
      </c>
      <c r="BF168" s="577">
        <v>25</v>
      </c>
      <c r="BG168" s="577">
        <v>30</v>
      </c>
      <c r="BH168" s="577">
        <v>40</v>
      </c>
      <c r="BJ168" s="2371" t="s">
        <v>235</v>
      </c>
      <c r="BK168" s="578">
        <v>150</v>
      </c>
      <c r="BL168" s="577">
        <v>190</v>
      </c>
      <c r="BM168" s="577">
        <v>240</v>
      </c>
      <c r="BP168" s="524"/>
      <c r="BQ168" s="524"/>
      <c r="BR168" s="524"/>
      <c r="BS168" s="2461" t="s">
        <v>237</v>
      </c>
      <c r="BT168" s="2463" t="str">
        <f>IFERROR(INDEX(Liste_Ackerkulturen_Gemüse_DropDown[Ackerkulturen],_xlfn.AGGREGATE(15,6,(ROW(Liste_Ackerkulturen_Gemüse_DropDown[Ackerkulturen])-1)/(--(SEARCH(BU$2,Liste_Ackerkulturen_Gemüse_DropDown[Ackerkulturen])&gt;0)),ROW()-2),1),"")</f>
        <v>Porree (früh, Folie)</v>
      </c>
      <c r="BU168" s="2463"/>
      <c r="BV168" s="2463" t="str">
        <f>IFERROR(INDEX(Liste_Ackerkulturen_Gemüse_DropDown[Ackerkulturen],_xlfn.AGGREGATE(15,6,(ROW(Liste_Ackerkulturen_Gemüse_DropDown[Ackerkulturen])-1)/(--(SEARCH(BW$2,Liste_Ackerkulturen_Gemüse_DropDown[Ackerkulturen])&gt;0)),ROW()-2),1),"")</f>
        <v>Porree (früh, Folie)</v>
      </c>
      <c r="BW168" s="2463"/>
      <c r="BX168" s="2463" t="str">
        <f>IFERROR(INDEX(Liste_Ackerkulturen_Gemüse_DropDown[Ackerkulturen],_xlfn.AGGREGATE(15,6,(ROW(Liste_Ackerkulturen_Gemüse_DropDown[Ackerkulturen])-1)/(--(SEARCH(BY$2,Liste_Ackerkulturen_Gemüse_DropDown[Ackerkulturen])&gt;0)),ROW()-2),1),"")</f>
        <v>Porree (früh, Folie)</v>
      </c>
      <c r="BY168" s="2463"/>
      <c r="BZ168" s="2463" t="str">
        <f>IFERROR(INDEX(Liste_Ackerkulturen_Gemüse_DropDown[Ackerkulturen],_xlfn.AGGREGATE(15,6,(ROW(Liste_Ackerkulturen_Gemüse_DropDown[Ackerkulturen])-1)/(--(SEARCH(CA$2,Liste_Ackerkulturen_Gemüse_DropDown[Ackerkulturen])&gt;0)),ROW()-2),1),"")</f>
        <v>Porree (früh, Folie)</v>
      </c>
      <c r="CA168" s="2463"/>
      <c r="CB168" s="2463" t="str">
        <f>IFERROR(INDEX(Liste_Ackerkulturen_Gemüse_DropDown[Ackerkulturen],_xlfn.AGGREGATE(15,6,(ROW(Liste_Ackerkulturen_Gemüse_DropDown[Ackerkulturen])-1)/(--(SEARCH(CC$2,Liste_Ackerkulturen_Gemüse_DropDown[Ackerkulturen])&gt;0)),ROW()-2),1),"")</f>
        <v>Porree (früh, Folie)</v>
      </c>
      <c r="CC168" s="2463"/>
      <c r="CD168" s="2464" t="str">
        <f>IFERROR(INDEX(Liste_Ackerkulturen_Gemüse_DropDown[Ackerkulturen],_xlfn.AGGREGATE(15,6,(ROW(Liste_Ackerkulturen_Gemüse_DropDown[Ackerkulturen])-1)/(--(SEARCH(CE$2,Liste_Ackerkulturen_Gemüse_DropDown[Ackerkulturen])&gt;0)),ROW()-2),1),"")</f>
        <v>Porree (früh, Folie)</v>
      </c>
      <c r="CE168" s="2464"/>
      <c r="CF168" s="2464" t="str">
        <f>IFERROR(INDEX(Liste_Ackerkulturen_Gemüse_DropDown[Ackerkulturen],_xlfn.AGGREGATE(15,6,(ROW(Liste_Ackerkulturen_Gemüse_DropDown[Ackerkulturen])-1)/(--(SEARCH(CG$2,Liste_Ackerkulturen_Gemüse_DropDown[Ackerkulturen])&gt;0)),ROW()-2),1),"")</f>
        <v>Porree (früh, Folie)</v>
      </c>
      <c r="CG168" s="2464"/>
      <c r="CH168" s="2464" t="str">
        <f>IFERROR(INDEX(Liste_Ackerkulturen_Gemüse_DropDown[Ackerkulturen],_xlfn.AGGREGATE(15,6,(ROW(Liste_Ackerkulturen_Gemüse_DropDown[Ackerkulturen])-1)/(--(SEARCH(CI$2,Liste_Ackerkulturen_Gemüse_DropDown[Ackerkulturen])&gt;0)),ROW()-2),1),"")</f>
        <v>Porree (früh, Folie)</v>
      </c>
      <c r="CI168" s="2464"/>
      <c r="CJ168" s="2464" t="str">
        <f>IFERROR(INDEX(Liste_Ackerkulturen_Gemüse_DropDown[Ackerkulturen],_xlfn.AGGREGATE(15,6,(ROW(Liste_Ackerkulturen_Gemüse_DropDown[Ackerkulturen])-1)/(--(SEARCH(CK$2,Liste_Ackerkulturen_Gemüse_DropDown[Ackerkulturen])&gt;0)),ROW()-2),1),"")</f>
        <v>Porree (früh, Folie)</v>
      </c>
      <c r="CK168" s="2464"/>
      <c r="CL168" s="2464" t="str">
        <f>IFERROR(INDEX(Liste_Ackerkulturen_Gemüse_DropDown[Ackerkulturen],_xlfn.AGGREGATE(15,6,(ROW(Liste_Ackerkulturen_Gemüse_DropDown[Ackerkulturen])-1)/(--(SEARCH(CM$2,Liste_Ackerkulturen_Gemüse_DropDown[Ackerkulturen])&gt;0)),ROW()-2),1),"")</f>
        <v>Porree (früh, Folie)</v>
      </c>
      <c r="CM168" s="2464"/>
      <c r="CN168" s="2464" t="str">
        <f>IFERROR(INDEX(Liste_Ackerkulturen_Gemüse_DropDown[Ackerkulturen],_xlfn.AGGREGATE(15,6,(ROW(Liste_Ackerkulturen_Gemüse_DropDown[Ackerkulturen])-1)/(--(SEARCH(CO$2,Liste_Ackerkulturen_Gemüse_DropDown[Ackerkulturen])&gt;0)),ROW()-2),1),"")</f>
        <v>Porree (früh, Folie)</v>
      </c>
      <c r="CO168" s="2464"/>
      <c r="CP168" s="2464" t="str">
        <f>IFERROR(INDEX(Liste_Ackerkulturen_Gemüse_DropDown[Ackerkulturen],_xlfn.AGGREGATE(15,6,(ROW(Liste_Ackerkulturen_Gemüse_DropDown[Ackerkulturen])-1)/(--(SEARCH(CQ$2,Liste_Ackerkulturen_Gemüse_DropDown[Ackerkulturen])&gt;0)),ROW()-2),1),"")</f>
        <v>Porree (früh, Folie)</v>
      </c>
      <c r="CQ168" s="2464"/>
      <c r="CR168" s="2464" t="str">
        <f>IFERROR(INDEX(Liste_Ackerkulturen_Gemüse_DropDown[Ackerkulturen],_xlfn.AGGREGATE(15,6,(ROW(Liste_Ackerkulturen_Gemüse_DropDown[Ackerkulturen])-1)/(--(SEARCH(CS$2,Liste_Ackerkulturen_Gemüse_DropDown[Ackerkulturen])&gt;0)),ROW()-2),1),"")</f>
        <v>Porree (früh, Folie)</v>
      </c>
      <c r="CS168" s="2464"/>
      <c r="DI168" s="1541"/>
      <c r="DJ168" s="1541"/>
      <c r="DK168" s="1541"/>
      <c r="DL168" s="1541"/>
      <c r="DM168" s="1541"/>
    </row>
    <row r="169" spans="1:117" s="470" customFormat="1" ht="21" customHeight="1">
      <c r="A169" s="465"/>
      <c r="B169" s="465"/>
      <c r="C169" s="1575" t="s">
        <v>98</v>
      </c>
      <c r="D169" s="1576"/>
      <c r="E169" s="1594" t="s">
        <v>473</v>
      </c>
      <c r="F169" s="1568">
        <v>130</v>
      </c>
      <c r="G169" s="1568"/>
      <c r="H169" s="1716" t="s">
        <v>42</v>
      </c>
      <c r="I169" s="1718">
        <v>130</v>
      </c>
      <c r="J169" s="1188" t="s">
        <v>43</v>
      </c>
      <c r="K169" s="1568">
        <v>130</v>
      </c>
      <c r="L169" s="1188" t="s">
        <v>44</v>
      </c>
      <c r="M169" s="1568">
        <v>130</v>
      </c>
      <c r="N169" s="1188" t="s">
        <v>1060</v>
      </c>
      <c r="O169" s="1568">
        <v>130</v>
      </c>
      <c r="P169" s="1527">
        <v>130</v>
      </c>
      <c r="Q169" s="1591">
        <v>130</v>
      </c>
      <c r="R169" s="1569">
        <v>85</v>
      </c>
      <c r="S169" s="1570">
        <v>70</v>
      </c>
      <c r="T169" s="1568">
        <v>50</v>
      </c>
      <c r="U169" s="1718">
        <v>55</v>
      </c>
      <c r="V169" s="1568">
        <v>65</v>
      </c>
      <c r="W169" s="1188" t="s">
        <v>1954</v>
      </c>
      <c r="X169" s="1592" t="s">
        <v>1955</v>
      </c>
      <c r="Y169" s="1569">
        <v>300</v>
      </c>
      <c r="Z169" s="1570">
        <v>250</v>
      </c>
      <c r="AA169" s="1568">
        <v>180</v>
      </c>
      <c r="AB169" s="1718">
        <v>200</v>
      </c>
      <c r="AC169" s="1568">
        <v>230</v>
      </c>
      <c r="AD169" s="1188" t="s">
        <v>1956</v>
      </c>
      <c r="AE169" s="1592" t="s">
        <v>1955</v>
      </c>
      <c r="AF169" s="1279"/>
      <c r="AG169" s="176"/>
      <c r="AH169" s="176"/>
      <c r="AI169" s="176"/>
      <c r="AJ169" s="471"/>
      <c r="AK169" s="471"/>
      <c r="AL169" s="471"/>
      <c r="AM169" s="2371" t="s">
        <v>236</v>
      </c>
      <c r="AN169" s="2352">
        <v>190</v>
      </c>
      <c r="AO169" s="2283" t="s">
        <v>465</v>
      </c>
      <c r="AP169" s="2352">
        <v>220</v>
      </c>
      <c r="AQ169" s="2283" t="s">
        <v>158</v>
      </c>
      <c r="AR169" s="2352">
        <v>260</v>
      </c>
      <c r="AS169" s="2283" t="s">
        <v>159</v>
      </c>
      <c r="AT169" s="2348">
        <v>260</v>
      </c>
      <c r="AU169" s="2285" t="s">
        <v>159</v>
      </c>
      <c r="AV169" s="2348">
        <v>260</v>
      </c>
      <c r="AW169" s="2285" t="s">
        <v>159</v>
      </c>
      <c r="AX169" s="2345">
        <v>190</v>
      </c>
      <c r="AY169" s="2278" t="s">
        <v>158</v>
      </c>
      <c r="AZ169" s="2350">
        <v>238</v>
      </c>
      <c r="BA169" s="2303" t="s">
        <v>2335</v>
      </c>
      <c r="BE169" s="2371" t="s">
        <v>236</v>
      </c>
      <c r="BF169" s="577">
        <v>25</v>
      </c>
      <c r="BG169" s="577">
        <v>30</v>
      </c>
      <c r="BH169" s="577">
        <v>40</v>
      </c>
      <c r="BJ169" s="2371" t="s">
        <v>236</v>
      </c>
      <c r="BK169" s="578">
        <v>105</v>
      </c>
      <c r="BL169" s="577">
        <v>130</v>
      </c>
      <c r="BM169" s="577">
        <v>165</v>
      </c>
      <c r="BP169" s="524"/>
      <c r="BQ169" s="524"/>
      <c r="BR169" s="524"/>
      <c r="BS169" s="2461" t="s">
        <v>238</v>
      </c>
      <c r="BT169" s="2463" t="str">
        <f>IFERROR(INDEX(Liste_Ackerkulturen_Gemüse_DropDown[Ackerkulturen],_xlfn.AGGREGATE(15,6,(ROW(Liste_Ackerkulturen_Gemüse_DropDown[Ackerkulturen])-1)/(--(SEARCH(BU$2,Liste_Ackerkulturen_Gemüse_DropDown[Ackerkulturen])&gt;0)),ROW()-2),1),"")</f>
        <v>Porree (Herbst, Winter)</v>
      </c>
      <c r="BU169" s="2463"/>
      <c r="BV169" s="2463" t="str">
        <f>IFERROR(INDEX(Liste_Ackerkulturen_Gemüse_DropDown[Ackerkulturen],_xlfn.AGGREGATE(15,6,(ROW(Liste_Ackerkulturen_Gemüse_DropDown[Ackerkulturen])-1)/(--(SEARCH(BW$2,Liste_Ackerkulturen_Gemüse_DropDown[Ackerkulturen])&gt;0)),ROW()-2),1),"")</f>
        <v>Porree (Herbst, Winter)</v>
      </c>
      <c r="BW169" s="2463"/>
      <c r="BX169" s="2463" t="str">
        <f>IFERROR(INDEX(Liste_Ackerkulturen_Gemüse_DropDown[Ackerkulturen],_xlfn.AGGREGATE(15,6,(ROW(Liste_Ackerkulturen_Gemüse_DropDown[Ackerkulturen])-1)/(--(SEARCH(BY$2,Liste_Ackerkulturen_Gemüse_DropDown[Ackerkulturen])&gt;0)),ROW()-2),1),"")</f>
        <v>Porree (Herbst, Winter)</v>
      </c>
      <c r="BY169" s="2463"/>
      <c r="BZ169" s="2463" t="str">
        <f>IFERROR(INDEX(Liste_Ackerkulturen_Gemüse_DropDown[Ackerkulturen],_xlfn.AGGREGATE(15,6,(ROW(Liste_Ackerkulturen_Gemüse_DropDown[Ackerkulturen])-1)/(--(SEARCH(CA$2,Liste_Ackerkulturen_Gemüse_DropDown[Ackerkulturen])&gt;0)),ROW()-2),1),"")</f>
        <v>Porree (Herbst, Winter)</v>
      </c>
      <c r="CA169" s="2463"/>
      <c r="CB169" s="2463" t="str">
        <f>IFERROR(INDEX(Liste_Ackerkulturen_Gemüse_DropDown[Ackerkulturen],_xlfn.AGGREGATE(15,6,(ROW(Liste_Ackerkulturen_Gemüse_DropDown[Ackerkulturen])-1)/(--(SEARCH(CC$2,Liste_Ackerkulturen_Gemüse_DropDown[Ackerkulturen])&gt;0)),ROW()-2),1),"")</f>
        <v>Porree (Herbst, Winter)</v>
      </c>
      <c r="CC169" s="2463"/>
      <c r="CD169" s="2464" t="str">
        <f>IFERROR(INDEX(Liste_Ackerkulturen_Gemüse_DropDown[Ackerkulturen],_xlfn.AGGREGATE(15,6,(ROW(Liste_Ackerkulturen_Gemüse_DropDown[Ackerkulturen])-1)/(--(SEARCH(CE$2,Liste_Ackerkulturen_Gemüse_DropDown[Ackerkulturen])&gt;0)),ROW()-2),1),"")</f>
        <v>Porree (Herbst, Winter)</v>
      </c>
      <c r="CE169" s="2464"/>
      <c r="CF169" s="2464" t="str">
        <f>IFERROR(INDEX(Liste_Ackerkulturen_Gemüse_DropDown[Ackerkulturen],_xlfn.AGGREGATE(15,6,(ROW(Liste_Ackerkulturen_Gemüse_DropDown[Ackerkulturen])-1)/(--(SEARCH(CG$2,Liste_Ackerkulturen_Gemüse_DropDown[Ackerkulturen])&gt;0)),ROW()-2),1),"")</f>
        <v>Porree (Herbst, Winter)</v>
      </c>
      <c r="CG169" s="2464"/>
      <c r="CH169" s="2464" t="str">
        <f>IFERROR(INDEX(Liste_Ackerkulturen_Gemüse_DropDown[Ackerkulturen],_xlfn.AGGREGATE(15,6,(ROW(Liste_Ackerkulturen_Gemüse_DropDown[Ackerkulturen])-1)/(--(SEARCH(CI$2,Liste_Ackerkulturen_Gemüse_DropDown[Ackerkulturen])&gt;0)),ROW()-2),1),"")</f>
        <v>Porree (Herbst, Winter)</v>
      </c>
      <c r="CI169" s="2464"/>
      <c r="CJ169" s="2464" t="str">
        <f>IFERROR(INDEX(Liste_Ackerkulturen_Gemüse_DropDown[Ackerkulturen],_xlfn.AGGREGATE(15,6,(ROW(Liste_Ackerkulturen_Gemüse_DropDown[Ackerkulturen])-1)/(--(SEARCH(CK$2,Liste_Ackerkulturen_Gemüse_DropDown[Ackerkulturen])&gt;0)),ROW()-2),1),"")</f>
        <v>Porree (Herbst, Winter)</v>
      </c>
      <c r="CK169" s="2464"/>
      <c r="CL169" s="2464" t="str">
        <f>IFERROR(INDEX(Liste_Ackerkulturen_Gemüse_DropDown[Ackerkulturen],_xlfn.AGGREGATE(15,6,(ROW(Liste_Ackerkulturen_Gemüse_DropDown[Ackerkulturen])-1)/(--(SEARCH(CM$2,Liste_Ackerkulturen_Gemüse_DropDown[Ackerkulturen])&gt;0)),ROW()-2),1),"")</f>
        <v>Porree (Herbst, Winter)</v>
      </c>
      <c r="CM169" s="2464"/>
      <c r="CN169" s="2464" t="str">
        <f>IFERROR(INDEX(Liste_Ackerkulturen_Gemüse_DropDown[Ackerkulturen],_xlfn.AGGREGATE(15,6,(ROW(Liste_Ackerkulturen_Gemüse_DropDown[Ackerkulturen])-1)/(--(SEARCH(CO$2,Liste_Ackerkulturen_Gemüse_DropDown[Ackerkulturen])&gt;0)),ROW()-2),1),"")</f>
        <v>Porree (Herbst, Winter)</v>
      </c>
      <c r="CO169" s="2464"/>
      <c r="CP169" s="2464" t="str">
        <f>IFERROR(INDEX(Liste_Ackerkulturen_Gemüse_DropDown[Ackerkulturen],_xlfn.AGGREGATE(15,6,(ROW(Liste_Ackerkulturen_Gemüse_DropDown[Ackerkulturen])-1)/(--(SEARCH(CQ$2,Liste_Ackerkulturen_Gemüse_DropDown[Ackerkulturen])&gt;0)),ROW()-2),1),"")</f>
        <v>Porree (Herbst, Winter)</v>
      </c>
      <c r="CQ169" s="2464"/>
      <c r="CR169" s="2464" t="str">
        <f>IFERROR(INDEX(Liste_Ackerkulturen_Gemüse_DropDown[Ackerkulturen],_xlfn.AGGREGATE(15,6,(ROW(Liste_Ackerkulturen_Gemüse_DropDown[Ackerkulturen])-1)/(--(SEARCH(CS$2,Liste_Ackerkulturen_Gemüse_DropDown[Ackerkulturen])&gt;0)),ROW()-2),1),"")</f>
        <v>Porree (Herbst, Winter)</v>
      </c>
      <c r="CS169" s="2464"/>
      <c r="DI169" s="1541"/>
      <c r="DJ169" s="1541"/>
      <c r="DK169" s="1541"/>
      <c r="DL169" s="1541"/>
      <c r="DM169" s="1541"/>
    </row>
    <row r="170" spans="1:117" s="470" customFormat="1" ht="21" customHeight="1">
      <c r="A170" s="465"/>
      <c r="B170" s="465"/>
      <c r="C170" s="1575" t="s">
        <v>99</v>
      </c>
      <c r="D170" s="1576"/>
      <c r="E170" s="1594" t="s">
        <v>473</v>
      </c>
      <c r="F170" s="1568">
        <v>100</v>
      </c>
      <c r="G170" s="1568"/>
      <c r="H170" s="1716" t="s">
        <v>42</v>
      </c>
      <c r="I170" s="1718">
        <v>100</v>
      </c>
      <c r="J170" s="1188" t="s">
        <v>43</v>
      </c>
      <c r="K170" s="1568">
        <v>100</v>
      </c>
      <c r="L170" s="1188" t="s">
        <v>44</v>
      </c>
      <c r="M170" s="1568">
        <v>100</v>
      </c>
      <c r="N170" s="1188" t="s">
        <v>1060</v>
      </c>
      <c r="O170" s="1568">
        <v>100</v>
      </c>
      <c r="P170" s="1527">
        <v>100</v>
      </c>
      <c r="Q170" s="1591">
        <v>100</v>
      </c>
      <c r="R170" s="1569">
        <v>85</v>
      </c>
      <c r="S170" s="1570">
        <v>70</v>
      </c>
      <c r="T170" s="1568">
        <v>50</v>
      </c>
      <c r="U170" s="1718">
        <v>55</v>
      </c>
      <c r="V170" s="1568">
        <v>65</v>
      </c>
      <c r="W170" s="1188" t="s">
        <v>1954</v>
      </c>
      <c r="X170" s="1592" t="s">
        <v>1955</v>
      </c>
      <c r="Y170" s="1569">
        <v>70</v>
      </c>
      <c r="Z170" s="1570">
        <v>55</v>
      </c>
      <c r="AA170" s="1568">
        <v>40</v>
      </c>
      <c r="AB170" s="1718">
        <v>45</v>
      </c>
      <c r="AC170" s="1568">
        <v>50</v>
      </c>
      <c r="AD170" s="1188" t="s">
        <v>1956</v>
      </c>
      <c r="AE170" s="1592" t="s">
        <v>1955</v>
      </c>
      <c r="AF170" s="1279"/>
      <c r="AG170" s="176"/>
      <c r="AH170" s="176"/>
      <c r="AI170" s="176"/>
      <c r="AJ170" s="471"/>
      <c r="AK170" s="471"/>
      <c r="AL170" s="471"/>
      <c r="AM170" s="2371" t="s">
        <v>237</v>
      </c>
      <c r="AN170" s="2352">
        <v>190</v>
      </c>
      <c r="AO170" s="2283" t="s">
        <v>199</v>
      </c>
      <c r="AP170" s="2352">
        <v>220</v>
      </c>
      <c r="AQ170" s="2283" t="s">
        <v>68</v>
      </c>
      <c r="AR170" s="2352">
        <v>260</v>
      </c>
      <c r="AS170" s="2283" t="s">
        <v>141</v>
      </c>
      <c r="AT170" s="2348">
        <v>260</v>
      </c>
      <c r="AU170" s="2285" t="s">
        <v>141</v>
      </c>
      <c r="AV170" s="2348">
        <v>260</v>
      </c>
      <c r="AW170" s="2285" t="s">
        <v>141</v>
      </c>
      <c r="AX170" s="2345">
        <v>190</v>
      </c>
      <c r="AY170" s="2278" t="s">
        <v>68</v>
      </c>
      <c r="AZ170" s="2350">
        <v>238</v>
      </c>
      <c r="BA170" s="2303" t="s">
        <v>2332</v>
      </c>
      <c r="BE170" s="2371" t="s">
        <v>237</v>
      </c>
      <c r="BF170" s="577">
        <v>40</v>
      </c>
      <c r="BG170" s="577">
        <v>50</v>
      </c>
      <c r="BH170" s="577">
        <v>65</v>
      </c>
      <c r="BJ170" s="2371" t="s">
        <v>237</v>
      </c>
      <c r="BK170" s="578">
        <v>145</v>
      </c>
      <c r="BL170" s="577">
        <v>180</v>
      </c>
      <c r="BM170" s="577">
        <v>225</v>
      </c>
      <c r="BP170" s="524"/>
      <c r="BQ170" s="524"/>
      <c r="BR170" s="524"/>
      <c r="BS170" s="2461" t="s">
        <v>239</v>
      </c>
      <c r="BT170" s="2463" t="str">
        <f>IFERROR(INDEX(Liste_Ackerkulturen_Gemüse_DropDown[Ackerkulturen],_xlfn.AGGREGATE(15,6,(ROW(Liste_Ackerkulturen_Gemüse_DropDown[Ackerkulturen])-1)/(--(SEARCH(BU$2,Liste_Ackerkulturen_Gemüse_DropDown[Ackerkulturen])&gt;0)),ROW()-2),1),"")</f>
        <v>Porree (Hybrid)</v>
      </c>
      <c r="BU170" s="2463"/>
      <c r="BV170" s="2463" t="str">
        <f>IFERROR(INDEX(Liste_Ackerkulturen_Gemüse_DropDown[Ackerkulturen],_xlfn.AGGREGATE(15,6,(ROW(Liste_Ackerkulturen_Gemüse_DropDown[Ackerkulturen])-1)/(--(SEARCH(BW$2,Liste_Ackerkulturen_Gemüse_DropDown[Ackerkulturen])&gt;0)),ROW()-2),1),"")</f>
        <v>Porree (Hybrid)</v>
      </c>
      <c r="BW170" s="2463"/>
      <c r="BX170" s="2463" t="str">
        <f>IFERROR(INDEX(Liste_Ackerkulturen_Gemüse_DropDown[Ackerkulturen],_xlfn.AGGREGATE(15,6,(ROW(Liste_Ackerkulturen_Gemüse_DropDown[Ackerkulturen])-1)/(--(SEARCH(BY$2,Liste_Ackerkulturen_Gemüse_DropDown[Ackerkulturen])&gt;0)),ROW()-2),1),"")</f>
        <v>Porree (Hybrid)</v>
      </c>
      <c r="BY170" s="2463"/>
      <c r="BZ170" s="2463" t="str">
        <f>IFERROR(INDEX(Liste_Ackerkulturen_Gemüse_DropDown[Ackerkulturen],_xlfn.AGGREGATE(15,6,(ROW(Liste_Ackerkulturen_Gemüse_DropDown[Ackerkulturen])-1)/(--(SEARCH(CA$2,Liste_Ackerkulturen_Gemüse_DropDown[Ackerkulturen])&gt;0)),ROW()-2),1),"")</f>
        <v>Porree (Hybrid)</v>
      </c>
      <c r="CA170" s="2463"/>
      <c r="CB170" s="2463" t="str">
        <f>IFERROR(INDEX(Liste_Ackerkulturen_Gemüse_DropDown[Ackerkulturen],_xlfn.AGGREGATE(15,6,(ROW(Liste_Ackerkulturen_Gemüse_DropDown[Ackerkulturen])-1)/(--(SEARCH(CC$2,Liste_Ackerkulturen_Gemüse_DropDown[Ackerkulturen])&gt;0)),ROW()-2),1),"")</f>
        <v>Porree (Hybrid)</v>
      </c>
      <c r="CC170" s="2463"/>
      <c r="CD170" s="2464" t="str">
        <f>IFERROR(INDEX(Liste_Ackerkulturen_Gemüse_DropDown[Ackerkulturen],_xlfn.AGGREGATE(15,6,(ROW(Liste_Ackerkulturen_Gemüse_DropDown[Ackerkulturen])-1)/(--(SEARCH(CE$2,Liste_Ackerkulturen_Gemüse_DropDown[Ackerkulturen])&gt;0)),ROW()-2),1),"")</f>
        <v>Porree (Hybrid)</v>
      </c>
      <c r="CE170" s="2464"/>
      <c r="CF170" s="2464" t="str">
        <f>IFERROR(INDEX(Liste_Ackerkulturen_Gemüse_DropDown[Ackerkulturen],_xlfn.AGGREGATE(15,6,(ROW(Liste_Ackerkulturen_Gemüse_DropDown[Ackerkulturen])-1)/(--(SEARCH(CG$2,Liste_Ackerkulturen_Gemüse_DropDown[Ackerkulturen])&gt;0)),ROW()-2),1),"")</f>
        <v>Porree (Hybrid)</v>
      </c>
      <c r="CG170" s="2464"/>
      <c r="CH170" s="2464" t="str">
        <f>IFERROR(INDEX(Liste_Ackerkulturen_Gemüse_DropDown[Ackerkulturen],_xlfn.AGGREGATE(15,6,(ROW(Liste_Ackerkulturen_Gemüse_DropDown[Ackerkulturen])-1)/(--(SEARCH(CI$2,Liste_Ackerkulturen_Gemüse_DropDown[Ackerkulturen])&gt;0)),ROW()-2),1),"")</f>
        <v>Porree (Hybrid)</v>
      </c>
      <c r="CI170" s="2464"/>
      <c r="CJ170" s="2464" t="str">
        <f>IFERROR(INDEX(Liste_Ackerkulturen_Gemüse_DropDown[Ackerkulturen],_xlfn.AGGREGATE(15,6,(ROW(Liste_Ackerkulturen_Gemüse_DropDown[Ackerkulturen])-1)/(--(SEARCH(CK$2,Liste_Ackerkulturen_Gemüse_DropDown[Ackerkulturen])&gt;0)),ROW()-2),1),"")</f>
        <v>Porree (Hybrid)</v>
      </c>
      <c r="CK170" s="2464"/>
      <c r="CL170" s="2464" t="str">
        <f>IFERROR(INDEX(Liste_Ackerkulturen_Gemüse_DropDown[Ackerkulturen],_xlfn.AGGREGATE(15,6,(ROW(Liste_Ackerkulturen_Gemüse_DropDown[Ackerkulturen])-1)/(--(SEARCH(CM$2,Liste_Ackerkulturen_Gemüse_DropDown[Ackerkulturen])&gt;0)),ROW()-2),1),"")</f>
        <v>Porree (Hybrid)</v>
      </c>
      <c r="CM170" s="2464"/>
      <c r="CN170" s="2464" t="str">
        <f>IFERROR(INDEX(Liste_Ackerkulturen_Gemüse_DropDown[Ackerkulturen],_xlfn.AGGREGATE(15,6,(ROW(Liste_Ackerkulturen_Gemüse_DropDown[Ackerkulturen])-1)/(--(SEARCH(CO$2,Liste_Ackerkulturen_Gemüse_DropDown[Ackerkulturen])&gt;0)),ROW()-2),1),"")</f>
        <v>Porree (Hybrid)</v>
      </c>
      <c r="CO170" s="2464"/>
      <c r="CP170" s="2464" t="str">
        <f>IFERROR(INDEX(Liste_Ackerkulturen_Gemüse_DropDown[Ackerkulturen],_xlfn.AGGREGATE(15,6,(ROW(Liste_Ackerkulturen_Gemüse_DropDown[Ackerkulturen])-1)/(--(SEARCH(CQ$2,Liste_Ackerkulturen_Gemüse_DropDown[Ackerkulturen])&gt;0)),ROW()-2),1),"")</f>
        <v>Porree (Hybrid)</v>
      </c>
      <c r="CQ170" s="2464"/>
      <c r="CR170" s="2464" t="str">
        <f>IFERROR(INDEX(Liste_Ackerkulturen_Gemüse_DropDown[Ackerkulturen],_xlfn.AGGREGATE(15,6,(ROW(Liste_Ackerkulturen_Gemüse_DropDown[Ackerkulturen])-1)/(--(SEARCH(CS$2,Liste_Ackerkulturen_Gemüse_DropDown[Ackerkulturen])&gt;0)),ROW()-2),1),"")</f>
        <v>Porree (Hybrid)</v>
      </c>
      <c r="CS170" s="2464"/>
      <c r="DI170" s="1541"/>
      <c r="DJ170" s="1541"/>
      <c r="DK170" s="1541"/>
      <c r="DL170" s="1541"/>
      <c r="DM170" s="1541"/>
    </row>
    <row r="171" spans="1:117" s="470" customFormat="1" ht="21" customHeight="1">
      <c r="A171" s="465"/>
      <c r="B171" s="465"/>
      <c r="C171" s="1575" t="s">
        <v>100</v>
      </c>
      <c r="D171" s="1576"/>
      <c r="E171" s="1594" t="s">
        <v>1997</v>
      </c>
      <c r="F171" s="1568">
        <v>60</v>
      </c>
      <c r="G171" s="1568"/>
      <c r="H171" s="1716" t="s">
        <v>101</v>
      </c>
      <c r="I171" s="1718">
        <v>60</v>
      </c>
      <c r="J171" s="1188" t="s">
        <v>48</v>
      </c>
      <c r="K171" s="1568">
        <v>60</v>
      </c>
      <c r="L171" s="1188" t="s">
        <v>49</v>
      </c>
      <c r="M171" s="1568">
        <v>60</v>
      </c>
      <c r="N171" s="1188" t="s">
        <v>50</v>
      </c>
      <c r="O171" s="1568">
        <v>60</v>
      </c>
      <c r="P171" s="1527">
        <v>0</v>
      </c>
      <c r="Q171" s="1591">
        <v>0</v>
      </c>
      <c r="R171" s="1569">
        <v>100</v>
      </c>
      <c r="S171" s="1570">
        <v>80</v>
      </c>
      <c r="T171" s="1568">
        <v>60</v>
      </c>
      <c r="U171" s="1718">
        <v>65</v>
      </c>
      <c r="V171" s="1568">
        <v>75</v>
      </c>
      <c r="W171" s="1188" t="s">
        <v>1954</v>
      </c>
      <c r="X171" s="1592" t="s">
        <v>1955</v>
      </c>
      <c r="Y171" s="1569">
        <v>150</v>
      </c>
      <c r="Z171" s="1570">
        <v>125</v>
      </c>
      <c r="AA171" s="1568">
        <v>90</v>
      </c>
      <c r="AB171" s="1718">
        <v>100</v>
      </c>
      <c r="AC171" s="1568">
        <v>115</v>
      </c>
      <c r="AD171" s="1188" t="s">
        <v>1956</v>
      </c>
      <c r="AE171" s="1592" t="s">
        <v>1955</v>
      </c>
      <c r="AF171" s="1279"/>
      <c r="AG171" s="176"/>
      <c r="AH171" s="176"/>
      <c r="AI171" s="176"/>
      <c r="AJ171" s="471"/>
      <c r="AK171" s="471"/>
      <c r="AL171" s="471"/>
      <c r="AM171" s="2371" t="s">
        <v>238</v>
      </c>
      <c r="AN171" s="2352">
        <v>210</v>
      </c>
      <c r="AO171" s="2283" t="s">
        <v>465</v>
      </c>
      <c r="AP171" s="2352">
        <v>250</v>
      </c>
      <c r="AQ171" s="2283" t="s">
        <v>466</v>
      </c>
      <c r="AR171" s="2352">
        <v>300</v>
      </c>
      <c r="AS171" s="2283" t="s">
        <v>141</v>
      </c>
      <c r="AT171" s="2348">
        <v>300</v>
      </c>
      <c r="AU171" s="2285" t="s">
        <v>141</v>
      </c>
      <c r="AV171" s="2348">
        <v>300</v>
      </c>
      <c r="AW171" s="2285" t="s">
        <v>141</v>
      </c>
      <c r="AX171" s="2345">
        <v>190</v>
      </c>
      <c r="AY171" s="2278" t="s">
        <v>466</v>
      </c>
      <c r="AZ171" s="2350">
        <v>238</v>
      </c>
      <c r="BA171" s="2303" t="s">
        <v>2332</v>
      </c>
      <c r="BE171" s="2371" t="s">
        <v>238</v>
      </c>
      <c r="BF171" s="577">
        <v>30</v>
      </c>
      <c r="BG171" s="577">
        <v>40</v>
      </c>
      <c r="BH171" s="577">
        <v>50</v>
      </c>
      <c r="BJ171" s="2371" t="s">
        <v>238</v>
      </c>
      <c r="BK171" s="578">
        <v>120</v>
      </c>
      <c r="BL171" s="577">
        <v>150</v>
      </c>
      <c r="BM171" s="577">
        <v>190</v>
      </c>
      <c r="BP171" s="524"/>
      <c r="BQ171" s="524"/>
      <c r="BR171" s="524"/>
      <c r="BS171" s="2461" t="s">
        <v>240</v>
      </c>
      <c r="BT171" s="2463" t="str">
        <f>IFERROR(INDEX(Liste_Ackerkulturen_Gemüse_DropDown[Ackerkulturen],_xlfn.AGGREGATE(15,6,(ROW(Liste_Ackerkulturen_Gemüse_DropDown[Ackerkulturen])-1)/(--(SEARCH(BU$2,Liste_Ackerkulturen_Gemüse_DropDown[Ackerkulturen])&gt;0)),ROW()-2),1),"")</f>
        <v>Radicchio</v>
      </c>
      <c r="BU171" s="2463"/>
      <c r="BV171" s="2463" t="str">
        <f>IFERROR(INDEX(Liste_Ackerkulturen_Gemüse_DropDown[Ackerkulturen],_xlfn.AGGREGATE(15,6,(ROW(Liste_Ackerkulturen_Gemüse_DropDown[Ackerkulturen])-1)/(--(SEARCH(BW$2,Liste_Ackerkulturen_Gemüse_DropDown[Ackerkulturen])&gt;0)),ROW()-2),1),"")</f>
        <v>Radicchio</v>
      </c>
      <c r="BW171" s="2463"/>
      <c r="BX171" s="2463" t="str">
        <f>IFERROR(INDEX(Liste_Ackerkulturen_Gemüse_DropDown[Ackerkulturen],_xlfn.AGGREGATE(15,6,(ROW(Liste_Ackerkulturen_Gemüse_DropDown[Ackerkulturen])-1)/(--(SEARCH(BY$2,Liste_Ackerkulturen_Gemüse_DropDown[Ackerkulturen])&gt;0)),ROW()-2),1),"")</f>
        <v>Radicchio</v>
      </c>
      <c r="BY171" s="2463"/>
      <c r="BZ171" s="2463" t="str">
        <f>IFERROR(INDEX(Liste_Ackerkulturen_Gemüse_DropDown[Ackerkulturen],_xlfn.AGGREGATE(15,6,(ROW(Liste_Ackerkulturen_Gemüse_DropDown[Ackerkulturen])-1)/(--(SEARCH(CA$2,Liste_Ackerkulturen_Gemüse_DropDown[Ackerkulturen])&gt;0)),ROW()-2),1),"")</f>
        <v>Radicchio</v>
      </c>
      <c r="CA171" s="2463"/>
      <c r="CB171" s="2463" t="str">
        <f>IFERROR(INDEX(Liste_Ackerkulturen_Gemüse_DropDown[Ackerkulturen],_xlfn.AGGREGATE(15,6,(ROW(Liste_Ackerkulturen_Gemüse_DropDown[Ackerkulturen])-1)/(--(SEARCH(CC$2,Liste_Ackerkulturen_Gemüse_DropDown[Ackerkulturen])&gt;0)),ROW()-2),1),"")</f>
        <v>Radicchio</v>
      </c>
      <c r="CC171" s="2463"/>
      <c r="CD171" s="2464" t="str">
        <f>IFERROR(INDEX(Liste_Ackerkulturen_Gemüse_DropDown[Ackerkulturen],_xlfn.AGGREGATE(15,6,(ROW(Liste_Ackerkulturen_Gemüse_DropDown[Ackerkulturen])-1)/(--(SEARCH(CE$2,Liste_Ackerkulturen_Gemüse_DropDown[Ackerkulturen])&gt;0)),ROW()-2),1),"")</f>
        <v>Radicchio</v>
      </c>
      <c r="CE171" s="2464"/>
      <c r="CF171" s="2464" t="str">
        <f>IFERROR(INDEX(Liste_Ackerkulturen_Gemüse_DropDown[Ackerkulturen],_xlfn.AGGREGATE(15,6,(ROW(Liste_Ackerkulturen_Gemüse_DropDown[Ackerkulturen])-1)/(--(SEARCH(CG$2,Liste_Ackerkulturen_Gemüse_DropDown[Ackerkulturen])&gt;0)),ROW()-2),1),"")</f>
        <v>Radicchio</v>
      </c>
      <c r="CG171" s="2464"/>
      <c r="CH171" s="2464" t="str">
        <f>IFERROR(INDEX(Liste_Ackerkulturen_Gemüse_DropDown[Ackerkulturen],_xlfn.AGGREGATE(15,6,(ROW(Liste_Ackerkulturen_Gemüse_DropDown[Ackerkulturen])-1)/(--(SEARCH(CI$2,Liste_Ackerkulturen_Gemüse_DropDown[Ackerkulturen])&gt;0)),ROW()-2),1),"")</f>
        <v>Radicchio</v>
      </c>
      <c r="CI171" s="2464"/>
      <c r="CJ171" s="2464" t="str">
        <f>IFERROR(INDEX(Liste_Ackerkulturen_Gemüse_DropDown[Ackerkulturen],_xlfn.AGGREGATE(15,6,(ROW(Liste_Ackerkulturen_Gemüse_DropDown[Ackerkulturen])-1)/(--(SEARCH(CK$2,Liste_Ackerkulturen_Gemüse_DropDown[Ackerkulturen])&gt;0)),ROW()-2),1),"")</f>
        <v>Radicchio</v>
      </c>
      <c r="CK171" s="2464"/>
      <c r="CL171" s="2464" t="str">
        <f>IFERROR(INDEX(Liste_Ackerkulturen_Gemüse_DropDown[Ackerkulturen],_xlfn.AGGREGATE(15,6,(ROW(Liste_Ackerkulturen_Gemüse_DropDown[Ackerkulturen])-1)/(--(SEARCH(CM$2,Liste_Ackerkulturen_Gemüse_DropDown[Ackerkulturen])&gt;0)),ROW()-2),1),"")</f>
        <v>Radicchio</v>
      </c>
      <c r="CM171" s="2464"/>
      <c r="CN171" s="2464" t="str">
        <f>IFERROR(INDEX(Liste_Ackerkulturen_Gemüse_DropDown[Ackerkulturen],_xlfn.AGGREGATE(15,6,(ROW(Liste_Ackerkulturen_Gemüse_DropDown[Ackerkulturen])-1)/(--(SEARCH(CO$2,Liste_Ackerkulturen_Gemüse_DropDown[Ackerkulturen])&gt;0)),ROW()-2),1),"")</f>
        <v>Radicchio</v>
      </c>
      <c r="CO171" s="2464"/>
      <c r="CP171" s="2464" t="str">
        <f>IFERROR(INDEX(Liste_Ackerkulturen_Gemüse_DropDown[Ackerkulturen],_xlfn.AGGREGATE(15,6,(ROW(Liste_Ackerkulturen_Gemüse_DropDown[Ackerkulturen])-1)/(--(SEARCH(CQ$2,Liste_Ackerkulturen_Gemüse_DropDown[Ackerkulturen])&gt;0)),ROW()-2),1),"")</f>
        <v>Radicchio</v>
      </c>
      <c r="CQ171" s="2464"/>
      <c r="CR171" s="2464" t="str">
        <f>IFERROR(INDEX(Liste_Ackerkulturen_Gemüse_DropDown[Ackerkulturen],_xlfn.AGGREGATE(15,6,(ROW(Liste_Ackerkulturen_Gemüse_DropDown[Ackerkulturen])-1)/(--(SEARCH(CS$2,Liste_Ackerkulturen_Gemüse_DropDown[Ackerkulturen])&gt;0)),ROW()-2),1),"")</f>
        <v>Radicchio</v>
      </c>
      <c r="CS171" s="2464"/>
      <c r="DI171" s="1541"/>
      <c r="DJ171" s="1541"/>
      <c r="DK171" s="1541"/>
      <c r="DL171" s="1541"/>
      <c r="DM171" s="1541"/>
    </row>
    <row r="172" spans="1:117" s="470" customFormat="1" ht="21" customHeight="1">
      <c r="A172" s="465"/>
      <c r="B172" s="465"/>
      <c r="C172" s="1575" t="s">
        <v>102</v>
      </c>
      <c r="D172" s="1576"/>
      <c r="E172" s="1594"/>
      <c r="F172" s="1568">
        <v>80</v>
      </c>
      <c r="G172" s="1568"/>
      <c r="H172" s="1716"/>
      <c r="I172" s="1718">
        <v>80</v>
      </c>
      <c r="J172" s="1188"/>
      <c r="K172" s="1568">
        <v>80</v>
      </c>
      <c r="L172" s="1188"/>
      <c r="M172" s="1568">
        <v>80</v>
      </c>
      <c r="N172" s="1188"/>
      <c r="O172" s="1568">
        <v>80</v>
      </c>
      <c r="P172" s="1527">
        <v>50</v>
      </c>
      <c r="Q172" s="1591">
        <v>50</v>
      </c>
      <c r="R172" s="1569">
        <v>85</v>
      </c>
      <c r="S172" s="1570">
        <v>70</v>
      </c>
      <c r="T172" s="1568">
        <v>55</v>
      </c>
      <c r="U172" s="1718">
        <v>55</v>
      </c>
      <c r="V172" s="1568">
        <v>55</v>
      </c>
      <c r="W172" s="1188" t="s">
        <v>1954</v>
      </c>
      <c r="X172" s="1592" t="s">
        <v>1955</v>
      </c>
      <c r="Y172" s="1569">
        <v>120</v>
      </c>
      <c r="Z172" s="1570">
        <v>100</v>
      </c>
      <c r="AA172" s="1568">
        <v>80</v>
      </c>
      <c r="AB172" s="1718">
        <v>80</v>
      </c>
      <c r="AC172" s="1568">
        <v>80</v>
      </c>
      <c r="AD172" s="1188" t="s">
        <v>1956</v>
      </c>
      <c r="AE172" s="1592" t="s">
        <v>1955</v>
      </c>
      <c r="AF172" s="1279"/>
      <c r="AG172" s="176"/>
      <c r="AH172" s="176"/>
      <c r="AI172" s="176"/>
      <c r="AJ172" s="471"/>
      <c r="AK172" s="471"/>
      <c r="AL172" s="471"/>
      <c r="AM172" s="2371" t="s">
        <v>239</v>
      </c>
      <c r="AN172" s="2352">
        <v>120</v>
      </c>
      <c r="AO172" s="2283" t="s">
        <v>66</v>
      </c>
      <c r="AP172" s="2352">
        <v>140</v>
      </c>
      <c r="AQ172" s="2283" t="s">
        <v>67</v>
      </c>
      <c r="AR172" s="2352">
        <v>165</v>
      </c>
      <c r="AS172" s="2283" t="s">
        <v>151</v>
      </c>
      <c r="AT172" s="2348">
        <v>165</v>
      </c>
      <c r="AU172" s="2285" t="s">
        <v>151</v>
      </c>
      <c r="AV172" s="2348">
        <v>165</v>
      </c>
      <c r="AW172" s="2285" t="s">
        <v>151</v>
      </c>
      <c r="AX172" s="2345">
        <v>100</v>
      </c>
      <c r="AY172" s="2278" t="s">
        <v>67</v>
      </c>
      <c r="AZ172" s="2350">
        <v>125</v>
      </c>
      <c r="BA172" s="2303" t="s">
        <v>2326</v>
      </c>
      <c r="BE172" s="2371" t="s">
        <v>239</v>
      </c>
      <c r="BF172" s="577">
        <v>25</v>
      </c>
      <c r="BG172" s="577">
        <v>30</v>
      </c>
      <c r="BH172" s="577">
        <v>40</v>
      </c>
      <c r="BJ172" s="2371" t="s">
        <v>239</v>
      </c>
      <c r="BK172" s="578">
        <v>110</v>
      </c>
      <c r="BL172" s="577">
        <v>140</v>
      </c>
      <c r="BM172" s="577">
        <v>175</v>
      </c>
      <c r="BP172" s="524"/>
      <c r="BQ172" s="524"/>
      <c r="BR172" s="524"/>
      <c r="BS172" s="2461" t="s">
        <v>241</v>
      </c>
      <c r="BT172" s="2463" t="str">
        <f>IFERROR(INDEX(Liste_Ackerkulturen_Gemüse_DropDown[Ackerkulturen],_xlfn.AGGREGATE(15,6,(ROW(Liste_Ackerkulturen_Gemüse_DropDown[Ackerkulturen])-1)/(--(SEARCH(BU$2,Liste_Ackerkulturen_Gemüse_DropDown[Ackerkulturen])&gt;0)),ROW()-2),1),"")</f>
        <v>Radieschen (Frühjahr)</v>
      </c>
      <c r="BU172" s="2463"/>
      <c r="BV172" s="2463" t="str">
        <f>IFERROR(INDEX(Liste_Ackerkulturen_Gemüse_DropDown[Ackerkulturen],_xlfn.AGGREGATE(15,6,(ROW(Liste_Ackerkulturen_Gemüse_DropDown[Ackerkulturen])-1)/(--(SEARCH(BW$2,Liste_Ackerkulturen_Gemüse_DropDown[Ackerkulturen])&gt;0)),ROW()-2),1),"")</f>
        <v>Radieschen (Frühjahr)</v>
      </c>
      <c r="BW172" s="2463"/>
      <c r="BX172" s="2463" t="str">
        <f>IFERROR(INDEX(Liste_Ackerkulturen_Gemüse_DropDown[Ackerkulturen],_xlfn.AGGREGATE(15,6,(ROW(Liste_Ackerkulturen_Gemüse_DropDown[Ackerkulturen])-1)/(--(SEARCH(BY$2,Liste_Ackerkulturen_Gemüse_DropDown[Ackerkulturen])&gt;0)),ROW()-2),1),"")</f>
        <v>Radieschen (Frühjahr)</v>
      </c>
      <c r="BY172" s="2463"/>
      <c r="BZ172" s="2463" t="str">
        <f>IFERROR(INDEX(Liste_Ackerkulturen_Gemüse_DropDown[Ackerkulturen],_xlfn.AGGREGATE(15,6,(ROW(Liste_Ackerkulturen_Gemüse_DropDown[Ackerkulturen])-1)/(--(SEARCH(CA$2,Liste_Ackerkulturen_Gemüse_DropDown[Ackerkulturen])&gt;0)),ROW()-2),1),"")</f>
        <v>Radieschen (Frühjahr)</v>
      </c>
      <c r="CA172" s="2463"/>
      <c r="CB172" s="2463" t="str">
        <f>IFERROR(INDEX(Liste_Ackerkulturen_Gemüse_DropDown[Ackerkulturen],_xlfn.AGGREGATE(15,6,(ROW(Liste_Ackerkulturen_Gemüse_DropDown[Ackerkulturen])-1)/(--(SEARCH(CC$2,Liste_Ackerkulturen_Gemüse_DropDown[Ackerkulturen])&gt;0)),ROW()-2),1),"")</f>
        <v>Radieschen (Frühjahr)</v>
      </c>
      <c r="CC172" s="2463"/>
      <c r="CD172" s="2464" t="str">
        <f>IFERROR(INDEX(Liste_Ackerkulturen_Gemüse_DropDown[Ackerkulturen],_xlfn.AGGREGATE(15,6,(ROW(Liste_Ackerkulturen_Gemüse_DropDown[Ackerkulturen])-1)/(--(SEARCH(CE$2,Liste_Ackerkulturen_Gemüse_DropDown[Ackerkulturen])&gt;0)),ROW()-2),1),"")</f>
        <v>Radieschen (Frühjahr)</v>
      </c>
      <c r="CE172" s="2464"/>
      <c r="CF172" s="2464" t="str">
        <f>IFERROR(INDEX(Liste_Ackerkulturen_Gemüse_DropDown[Ackerkulturen],_xlfn.AGGREGATE(15,6,(ROW(Liste_Ackerkulturen_Gemüse_DropDown[Ackerkulturen])-1)/(--(SEARCH(CG$2,Liste_Ackerkulturen_Gemüse_DropDown[Ackerkulturen])&gt;0)),ROW()-2),1),"")</f>
        <v>Radieschen (Frühjahr)</v>
      </c>
      <c r="CG172" s="2464"/>
      <c r="CH172" s="2464" t="str">
        <f>IFERROR(INDEX(Liste_Ackerkulturen_Gemüse_DropDown[Ackerkulturen],_xlfn.AGGREGATE(15,6,(ROW(Liste_Ackerkulturen_Gemüse_DropDown[Ackerkulturen])-1)/(--(SEARCH(CI$2,Liste_Ackerkulturen_Gemüse_DropDown[Ackerkulturen])&gt;0)),ROW()-2),1),"")</f>
        <v>Radieschen (Frühjahr)</v>
      </c>
      <c r="CI172" s="2464"/>
      <c r="CJ172" s="2464" t="str">
        <f>IFERROR(INDEX(Liste_Ackerkulturen_Gemüse_DropDown[Ackerkulturen],_xlfn.AGGREGATE(15,6,(ROW(Liste_Ackerkulturen_Gemüse_DropDown[Ackerkulturen])-1)/(--(SEARCH(CK$2,Liste_Ackerkulturen_Gemüse_DropDown[Ackerkulturen])&gt;0)),ROW()-2),1),"")</f>
        <v>Radieschen (Frühjahr)</v>
      </c>
      <c r="CK172" s="2464"/>
      <c r="CL172" s="2464" t="str">
        <f>IFERROR(INDEX(Liste_Ackerkulturen_Gemüse_DropDown[Ackerkulturen],_xlfn.AGGREGATE(15,6,(ROW(Liste_Ackerkulturen_Gemüse_DropDown[Ackerkulturen])-1)/(--(SEARCH(CM$2,Liste_Ackerkulturen_Gemüse_DropDown[Ackerkulturen])&gt;0)),ROW()-2),1),"")</f>
        <v>Radieschen (Frühjahr)</v>
      </c>
      <c r="CM172" s="2464"/>
      <c r="CN172" s="2464" t="str">
        <f>IFERROR(INDEX(Liste_Ackerkulturen_Gemüse_DropDown[Ackerkulturen],_xlfn.AGGREGATE(15,6,(ROW(Liste_Ackerkulturen_Gemüse_DropDown[Ackerkulturen])-1)/(--(SEARCH(CO$2,Liste_Ackerkulturen_Gemüse_DropDown[Ackerkulturen])&gt;0)),ROW()-2),1),"")</f>
        <v>Radieschen (Frühjahr)</v>
      </c>
      <c r="CO172" s="2464"/>
      <c r="CP172" s="2464" t="str">
        <f>IFERROR(INDEX(Liste_Ackerkulturen_Gemüse_DropDown[Ackerkulturen],_xlfn.AGGREGATE(15,6,(ROW(Liste_Ackerkulturen_Gemüse_DropDown[Ackerkulturen])-1)/(--(SEARCH(CQ$2,Liste_Ackerkulturen_Gemüse_DropDown[Ackerkulturen])&gt;0)),ROW()-2),1),"")</f>
        <v>Radieschen (Frühjahr)</v>
      </c>
      <c r="CQ172" s="2464"/>
      <c r="CR172" s="2464" t="str">
        <f>IFERROR(INDEX(Liste_Ackerkulturen_Gemüse_DropDown[Ackerkulturen],_xlfn.AGGREGATE(15,6,(ROW(Liste_Ackerkulturen_Gemüse_DropDown[Ackerkulturen])-1)/(--(SEARCH(CS$2,Liste_Ackerkulturen_Gemüse_DropDown[Ackerkulturen])&gt;0)),ROW()-2),1),"")</f>
        <v>Radieschen (Frühjahr)</v>
      </c>
      <c r="CS172" s="2464"/>
      <c r="DI172" s="1541"/>
      <c r="DJ172" s="1541"/>
      <c r="DK172" s="1541"/>
      <c r="DL172" s="1541"/>
      <c r="DM172" s="1541"/>
    </row>
    <row r="173" spans="1:117" s="470" customFormat="1" ht="21" customHeight="1">
      <c r="A173" s="465"/>
      <c r="B173" s="465"/>
      <c r="C173" s="1575" t="s">
        <v>103</v>
      </c>
      <c r="D173" s="1576"/>
      <c r="E173" s="1594" t="s">
        <v>1967</v>
      </c>
      <c r="F173" s="1568">
        <v>210</v>
      </c>
      <c r="G173" s="1568"/>
      <c r="H173" s="1716" t="s">
        <v>1968</v>
      </c>
      <c r="I173" s="1718">
        <v>210</v>
      </c>
      <c r="J173" s="1188" t="s">
        <v>1972</v>
      </c>
      <c r="K173" s="1568">
        <v>210</v>
      </c>
      <c r="L173" s="1188" t="s">
        <v>1973</v>
      </c>
      <c r="M173" s="1568">
        <v>210</v>
      </c>
      <c r="N173" s="1188" t="s">
        <v>1974</v>
      </c>
      <c r="O173" s="1568">
        <v>210</v>
      </c>
      <c r="P173" s="1527">
        <v>200</v>
      </c>
      <c r="Q173" s="1591">
        <v>200</v>
      </c>
      <c r="R173" s="1569">
        <v>85</v>
      </c>
      <c r="S173" s="1570">
        <v>70</v>
      </c>
      <c r="T173" s="1568">
        <v>50</v>
      </c>
      <c r="U173" s="1718">
        <v>55</v>
      </c>
      <c r="V173" s="1568">
        <v>65</v>
      </c>
      <c r="W173" s="1188" t="s">
        <v>1954</v>
      </c>
      <c r="X173" s="1592" t="s">
        <v>1955</v>
      </c>
      <c r="Y173" s="1569"/>
      <c r="Z173" s="1570"/>
      <c r="AA173" s="1568"/>
      <c r="AB173" s="1718"/>
      <c r="AC173" s="1568"/>
      <c r="AD173" s="1188"/>
      <c r="AE173" s="1592"/>
      <c r="AF173" s="1279"/>
      <c r="AG173" s="176"/>
      <c r="AH173" s="176"/>
      <c r="AI173" s="176"/>
      <c r="AJ173" s="471"/>
      <c r="AK173" s="471"/>
      <c r="AL173" s="471"/>
      <c r="AM173" s="2371" t="s">
        <v>240</v>
      </c>
      <c r="AN173" s="2352">
        <v>105</v>
      </c>
      <c r="AO173" s="2283" t="s">
        <v>462</v>
      </c>
      <c r="AP173" s="2352">
        <v>120</v>
      </c>
      <c r="AQ173" s="2283" t="s">
        <v>1057</v>
      </c>
      <c r="AR173" s="2352">
        <v>140</v>
      </c>
      <c r="AS173" s="2283" t="s">
        <v>224</v>
      </c>
      <c r="AT173" s="2348">
        <v>140</v>
      </c>
      <c r="AU173" s="2285" t="s">
        <v>224</v>
      </c>
      <c r="AV173" s="2348">
        <v>140</v>
      </c>
      <c r="AW173" s="2285" t="s">
        <v>224</v>
      </c>
      <c r="AX173" s="2345">
        <v>80</v>
      </c>
      <c r="AY173" s="2278" t="s">
        <v>1057</v>
      </c>
      <c r="AZ173" s="2350">
        <v>100</v>
      </c>
      <c r="BA173" s="2303" t="s">
        <v>2345</v>
      </c>
      <c r="BE173" s="2371" t="s">
        <v>240</v>
      </c>
      <c r="BF173" s="577">
        <v>15</v>
      </c>
      <c r="BG173" s="577">
        <v>20</v>
      </c>
      <c r="BH173" s="577">
        <v>25</v>
      </c>
      <c r="BJ173" s="2371" t="s">
        <v>240</v>
      </c>
      <c r="BK173" s="578">
        <v>80</v>
      </c>
      <c r="BL173" s="577">
        <v>100</v>
      </c>
      <c r="BM173" s="577">
        <v>125</v>
      </c>
      <c r="BP173" s="524"/>
      <c r="BQ173" s="524"/>
      <c r="BR173" s="524"/>
      <c r="BS173" s="2461" t="s">
        <v>242</v>
      </c>
      <c r="BT173" s="2463" t="str">
        <f>IFERROR(INDEX(Liste_Ackerkulturen_Gemüse_DropDown[Ackerkulturen],_xlfn.AGGREGATE(15,6,(ROW(Liste_Ackerkulturen_Gemüse_DropDown[Ackerkulturen])-1)/(--(SEARCH(BU$2,Liste_Ackerkulturen_Gemüse_DropDown[Ackerkulturen])&gt;0)),ROW()-2),1),"")</f>
        <v>Radieschen (Frühjahr/Herbst)</v>
      </c>
      <c r="BU173" s="2463"/>
      <c r="BV173" s="2463" t="str">
        <f>IFERROR(INDEX(Liste_Ackerkulturen_Gemüse_DropDown[Ackerkulturen],_xlfn.AGGREGATE(15,6,(ROW(Liste_Ackerkulturen_Gemüse_DropDown[Ackerkulturen])-1)/(--(SEARCH(BW$2,Liste_Ackerkulturen_Gemüse_DropDown[Ackerkulturen])&gt;0)),ROW()-2),1),"")</f>
        <v>Radieschen (Frühjahr/Herbst)</v>
      </c>
      <c r="BW173" s="2463"/>
      <c r="BX173" s="2463" t="str">
        <f>IFERROR(INDEX(Liste_Ackerkulturen_Gemüse_DropDown[Ackerkulturen],_xlfn.AGGREGATE(15,6,(ROW(Liste_Ackerkulturen_Gemüse_DropDown[Ackerkulturen])-1)/(--(SEARCH(BY$2,Liste_Ackerkulturen_Gemüse_DropDown[Ackerkulturen])&gt;0)),ROW()-2),1),"")</f>
        <v>Radieschen (Frühjahr/Herbst)</v>
      </c>
      <c r="BY173" s="2463"/>
      <c r="BZ173" s="2463" t="str">
        <f>IFERROR(INDEX(Liste_Ackerkulturen_Gemüse_DropDown[Ackerkulturen],_xlfn.AGGREGATE(15,6,(ROW(Liste_Ackerkulturen_Gemüse_DropDown[Ackerkulturen])-1)/(--(SEARCH(CA$2,Liste_Ackerkulturen_Gemüse_DropDown[Ackerkulturen])&gt;0)),ROW()-2),1),"")</f>
        <v>Radieschen (Frühjahr/Herbst)</v>
      </c>
      <c r="CA173" s="2463"/>
      <c r="CB173" s="2463" t="str">
        <f>IFERROR(INDEX(Liste_Ackerkulturen_Gemüse_DropDown[Ackerkulturen],_xlfn.AGGREGATE(15,6,(ROW(Liste_Ackerkulturen_Gemüse_DropDown[Ackerkulturen])-1)/(--(SEARCH(CC$2,Liste_Ackerkulturen_Gemüse_DropDown[Ackerkulturen])&gt;0)),ROW()-2),1),"")</f>
        <v>Radieschen (Frühjahr/Herbst)</v>
      </c>
      <c r="CC173" s="2463"/>
      <c r="CD173" s="2464" t="str">
        <f>IFERROR(INDEX(Liste_Ackerkulturen_Gemüse_DropDown[Ackerkulturen],_xlfn.AGGREGATE(15,6,(ROW(Liste_Ackerkulturen_Gemüse_DropDown[Ackerkulturen])-1)/(--(SEARCH(CE$2,Liste_Ackerkulturen_Gemüse_DropDown[Ackerkulturen])&gt;0)),ROW()-2),1),"")</f>
        <v>Radieschen (Frühjahr/Herbst)</v>
      </c>
      <c r="CE173" s="2464"/>
      <c r="CF173" s="2464" t="str">
        <f>IFERROR(INDEX(Liste_Ackerkulturen_Gemüse_DropDown[Ackerkulturen],_xlfn.AGGREGATE(15,6,(ROW(Liste_Ackerkulturen_Gemüse_DropDown[Ackerkulturen])-1)/(--(SEARCH(CG$2,Liste_Ackerkulturen_Gemüse_DropDown[Ackerkulturen])&gt;0)),ROW()-2),1),"")</f>
        <v>Radieschen (Frühjahr/Herbst)</v>
      </c>
      <c r="CG173" s="2464"/>
      <c r="CH173" s="2464" t="str">
        <f>IFERROR(INDEX(Liste_Ackerkulturen_Gemüse_DropDown[Ackerkulturen],_xlfn.AGGREGATE(15,6,(ROW(Liste_Ackerkulturen_Gemüse_DropDown[Ackerkulturen])-1)/(--(SEARCH(CI$2,Liste_Ackerkulturen_Gemüse_DropDown[Ackerkulturen])&gt;0)),ROW()-2),1),"")</f>
        <v>Radieschen (Frühjahr/Herbst)</v>
      </c>
      <c r="CI173" s="2464"/>
      <c r="CJ173" s="2464" t="str">
        <f>IFERROR(INDEX(Liste_Ackerkulturen_Gemüse_DropDown[Ackerkulturen],_xlfn.AGGREGATE(15,6,(ROW(Liste_Ackerkulturen_Gemüse_DropDown[Ackerkulturen])-1)/(--(SEARCH(CK$2,Liste_Ackerkulturen_Gemüse_DropDown[Ackerkulturen])&gt;0)),ROW()-2),1),"")</f>
        <v>Radieschen (Frühjahr/Herbst)</v>
      </c>
      <c r="CK173" s="2464"/>
      <c r="CL173" s="2464" t="str">
        <f>IFERROR(INDEX(Liste_Ackerkulturen_Gemüse_DropDown[Ackerkulturen],_xlfn.AGGREGATE(15,6,(ROW(Liste_Ackerkulturen_Gemüse_DropDown[Ackerkulturen])-1)/(--(SEARCH(CM$2,Liste_Ackerkulturen_Gemüse_DropDown[Ackerkulturen])&gt;0)),ROW()-2),1),"")</f>
        <v>Radieschen (Frühjahr/Herbst)</v>
      </c>
      <c r="CM173" s="2464"/>
      <c r="CN173" s="2464" t="str">
        <f>IFERROR(INDEX(Liste_Ackerkulturen_Gemüse_DropDown[Ackerkulturen],_xlfn.AGGREGATE(15,6,(ROW(Liste_Ackerkulturen_Gemüse_DropDown[Ackerkulturen])-1)/(--(SEARCH(CO$2,Liste_Ackerkulturen_Gemüse_DropDown[Ackerkulturen])&gt;0)),ROW()-2),1),"")</f>
        <v>Radieschen (Frühjahr/Herbst)</v>
      </c>
      <c r="CO173" s="2464"/>
      <c r="CP173" s="2464" t="str">
        <f>IFERROR(INDEX(Liste_Ackerkulturen_Gemüse_DropDown[Ackerkulturen],_xlfn.AGGREGATE(15,6,(ROW(Liste_Ackerkulturen_Gemüse_DropDown[Ackerkulturen])-1)/(--(SEARCH(CQ$2,Liste_Ackerkulturen_Gemüse_DropDown[Ackerkulturen])&gt;0)),ROW()-2),1),"")</f>
        <v>Radieschen (Frühjahr/Herbst)</v>
      </c>
      <c r="CQ173" s="2464"/>
      <c r="CR173" s="2464" t="str">
        <f>IFERROR(INDEX(Liste_Ackerkulturen_Gemüse_DropDown[Ackerkulturen],_xlfn.AGGREGATE(15,6,(ROW(Liste_Ackerkulturen_Gemüse_DropDown[Ackerkulturen])-1)/(--(SEARCH(CS$2,Liste_Ackerkulturen_Gemüse_DropDown[Ackerkulturen])&gt;0)),ROW()-2),1),"")</f>
        <v>Radieschen (Frühjahr/Herbst)</v>
      </c>
      <c r="CS173" s="2464"/>
      <c r="DI173" s="1541"/>
      <c r="DJ173" s="1541"/>
      <c r="DK173" s="1541"/>
      <c r="DL173" s="1541"/>
      <c r="DM173" s="1541"/>
    </row>
    <row r="174" spans="1:117" s="470" customFormat="1" ht="21" customHeight="1">
      <c r="A174" s="465"/>
      <c r="B174" s="465"/>
      <c r="C174" s="1575" t="s">
        <v>104</v>
      </c>
      <c r="D174" s="1576"/>
      <c r="E174" s="1594" t="s">
        <v>105</v>
      </c>
      <c r="F174" s="1568">
        <v>170</v>
      </c>
      <c r="G174" s="1568"/>
      <c r="H174" s="1716" t="s">
        <v>453</v>
      </c>
      <c r="I174" s="1718">
        <v>190</v>
      </c>
      <c r="J174" s="1188" t="s">
        <v>106</v>
      </c>
      <c r="K174" s="1568">
        <v>210</v>
      </c>
      <c r="L174" s="1188" t="s">
        <v>107</v>
      </c>
      <c r="M174" s="1568">
        <v>210</v>
      </c>
      <c r="N174" s="1188" t="s">
        <v>2001</v>
      </c>
      <c r="O174" s="1568">
        <v>210</v>
      </c>
      <c r="P174" s="1527">
        <v>110</v>
      </c>
      <c r="Q174" s="1591">
        <v>130</v>
      </c>
      <c r="R174" s="1569">
        <v>165</v>
      </c>
      <c r="S174" s="1570">
        <v>140</v>
      </c>
      <c r="T174" s="1568">
        <v>100</v>
      </c>
      <c r="U174" s="1718">
        <v>110</v>
      </c>
      <c r="V174" s="1568">
        <v>125</v>
      </c>
      <c r="W174" s="1188">
        <v>55</v>
      </c>
      <c r="X174" s="1592" t="s">
        <v>1955</v>
      </c>
      <c r="Y174" s="1569">
        <v>480</v>
      </c>
      <c r="Z174" s="1570">
        <v>400</v>
      </c>
      <c r="AA174" s="1568">
        <v>290</v>
      </c>
      <c r="AB174" s="1718">
        <v>320</v>
      </c>
      <c r="AC174" s="1568">
        <v>370</v>
      </c>
      <c r="AD174" s="1188">
        <v>160</v>
      </c>
      <c r="AE174" s="1592" t="s">
        <v>1955</v>
      </c>
      <c r="AF174" s="1279"/>
      <c r="AG174" s="176"/>
      <c r="AH174" s="176"/>
      <c r="AI174" s="176"/>
      <c r="AJ174" s="471"/>
      <c r="AK174" s="471"/>
      <c r="AL174" s="471"/>
      <c r="AM174" s="2371" t="s">
        <v>241</v>
      </c>
      <c r="AN174" s="2352">
        <v>105</v>
      </c>
      <c r="AO174" s="2283" t="s">
        <v>462</v>
      </c>
      <c r="AP174" s="2352">
        <v>120</v>
      </c>
      <c r="AQ174" s="2283" t="s">
        <v>463</v>
      </c>
      <c r="AR174" s="2352">
        <v>140</v>
      </c>
      <c r="AS174" s="2283" t="s">
        <v>464</v>
      </c>
      <c r="AT174" s="2348">
        <v>140</v>
      </c>
      <c r="AU174" s="2285" t="s">
        <v>464</v>
      </c>
      <c r="AV174" s="2348">
        <v>140</v>
      </c>
      <c r="AW174" s="2285" t="s">
        <v>464</v>
      </c>
      <c r="AX174" s="2345">
        <v>80</v>
      </c>
      <c r="AY174" s="2278" t="s">
        <v>463</v>
      </c>
      <c r="AZ174" s="2350">
        <v>100</v>
      </c>
      <c r="BA174" s="2303" t="s">
        <v>2324</v>
      </c>
      <c r="BE174" s="2371" t="s">
        <v>241</v>
      </c>
      <c r="BF174" s="577">
        <v>15</v>
      </c>
      <c r="BG174" s="577">
        <v>20</v>
      </c>
      <c r="BH174" s="577">
        <v>25</v>
      </c>
      <c r="BJ174" s="2371" t="s">
        <v>241</v>
      </c>
      <c r="BK174" s="578">
        <v>80</v>
      </c>
      <c r="BL174" s="577">
        <v>100</v>
      </c>
      <c r="BM174" s="577">
        <v>125</v>
      </c>
      <c r="BP174" s="524"/>
      <c r="BQ174" s="524"/>
      <c r="BR174" s="524"/>
      <c r="BS174" s="2461" t="s">
        <v>243</v>
      </c>
      <c r="BT174" s="2463" t="str">
        <f>IFERROR(INDEX(Liste_Ackerkulturen_Gemüse_DropDown[Ackerkulturen],_xlfn.AGGREGATE(15,6,(ROW(Liste_Ackerkulturen_Gemüse_DropDown[Ackerkulturen])-1)/(--(SEARCH(BU$2,Liste_Ackerkulturen_Gemüse_DropDown[Ackerkulturen])&gt;0)),ROW()-2),1),"")</f>
        <v>Radieschen (Sommer)</v>
      </c>
      <c r="BU174" s="2463"/>
      <c r="BV174" s="2463" t="str">
        <f>IFERROR(INDEX(Liste_Ackerkulturen_Gemüse_DropDown[Ackerkulturen],_xlfn.AGGREGATE(15,6,(ROW(Liste_Ackerkulturen_Gemüse_DropDown[Ackerkulturen])-1)/(--(SEARCH(BW$2,Liste_Ackerkulturen_Gemüse_DropDown[Ackerkulturen])&gt;0)),ROW()-2),1),"")</f>
        <v>Radieschen (Sommer)</v>
      </c>
      <c r="BW174" s="2463"/>
      <c r="BX174" s="2463" t="str">
        <f>IFERROR(INDEX(Liste_Ackerkulturen_Gemüse_DropDown[Ackerkulturen],_xlfn.AGGREGATE(15,6,(ROW(Liste_Ackerkulturen_Gemüse_DropDown[Ackerkulturen])-1)/(--(SEARCH(BY$2,Liste_Ackerkulturen_Gemüse_DropDown[Ackerkulturen])&gt;0)),ROW()-2),1),"")</f>
        <v>Radieschen (Sommer)</v>
      </c>
      <c r="BY174" s="2463"/>
      <c r="BZ174" s="2463" t="str">
        <f>IFERROR(INDEX(Liste_Ackerkulturen_Gemüse_DropDown[Ackerkulturen],_xlfn.AGGREGATE(15,6,(ROW(Liste_Ackerkulturen_Gemüse_DropDown[Ackerkulturen])-1)/(--(SEARCH(CA$2,Liste_Ackerkulturen_Gemüse_DropDown[Ackerkulturen])&gt;0)),ROW()-2),1),"")</f>
        <v>Radieschen (Sommer)</v>
      </c>
      <c r="CA174" s="2463"/>
      <c r="CB174" s="2463" t="str">
        <f>IFERROR(INDEX(Liste_Ackerkulturen_Gemüse_DropDown[Ackerkulturen],_xlfn.AGGREGATE(15,6,(ROW(Liste_Ackerkulturen_Gemüse_DropDown[Ackerkulturen])-1)/(--(SEARCH(CC$2,Liste_Ackerkulturen_Gemüse_DropDown[Ackerkulturen])&gt;0)),ROW()-2),1),"")</f>
        <v>Radieschen (Sommer)</v>
      </c>
      <c r="CC174" s="2463"/>
      <c r="CD174" s="2464" t="str">
        <f>IFERROR(INDEX(Liste_Ackerkulturen_Gemüse_DropDown[Ackerkulturen],_xlfn.AGGREGATE(15,6,(ROW(Liste_Ackerkulturen_Gemüse_DropDown[Ackerkulturen])-1)/(--(SEARCH(CE$2,Liste_Ackerkulturen_Gemüse_DropDown[Ackerkulturen])&gt;0)),ROW()-2),1),"")</f>
        <v>Radieschen (Sommer)</v>
      </c>
      <c r="CE174" s="2464"/>
      <c r="CF174" s="2464" t="str">
        <f>IFERROR(INDEX(Liste_Ackerkulturen_Gemüse_DropDown[Ackerkulturen],_xlfn.AGGREGATE(15,6,(ROW(Liste_Ackerkulturen_Gemüse_DropDown[Ackerkulturen])-1)/(--(SEARCH(CG$2,Liste_Ackerkulturen_Gemüse_DropDown[Ackerkulturen])&gt;0)),ROW()-2),1),"")</f>
        <v>Radieschen (Sommer)</v>
      </c>
      <c r="CG174" s="2464"/>
      <c r="CH174" s="2464" t="str">
        <f>IFERROR(INDEX(Liste_Ackerkulturen_Gemüse_DropDown[Ackerkulturen],_xlfn.AGGREGATE(15,6,(ROW(Liste_Ackerkulturen_Gemüse_DropDown[Ackerkulturen])-1)/(--(SEARCH(CI$2,Liste_Ackerkulturen_Gemüse_DropDown[Ackerkulturen])&gt;0)),ROW()-2),1),"")</f>
        <v>Radieschen (Sommer)</v>
      </c>
      <c r="CI174" s="2464"/>
      <c r="CJ174" s="2464" t="str">
        <f>IFERROR(INDEX(Liste_Ackerkulturen_Gemüse_DropDown[Ackerkulturen],_xlfn.AGGREGATE(15,6,(ROW(Liste_Ackerkulturen_Gemüse_DropDown[Ackerkulturen])-1)/(--(SEARCH(CK$2,Liste_Ackerkulturen_Gemüse_DropDown[Ackerkulturen])&gt;0)),ROW()-2),1),"")</f>
        <v>Radieschen (Sommer)</v>
      </c>
      <c r="CK174" s="2464"/>
      <c r="CL174" s="2464" t="str">
        <f>IFERROR(INDEX(Liste_Ackerkulturen_Gemüse_DropDown[Ackerkulturen],_xlfn.AGGREGATE(15,6,(ROW(Liste_Ackerkulturen_Gemüse_DropDown[Ackerkulturen])-1)/(--(SEARCH(CM$2,Liste_Ackerkulturen_Gemüse_DropDown[Ackerkulturen])&gt;0)),ROW()-2),1),"")</f>
        <v>Radieschen (Sommer)</v>
      </c>
      <c r="CM174" s="2464"/>
      <c r="CN174" s="2464" t="str">
        <f>IFERROR(INDEX(Liste_Ackerkulturen_Gemüse_DropDown[Ackerkulturen],_xlfn.AGGREGATE(15,6,(ROW(Liste_Ackerkulturen_Gemüse_DropDown[Ackerkulturen])-1)/(--(SEARCH(CO$2,Liste_Ackerkulturen_Gemüse_DropDown[Ackerkulturen])&gt;0)),ROW()-2),1),"")</f>
        <v>Radieschen (Sommer)</v>
      </c>
      <c r="CO174" s="2464"/>
      <c r="CP174" s="2464" t="str">
        <f>IFERROR(INDEX(Liste_Ackerkulturen_Gemüse_DropDown[Ackerkulturen],_xlfn.AGGREGATE(15,6,(ROW(Liste_Ackerkulturen_Gemüse_DropDown[Ackerkulturen])-1)/(--(SEARCH(CQ$2,Liste_Ackerkulturen_Gemüse_DropDown[Ackerkulturen])&gt;0)),ROW()-2),1),"")</f>
        <v>Radieschen (Sommer)</v>
      </c>
      <c r="CQ174" s="2464"/>
      <c r="CR174" s="2464" t="str">
        <f>IFERROR(INDEX(Liste_Ackerkulturen_Gemüse_DropDown[Ackerkulturen],_xlfn.AGGREGATE(15,6,(ROW(Liste_Ackerkulturen_Gemüse_DropDown[Ackerkulturen])-1)/(--(SEARCH(CS$2,Liste_Ackerkulturen_Gemüse_DropDown[Ackerkulturen])&gt;0)),ROW()-2),1),"")</f>
        <v>Radieschen (Sommer)</v>
      </c>
      <c r="CS174" s="2464"/>
      <c r="DI174" s="1541"/>
      <c r="DJ174" s="1541"/>
      <c r="DK174" s="1541"/>
      <c r="DL174" s="1541"/>
      <c r="DM174" s="1541"/>
    </row>
    <row r="175" spans="1:117" s="470" customFormat="1" ht="21" customHeight="1">
      <c r="A175" s="465"/>
      <c r="B175" s="465"/>
      <c r="C175" s="1575" t="s">
        <v>108</v>
      </c>
      <c r="D175" s="1576"/>
      <c r="E175" s="1594" t="s">
        <v>462</v>
      </c>
      <c r="F175" s="1568">
        <v>90</v>
      </c>
      <c r="G175" s="1568"/>
      <c r="H175" s="1716" t="s">
        <v>463</v>
      </c>
      <c r="I175" s="1718">
        <v>120</v>
      </c>
      <c r="J175" s="1188" t="s">
        <v>464</v>
      </c>
      <c r="K175" s="1568">
        <v>145</v>
      </c>
      <c r="L175" s="1188"/>
      <c r="M175" s="1568">
        <v>145</v>
      </c>
      <c r="N175" s="1188"/>
      <c r="O175" s="1568">
        <v>145</v>
      </c>
      <c r="P175" s="1527">
        <v>110</v>
      </c>
      <c r="Q175" s="1591">
        <v>125</v>
      </c>
      <c r="R175" s="1569">
        <v>90</v>
      </c>
      <c r="S175" s="1570">
        <v>75</v>
      </c>
      <c r="T175" s="1568">
        <v>55</v>
      </c>
      <c r="U175" s="1718">
        <v>60</v>
      </c>
      <c r="V175" s="1568">
        <v>70</v>
      </c>
      <c r="W175" s="1188" t="s">
        <v>1954</v>
      </c>
      <c r="X175" s="1592" t="s">
        <v>1955</v>
      </c>
      <c r="Y175" s="1569">
        <v>270</v>
      </c>
      <c r="Z175" s="1570">
        <v>225</v>
      </c>
      <c r="AA175" s="1568">
        <v>160</v>
      </c>
      <c r="AB175" s="1718">
        <v>180</v>
      </c>
      <c r="AC175" s="1568">
        <v>205</v>
      </c>
      <c r="AD175" s="1188" t="s">
        <v>1956</v>
      </c>
      <c r="AE175" s="1592" t="s">
        <v>1955</v>
      </c>
      <c r="AF175" s="1279"/>
      <c r="AG175" s="176"/>
      <c r="AH175" s="176"/>
      <c r="AI175" s="176"/>
      <c r="AJ175" s="471"/>
      <c r="AK175" s="471"/>
      <c r="AL175" s="471"/>
      <c r="AM175" s="2371" t="s">
        <v>242</v>
      </c>
      <c r="AN175" s="2352">
        <v>105</v>
      </c>
      <c r="AO175" s="2283" t="s">
        <v>462</v>
      </c>
      <c r="AP175" s="2352">
        <v>120</v>
      </c>
      <c r="AQ175" s="2283" t="s">
        <v>463</v>
      </c>
      <c r="AR175" s="2352">
        <v>140</v>
      </c>
      <c r="AS175" s="2283" t="s">
        <v>464</v>
      </c>
      <c r="AT175" s="2348">
        <v>140</v>
      </c>
      <c r="AU175" s="2285" t="s">
        <v>464</v>
      </c>
      <c r="AV175" s="2348">
        <v>140</v>
      </c>
      <c r="AW175" s="2285" t="s">
        <v>464</v>
      </c>
      <c r="AX175" s="2345">
        <v>80</v>
      </c>
      <c r="AY175" s="2278" t="s">
        <v>463</v>
      </c>
      <c r="AZ175" s="2350">
        <v>100</v>
      </c>
      <c r="BA175" s="2303" t="s">
        <v>2324</v>
      </c>
      <c r="BE175" s="2371" t="s">
        <v>242</v>
      </c>
      <c r="BF175" s="577">
        <v>15</v>
      </c>
      <c r="BG175" s="577">
        <v>20</v>
      </c>
      <c r="BH175" s="577">
        <v>25</v>
      </c>
      <c r="BJ175" s="2371" t="s">
        <v>242</v>
      </c>
      <c r="BK175" s="578">
        <v>80</v>
      </c>
      <c r="BL175" s="577">
        <v>100</v>
      </c>
      <c r="BM175" s="577">
        <v>125</v>
      </c>
      <c r="BP175" s="524"/>
      <c r="BQ175" s="524"/>
      <c r="BR175" s="524"/>
      <c r="BS175" s="2461" t="s">
        <v>244</v>
      </c>
      <c r="BT175" s="2463" t="str">
        <f>IFERROR(INDEX(Liste_Ackerkulturen_Gemüse_DropDown[Ackerkulturen],_xlfn.AGGREGATE(15,6,(ROW(Liste_Ackerkulturen_Gemüse_DropDown[Ackerkulturen])-1)/(--(SEARCH(BU$2,Liste_Ackerkulturen_Gemüse_DropDown[Ackerkulturen])&gt;0)),ROW()-2),1),"")</f>
        <v>Rettich schwarz</v>
      </c>
      <c r="BU175" s="2463"/>
      <c r="BV175" s="2463" t="str">
        <f>IFERROR(INDEX(Liste_Ackerkulturen_Gemüse_DropDown[Ackerkulturen],_xlfn.AGGREGATE(15,6,(ROW(Liste_Ackerkulturen_Gemüse_DropDown[Ackerkulturen])-1)/(--(SEARCH(BW$2,Liste_Ackerkulturen_Gemüse_DropDown[Ackerkulturen])&gt;0)),ROW()-2),1),"")</f>
        <v>Rettich schwarz</v>
      </c>
      <c r="BW175" s="2463"/>
      <c r="BX175" s="2463" t="str">
        <f>IFERROR(INDEX(Liste_Ackerkulturen_Gemüse_DropDown[Ackerkulturen],_xlfn.AGGREGATE(15,6,(ROW(Liste_Ackerkulturen_Gemüse_DropDown[Ackerkulturen])-1)/(--(SEARCH(BY$2,Liste_Ackerkulturen_Gemüse_DropDown[Ackerkulturen])&gt;0)),ROW()-2),1),"")</f>
        <v>Rettich schwarz</v>
      </c>
      <c r="BY175" s="2463"/>
      <c r="BZ175" s="2463" t="str">
        <f>IFERROR(INDEX(Liste_Ackerkulturen_Gemüse_DropDown[Ackerkulturen],_xlfn.AGGREGATE(15,6,(ROW(Liste_Ackerkulturen_Gemüse_DropDown[Ackerkulturen])-1)/(--(SEARCH(CA$2,Liste_Ackerkulturen_Gemüse_DropDown[Ackerkulturen])&gt;0)),ROW()-2),1),"")</f>
        <v>Rettich schwarz</v>
      </c>
      <c r="CA175" s="2463"/>
      <c r="CB175" s="2463" t="str">
        <f>IFERROR(INDEX(Liste_Ackerkulturen_Gemüse_DropDown[Ackerkulturen],_xlfn.AGGREGATE(15,6,(ROW(Liste_Ackerkulturen_Gemüse_DropDown[Ackerkulturen])-1)/(--(SEARCH(CC$2,Liste_Ackerkulturen_Gemüse_DropDown[Ackerkulturen])&gt;0)),ROW()-2),1),"")</f>
        <v>Rettich schwarz</v>
      </c>
      <c r="CC175" s="2463"/>
      <c r="CD175" s="2464" t="str">
        <f>IFERROR(INDEX(Liste_Ackerkulturen_Gemüse_DropDown[Ackerkulturen],_xlfn.AGGREGATE(15,6,(ROW(Liste_Ackerkulturen_Gemüse_DropDown[Ackerkulturen])-1)/(--(SEARCH(CE$2,Liste_Ackerkulturen_Gemüse_DropDown[Ackerkulturen])&gt;0)),ROW()-2),1),"")</f>
        <v>Rettich schwarz</v>
      </c>
      <c r="CE175" s="2464"/>
      <c r="CF175" s="2464" t="str">
        <f>IFERROR(INDEX(Liste_Ackerkulturen_Gemüse_DropDown[Ackerkulturen],_xlfn.AGGREGATE(15,6,(ROW(Liste_Ackerkulturen_Gemüse_DropDown[Ackerkulturen])-1)/(--(SEARCH(CG$2,Liste_Ackerkulturen_Gemüse_DropDown[Ackerkulturen])&gt;0)),ROW()-2),1),"")</f>
        <v>Rettich schwarz</v>
      </c>
      <c r="CG175" s="2464"/>
      <c r="CH175" s="2464" t="str">
        <f>IFERROR(INDEX(Liste_Ackerkulturen_Gemüse_DropDown[Ackerkulturen],_xlfn.AGGREGATE(15,6,(ROW(Liste_Ackerkulturen_Gemüse_DropDown[Ackerkulturen])-1)/(--(SEARCH(CI$2,Liste_Ackerkulturen_Gemüse_DropDown[Ackerkulturen])&gt;0)),ROW()-2),1),"")</f>
        <v>Rettich schwarz</v>
      </c>
      <c r="CI175" s="2464"/>
      <c r="CJ175" s="2464" t="str">
        <f>IFERROR(INDEX(Liste_Ackerkulturen_Gemüse_DropDown[Ackerkulturen],_xlfn.AGGREGATE(15,6,(ROW(Liste_Ackerkulturen_Gemüse_DropDown[Ackerkulturen])-1)/(--(SEARCH(CK$2,Liste_Ackerkulturen_Gemüse_DropDown[Ackerkulturen])&gt;0)),ROW()-2),1),"")</f>
        <v>Rettich schwarz</v>
      </c>
      <c r="CK175" s="2464"/>
      <c r="CL175" s="2464" t="str">
        <f>IFERROR(INDEX(Liste_Ackerkulturen_Gemüse_DropDown[Ackerkulturen],_xlfn.AGGREGATE(15,6,(ROW(Liste_Ackerkulturen_Gemüse_DropDown[Ackerkulturen])-1)/(--(SEARCH(CM$2,Liste_Ackerkulturen_Gemüse_DropDown[Ackerkulturen])&gt;0)),ROW()-2),1),"")</f>
        <v>Rettich schwarz</v>
      </c>
      <c r="CM175" s="2464"/>
      <c r="CN175" s="2464" t="str">
        <f>IFERROR(INDEX(Liste_Ackerkulturen_Gemüse_DropDown[Ackerkulturen],_xlfn.AGGREGATE(15,6,(ROW(Liste_Ackerkulturen_Gemüse_DropDown[Ackerkulturen])-1)/(--(SEARCH(CO$2,Liste_Ackerkulturen_Gemüse_DropDown[Ackerkulturen])&gt;0)),ROW()-2),1),"")</f>
        <v>Rettich schwarz</v>
      </c>
      <c r="CO175" s="2464"/>
      <c r="CP175" s="2464" t="str">
        <f>IFERROR(INDEX(Liste_Ackerkulturen_Gemüse_DropDown[Ackerkulturen],_xlfn.AGGREGATE(15,6,(ROW(Liste_Ackerkulturen_Gemüse_DropDown[Ackerkulturen])-1)/(--(SEARCH(CQ$2,Liste_Ackerkulturen_Gemüse_DropDown[Ackerkulturen])&gt;0)),ROW()-2),1),"")</f>
        <v>Rettich schwarz</v>
      </c>
      <c r="CQ175" s="2464"/>
      <c r="CR175" s="2464" t="str">
        <f>IFERROR(INDEX(Liste_Ackerkulturen_Gemüse_DropDown[Ackerkulturen],_xlfn.AGGREGATE(15,6,(ROW(Liste_Ackerkulturen_Gemüse_DropDown[Ackerkulturen])-1)/(--(SEARCH(CS$2,Liste_Ackerkulturen_Gemüse_DropDown[Ackerkulturen])&gt;0)),ROW()-2),1),"")</f>
        <v>Rettich schwarz</v>
      </c>
      <c r="CS175" s="2464"/>
      <c r="DI175" s="1541"/>
      <c r="DJ175" s="1541"/>
      <c r="DK175" s="1541"/>
      <c r="DL175" s="1541"/>
      <c r="DM175" s="1541"/>
    </row>
    <row r="176" spans="1:117" s="470" customFormat="1" ht="21" customHeight="1">
      <c r="A176" s="465"/>
      <c r="B176" s="465"/>
      <c r="C176" s="1575" t="s">
        <v>109</v>
      </c>
      <c r="D176" s="1576"/>
      <c r="E176" s="1594" t="s">
        <v>1201</v>
      </c>
      <c r="F176" s="1568">
        <v>100</v>
      </c>
      <c r="G176" s="1568"/>
      <c r="H176" s="1716" t="s">
        <v>1201</v>
      </c>
      <c r="I176" s="1718">
        <v>100</v>
      </c>
      <c r="J176" s="1188" t="s">
        <v>1201</v>
      </c>
      <c r="K176" s="1568">
        <v>100</v>
      </c>
      <c r="L176" s="1188" t="s">
        <v>1201</v>
      </c>
      <c r="M176" s="1568">
        <v>100</v>
      </c>
      <c r="N176" s="1188"/>
      <c r="O176" s="1568">
        <v>100</v>
      </c>
      <c r="P176" s="1527">
        <v>100</v>
      </c>
      <c r="Q176" s="1591">
        <v>100</v>
      </c>
      <c r="R176" s="1569">
        <v>90</v>
      </c>
      <c r="S176" s="1570">
        <v>75</v>
      </c>
      <c r="T176" s="1568">
        <v>55</v>
      </c>
      <c r="U176" s="1718">
        <v>60</v>
      </c>
      <c r="V176" s="1568">
        <v>70</v>
      </c>
      <c r="W176" s="1188" t="s">
        <v>1954</v>
      </c>
      <c r="X176" s="1592" t="s">
        <v>1955</v>
      </c>
      <c r="Y176" s="1569">
        <v>105</v>
      </c>
      <c r="Z176" s="1570">
        <v>90</v>
      </c>
      <c r="AA176" s="1568">
        <v>65</v>
      </c>
      <c r="AB176" s="1718">
        <v>70</v>
      </c>
      <c r="AC176" s="1568">
        <v>80</v>
      </c>
      <c r="AD176" s="1188" t="s">
        <v>1956</v>
      </c>
      <c r="AE176" s="1592" t="s">
        <v>1955</v>
      </c>
      <c r="AF176" s="1279"/>
      <c r="AG176" s="176"/>
      <c r="AH176" s="176"/>
      <c r="AI176" s="176"/>
      <c r="AJ176" s="471"/>
      <c r="AK176" s="471"/>
      <c r="AL176" s="471"/>
      <c r="AM176" s="2371" t="s">
        <v>243</v>
      </c>
      <c r="AN176" s="2352">
        <v>135</v>
      </c>
      <c r="AO176" s="2283" t="s">
        <v>66</v>
      </c>
      <c r="AP176" s="2352">
        <v>160</v>
      </c>
      <c r="AQ176" s="2283" t="s">
        <v>67</v>
      </c>
      <c r="AR176" s="2352">
        <v>190</v>
      </c>
      <c r="AS176" s="2283" t="s">
        <v>151</v>
      </c>
      <c r="AT176" s="2348">
        <v>190</v>
      </c>
      <c r="AU176" s="2285" t="s">
        <v>151</v>
      </c>
      <c r="AV176" s="2348">
        <v>190</v>
      </c>
      <c r="AW176" s="2285" t="s">
        <v>151</v>
      </c>
      <c r="AX176" s="2345">
        <v>120</v>
      </c>
      <c r="AY176" s="2278" t="s">
        <v>67</v>
      </c>
      <c r="AZ176" s="2350">
        <v>150</v>
      </c>
      <c r="BA176" s="2303" t="s">
        <v>2326</v>
      </c>
      <c r="BE176" s="2371" t="s">
        <v>243</v>
      </c>
      <c r="BF176" s="577">
        <v>30</v>
      </c>
      <c r="BG176" s="577">
        <v>40</v>
      </c>
      <c r="BH176" s="577">
        <v>50</v>
      </c>
      <c r="BJ176" s="2371" t="s">
        <v>243</v>
      </c>
      <c r="BK176" s="578">
        <v>160</v>
      </c>
      <c r="BL176" s="577">
        <v>200</v>
      </c>
      <c r="BM176" s="577">
        <v>250</v>
      </c>
      <c r="BP176" s="524"/>
      <c r="BQ176" s="524"/>
      <c r="BR176" s="524"/>
      <c r="BS176" s="2461" t="s">
        <v>246</v>
      </c>
      <c r="BT176" s="2463" t="str">
        <f>IFERROR(INDEX(Liste_Ackerkulturen_Gemüse_DropDown[Ackerkulturen],_xlfn.AGGREGATE(15,6,(ROW(Liste_Ackerkulturen_Gemüse_DropDown[Ackerkulturen])-1)/(--(SEARCH(BU$2,Liste_Ackerkulturen_Gemüse_DropDown[Ackerkulturen])&gt;0)),ROW()-2),1),"")</f>
        <v>Rettich schwarz (ungeheizt, Frühjahr)</v>
      </c>
      <c r="BU176" s="2463"/>
      <c r="BV176" s="2463" t="str">
        <f>IFERROR(INDEX(Liste_Ackerkulturen_Gemüse_DropDown[Ackerkulturen],_xlfn.AGGREGATE(15,6,(ROW(Liste_Ackerkulturen_Gemüse_DropDown[Ackerkulturen])-1)/(--(SEARCH(BW$2,Liste_Ackerkulturen_Gemüse_DropDown[Ackerkulturen])&gt;0)),ROW()-2),1),"")</f>
        <v>Rettich schwarz (ungeheizt, Frühjahr)</v>
      </c>
      <c r="BW176" s="2463"/>
      <c r="BX176" s="2463" t="str">
        <f>IFERROR(INDEX(Liste_Ackerkulturen_Gemüse_DropDown[Ackerkulturen],_xlfn.AGGREGATE(15,6,(ROW(Liste_Ackerkulturen_Gemüse_DropDown[Ackerkulturen])-1)/(--(SEARCH(BY$2,Liste_Ackerkulturen_Gemüse_DropDown[Ackerkulturen])&gt;0)),ROW()-2),1),"")</f>
        <v>Rettich schwarz (ungeheizt, Frühjahr)</v>
      </c>
      <c r="BY176" s="2463"/>
      <c r="BZ176" s="2463" t="str">
        <f>IFERROR(INDEX(Liste_Ackerkulturen_Gemüse_DropDown[Ackerkulturen],_xlfn.AGGREGATE(15,6,(ROW(Liste_Ackerkulturen_Gemüse_DropDown[Ackerkulturen])-1)/(--(SEARCH(CA$2,Liste_Ackerkulturen_Gemüse_DropDown[Ackerkulturen])&gt;0)),ROW()-2),1),"")</f>
        <v>Rettich schwarz (ungeheizt, Frühjahr)</v>
      </c>
      <c r="CA176" s="2463"/>
      <c r="CB176" s="2463" t="str">
        <f>IFERROR(INDEX(Liste_Ackerkulturen_Gemüse_DropDown[Ackerkulturen],_xlfn.AGGREGATE(15,6,(ROW(Liste_Ackerkulturen_Gemüse_DropDown[Ackerkulturen])-1)/(--(SEARCH(CC$2,Liste_Ackerkulturen_Gemüse_DropDown[Ackerkulturen])&gt;0)),ROW()-2),1),"")</f>
        <v>Rettich schwarz (ungeheizt, Frühjahr)</v>
      </c>
      <c r="CC176" s="2463"/>
      <c r="CD176" s="2464" t="str">
        <f>IFERROR(INDEX(Liste_Ackerkulturen_Gemüse_DropDown[Ackerkulturen],_xlfn.AGGREGATE(15,6,(ROW(Liste_Ackerkulturen_Gemüse_DropDown[Ackerkulturen])-1)/(--(SEARCH(CE$2,Liste_Ackerkulturen_Gemüse_DropDown[Ackerkulturen])&gt;0)),ROW()-2),1),"")</f>
        <v>Rettich schwarz (ungeheizt, Frühjahr)</v>
      </c>
      <c r="CE176" s="2464"/>
      <c r="CF176" s="2464" t="str">
        <f>IFERROR(INDEX(Liste_Ackerkulturen_Gemüse_DropDown[Ackerkulturen],_xlfn.AGGREGATE(15,6,(ROW(Liste_Ackerkulturen_Gemüse_DropDown[Ackerkulturen])-1)/(--(SEARCH(CG$2,Liste_Ackerkulturen_Gemüse_DropDown[Ackerkulturen])&gt;0)),ROW()-2),1),"")</f>
        <v>Rettich schwarz (ungeheizt, Frühjahr)</v>
      </c>
      <c r="CG176" s="2464"/>
      <c r="CH176" s="2464" t="str">
        <f>IFERROR(INDEX(Liste_Ackerkulturen_Gemüse_DropDown[Ackerkulturen],_xlfn.AGGREGATE(15,6,(ROW(Liste_Ackerkulturen_Gemüse_DropDown[Ackerkulturen])-1)/(--(SEARCH(CI$2,Liste_Ackerkulturen_Gemüse_DropDown[Ackerkulturen])&gt;0)),ROW()-2),1),"")</f>
        <v>Rettich schwarz (ungeheizt, Frühjahr)</v>
      </c>
      <c r="CI176" s="2464"/>
      <c r="CJ176" s="2464" t="str">
        <f>IFERROR(INDEX(Liste_Ackerkulturen_Gemüse_DropDown[Ackerkulturen],_xlfn.AGGREGATE(15,6,(ROW(Liste_Ackerkulturen_Gemüse_DropDown[Ackerkulturen])-1)/(--(SEARCH(CK$2,Liste_Ackerkulturen_Gemüse_DropDown[Ackerkulturen])&gt;0)),ROW()-2),1),"")</f>
        <v>Rettich schwarz (ungeheizt, Frühjahr)</v>
      </c>
      <c r="CK176" s="2464"/>
      <c r="CL176" s="2464" t="str">
        <f>IFERROR(INDEX(Liste_Ackerkulturen_Gemüse_DropDown[Ackerkulturen],_xlfn.AGGREGATE(15,6,(ROW(Liste_Ackerkulturen_Gemüse_DropDown[Ackerkulturen])-1)/(--(SEARCH(CM$2,Liste_Ackerkulturen_Gemüse_DropDown[Ackerkulturen])&gt;0)),ROW()-2),1),"")</f>
        <v>Rettich schwarz (ungeheizt, Frühjahr)</v>
      </c>
      <c r="CM176" s="2464"/>
      <c r="CN176" s="2464" t="str">
        <f>IFERROR(INDEX(Liste_Ackerkulturen_Gemüse_DropDown[Ackerkulturen],_xlfn.AGGREGATE(15,6,(ROW(Liste_Ackerkulturen_Gemüse_DropDown[Ackerkulturen])-1)/(--(SEARCH(CO$2,Liste_Ackerkulturen_Gemüse_DropDown[Ackerkulturen])&gt;0)),ROW()-2),1),"")</f>
        <v>Rettich schwarz (ungeheizt, Frühjahr)</v>
      </c>
      <c r="CO176" s="2464"/>
      <c r="CP176" s="2464" t="str">
        <f>IFERROR(INDEX(Liste_Ackerkulturen_Gemüse_DropDown[Ackerkulturen],_xlfn.AGGREGATE(15,6,(ROW(Liste_Ackerkulturen_Gemüse_DropDown[Ackerkulturen])-1)/(--(SEARCH(CQ$2,Liste_Ackerkulturen_Gemüse_DropDown[Ackerkulturen])&gt;0)),ROW()-2),1),"")</f>
        <v>Rettich schwarz (ungeheizt, Frühjahr)</v>
      </c>
      <c r="CQ176" s="2464"/>
      <c r="CR176" s="2464" t="str">
        <f>IFERROR(INDEX(Liste_Ackerkulturen_Gemüse_DropDown[Ackerkulturen],_xlfn.AGGREGATE(15,6,(ROW(Liste_Ackerkulturen_Gemüse_DropDown[Ackerkulturen])-1)/(--(SEARCH(CS$2,Liste_Ackerkulturen_Gemüse_DropDown[Ackerkulturen])&gt;0)),ROW()-2),1),"")</f>
        <v>Rettich schwarz (ungeheizt, Frühjahr)</v>
      </c>
      <c r="CS176" s="2464"/>
      <c r="DI176" s="1541"/>
      <c r="DJ176" s="1541"/>
      <c r="DK176" s="1541"/>
      <c r="DL176" s="1541"/>
      <c r="DM176" s="1541"/>
    </row>
    <row r="177" spans="1:117" s="470" customFormat="1" ht="21" customHeight="1">
      <c r="A177" s="465"/>
      <c r="B177" s="465"/>
      <c r="C177" s="1575" t="s">
        <v>110</v>
      </c>
      <c r="D177" s="1576"/>
      <c r="E177" s="1589" t="s">
        <v>111</v>
      </c>
      <c r="F177" s="1568"/>
      <c r="G177" s="1568"/>
      <c r="H177" s="1716"/>
      <c r="I177" s="1718"/>
      <c r="J177" s="1188"/>
      <c r="K177" s="1568"/>
      <c r="L177" s="1188"/>
      <c r="M177" s="1568"/>
      <c r="N177" s="1188"/>
      <c r="O177" s="1568"/>
      <c r="P177" s="1527">
        <v>90</v>
      </c>
      <c r="Q177" s="1591">
        <v>100</v>
      </c>
      <c r="R177" s="1569">
        <v>85</v>
      </c>
      <c r="S177" s="1570">
        <v>70</v>
      </c>
      <c r="T177" s="1568">
        <v>50</v>
      </c>
      <c r="U177" s="1718">
        <v>55</v>
      </c>
      <c r="V177" s="1568">
        <v>65</v>
      </c>
      <c r="W177" s="1188" t="s">
        <v>1954</v>
      </c>
      <c r="X177" s="1592" t="s">
        <v>1955</v>
      </c>
      <c r="Y177" s="1569">
        <v>120</v>
      </c>
      <c r="Z177" s="1570">
        <v>100</v>
      </c>
      <c r="AA177" s="1568">
        <v>70</v>
      </c>
      <c r="AB177" s="1718">
        <v>80</v>
      </c>
      <c r="AC177" s="1568">
        <v>90</v>
      </c>
      <c r="AD177" s="1188" t="s">
        <v>1956</v>
      </c>
      <c r="AE177" s="1592" t="s">
        <v>1955</v>
      </c>
      <c r="AF177" s="1279"/>
      <c r="AG177" s="176"/>
      <c r="AH177" s="176"/>
      <c r="AI177" s="176"/>
      <c r="AJ177" s="471"/>
      <c r="AK177" s="471"/>
      <c r="AL177" s="471"/>
      <c r="AM177" s="2371" t="s">
        <v>244</v>
      </c>
      <c r="AN177" s="2352">
        <v>150</v>
      </c>
      <c r="AO177" s="2283" t="s">
        <v>465</v>
      </c>
      <c r="AP177" s="2352">
        <v>180</v>
      </c>
      <c r="AQ177" s="2283" t="s">
        <v>245</v>
      </c>
      <c r="AR177" s="2352">
        <v>215</v>
      </c>
      <c r="AS177" s="2283" t="s">
        <v>168</v>
      </c>
      <c r="AT177" s="2348">
        <v>215</v>
      </c>
      <c r="AU177" s="2285" t="s">
        <v>168</v>
      </c>
      <c r="AV177" s="2348">
        <v>215</v>
      </c>
      <c r="AW177" s="2285" t="s">
        <v>168</v>
      </c>
      <c r="AX177" s="2345">
        <v>120</v>
      </c>
      <c r="AY177" s="2278" t="s">
        <v>245</v>
      </c>
      <c r="AZ177" s="2350">
        <v>150</v>
      </c>
      <c r="BA177" s="2303" t="s">
        <v>2327</v>
      </c>
      <c r="BE177" s="2371" t="s">
        <v>244</v>
      </c>
      <c r="BF177" s="577">
        <v>30</v>
      </c>
      <c r="BG177" s="577">
        <v>40</v>
      </c>
      <c r="BH177" s="577">
        <v>50</v>
      </c>
      <c r="BJ177" s="2371" t="s">
        <v>244</v>
      </c>
      <c r="BK177" s="578">
        <v>160</v>
      </c>
      <c r="BL177" s="577">
        <v>200</v>
      </c>
      <c r="BM177" s="577">
        <v>250</v>
      </c>
      <c r="BP177" s="524"/>
      <c r="BQ177" s="524"/>
      <c r="BR177" s="524"/>
      <c r="BS177" s="2461" t="s">
        <v>247</v>
      </c>
      <c r="BT177" s="2463" t="str">
        <f>IFERROR(INDEX(Liste_Ackerkulturen_Gemüse_DropDown[Ackerkulturen],_xlfn.AGGREGATE(15,6,(ROW(Liste_Ackerkulturen_Gemüse_DropDown[Ackerkulturen])-1)/(--(SEARCH(BU$2,Liste_Ackerkulturen_Gemüse_DropDown[Ackerkulturen])&gt;0)),ROW()-2),1),"")</f>
        <v>Rettich weiß (Bierrettich)</v>
      </c>
      <c r="BU177" s="2463"/>
      <c r="BV177" s="2463" t="str">
        <f>IFERROR(INDEX(Liste_Ackerkulturen_Gemüse_DropDown[Ackerkulturen],_xlfn.AGGREGATE(15,6,(ROW(Liste_Ackerkulturen_Gemüse_DropDown[Ackerkulturen])-1)/(--(SEARCH(BW$2,Liste_Ackerkulturen_Gemüse_DropDown[Ackerkulturen])&gt;0)),ROW()-2),1),"")</f>
        <v>Rettich weiß (Bierrettich)</v>
      </c>
      <c r="BW177" s="2463"/>
      <c r="BX177" s="2463" t="str">
        <f>IFERROR(INDEX(Liste_Ackerkulturen_Gemüse_DropDown[Ackerkulturen],_xlfn.AGGREGATE(15,6,(ROW(Liste_Ackerkulturen_Gemüse_DropDown[Ackerkulturen])-1)/(--(SEARCH(BY$2,Liste_Ackerkulturen_Gemüse_DropDown[Ackerkulturen])&gt;0)),ROW()-2),1),"")</f>
        <v>Rettich weiß (Bierrettich)</v>
      </c>
      <c r="BY177" s="2463"/>
      <c r="BZ177" s="2463" t="str">
        <f>IFERROR(INDEX(Liste_Ackerkulturen_Gemüse_DropDown[Ackerkulturen],_xlfn.AGGREGATE(15,6,(ROW(Liste_Ackerkulturen_Gemüse_DropDown[Ackerkulturen])-1)/(--(SEARCH(CA$2,Liste_Ackerkulturen_Gemüse_DropDown[Ackerkulturen])&gt;0)),ROW()-2),1),"")</f>
        <v>Rettich weiß (Bierrettich)</v>
      </c>
      <c r="CA177" s="2463"/>
      <c r="CB177" s="2463" t="str">
        <f>IFERROR(INDEX(Liste_Ackerkulturen_Gemüse_DropDown[Ackerkulturen],_xlfn.AGGREGATE(15,6,(ROW(Liste_Ackerkulturen_Gemüse_DropDown[Ackerkulturen])-1)/(--(SEARCH(CC$2,Liste_Ackerkulturen_Gemüse_DropDown[Ackerkulturen])&gt;0)),ROW()-2),1),"")</f>
        <v>Rettich weiß (Bierrettich)</v>
      </c>
      <c r="CC177" s="2463"/>
      <c r="CD177" s="2464" t="str">
        <f>IFERROR(INDEX(Liste_Ackerkulturen_Gemüse_DropDown[Ackerkulturen],_xlfn.AGGREGATE(15,6,(ROW(Liste_Ackerkulturen_Gemüse_DropDown[Ackerkulturen])-1)/(--(SEARCH(CE$2,Liste_Ackerkulturen_Gemüse_DropDown[Ackerkulturen])&gt;0)),ROW()-2),1),"")</f>
        <v>Rettich weiß (Bierrettich)</v>
      </c>
      <c r="CE177" s="2464"/>
      <c r="CF177" s="2464" t="str">
        <f>IFERROR(INDEX(Liste_Ackerkulturen_Gemüse_DropDown[Ackerkulturen],_xlfn.AGGREGATE(15,6,(ROW(Liste_Ackerkulturen_Gemüse_DropDown[Ackerkulturen])-1)/(--(SEARCH(CG$2,Liste_Ackerkulturen_Gemüse_DropDown[Ackerkulturen])&gt;0)),ROW()-2),1),"")</f>
        <v>Rettich weiß (Bierrettich)</v>
      </c>
      <c r="CG177" s="2464"/>
      <c r="CH177" s="2464" t="str">
        <f>IFERROR(INDEX(Liste_Ackerkulturen_Gemüse_DropDown[Ackerkulturen],_xlfn.AGGREGATE(15,6,(ROW(Liste_Ackerkulturen_Gemüse_DropDown[Ackerkulturen])-1)/(--(SEARCH(CI$2,Liste_Ackerkulturen_Gemüse_DropDown[Ackerkulturen])&gt;0)),ROW()-2),1),"")</f>
        <v>Rettich weiß (Bierrettich)</v>
      </c>
      <c r="CI177" s="2464"/>
      <c r="CJ177" s="2464" t="str">
        <f>IFERROR(INDEX(Liste_Ackerkulturen_Gemüse_DropDown[Ackerkulturen],_xlfn.AGGREGATE(15,6,(ROW(Liste_Ackerkulturen_Gemüse_DropDown[Ackerkulturen])-1)/(--(SEARCH(CK$2,Liste_Ackerkulturen_Gemüse_DropDown[Ackerkulturen])&gt;0)),ROW()-2),1),"")</f>
        <v>Rettich weiß (Bierrettich)</v>
      </c>
      <c r="CK177" s="2464"/>
      <c r="CL177" s="2464" t="str">
        <f>IFERROR(INDEX(Liste_Ackerkulturen_Gemüse_DropDown[Ackerkulturen],_xlfn.AGGREGATE(15,6,(ROW(Liste_Ackerkulturen_Gemüse_DropDown[Ackerkulturen])-1)/(--(SEARCH(CM$2,Liste_Ackerkulturen_Gemüse_DropDown[Ackerkulturen])&gt;0)),ROW()-2),1),"")</f>
        <v>Rettich weiß (Bierrettich)</v>
      </c>
      <c r="CM177" s="2464"/>
      <c r="CN177" s="2464" t="str">
        <f>IFERROR(INDEX(Liste_Ackerkulturen_Gemüse_DropDown[Ackerkulturen],_xlfn.AGGREGATE(15,6,(ROW(Liste_Ackerkulturen_Gemüse_DropDown[Ackerkulturen])-1)/(--(SEARCH(CO$2,Liste_Ackerkulturen_Gemüse_DropDown[Ackerkulturen])&gt;0)),ROW()-2),1),"")</f>
        <v>Rettich weiß (Bierrettich)</v>
      </c>
      <c r="CO177" s="2464"/>
      <c r="CP177" s="2464" t="str">
        <f>IFERROR(INDEX(Liste_Ackerkulturen_Gemüse_DropDown[Ackerkulturen],_xlfn.AGGREGATE(15,6,(ROW(Liste_Ackerkulturen_Gemüse_DropDown[Ackerkulturen])-1)/(--(SEARCH(CQ$2,Liste_Ackerkulturen_Gemüse_DropDown[Ackerkulturen])&gt;0)),ROW()-2),1),"")</f>
        <v>Rettich weiß (Bierrettich)</v>
      </c>
      <c r="CQ177" s="2464"/>
      <c r="CR177" s="2464" t="str">
        <f>IFERROR(INDEX(Liste_Ackerkulturen_Gemüse_DropDown[Ackerkulturen],_xlfn.AGGREGATE(15,6,(ROW(Liste_Ackerkulturen_Gemüse_DropDown[Ackerkulturen])-1)/(--(SEARCH(CS$2,Liste_Ackerkulturen_Gemüse_DropDown[Ackerkulturen])&gt;0)),ROW()-2),1),"")</f>
        <v>Rettich weiß (Bierrettich)</v>
      </c>
      <c r="CS177" s="2464"/>
      <c r="DI177" s="1541"/>
      <c r="DJ177" s="1541"/>
      <c r="DK177" s="1541"/>
      <c r="DL177" s="1541"/>
      <c r="DM177" s="1541"/>
    </row>
    <row r="178" spans="1:117" s="470" customFormat="1" ht="21" customHeight="1">
      <c r="A178" s="465"/>
      <c r="B178" s="465"/>
      <c r="C178" s="1575" t="s">
        <v>112</v>
      </c>
      <c r="D178" s="1576"/>
      <c r="E178" s="1594" t="s">
        <v>473</v>
      </c>
      <c r="F178" s="1568">
        <v>130</v>
      </c>
      <c r="G178" s="1568"/>
      <c r="H178" s="1716" t="s">
        <v>42</v>
      </c>
      <c r="I178" s="1718">
        <v>130</v>
      </c>
      <c r="J178" s="1188" t="s">
        <v>43</v>
      </c>
      <c r="K178" s="1568">
        <v>130</v>
      </c>
      <c r="L178" s="1188" t="s">
        <v>44</v>
      </c>
      <c r="M178" s="1568">
        <v>130</v>
      </c>
      <c r="N178" s="1188" t="s">
        <v>1060</v>
      </c>
      <c r="O178" s="1568">
        <v>130</v>
      </c>
      <c r="P178" s="1527">
        <v>130</v>
      </c>
      <c r="Q178" s="1591">
        <v>130</v>
      </c>
      <c r="R178" s="1569">
        <v>115</v>
      </c>
      <c r="S178" s="1570">
        <v>95</v>
      </c>
      <c r="T178" s="1568">
        <v>70</v>
      </c>
      <c r="U178" s="1718">
        <v>75</v>
      </c>
      <c r="V178" s="1568">
        <v>85</v>
      </c>
      <c r="W178" s="1188" t="s">
        <v>1954</v>
      </c>
      <c r="X178" s="1592" t="s">
        <v>1955</v>
      </c>
      <c r="Y178" s="1569">
        <v>120</v>
      </c>
      <c r="Z178" s="1570">
        <v>100</v>
      </c>
      <c r="AA178" s="1568">
        <v>70</v>
      </c>
      <c r="AB178" s="1718">
        <v>80</v>
      </c>
      <c r="AC178" s="1568">
        <v>90</v>
      </c>
      <c r="AD178" s="1188" t="s">
        <v>1956</v>
      </c>
      <c r="AE178" s="1592" t="s">
        <v>1955</v>
      </c>
      <c r="AF178" s="1279"/>
      <c r="AG178" s="176"/>
      <c r="AH178" s="176"/>
      <c r="AI178" s="176"/>
      <c r="AJ178" s="471"/>
      <c r="AK178" s="471"/>
      <c r="AL178" s="471"/>
      <c r="AM178" s="2371" t="s">
        <v>246</v>
      </c>
      <c r="AN178" s="2352">
        <v>150</v>
      </c>
      <c r="AO178" s="2283" t="s">
        <v>170</v>
      </c>
      <c r="AP178" s="2352">
        <v>180</v>
      </c>
      <c r="AQ178" s="2283" t="s">
        <v>467</v>
      </c>
      <c r="AR178" s="2352">
        <v>215</v>
      </c>
      <c r="AS178" s="2283" t="s">
        <v>69</v>
      </c>
      <c r="AT178" s="2348">
        <v>215</v>
      </c>
      <c r="AU178" s="2285" t="s">
        <v>69</v>
      </c>
      <c r="AV178" s="2348">
        <v>215</v>
      </c>
      <c r="AW178" s="2285" t="s">
        <v>69</v>
      </c>
      <c r="AX178" s="2345">
        <v>140</v>
      </c>
      <c r="AY178" s="2278" t="s">
        <v>467</v>
      </c>
      <c r="AZ178" s="2350">
        <v>175</v>
      </c>
      <c r="BA178" s="2303" t="s">
        <v>2336</v>
      </c>
      <c r="BE178" s="2371" t="s">
        <v>246</v>
      </c>
      <c r="BF178" s="577">
        <v>30</v>
      </c>
      <c r="BG178" s="577">
        <v>40</v>
      </c>
      <c r="BH178" s="577">
        <v>50</v>
      </c>
      <c r="BJ178" s="2371" t="s">
        <v>246</v>
      </c>
      <c r="BK178" s="578">
        <v>160</v>
      </c>
      <c r="BL178" s="577">
        <v>200</v>
      </c>
      <c r="BM178" s="577">
        <v>250</v>
      </c>
      <c r="BP178" s="524"/>
      <c r="BQ178" s="524"/>
      <c r="BR178" s="524"/>
      <c r="BS178" s="2461" t="s">
        <v>248</v>
      </c>
      <c r="BT178" s="2463" t="str">
        <f>IFERROR(INDEX(Liste_Ackerkulturen_Gemüse_DropDown[Ackerkulturen],_xlfn.AGGREGATE(15,6,(ROW(Liste_Ackerkulturen_Gemüse_DropDown[Ackerkulturen])-1)/(--(SEARCH(BU$2,Liste_Ackerkulturen_Gemüse_DropDown[Ackerkulturen])&gt;0)),ROW()-2),1),"")</f>
        <v>Rettich weiß (ungeheizt, Frühjahr)</v>
      </c>
      <c r="BU178" s="2463"/>
      <c r="BV178" s="2463" t="str">
        <f>IFERROR(INDEX(Liste_Ackerkulturen_Gemüse_DropDown[Ackerkulturen],_xlfn.AGGREGATE(15,6,(ROW(Liste_Ackerkulturen_Gemüse_DropDown[Ackerkulturen])-1)/(--(SEARCH(BW$2,Liste_Ackerkulturen_Gemüse_DropDown[Ackerkulturen])&gt;0)),ROW()-2),1),"")</f>
        <v>Rettich weiß (ungeheizt, Frühjahr)</v>
      </c>
      <c r="BW178" s="2463"/>
      <c r="BX178" s="2463" t="str">
        <f>IFERROR(INDEX(Liste_Ackerkulturen_Gemüse_DropDown[Ackerkulturen],_xlfn.AGGREGATE(15,6,(ROW(Liste_Ackerkulturen_Gemüse_DropDown[Ackerkulturen])-1)/(--(SEARCH(BY$2,Liste_Ackerkulturen_Gemüse_DropDown[Ackerkulturen])&gt;0)),ROW()-2),1),"")</f>
        <v>Rettich weiß (ungeheizt, Frühjahr)</v>
      </c>
      <c r="BY178" s="2463"/>
      <c r="BZ178" s="2463" t="str">
        <f>IFERROR(INDEX(Liste_Ackerkulturen_Gemüse_DropDown[Ackerkulturen],_xlfn.AGGREGATE(15,6,(ROW(Liste_Ackerkulturen_Gemüse_DropDown[Ackerkulturen])-1)/(--(SEARCH(CA$2,Liste_Ackerkulturen_Gemüse_DropDown[Ackerkulturen])&gt;0)),ROW()-2),1),"")</f>
        <v>Rettich weiß (ungeheizt, Frühjahr)</v>
      </c>
      <c r="CA178" s="2463"/>
      <c r="CB178" s="2463" t="str">
        <f>IFERROR(INDEX(Liste_Ackerkulturen_Gemüse_DropDown[Ackerkulturen],_xlfn.AGGREGATE(15,6,(ROW(Liste_Ackerkulturen_Gemüse_DropDown[Ackerkulturen])-1)/(--(SEARCH(CC$2,Liste_Ackerkulturen_Gemüse_DropDown[Ackerkulturen])&gt;0)),ROW()-2),1),"")</f>
        <v>Rettich weiß (ungeheizt, Frühjahr)</v>
      </c>
      <c r="CC178" s="2463"/>
      <c r="CD178" s="2464" t="str">
        <f>IFERROR(INDEX(Liste_Ackerkulturen_Gemüse_DropDown[Ackerkulturen],_xlfn.AGGREGATE(15,6,(ROW(Liste_Ackerkulturen_Gemüse_DropDown[Ackerkulturen])-1)/(--(SEARCH(CE$2,Liste_Ackerkulturen_Gemüse_DropDown[Ackerkulturen])&gt;0)),ROW()-2),1),"")</f>
        <v>Rettich weiß (ungeheizt, Frühjahr)</v>
      </c>
      <c r="CE178" s="2464"/>
      <c r="CF178" s="2464" t="str">
        <f>IFERROR(INDEX(Liste_Ackerkulturen_Gemüse_DropDown[Ackerkulturen],_xlfn.AGGREGATE(15,6,(ROW(Liste_Ackerkulturen_Gemüse_DropDown[Ackerkulturen])-1)/(--(SEARCH(CG$2,Liste_Ackerkulturen_Gemüse_DropDown[Ackerkulturen])&gt;0)),ROW()-2),1),"")</f>
        <v>Rettich weiß (ungeheizt, Frühjahr)</v>
      </c>
      <c r="CG178" s="2464"/>
      <c r="CH178" s="2464" t="str">
        <f>IFERROR(INDEX(Liste_Ackerkulturen_Gemüse_DropDown[Ackerkulturen],_xlfn.AGGREGATE(15,6,(ROW(Liste_Ackerkulturen_Gemüse_DropDown[Ackerkulturen])-1)/(--(SEARCH(CI$2,Liste_Ackerkulturen_Gemüse_DropDown[Ackerkulturen])&gt;0)),ROW()-2),1),"")</f>
        <v>Rettich weiß (ungeheizt, Frühjahr)</v>
      </c>
      <c r="CI178" s="2464"/>
      <c r="CJ178" s="2464" t="str">
        <f>IFERROR(INDEX(Liste_Ackerkulturen_Gemüse_DropDown[Ackerkulturen],_xlfn.AGGREGATE(15,6,(ROW(Liste_Ackerkulturen_Gemüse_DropDown[Ackerkulturen])-1)/(--(SEARCH(CK$2,Liste_Ackerkulturen_Gemüse_DropDown[Ackerkulturen])&gt;0)),ROW()-2),1),"")</f>
        <v>Rettich weiß (ungeheizt, Frühjahr)</v>
      </c>
      <c r="CK178" s="2464"/>
      <c r="CL178" s="2464" t="str">
        <f>IFERROR(INDEX(Liste_Ackerkulturen_Gemüse_DropDown[Ackerkulturen],_xlfn.AGGREGATE(15,6,(ROW(Liste_Ackerkulturen_Gemüse_DropDown[Ackerkulturen])-1)/(--(SEARCH(CM$2,Liste_Ackerkulturen_Gemüse_DropDown[Ackerkulturen])&gt;0)),ROW()-2),1),"")</f>
        <v>Rettich weiß (ungeheizt, Frühjahr)</v>
      </c>
      <c r="CM178" s="2464"/>
      <c r="CN178" s="2464" t="str">
        <f>IFERROR(INDEX(Liste_Ackerkulturen_Gemüse_DropDown[Ackerkulturen],_xlfn.AGGREGATE(15,6,(ROW(Liste_Ackerkulturen_Gemüse_DropDown[Ackerkulturen])-1)/(--(SEARCH(CO$2,Liste_Ackerkulturen_Gemüse_DropDown[Ackerkulturen])&gt;0)),ROW()-2),1),"")</f>
        <v>Rettich weiß (ungeheizt, Frühjahr)</v>
      </c>
      <c r="CO178" s="2464"/>
      <c r="CP178" s="2464" t="str">
        <f>IFERROR(INDEX(Liste_Ackerkulturen_Gemüse_DropDown[Ackerkulturen],_xlfn.AGGREGATE(15,6,(ROW(Liste_Ackerkulturen_Gemüse_DropDown[Ackerkulturen])-1)/(--(SEARCH(CQ$2,Liste_Ackerkulturen_Gemüse_DropDown[Ackerkulturen])&gt;0)),ROW()-2),1),"")</f>
        <v>Rettich weiß (ungeheizt, Frühjahr)</v>
      </c>
      <c r="CQ178" s="2464"/>
      <c r="CR178" s="2464" t="str">
        <f>IFERROR(INDEX(Liste_Ackerkulturen_Gemüse_DropDown[Ackerkulturen],_xlfn.AGGREGATE(15,6,(ROW(Liste_Ackerkulturen_Gemüse_DropDown[Ackerkulturen])-1)/(--(SEARCH(CS$2,Liste_Ackerkulturen_Gemüse_DropDown[Ackerkulturen])&gt;0)),ROW()-2),1),"")</f>
        <v>Rettich weiß (ungeheizt, Frühjahr)</v>
      </c>
      <c r="CS178" s="2464"/>
      <c r="DI178" s="1541"/>
      <c r="DJ178" s="1541"/>
      <c r="DK178" s="1541"/>
      <c r="DL178" s="1541"/>
      <c r="DM178" s="1541"/>
    </row>
    <row r="179" spans="1:117" s="470" customFormat="1" ht="21" customHeight="1">
      <c r="A179" s="465"/>
      <c r="B179" s="465"/>
      <c r="C179" s="1575" t="s">
        <v>113</v>
      </c>
      <c r="D179" s="1576"/>
      <c r="E179" s="1594" t="s">
        <v>465</v>
      </c>
      <c r="F179" s="1568">
        <v>120</v>
      </c>
      <c r="G179" s="1568"/>
      <c r="H179" s="1716" t="s">
        <v>466</v>
      </c>
      <c r="I179" s="1718">
        <v>165</v>
      </c>
      <c r="J179" s="1188" t="s">
        <v>467</v>
      </c>
      <c r="K179" s="1568">
        <v>195</v>
      </c>
      <c r="L179" s="1188" t="s">
        <v>468</v>
      </c>
      <c r="M179" s="1568">
        <v>210</v>
      </c>
      <c r="N179" s="1188" t="s">
        <v>469</v>
      </c>
      <c r="O179" s="1568">
        <v>225</v>
      </c>
      <c r="P179" s="1527">
        <v>130</v>
      </c>
      <c r="Q179" s="1591">
        <v>150</v>
      </c>
      <c r="R179" s="1569">
        <v>100</v>
      </c>
      <c r="S179" s="1570">
        <v>80</v>
      </c>
      <c r="T179" s="1568">
        <v>60</v>
      </c>
      <c r="U179" s="1718">
        <v>65</v>
      </c>
      <c r="V179" s="1568">
        <v>75</v>
      </c>
      <c r="W179" s="1188" t="s">
        <v>1954</v>
      </c>
      <c r="X179" s="1592" t="s">
        <v>1955</v>
      </c>
      <c r="Y179" s="1569">
        <v>300</v>
      </c>
      <c r="Z179" s="1570">
        <v>250</v>
      </c>
      <c r="AA179" s="1568">
        <v>180</v>
      </c>
      <c r="AB179" s="1718">
        <v>200</v>
      </c>
      <c r="AC179" s="1568">
        <v>230</v>
      </c>
      <c r="AD179" s="1188" t="s">
        <v>1956</v>
      </c>
      <c r="AE179" s="1592" t="s">
        <v>1955</v>
      </c>
      <c r="AF179" s="1279"/>
      <c r="AG179" s="176"/>
      <c r="AH179" s="176"/>
      <c r="AI179" s="176"/>
      <c r="AJ179" s="471"/>
      <c r="AK179" s="471"/>
      <c r="AL179" s="471"/>
      <c r="AM179" s="2371" t="s">
        <v>247</v>
      </c>
      <c r="AN179" s="2352">
        <v>150</v>
      </c>
      <c r="AO179" s="2283" t="s">
        <v>465</v>
      </c>
      <c r="AP179" s="2352">
        <v>180</v>
      </c>
      <c r="AQ179" s="2283" t="s">
        <v>245</v>
      </c>
      <c r="AR179" s="2352">
        <v>215</v>
      </c>
      <c r="AS179" s="2283" t="s">
        <v>168</v>
      </c>
      <c r="AT179" s="2348">
        <v>215</v>
      </c>
      <c r="AU179" s="2285" t="s">
        <v>168</v>
      </c>
      <c r="AV179" s="2348">
        <v>215</v>
      </c>
      <c r="AW179" s="2285" t="s">
        <v>168</v>
      </c>
      <c r="AX179" s="2345">
        <v>140</v>
      </c>
      <c r="AY179" s="2278" t="s">
        <v>245</v>
      </c>
      <c r="AZ179" s="2350">
        <v>175</v>
      </c>
      <c r="BA179" s="2303" t="s">
        <v>2327</v>
      </c>
      <c r="BE179" s="2371" t="s">
        <v>247</v>
      </c>
      <c r="BF179" s="577">
        <v>30</v>
      </c>
      <c r="BG179" s="577">
        <v>40</v>
      </c>
      <c r="BH179" s="577">
        <v>50</v>
      </c>
      <c r="BJ179" s="2371" t="s">
        <v>247</v>
      </c>
      <c r="BK179" s="578">
        <v>160</v>
      </c>
      <c r="BL179" s="577">
        <v>200</v>
      </c>
      <c r="BM179" s="577">
        <v>250</v>
      </c>
      <c r="BP179" s="524"/>
      <c r="BQ179" s="524"/>
      <c r="BR179" s="524"/>
      <c r="BS179" s="2461" t="s">
        <v>249</v>
      </c>
      <c r="BT179" s="2463" t="str">
        <f>IFERROR(INDEX(Liste_Ackerkulturen_Gemüse_DropDown[Ackerkulturen],_xlfn.AGGREGATE(15,6,(ROW(Liste_Ackerkulturen_Gemüse_DropDown[Ackerkulturen])-1)/(--(SEARCH(BU$2,Liste_Ackerkulturen_Gemüse_DropDown[Ackerkulturen])&gt;0)),ROW()-2),1),"")</f>
        <v>Rhabarber</v>
      </c>
      <c r="BU179" s="2463"/>
      <c r="BV179" s="2463" t="str">
        <f>IFERROR(INDEX(Liste_Ackerkulturen_Gemüse_DropDown[Ackerkulturen],_xlfn.AGGREGATE(15,6,(ROW(Liste_Ackerkulturen_Gemüse_DropDown[Ackerkulturen])-1)/(--(SEARCH(BW$2,Liste_Ackerkulturen_Gemüse_DropDown[Ackerkulturen])&gt;0)),ROW()-2),1),"")</f>
        <v>Rhabarber</v>
      </c>
      <c r="BW179" s="2463"/>
      <c r="BX179" s="2463" t="str">
        <f>IFERROR(INDEX(Liste_Ackerkulturen_Gemüse_DropDown[Ackerkulturen],_xlfn.AGGREGATE(15,6,(ROW(Liste_Ackerkulturen_Gemüse_DropDown[Ackerkulturen])-1)/(--(SEARCH(BY$2,Liste_Ackerkulturen_Gemüse_DropDown[Ackerkulturen])&gt;0)),ROW()-2),1),"")</f>
        <v>Rhabarber</v>
      </c>
      <c r="BY179" s="2463"/>
      <c r="BZ179" s="2463" t="str">
        <f>IFERROR(INDEX(Liste_Ackerkulturen_Gemüse_DropDown[Ackerkulturen],_xlfn.AGGREGATE(15,6,(ROW(Liste_Ackerkulturen_Gemüse_DropDown[Ackerkulturen])-1)/(--(SEARCH(CA$2,Liste_Ackerkulturen_Gemüse_DropDown[Ackerkulturen])&gt;0)),ROW()-2),1),"")</f>
        <v>Rhabarber</v>
      </c>
      <c r="CA179" s="2463"/>
      <c r="CB179" s="2463" t="str">
        <f>IFERROR(INDEX(Liste_Ackerkulturen_Gemüse_DropDown[Ackerkulturen],_xlfn.AGGREGATE(15,6,(ROW(Liste_Ackerkulturen_Gemüse_DropDown[Ackerkulturen])-1)/(--(SEARCH(CC$2,Liste_Ackerkulturen_Gemüse_DropDown[Ackerkulturen])&gt;0)),ROW()-2),1),"")</f>
        <v>Rhabarber</v>
      </c>
      <c r="CC179" s="2463"/>
      <c r="CD179" s="2464" t="str">
        <f>IFERROR(INDEX(Liste_Ackerkulturen_Gemüse_DropDown[Ackerkulturen],_xlfn.AGGREGATE(15,6,(ROW(Liste_Ackerkulturen_Gemüse_DropDown[Ackerkulturen])-1)/(--(SEARCH(CE$2,Liste_Ackerkulturen_Gemüse_DropDown[Ackerkulturen])&gt;0)),ROW()-2),1),"")</f>
        <v>Rhabarber</v>
      </c>
      <c r="CE179" s="2464"/>
      <c r="CF179" s="2464" t="str">
        <f>IFERROR(INDEX(Liste_Ackerkulturen_Gemüse_DropDown[Ackerkulturen],_xlfn.AGGREGATE(15,6,(ROW(Liste_Ackerkulturen_Gemüse_DropDown[Ackerkulturen])-1)/(--(SEARCH(CG$2,Liste_Ackerkulturen_Gemüse_DropDown[Ackerkulturen])&gt;0)),ROW()-2),1),"")</f>
        <v>Rhabarber</v>
      </c>
      <c r="CG179" s="2464"/>
      <c r="CH179" s="2464" t="str">
        <f>IFERROR(INDEX(Liste_Ackerkulturen_Gemüse_DropDown[Ackerkulturen],_xlfn.AGGREGATE(15,6,(ROW(Liste_Ackerkulturen_Gemüse_DropDown[Ackerkulturen])-1)/(--(SEARCH(CI$2,Liste_Ackerkulturen_Gemüse_DropDown[Ackerkulturen])&gt;0)),ROW()-2),1),"")</f>
        <v>Rhabarber</v>
      </c>
      <c r="CI179" s="2464"/>
      <c r="CJ179" s="2464" t="str">
        <f>IFERROR(INDEX(Liste_Ackerkulturen_Gemüse_DropDown[Ackerkulturen],_xlfn.AGGREGATE(15,6,(ROW(Liste_Ackerkulturen_Gemüse_DropDown[Ackerkulturen])-1)/(--(SEARCH(CK$2,Liste_Ackerkulturen_Gemüse_DropDown[Ackerkulturen])&gt;0)),ROW()-2),1),"")</f>
        <v>Rhabarber</v>
      </c>
      <c r="CK179" s="2464"/>
      <c r="CL179" s="2464" t="str">
        <f>IFERROR(INDEX(Liste_Ackerkulturen_Gemüse_DropDown[Ackerkulturen],_xlfn.AGGREGATE(15,6,(ROW(Liste_Ackerkulturen_Gemüse_DropDown[Ackerkulturen])-1)/(--(SEARCH(CM$2,Liste_Ackerkulturen_Gemüse_DropDown[Ackerkulturen])&gt;0)),ROW()-2),1),"")</f>
        <v>Rhabarber</v>
      </c>
      <c r="CM179" s="2464"/>
      <c r="CN179" s="2464" t="str">
        <f>IFERROR(INDEX(Liste_Ackerkulturen_Gemüse_DropDown[Ackerkulturen],_xlfn.AGGREGATE(15,6,(ROW(Liste_Ackerkulturen_Gemüse_DropDown[Ackerkulturen])-1)/(--(SEARCH(CO$2,Liste_Ackerkulturen_Gemüse_DropDown[Ackerkulturen])&gt;0)),ROW()-2),1),"")</f>
        <v>Rhabarber</v>
      </c>
      <c r="CO179" s="2464"/>
      <c r="CP179" s="2464" t="str">
        <f>IFERROR(INDEX(Liste_Ackerkulturen_Gemüse_DropDown[Ackerkulturen],_xlfn.AGGREGATE(15,6,(ROW(Liste_Ackerkulturen_Gemüse_DropDown[Ackerkulturen])-1)/(--(SEARCH(CQ$2,Liste_Ackerkulturen_Gemüse_DropDown[Ackerkulturen])&gt;0)),ROW()-2),1),"")</f>
        <v>Rhabarber</v>
      </c>
      <c r="CQ179" s="2464"/>
      <c r="CR179" s="2464" t="str">
        <f>IFERROR(INDEX(Liste_Ackerkulturen_Gemüse_DropDown[Ackerkulturen],_xlfn.AGGREGATE(15,6,(ROW(Liste_Ackerkulturen_Gemüse_DropDown[Ackerkulturen])-1)/(--(SEARCH(CS$2,Liste_Ackerkulturen_Gemüse_DropDown[Ackerkulturen])&gt;0)),ROW()-2),1),"")</f>
        <v>Rhabarber</v>
      </c>
      <c r="CS179" s="2464"/>
      <c r="DI179" s="1541"/>
      <c r="DJ179" s="1541"/>
      <c r="DK179" s="1541"/>
      <c r="DL179" s="1541"/>
      <c r="DM179" s="1541"/>
    </row>
    <row r="180" spans="1:117" s="470" customFormat="1" ht="21" customHeight="1">
      <c r="A180" s="465"/>
      <c r="B180" s="465"/>
      <c r="C180" s="1575" t="s">
        <v>114</v>
      </c>
      <c r="D180" s="1576"/>
      <c r="E180" s="1594" t="s">
        <v>465</v>
      </c>
      <c r="F180" s="1568">
        <v>120</v>
      </c>
      <c r="G180" s="1568"/>
      <c r="H180" s="1716" t="s">
        <v>466</v>
      </c>
      <c r="I180" s="1718">
        <v>165</v>
      </c>
      <c r="J180" s="1188" t="s">
        <v>467</v>
      </c>
      <c r="K180" s="1568">
        <v>195</v>
      </c>
      <c r="L180" s="1188" t="s">
        <v>468</v>
      </c>
      <c r="M180" s="1568">
        <v>210</v>
      </c>
      <c r="N180" s="1188" t="s">
        <v>469</v>
      </c>
      <c r="O180" s="1568">
        <v>225</v>
      </c>
      <c r="P180" s="1527">
        <v>130</v>
      </c>
      <c r="Q180" s="1591">
        <v>150</v>
      </c>
      <c r="R180" s="1569">
        <v>100</v>
      </c>
      <c r="S180" s="1570">
        <v>80</v>
      </c>
      <c r="T180" s="1568">
        <v>60</v>
      </c>
      <c r="U180" s="1718">
        <v>65</v>
      </c>
      <c r="V180" s="1568">
        <v>75</v>
      </c>
      <c r="W180" s="1188" t="s">
        <v>1954</v>
      </c>
      <c r="X180" s="1592" t="s">
        <v>1955</v>
      </c>
      <c r="Y180" s="1569">
        <v>300</v>
      </c>
      <c r="Z180" s="1570">
        <v>250</v>
      </c>
      <c r="AA180" s="1568">
        <v>180</v>
      </c>
      <c r="AB180" s="1718">
        <v>200</v>
      </c>
      <c r="AC180" s="1568">
        <v>230</v>
      </c>
      <c r="AD180" s="1188" t="s">
        <v>1956</v>
      </c>
      <c r="AE180" s="1592" t="s">
        <v>1955</v>
      </c>
      <c r="AF180" s="1279"/>
      <c r="AG180" s="176"/>
      <c r="AH180" s="176"/>
      <c r="AI180" s="176"/>
      <c r="AJ180" s="471"/>
      <c r="AK180" s="471"/>
      <c r="AL180" s="471"/>
      <c r="AM180" s="2371" t="s">
        <v>248</v>
      </c>
      <c r="AN180" s="2352">
        <v>130</v>
      </c>
      <c r="AO180" s="2283" t="s">
        <v>139</v>
      </c>
      <c r="AP180" s="2352">
        <v>155</v>
      </c>
      <c r="AQ180" s="2283" t="s">
        <v>179</v>
      </c>
      <c r="AR180" s="2352">
        <v>185</v>
      </c>
      <c r="AS180" s="2283" t="s">
        <v>55</v>
      </c>
      <c r="AT180" s="2348">
        <v>185</v>
      </c>
      <c r="AU180" s="2285" t="s">
        <v>55</v>
      </c>
      <c r="AV180" s="2348">
        <v>185</v>
      </c>
      <c r="AW180" s="2285" t="s">
        <v>55</v>
      </c>
      <c r="AX180" s="2345">
        <v>125</v>
      </c>
      <c r="AY180" s="2278" t="s">
        <v>179</v>
      </c>
      <c r="AZ180" s="2350">
        <v>156</v>
      </c>
      <c r="BA180" s="2303" t="s">
        <v>2339</v>
      </c>
      <c r="BE180" s="2371" t="s">
        <v>248</v>
      </c>
      <c r="BF180" s="577">
        <v>50</v>
      </c>
      <c r="BG180" s="577">
        <v>60</v>
      </c>
      <c r="BH180" s="577">
        <v>75</v>
      </c>
      <c r="BJ180" s="2371" t="s">
        <v>248</v>
      </c>
      <c r="BK180" s="578">
        <v>160</v>
      </c>
      <c r="BL180" s="577">
        <v>200</v>
      </c>
      <c r="BM180" s="577">
        <v>250</v>
      </c>
      <c r="BP180" s="524"/>
      <c r="BQ180" s="524"/>
      <c r="BR180" s="524"/>
      <c r="BS180" s="2461" t="s">
        <v>250</v>
      </c>
      <c r="BT180" s="2463" t="str">
        <f>IFERROR(INDEX(Liste_Ackerkulturen_Gemüse_DropDown[Ackerkulturen],_xlfn.AGGREGATE(15,6,(ROW(Liste_Ackerkulturen_Gemüse_DropDown[Ackerkulturen])-1)/(--(SEARCH(BU$2,Liste_Ackerkulturen_Gemüse_DropDown[Ackerkulturen])&gt;0)),ROW()-2),1),"")</f>
        <v>Rote Rüben (Frischmarkt)</v>
      </c>
      <c r="BU180" s="2463"/>
      <c r="BV180" s="2463" t="str">
        <f>IFERROR(INDEX(Liste_Ackerkulturen_Gemüse_DropDown[Ackerkulturen],_xlfn.AGGREGATE(15,6,(ROW(Liste_Ackerkulturen_Gemüse_DropDown[Ackerkulturen])-1)/(--(SEARCH(BW$2,Liste_Ackerkulturen_Gemüse_DropDown[Ackerkulturen])&gt;0)),ROW()-2),1),"")</f>
        <v>Rote Rüben (Frischmarkt)</v>
      </c>
      <c r="BW180" s="2463"/>
      <c r="BX180" s="2463" t="str">
        <f>IFERROR(INDEX(Liste_Ackerkulturen_Gemüse_DropDown[Ackerkulturen],_xlfn.AGGREGATE(15,6,(ROW(Liste_Ackerkulturen_Gemüse_DropDown[Ackerkulturen])-1)/(--(SEARCH(BY$2,Liste_Ackerkulturen_Gemüse_DropDown[Ackerkulturen])&gt;0)),ROW()-2),1),"")</f>
        <v>Rote Rüben (Frischmarkt)</v>
      </c>
      <c r="BY180" s="2463"/>
      <c r="BZ180" s="2463" t="str">
        <f>IFERROR(INDEX(Liste_Ackerkulturen_Gemüse_DropDown[Ackerkulturen],_xlfn.AGGREGATE(15,6,(ROW(Liste_Ackerkulturen_Gemüse_DropDown[Ackerkulturen])-1)/(--(SEARCH(CA$2,Liste_Ackerkulturen_Gemüse_DropDown[Ackerkulturen])&gt;0)),ROW()-2),1),"")</f>
        <v>Rote Rüben (Frischmarkt)</v>
      </c>
      <c r="CA180" s="2463"/>
      <c r="CB180" s="2463" t="str">
        <f>IFERROR(INDEX(Liste_Ackerkulturen_Gemüse_DropDown[Ackerkulturen],_xlfn.AGGREGATE(15,6,(ROW(Liste_Ackerkulturen_Gemüse_DropDown[Ackerkulturen])-1)/(--(SEARCH(CC$2,Liste_Ackerkulturen_Gemüse_DropDown[Ackerkulturen])&gt;0)),ROW()-2),1),"")</f>
        <v>Rote Rüben (Frischmarkt)</v>
      </c>
      <c r="CC180" s="2463"/>
      <c r="CD180" s="2464" t="str">
        <f>IFERROR(INDEX(Liste_Ackerkulturen_Gemüse_DropDown[Ackerkulturen],_xlfn.AGGREGATE(15,6,(ROW(Liste_Ackerkulturen_Gemüse_DropDown[Ackerkulturen])-1)/(--(SEARCH(CE$2,Liste_Ackerkulturen_Gemüse_DropDown[Ackerkulturen])&gt;0)),ROW()-2),1),"")</f>
        <v>Rote Rüben (Frischmarkt)</v>
      </c>
      <c r="CE180" s="2464"/>
      <c r="CF180" s="2464" t="str">
        <f>IFERROR(INDEX(Liste_Ackerkulturen_Gemüse_DropDown[Ackerkulturen],_xlfn.AGGREGATE(15,6,(ROW(Liste_Ackerkulturen_Gemüse_DropDown[Ackerkulturen])-1)/(--(SEARCH(CG$2,Liste_Ackerkulturen_Gemüse_DropDown[Ackerkulturen])&gt;0)),ROW()-2),1),"")</f>
        <v>Rote Rüben (Frischmarkt)</v>
      </c>
      <c r="CG180" s="2464"/>
      <c r="CH180" s="2464" t="str">
        <f>IFERROR(INDEX(Liste_Ackerkulturen_Gemüse_DropDown[Ackerkulturen],_xlfn.AGGREGATE(15,6,(ROW(Liste_Ackerkulturen_Gemüse_DropDown[Ackerkulturen])-1)/(--(SEARCH(CI$2,Liste_Ackerkulturen_Gemüse_DropDown[Ackerkulturen])&gt;0)),ROW()-2),1),"")</f>
        <v>Rote Rüben (Frischmarkt)</v>
      </c>
      <c r="CI180" s="2464"/>
      <c r="CJ180" s="2464" t="str">
        <f>IFERROR(INDEX(Liste_Ackerkulturen_Gemüse_DropDown[Ackerkulturen],_xlfn.AGGREGATE(15,6,(ROW(Liste_Ackerkulturen_Gemüse_DropDown[Ackerkulturen])-1)/(--(SEARCH(CK$2,Liste_Ackerkulturen_Gemüse_DropDown[Ackerkulturen])&gt;0)),ROW()-2),1),"")</f>
        <v>Rote Rüben (Frischmarkt)</v>
      </c>
      <c r="CK180" s="2464"/>
      <c r="CL180" s="2464" t="str">
        <f>IFERROR(INDEX(Liste_Ackerkulturen_Gemüse_DropDown[Ackerkulturen],_xlfn.AGGREGATE(15,6,(ROW(Liste_Ackerkulturen_Gemüse_DropDown[Ackerkulturen])-1)/(--(SEARCH(CM$2,Liste_Ackerkulturen_Gemüse_DropDown[Ackerkulturen])&gt;0)),ROW()-2),1),"")</f>
        <v>Rote Rüben (Frischmarkt)</v>
      </c>
      <c r="CM180" s="2464"/>
      <c r="CN180" s="2464" t="str">
        <f>IFERROR(INDEX(Liste_Ackerkulturen_Gemüse_DropDown[Ackerkulturen],_xlfn.AGGREGATE(15,6,(ROW(Liste_Ackerkulturen_Gemüse_DropDown[Ackerkulturen])-1)/(--(SEARCH(CO$2,Liste_Ackerkulturen_Gemüse_DropDown[Ackerkulturen])&gt;0)),ROW()-2),1),"")</f>
        <v>Rote Rüben (Frischmarkt)</v>
      </c>
      <c r="CO180" s="2464"/>
      <c r="CP180" s="2464" t="str">
        <f>IFERROR(INDEX(Liste_Ackerkulturen_Gemüse_DropDown[Ackerkulturen],_xlfn.AGGREGATE(15,6,(ROW(Liste_Ackerkulturen_Gemüse_DropDown[Ackerkulturen])-1)/(--(SEARCH(CQ$2,Liste_Ackerkulturen_Gemüse_DropDown[Ackerkulturen])&gt;0)),ROW()-2),1),"")</f>
        <v>Rote Rüben (Frischmarkt)</v>
      </c>
      <c r="CQ180" s="2464"/>
      <c r="CR180" s="2464" t="str">
        <f>IFERROR(INDEX(Liste_Ackerkulturen_Gemüse_DropDown[Ackerkulturen],_xlfn.AGGREGATE(15,6,(ROW(Liste_Ackerkulturen_Gemüse_DropDown[Ackerkulturen])-1)/(--(SEARCH(CS$2,Liste_Ackerkulturen_Gemüse_DropDown[Ackerkulturen])&gt;0)),ROW()-2),1),"")</f>
        <v>Rote Rüben (Frischmarkt)</v>
      </c>
      <c r="CS180" s="2464"/>
      <c r="DI180" s="1541"/>
      <c r="DJ180" s="1541"/>
      <c r="DK180" s="1541"/>
      <c r="DL180" s="1541"/>
      <c r="DM180" s="1541"/>
    </row>
    <row r="181" spans="1:117" s="470" customFormat="1" ht="21" customHeight="1">
      <c r="A181" s="465"/>
      <c r="B181" s="465"/>
      <c r="C181" s="1575" t="s">
        <v>115</v>
      </c>
      <c r="D181" s="1576"/>
      <c r="E181" s="1594" t="s">
        <v>1983</v>
      </c>
      <c r="F181" s="1568">
        <v>130</v>
      </c>
      <c r="G181" s="1568"/>
      <c r="H181" s="1716" t="s">
        <v>1984</v>
      </c>
      <c r="I181" s="1718">
        <v>175</v>
      </c>
      <c r="J181" s="1188" t="s">
        <v>1985</v>
      </c>
      <c r="K181" s="1568">
        <v>210</v>
      </c>
      <c r="L181" s="1188" t="s">
        <v>116</v>
      </c>
      <c r="M181" s="1568">
        <v>225</v>
      </c>
      <c r="N181" s="1188" t="s">
        <v>469</v>
      </c>
      <c r="O181" s="1568">
        <v>240</v>
      </c>
      <c r="P181" s="1527">
        <v>160</v>
      </c>
      <c r="Q181" s="1591">
        <v>180</v>
      </c>
      <c r="R181" s="1569">
        <v>135</v>
      </c>
      <c r="S181" s="1570">
        <v>115</v>
      </c>
      <c r="T181" s="1568">
        <v>80</v>
      </c>
      <c r="U181" s="1718">
        <v>90</v>
      </c>
      <c r="V181" s="1568">
        <v>105</v>
      </c>
      <c r="W181" s="1188" t="s">
        <v>1954</v>
      </c>
      <c r="X181" s="1592" t="s">
        <v>1955</v>
      </c>
      <c r="Y181" s="1569">
        <v>340</v>
      </c>
      <c r="Z181" s="1570">
        <v>280</v>
      </c>
      <c r="AA181" s="1568">
        <v>205</v>
      </c>
      <c r="AB181" s="1718">
        <v>225</v>
      </c>
      <c r="AC181" s="1568">
        <v>260</v>
      </c>
      <c r="AD181" s="1188" t="s">
        <v>1956</v>
      </c>
      <c r="AE181" s="1592" t="s">
        <v>1955</v>
      </c>
      <c r="AF181" s="1279"/>
      <c r="AG181" s="176"/>
      <c r="AH181" s="176"/>
      <c r="AI181" s="176"/>
      <c r="AJ181" s="471"/>
      <c r="AK181" s="471"/>
      <c r="AL181" s="471"/>
      <c r="AM181" s="2371" t="s">
        <v>249</v>
      </c>
      <c r="AN181" s="2352">
        <v>160</v>
      </c>
      <c r="AO181" s="2283" t="s">
        <v>170</v>
      </c>
      <c r="AP181" s="2352">
        <v>190</v>
      </c>
      <c r="AQ181" s="2283" t="s">
        <v>467</v>
      </c>
      <c r="AR181" s="2352">
        <v>230</v>
      </c>
      <c r="AS181" s="2283" t="s">
        <v>69</v>
      </c>
      <c r="AT181" s="2348">
        <v>230</v>
      </c>
      <c r="AU181" s="2285" t="s">
        <v>69</v>
      </c>
      <c r="AV181" s="2348">
        <v>230</v>
      </c>
      <c r="AW181" s="2285" t="s">
        <v>69</v>
      </c>
      <c r="AX181" s="2345">
        <v>150</v>
      </c>
      <c r="AY181" s="2278" t="s">
        <v>467</v>
      </c>
      <c r="AZ181" s="2350">
        <v>188</v>
      </c>
      <c r="BA181" s="2303" t="s">
        <v>2336</v>
      </c>
      <c r="BE181" s="2371" t="s">
        <v>249</v>
      </c>
      <c r="BF181" s="577">
        <v>40</v>
      </c>
      <c r="BG181" s="577">
        <v>50</v>
      </c>
      <c r="BH181" s="577">
        <v>65</v>
      </c>
      <c r="BJ181" s="2371" t="s">
        <v>249</v>
      </c>
      <c r="BK181" s="578">
        <v>155</v>
      </c>
      <c r="BL181" s="577">
        <v>195</v>
      </c>
      <c r="BM181" s="577">
        <v>245</v>
      </c>
      <c r="BP181" s="524"/>
      <c r="BQ181" s="524"/>
      <c r="BR181" s="524"/>
      <c r="BS181" s="2461" t="s">
        <v>253</v>
      </c>
      <c r="BT181" s="2463" t="str">
        <f>IFERROR(INDEX(Liste_Ackerkulturen_Gemüse_DropDown[Ackerkulturen],_xlfn.AGGREGATE(15,6,(ROW(Liste_Ackerkulturen_Gemüse_DropDown[Ackerkulturen])-1)/(--(SEARCH(BU$2,Liste_Ackerkulturen_Gemüse_DropDown[Ackerkulturen])&gt;0)),ROW()-2),1),"")</f>
        <v>Rote Rüben (Industrie)</v>
      </c>
      <c r="BU181" s="2463"/>
      <c r="BV181" s="2463" t="str">
        <f>IFERROR(INDEX(Liste_Ackerkulturen_Gemüse_DropDown[Ackerkulturen],_xlfn.AGGREGATE(15,6,(ROW(Liste_Ackerkulturen_Gemüse_DropDown[Ackerkulturen])-1)/(--(SEARCH(BW$2,Liste_Ackerkulturen_Gemüse_DropDown[Ackerkulturen])&gt;0)),ROW()-2),1),"")</f>
        <v>Rote Rüben (Industrie)</v>
      </c>
      <c r="BW181" s="2463"/>
      <c r="BX181" s="2463" t="str">
        <f>IFERROR(INDEX(Liste_Ackerkulturen_Gemüse_DropDown[Ackerkulturen],_xlfn.AGGREGATE(15,6,(ROW(Liste_Ackerkulturen_Gemüse_DropDown[Ackerkulturen])-1)/(--(SEARCH(BY$2,Liste_Ackerkulturen_Gemüse_DropDown[Ackerkulturen])&gt;0)),ROW()-2),1),"")</f>
        <v>Rote Rüben (Industrie)</v>
      </c>
      <c r="BY181" s="2463"/>
      <c r="BZ181" s="2463" t="str">
        <f>IFERROR(INDEX(Liste_Ackerkulturen_Gemüse_DropDown[Ackerkulturen],_xlfn.AGGREGATE(15,6,(ROW(Liste_Ackerkulturen_Gemüse_DropDown[Ackerkulturen])-1)/(--(SEARCH(CA$2,Liste_Ackerkulturen_Gemüse_DropDown[Ackerkulturen])&gt;0)),ROW()-2),1),"")</f>
        <v>Rote Rüben (Industrie)</v>
      </c>
      <c r="CA181" s="2463"/>
      <c r="CB181" s="2463" t="str">
        <f>IFERROR(INDEX(Liste_Ackerkulturen_Gemüse_DropDown[Ackerkulturen],_xlfn.AGGREGATE(15,6,(ROW(Liste_Ackerkulturen_Gemüse_DropDown[Ackerkulturen])-1)/(--(SEARCH(CC$2,Liste_Ackerkulturen_Gemüse_DropDown[Ackerkulturen])&gt;0)),ROW()-2),1),"")</f>
        <v>Rote Rüben (Industrie)</v>
      </c>
      <c r="CC181" s="2463"/>
      <c r="CD181" s="2464" t="str">
        <f>IFERROR(INDEX(Liste_Ackerkulturen_Gemüse_DropDown[Ackerkulturen],_xlfn.AGGREGATE(15,6,(ROW(Liste_Ackerkulturen_Gemüse_DropDown[Ackerkulturen])-1)/(--(SEARCH(CE$2,Liste_Ackerkulturen_Gemüse_DropDown[Ackerkulturen])&gt;0)),ROW()-2),1),"")</f>
        <v>Rote Rüben (Industrie)</v>
      </c>
      <c r="CE181" s="2464"/>
      <c r="CF181" s="2464" t="str">
        <f>IFERROR(INDEX(Liste_Ackerkulturen_Gemüse_DropDown[Ackerkulturen],_xlfn.AGGREGATE(15,6,(ROW(Liste_Ackerkulturen_Gemüse_DropDown[Ackerkulturen])-1)/(--(SEARCH(CG$2,Liste_Ackerkulturen_Gemüse_DropDown[Ackerkulturen])&gt;0)),ROW()-2),1),"")</f>
        <v>Rote Rüben (Industrie)</v>
      </c>
      <c r="CG181" s="2464"/>
      <c r="CH181" s="2464" t="str">
        <f>IFERROR(INDEX(Liste_Ackerkulturen_Gemüse_DropDown[Ackerkulturen],_xlfn.AGGREGATE(15,6,(ROW(Liste_Ackerkulturen_Gemüse_DropDown[Ackerkulturen])-1)/(--(SEARCH(CI$2,Liste_Ackerkulturen_Gemüse_DropDown[Ackerkulturen])&gt;0)),ROW()-2),1),"")</f>
        <v>Rote Rüben (Industrie)</v>
      </c>
      <c r="CI181" s="2464"/>
      <c r="CJ181" s="2464" t="str">
        <f>IFERROR(INDEX(Liste_Ackerkulturen_Gemüse_DropDown[Ackerkulturen],_xlfn.AGGREGATE(15,6,(ROW(Liste_Ackerkulturen_Gemüse_DropDown[Ackerkulturen])-1)/(--(SEARCH(CK$2,Liste_Ackerkulturen_Gemüse_DropDown[Ackerkulturen])&gt;0)),ROW()-2),1),"")</f>
        <v>Rote Rüben (Industrie)</v>
      </c>
      <c r="CK181" s="2464"/>
      <c r="CL181" s="2464" t="str">
        <f>IFERROR(INDEX(Liste_Ackerkulturen_Gemüse_DropDown[Ackerkulturen],_xlfn.AGGREGATE(15,6,(ROW(Liste_Ackerkulturen_Gemüse_DropDown[Ackerkulturen])-1)/(--(SEARCH(CM$2,Liste_Ackerkulturen_Gemüse_DropDown[Ackerkulturen])&gt;0)),ROW()-2),1),"")</f>
        <v>Rote Rüben (Industrie)</v>
      </c>
      <c r="CM181" s="2464"/>
      <c r="CN181" s="2464" t="str">
        <f>IFERROR(INDEX(Liste_Ackerkulturen_Gemüse_DropDown[Ackerkulturen],_xlfn.AGGREGATE(15,6,(ROW(Liste_Ackerkulturen_Gemüse_DropDown[Ackerkulturen])-1)/(--(SEARCH(CO$2,Liste_Ackerkulturen_Gemüse_DropDown[Ackerkulturen])&gt;0)),ROW()-2),1),"")</f>
        <v>Rote Rüben (Industrie)</v>
      </c>
      <c r="CO181" s="2464"/>
      <c r="CP181" s="2464" t="str">
        <f>IFERROR(INDEX(Liste_Ackerkulturen_Gemüse_DropDown[Ackerkulturen],_xlfn.AGGREGATE(15,6,(ROW(Liste_Ackerkulturen_Gemüse_DropDown[Ackerkulturen])-1)/(--(SEARCH(CQ$2,Liste_Ackerkulturen_Gemüse_DropDown[Ackerkulturen])&gt;0)),ROW()-2),1),"")</f>
        <v>Rote Rüben (Industrie)</v>
      </c>
      <c r="CQ181" s="2464"/>
      <c r="CR181" s="2464" t="str">
        <f>IFERROR(INDEX(Liste_Ackerkulturen_Gemüse_DropDown[Ackerkulturen],_xlfn.AGGREGATE(15,6,(ROW(Liste_Ackerkulturen_Gemüse_DropDown[Ackerkulturen])-1)/(--(SEARCH(CS$2,Liste_Ackerkulturen_Gemüse_DropDown[Ackerkulturen])&gt;0)),ROW()-2),1),"")</f>
        <v>Rote Rüben (Industrie)</v>
      </c>
      <c r="CS181" s="2464"/>
      <c r="DI181" s="1541"/>
      <c r="DJ181" s="1541"/>
      <c r="DK181" s="1541"/>
      <c r="DL181" s="1541"/>
      <c r="DM181" s="1541"/>
    </row>
    <row r="182" spans="1:117" s="470" customFormat="1" ht="21" customHeight="1">
      <c r="A182" s="465"/>
      <c r="B182" s="465"/>
      <c r="C182" s="1575" t="s">
        <v>117</v>
      </c>
      <c r="D182" s="1576"/>
      <c r="E182" s="1594" t="s">
        <v>1201</v>
      </c>
      <c r="F182" s="1568">
        <v>60</v>
      </c>
      <c r="G182" s="1568"/>
      <c r="H182" s="1716" t="s">
        <v>1201</v>
      </c>
      <c r="I182" s="1718">
        <v>60</v>
      </c>
      <c r="J182" s="1188" t="s">
        <v>1201</v>
      </c>
      <c r="K182" s="1568">
        <v>60</v>
      </c>
      <c r="L182" s="1188" t="s">
        <v>1201</v>
      </c>
      <c r="M182" s="1568">
        <v>60</v>
      </c>
      <c r="N182" s="1188" t="s">
        <v>1201</v>
      </c>
      <c r="O182" s="1568">
        <v>60</v>
      </c>
      <c r="P182" s="1527">
        <v>0</v>
      </c>
      <c r="Q182" s="1591">
        <v>0</v>
      </c>
      <c r="R182" s="1569">
        <v>100</v>
      </c>
      <c r="S182" s="1570">
        <v>80</v>
      </c>
      <c r="T182" s="1568">
        <v>60</v>
      </c>
      <c r="U182" s="1718">
        <v>65</v>
      </c>
      <c r="V182" s="1568">
        <v>75</v>
      </c>
      <c r="W182" s="1188" t="s">
        <v>1954</v>
      </c>
      <c r="X182" s="1592" t="s">
        <v>1955</v>
      </c>
      <c r="Y182" s="1569">
        <v>150</v>
      </c>
      <c r="Z182" s="1570">
        <v>125</v>
      </c>
      <c r="AA182" s="1568">
        <v>90</v>
      </c>
      <c r="AB182" s="1718">
        <v>100</v>
      </c>
      <c r="AC182" s="1568">
        <v>115</v>
      </c>
      <c r="AD182" s="1188" t="s">
        <v>1956</v>
      </c>
      <c r="AE182" s="1592" t="s">
        <v>1955</v>
      </c>
      <c r="AF182" s="1279"/>
      <c r="AG182" s="176"/>
      <c r="AH182" s="176"/>
      <c r="AI182" s="176"/>
      <c r="AJ182" s="471"/>
      <c r="AK182" s="471"/>
      <c r="AL182" s="471"/>
      <c r="AM182" s="2371" t="s">
        <v>250</v>
      </c>
      <c r="AN182" s="2352">
        <v>170</v>
      </c>
      <c r="AO182" s="2283" t="s">
        <v>181</v>
      </c>
      <c r="AP182" s="2352">
        <v>200</v>
      </c>
      <c r="AQ182" s="2283" t="s">
        <v>251</v>
      </c>
      <c r="AR182" s="2352">
        <v>240</v>
      </c>
      <c r="AS182" s="2283" t="s">
        <v>252</v>
      </c>
      <c r="AT182" s="2348">
        <v>240</v>
      </c>
      <c r="AU182" s="2285" t="s">
        <v>252</v>
      </c>
      <c r="AV182" s="2348">
        <v>240</v>
      </c>
      <c r="AW182" s="2285" t="s">
        <v>252</v>
      </c>
      <c r="AX182" s="2345">
        <v>150</v>
      </c>
      <c r="AY182" s="2278" t="s">
        <v>251</v>
      </c>
      <c r="AZ182" s="2350">
        <v>188</v>
      </c>
      <c r="BA182" s="2303" t="s">
        <v>2347</v>
      </c>
      <c r="BE182" s="2371" t="s">
        <v>250</v>
      </c>
      <c r="BF182" s="577">
        <v>40</v>
      </c>
      <c r="BG182" s="577">
        <v>50</v>
      </c>
      <c r="BH182" s="577">
        <v>65</v>
      </c>
      <c r="BJ182" s="2371" t="s">
        <v>250</v>
      </c>
      <c r="BK182" s="578">
        <v>175</v>
      </c>
      <c r="BL182" s="577">
        <v>220</v>
      </c>
      <c r="BM182" s="577">
        <v>275</v>
      </c>
      <c r="BP182" s="524"/>
      <c r="BQ182" s="524"/>
      <c r="BR182" s="524"/>
      <c r="BS182" s="2461" t="s">
        <v>254</v>
      </c>
      <c r="BT182" s="2463" t="str">
        <f>IFERROR(INDEX(Liste_Ackerkulturen_Gemüse_DropDown[Ackerkulturen],_xlfn.AGGREGATE(15,6,(ROW(Liste_Ackerkulturen_Gemüse_DropDown[Ackerkulturen])-1)/(--(SEARCH(BU$2,Liste_Ackerkulturen_Gemüse_DropDown[Ackerkulturen])&gt;0)),ROW()-2),1),"")</f>
        <v>Rucola</v>
      </c>
      <c r="BU182" s="2463"/>
      <c r="BV182" s="2463" t="str">
        <f>IFERROR(INDEX(Liste_Ackerkulturen_Gemüse_DropDown[Ackerkulturen],_xlfn.AGGREGATE(15,6,(ROW(Liste_Ackerkulturen_Gemüse_DropDown[Ackerkulturen])-1)/(--(SEARCH(BW$2,Liste_Ackerkulturen_Gemüse_DropDown[Ackerkulturen])&gt;0)),ROW()-2),1),"")</f>
        <v>Rucola</v>
      </c>
      <c r="BW182" s="2463"/>
      <c r="BX182" s="2463" t="str">
        <f>IFERROR(INDEX(Liste_Ackerkulturen_Gemüse_DropDown[Ackerkulturen],_xlfn.AGGREGATE(15,6,(ROW(Liste_Ackerkulturen_Gemüse_DropDown[Ackerkulturen])-1)/(--(SEARCH(BY$2,Liste_Ackerkulturen_Gemüse_DropDown[Ackerkulturen])&gt;0)),ROW()-2),1),"")</f>
        <v>Rucola</v>
      </c>
      <c r="BY182" s="2463"/>
      <c r="BZ182" s="2463" t="str">
        <f>IFERROR(INDEX(Liste_Ackerkulturen_Gemüse_DropDown[Ackerkulturen],_xlfn.AGGREGATE(15,6,(ROW(Liste_Ackerkulturen_Gemüse_DropDown[Ackerkulturen])-1)/(--(SEARCH(CA$2,Liste_Ackerkulturen_Gemüse_DropDown[Ackerkulturen])&gt;0)),ROW()-2),1),"")</f>
        <v>Rucola</v>
      </c>
      <c r="CA182" s="2463"/>
      <c r="CB182" s="2463" t="str">
        <f>IFERROR(INDEX(Liste_Ackerkulturen_Gemüse_DropDown[Ackerkulturen],_xlfn.AGGREGATE(15,6,(ROW(Liste_Ackerkulturen_Gemüse_DropDown[Ackerkulturen])-1)/(--(SEARCH(CC$2,Liste_Ackerkulturen_Gemüse_DropDown[Ackerkulturen])&gt;0)),ROW()-2),1),"")</f>
        <v>Rucola</v>
      </c>
      <c r="CC182" s="2463"/>
      <c r="CD182" s="2464" t="str">
        <f>IFERROR(INDEX(Liste_Ackerkulturen_Gemüse_DropDown[Ackerkulturen],_xlfn.AGGREGATE(15,6,(ROW(Liste_Ackerkulturen_Gemüse_DropDown[Ackerkulturen])-1)/(--(SEARCH(CE$2,Liste_Ackerkulturen_Gemüse_DropDown[Ackerkulturen])&gt;0)),ROW()-2),1),"")</f>
        <v>Rucola</v>
      </c>
      <c r="CE182" s="2464"/>
      <c r="CF182" s="2464" t="str">
        <f>IFERROR(INDEX(Liste_Ackerkulturen_Gemüse_DropDown[Ackerkulturen],_xlfn.AGGREGATE(15,6,(ROW(Liste_Ackerkulturen_Gemüse_DropDown[Ackerkulturen])-1)/(--(SEARCH(CG$2,Liste_Ackerkulturen_Gemüse_DropDown[Ackerkulturen])&gt;0)),ROW()-2),1),"")</f>
        <v>Rucola</v>
      </c>
      <c r="CG182" s="2464"/>
      <c r="CH182" s="2464" t="str">
        <f>IFERROR(INDEX(Liste_Ackerkulturen_Gemüse_DropDown[Ackerkulturen],_xlfn.AGGREGATE(15,6,(ROW(Liste_Ackerkulturen_Gemüse_DropDown[Ackerkulturen])-1)/(--(SEARCH(CI$2,Liste_Ackerkulturen_Gemüse_DropDown[Ackerkulturen])&gt;0)),ROW()-2),1),"")</f>
        <v>Rucola</v>
      </c>
      <c r="CI182" s="2464"/>
      <c r="CJ182" s="2464" t="str">
        <f>IFERROR(INDEX(Liste_Ackerkulturen_Gemüse_DropDown[Ackerkulturen],_xlfn.AGGREGATE(15,6,(ROW(Liste_Ackerkulturen_Gemüse_DropDown[Ackerkulturen])-1)/(--(SEARCH(CK$2,Liste_Ackerkulturen_Gemüse_DropDown[Ackerkulturen])&gt;0)),ROW()-2),1),"")</f>
        <v>Rucola</v>
      </c>
      <c r="CK182" s="2464"/>
      <c r="CL182" s="2464" t="str">
        <f>IFERROR(INDEX(Liste_Ackerkulturen_Gemüse_DropDown[Ackerkulturen],_xlfn.AGGREGATE(15,6,(ROW(Liste_Ackerkulturen_Gemüse_DropDown[Ackerkulturen])-1)/(--(SEARCH(CM$2,Liste_Ackerkulturen_Gemüse_DropDown[Ackerkulturen])&gt;0)),ROW()-2),1),"")</f>
        <v>Rucola</v>
      </c>
      <c r="CM182" s="2464"/>
      <c r="CN182" s="2464" t="str">
        <f>IFERROR(INDEX(Liste_Ackerkulturen_Gemüse_DropDown[Ackerkulturen],_xlfn.AGGREGATE(15,6,(ROW(Liste_Ackerkulturen_Gemüse_DropDown[Ackerkulturen])-1)/(--(SEARCH(CO$2,Liste_Ackerkulturen_Gemüse_DropDown[Ackerkulturen])&gt;0)),ROW()-2),1),"")</f>
        <v>Rucola</v>
      </c>
      <c r="CO182" s="2464"/>
      <c r="CP182" s="2464" t="str">
        <f>IFERROR(INDEX(Liste_Ackerkulturen_Gemüse_DropDown[Ackerkulturen],_xlfn.AGGREGATE(15,6,(ROW(Liste_Ackerkulturen_Gemüse_DropDown[Ackerkulturen])-1)/(--(SEARCH(CQ$2,Liste_Ackerkulturen_Gemüse_DropDown[Ackerkulturen])&gt;0)),ROW()-2),1),"")</f>
        <v>Rucola</v>
      </c>
      <c r="CQ182" s="2464"/>
      <c r="CR182" s="2464" t="str">
        <f>IFERROR(INDEX(Liste_Ackerkulturen_Gemüse_DropDown[Ackerkulturen],_xlfn.AGGREGATE(15,6,(ROW(Liste_Ackerkulturen_Gemüse_DropDown[Ackerkulturen])-1)/(--(SEARCH(CS$2,Liste_Ackerkulturen_Gemüse_DropDown[Ackerkulturen])&gt;0)),ROW()-2),1),"")</f>
        <v>Rucola</v>
      </c>
      <c r="CS182" s="2464"/>
      <c r="DI182" s="1541"/>
      <c r="DJ182" s="1541"/>
      <c r="DK182" s="1541"/>
      <c r="DL182" s="1541"/>
      <c r="DM182" s="1541"/>
    </row>
    <row r="183" spans="1:117" s="470" customFormat="1" ht="21" customHeight="1">
      <c r="A183" s="465"/>
      <c r="B183" s="465"/>
      <c r="C183" s="1575" t="s">
        <v>118</v>
      </c>
      <c r="D183" s="1576"/>
      <c r="E183" s="1594" t="s">
        <v>1967</v>
      </c>
      <c r="F183" s="1568">
        <v>100</v>
      </c>
      <c r="G183" s="1568"/>
      <c r="H183" s="1716" t="s">
        <v>119</v>
      </c>
      <c r="I183" s="1718">
        <v>100</v>
      </c>
      <c r="J183" s="1188" t="s">
        <v>1951</v>
      </c>
      <c r="K183" s="1568">
        <v>100</v>
      </c>
      <c r="L183" s="1188" t="s">
        <v>1952</v>
      </c>
      <c r="M183" s="1568">
        <v>100</v>
      </c>
      <c r="N183" s="1188" t="s">
        <v>1953</v>
      </c>
      <c r="O183" s="1568">
        <v>100</v>
      </c>
      <c r="P183" s="1527">
        <v>100</v>
      </c>
      <c r="Q183" s="1591">
        <v>100</v>
      </c>
      <c r="R183" s="1569">
        <v>85</v>
      </c>
      <c r="S183" s="1570">
        <v>70</v>
      </c>
      <c r="T183" s="1568">
        <v>50</v>
      </c>
      <c r="U183" s="1718">
        <v>55</v>
      </c>
      <c r="V183" s="1568">
        <v>65</v>
      </c>
      <c r="W183" s="1188" t="s">
        <v>1954</v>
      </c>
      <c r="X183" s="1592" t="s">
        <v>1955</v>
      </c>
      <c r="Y183" s="1569">
        <v>375</v>
      </c>
      <c r="Z183" s="1570">
        <v>315</v>
      </c>
      <c r="AA183" s="1568">
        <v>225</v>
      </c>
      <c r="AB183" s="1718">
        <v>250</v>
      </c>
      <c r="AC183" s="1568">
        <v>290</v>
      </c>
      <c r="AD183" s="1188" t="s">
        <v>1956</v>
      </c>
      <c r="AE183" s="1592" t="s">
        <v>1955</v>
      </c>
      <c r="AF183" s="1279"/>
      <c r="AG183" s="176"/>
      <c r="AH183" s="176"/>
      <c r="AI183" s="176"/>
      <c r="AJ183" s="471"/>
      <c r="AK183" s="471"/>
      <c r="AL183" s="471"/>
      <c r="AM183" s="2371" t="s">
        <v>253</v>
      </c>
      <c r="AN183" s="2352">
        <v>170</v>
      </c>
      <c r="AO183" s="2283" t="s">
        <v>199</v>
      </c>
      <c r="AP183" s="2352">
        <v>200</v>
      </c>
      <c r="AQ183" s="2283" t="s">
        <v>68</v>
      </c>
      <c r="AR183" s="2352">
        <v>235</v>
      </c>
      <c r="AS183" s="2283" t="s">
        <v>141</v>
      </c>
      <c r="AT183" s="2348">
        <v>235</v>
      </c>
      <c r="AU183" s="2285" t="s">
        <v>141</v>
      </c>
      <c r="AV183" s="2348">
        <v>235</v>
      </c>
      <c r="AW183" s="2285" t="s">
        <v>141</v>
      </c>
      <c r="AX183" s="2345">
        <v>100</v>
      </c>
      <c r="AY183" s="2278" t="s">
        <v>68</v>
      </c>
      <c r="AZ183" s="2350">
        <v>125</v>
      </c>
      <c r="BA183" s="2303" t="s">
        <v>2332</v>
      </c>
      <c r="BE183" s="2371" t="s">
        <v>253</v>
      </c>
      <c r="BF183" s="577">
        <v>30</v>
      </c>
      <c r="BG183" s="577">
        <v>40</v>
      </c>
      <c r="BH183" s="577">
        <v>50</v>
      </c>
      <c r="BJ183" s="2371" t="s">
        <v>253</v>
      </c>
      <c r="BK183" s="578">
        <v>110</v>
      </c>
      <c r="BL183" s="577">
        <v>140</v>
      </c>
      <c r="BM183" s="577">
        <v>175</v>
      </c>
      <c r="BP183" s="524"/>
      <c r="BQ183" s="524"/>
      <c r="BR183" s="524"/>
      <c r="BS183" s="2461" t="s">
        <v>255</v>
      </c>
      <c r="BT183" s="2463" t="str">
        <f>IFERROR(INDEX(Liste_Ackerkulturen_Gemüse_DropDown[Ackerkulturen],_xlfn.AGGREGATE(15,6,(ROW(Liste_Ackerkulturen_Gemüse_DropDown[Ackerkulturen])-1)/(--(SEARCH(BU$2,Liste_Ackerkulturen_Gemüse_DropDown[Ackerkulturen])&gt;0)),ROW()-2),1),"")</f>
        <v>Schnittlauch</v>
      </c>
      <c r="BU183" s="2463"/>
      <c r="BV183" s="2463" t="str">
        <f>IFERROR(INDEX(Liste_Ackerkulturen_Gemüse_DropDown[Ackerkulturen],_xlfn.AGGREGATE(15,6,(ROW(Liste_Ackerkulturen_Gemüse_DropDown[Ackerkulturen])-1)/(--(SEARCH(BW$2,Liste_Ackerkulturen_Gemüse_DropDown[Ackerkulturen])&gt;0)),ROW()-2),1),"")</f>
        <v>Schnittlauch</v>
      </c>
      <c r="BW183" s="2463"/>
      <c r="BX183" s="2463" t="str">
        <f>IFERROR(INDEX(Liste_Ackerkulturen_Gemüse_DropDown[Ackerkulturen],_xlfn.AGGREGATE(15,6,(ROW(Liste_Ackerkulturen_Gemüse_DropDown[Ackerkulturen])-1)/(--(SEARCH(BY$2,Liste_Ackerkulturen_Gemüse_DropDown[Ackerkulturen])&gt;0)),ROW()-2),1),"")</f>
        <v>Schnittlauch</v>
      </c>
      <c r="BY183" s="2463"/>
      <c r="BZ183" s="2463" t="str">
        <f>IFERROR(INDEX(Liste_Ackerkulturen_Gemüse_DropDown[Ackerkulturen],_xlfn.AGGREGATE(15,6,(ROW(Liste_Ackerkulturen_Gemüse_DropDown[Ackerkulturen])-1)/(--(SEARCH(CA$2,Liste_Ackerkulturen_Gemüse_DropDown[Ackerkulturen])&gt;0)),ROW()-2),1),"")</f>
        <v>Schnittlauch</v>
      </c>
      <c r="CA183" s="2463"/>
      <c r="CB183" s="2463" t="str">
        <f>IFERROR(INDEX(Liste_Ackerkulturen_Gemüse_DropDown[Ackerkulturen],_xlfn.AGGREGATE(15,6,(ROW(Liste_Ackerkulturen_Gemüse_DropDown[Ackerkulturen])-1)/(--(SEARCH(CC$2,Liste_Ackerkulturen_Gemüse_DropDown[Ackerkulturen])&gt;0)),ROW()-2),1),"")</f>
        <v>Schnittlauch</v>
      </c>
      <c r="CC183" s="2463"/>
      <c r="CD183" s="2464" t="str">
        <f>IFERROR(INDEX(Liste_Ackerkulturen_Gemüse_DropDown[Ackerkulturen],_xlfn.AGGREGATE(15,6,(ROW(Liste_Ackerkulturen_Gemüse_DropDown[Ackerkulturen])-1)/(--(SEARCH(CE$2,Liste_Ackerkulturen_Gemüse_DropDown[Ackerkulturen])&gt;0)),ROW()-2),1),"")</f>
        <v>Schnittlauch</v>
      </c>
      <c r="CE183" s="2464"/>
      <c r="CF183" s="2464" t="str">
        <f>IFERROR(INDEX(Liste_Ackerkulturen_Gemüse_DropDown[Ackerkulturen],_xlfn.AGGREGATE(15,6,(ROW(Liste_Ackerkulturen_Gemüse_DropDown[Ackerkulturen])-1)/(--(SEARCH(CG$2,Liste_Ackerkulturen_Gemüse_DropDown[Ackerkulturen])&gt;0)),ROW()-2),1),"")</f>
        <v>Schnittlauch</v>
      </c>
      <c r="CG183" s="2464"/>
      <c r="CH183" s="2464" t="str">
        <f>IFERROR(INDEX(Liste_Ackerkulturen_Gemüse_DropDown[Ackerkulturen],_xlfn.AGGREGATE(15,6,(ROW(Liste_Ackerkulturen_Gemüse_DropDown[Ackerkulturen])-1)/(--(SEARCH(CI$2,Liste_Ackerkulturen_Gemüse_DropDown[Ackerkulturen])&gt;0)),ROW()-2),1),"")</f>
        <v>Schnittlauch</v>
      </c>
      <c r="CI183" s="2464"/>
      <c r="CJ183" s="2464" t="str">
        <f>IFERROR(INDEX(Liste_Ackerkulturen_Gemüse_DropDown[Ackerkulturen],_xlfn.AGGREGATE(15,6,(ROW(Liste_Ackerkulturen_Gemüse_DropDown[Ackerkulturen])-1)/(--(SEARCH(CK$2,Liste_Ackerkulturen_Gemüse_DropDown[Ackerkulturen])&gt;0)),ROW()-2),1),"")</f>
        <v>Schnittlauch</v>
      </c>
      <c r="CK183" s="2464"/>
      <c r="CL183" s="2464" t="str">
        <f>IFERROR(INDEX(Liste_Ackerkulturen_Gemüse_DropDown[Ackerkulturen],_xlfn.AGGREGATE(15,6,(ROW(Liste_Ackerkulturen_Gemüse_DropDown[Ackerkulturen])-1)/(--(SEARCH(CM$2,Liste_Ackerkulturen_Gemüse_DropDown[Ackerkulturen])&gt;0)),ROW()-2),1),"")</f>
        <v>Schnittlauch</v>
      </c>
      <c r="CM183" s="2464"/>
      <c r="CN183" s="2464" t="str">
        <f>IFERROR(INDEX(Liste_Ackerkulturen_Gemüse_DropDown[Ackerkulturen],_xlfn.AGGREGATE(15,6,(ROW(Liste_Ackerkulturen_Gemüse_DropDown[Ackerkulturen])-1)/(--(SEARCH(CO$2,Liste_Ackerkulturen_Gemüse_DropDown[Ackerkulturen])&gt;0)),ROW()-2),1),"")</f>
        <v>Schnittlauch</v>
      </c>
      <c r="CO183" s="2464"/>
      <c r="CP183" s="2464" t="str">
        <f>IFERROR(INDEX(Liste_Ackerkulturen_Gemüse_DropDown[Ackerkulturen],_xlfn.AGGREGATE(15,6,(ROW(Liste_Ackerkulturen_Gemüse_DropDown[Ackerkulturen])-1)/(--(SEARCH(CQ$2,Liste_Ackerkulturen_Gemüse_DropDown[Ackerkulturen])&gt;0)),ROW()-2),1),"")</f>
        <v>Schnittlauch</v>
      </c>
      <c r="CQ183" s="2464"/>
      <c r="CR183" s="2464" t="str">
        <f>IFERROR(INDEX(Liste_Ackerkulturen_Gemüse_DropDown[Ackerkulturen],_xlfn.AGGREGATE(15,6,(ROW(Liste_Ackerkulturen_Gemüse_DropDown[Ackerkulturen])-1)/(--(SEARCH(CS$2,Liste_Ackerkulturen_Gemüse_DropDown[Ackerkulturen])&gt;0)),ROW()-2),1),"")</f>
        <v>Schnittlauch</v>
      </c>
      <c r="CS183" s="2464"/>
      <c r="DI183" s="1541"/>
      <c r="DJ183" s="1541"/>
      <c r="DK183" s="1541"/>
      <c r="DL183" s="1541"/>
      <c r="DM183" s="1541"/>
    </row>
    <row r="184" spans="1:117" s="470" customFormat="1" ht="21" customHeight="1">
      <c r="A184" s="465"/>
      <c r="B184" s="465"/>
      <c r="C184" s="1575" t="s">
        <v>120</v>
      </c>
      <c r="D184" s="1576"/>
      <c r="E184" s="1589" t="s">
        <v>1082</v>
      </c>
      <c r="F184" s="1568"/>
      <c r="G184" s="1568"/>
      <c r="H184" s="1716"/>
      <c r="I184" s="1718"/>
      <c r="J184" s="1188"/>
      <c r="K184" s="1568"/>
      <c r="L184" s="1188"/>
      <c r="M184" s="1568"/>
      <c r="N184" s="1188"/>
      <c r="O184" s="1568"/>
      <c r="P184" s="1527">
        <v>0</v>
      </c>
      <c r="Q184" s="1591">
        <v>0</v>
      </c>
      <c r="R184" s="1569">
        <v>90</v>
      </c>
      <c r="S184" s="1570">
        <v>75</v>
      </c>
      <c r="T184" s="1568">
        <v>55</v>
      </c>
      <c r="U184" s="1718">
        <v>60</v>
      </c>
      <c r="V184" s="1568">
        <v>70</v>
      </c>
      <c r="W184" s="1188" t="s">
        <v>1954</v>
      </c>
      <c r="X184" s="1592" t="s">
        <v>1955</v>
      </c>
      <c r="Y184" s="1569">
        <v>135</v>
      </c>
      <c r="Z184" s="1570">
        <v>115</v>
      </c>
      <c r="AA184" s="1568">
        <v>80</v>
      </c>
      <c r="AB184" s="1718">
        <v>90</v>
      </c>
      <c r="AC184" s="1568">
        <v>105</v>
      </c>
      <c r="AD184" s="1188" t="s">
        <v>1956</v>
      </c>
      <c r="AE184" s="1592" t="s">
        <v>1955</v>
      </c>
      <c r="AF184" s="1279"/>
      <c r="AG184" s="176"/>
      <c r="AH184" s="176"/>
      <c r="AI184" s="176"/>
      <c r="AJ184" s="471"/>
      <c r="AK184" s="471"/>
      <c r="AL184" s="471"/>
      <c r="AM184" s="2371" t="s">
        <v>254</v>
      </c>
      <c r="AN184" s="2352">
        <v>210</v>
      </c>
      <c r="AO184" s="2283" t="s">
        <v>465</v>
      </c>
      <c r="AP184" s="2352">
        <v>250</v>
      </c>
      <c r="AQ184" s="2283" t="s">
        <v>158</v>
      </c>
      <c r="AR184" s="2352">
        <v>300</v>
      </c>
      <c r="AS184" s="2283" t="s">
        <v>159</v>
      </c>
      <c r="AT184" s="2348">
        <v>300</v>
      </c>
      <c r="AU184" s="2285" t="s">
        <v>159</v>
      </c>
      <c r="AV184" s="2348">
        <v>300</v>
      </c>
      <c r="AW184" s="2285" t="s">
        <v>159</v>
      </c>
      <c r="AX184" s="2345">
        <v>200</v>
      </c>
      <c r="AY184" s="2278" t="s">
        <v>158</v>
      </c>
      <c r="AZ184" s="2350">
        <v>250</v>
      </c>
      <c r="BA184" s="2303" t="s">
        <v>2335</v>
      </c>
      <c r="BE184" s="2371" t="s">
        <v>254</v>
      </c>
      <c r="BF184" s="577">
        <v>40</v>
      </c>
      <c r="BG184" s="577">
        <v>50</v>
      </c>
      <c r="BH184" s="577">
        <v>65</v>
      </c>
      <c r="BJ184" s="2371" t="s">
        <v>254</v>
      </c>
      <c r="BK184" s="578">
        <v>145</v>
      </c>
      <c r="BL184" s="577">
        <v>180</v>
      </c>
      <c r="BM184" s="577">
        <v>225</v>
      </c>
      <c r="BP184" s="524"/>
      <c r="BQ184" s="524"/>
      <c r="BR184" s="524"/>
      <c r="BS184" s="2461" t="s">
        <v>259</v>
      </c>
      <c r="BT184" s="2463" t="str">
        <f>IFERROR(INDEX(Liste_Ackerkulturen_Gemüse_DropDown[Ackerkulturen],_xlfn.AGGREGATE(15,6,(ROW(Liste_Ackerkulturen_Gemüse_DropDown[Ackerkulturen])-1)/(--(SEARCH(BU$2,Liste_Ackerkulturen_Gemüse_DropDown[Ackerkulturen])&gt;0)),ROW()-2),1),"")</f>
        <v>Schwarzwurzel</v>
      </c>
      <c r="BU184" s="2463"/>
      <c r="BV184" s="2463" t="str">
        <f>IFERROR(INDEX(Liste_Ackerkulturen_Gemüse_DropDown[Ackerkulturen],_xlfn.AGGREGATE(15,6,(ROW(Liste_Ackerkulturen_Gemüse_DropDown[Ackerkulturen])-1)/(--(SEARCH(BW$2,Liste_Ackerkulturen_Gemüse_DropDown[Ackerkulturen])&gt;0)),ROW()-2),1),"")</f>
        <v>Schwarzwurzel</v>
      </c>
      <c r="BW184" s="2463"/>
      <c r="BX184" s="2463" t="str">
        <f>IFERROR(INDEX(Liste_Ackerkulturen_Gemüse_DropDown[Ackerkulturen],_xlfn.AGGREGATE(15,6,(ROW(Liste_Ackerkulturen_Gemüse_DropDown[Ackerkulturen])-1)/(--(SEARCH(BY$2,Liste_Ackerkulturen_Gemüse_DropDown[Ackerkulturen])&gt;0)),ROW()-2),1),"")</f>
        <v>Schwarzwurzel</v>
      </c>
      <c r="BY184" s="2463"/>
      <c r="BZ184" s="2463" t="str">
        <f>IFERROR(INDEX(Liste_Ackerkulturen_Gemüse_DropDown[Ackerkulturen],_xlfn.AGGREGATE(15,6,(ROW(Liste_Ackerkulturen_Gemüse_DropDown[Ackerkulturen])-1)/(--(SEARCH(CA$2,Liste_Ackerkulturen_Gemüse_DropDown[Ackerkulturen])&gt;0)),ROW()-2),1),"")</f>
        <v>Schwarzwurzel</v>
      </c>
      <c r="CA184" s="2463"/>
      <c r="CB184" s="2463" t="str">
        <f>IFERROR(INDEX(Liste_Ackerkulturen_Gemüse_DropDown[Ackerkulturen],_xlfn.AGGREGATE(15,6,(ROW(Liste_Ackerkulturen_Gemüse_DropDown[Ackerkulturen])-1)/(--(SEARCH(CC$2,Liste_Ackerkulturen_Gemüse_DropDown[Ackerkulturen])&gt;0)),ROW()-2),1),"")</f>
        <v>Schwarzwurzel</v>
      </c>
      <c r="CC184" s="2463"/>
      <c r="CD184" s="2464" t="str">
        <f>IFERROR(INDEX(Liste_Ackerkulturen_Gemüse_DropDown[Ackerkulturen],_xlfn.AGGREGATE(15,6,(ROW(Liste_Ackerkulturen_Gemüse_DropDown[Ackerkulturen])-1)/(--(SEARCH(CE$2,Liste_Ackerkulturen_Gemüse_DropDown[Ackerkulturen])&gt;0)),ROW()-2),1),"")</f>
        <v>Schwarzwurzel</v>
      </c>
      <c r="CE184" s="2464"/>
      <c r="CF184" s="2464" t="str">
        <f>IFERROR(INDEX(Liste_Ackerkulturen_Gemüse_DropDown[Ackerkulturen],_xlfn.AGGREGATE(15,6,(ROW(Liste_Ackerkulturen_Gemüse_DropDown[Ackerkulturen])-1)/(--(SEARCH(CG$2,Liste_Ackerkulturen_Gemüse_DropDown[Ackerkulturen])&gt;0)),ROW()-2),1),"")</f>
        <v>Schwarzwurzel</v>
      </c>
      <c r="CG184" s="2464"/>
      <c r="CH184" s="2464" t="str">
        <f>IFERROR(INDEX(Liste_Ackerkulturen_Gemüse_DropDown[Ackerkulturen],_xlfn.AGGREGATE(15,6,(ROW(Liste_Ackerkulturen_Gemüse_DropDown[Ackerkulturen])-1)/(--(SEARCH(CI$2,Liste_Ackerkulturen_Gemüse_DropDown[Ackerkulturen])&gt;0)),ROW()-2),1),"")</f>
        <v>Schwarzwurzel</v>
      </c>
      <c r="CI184" s="2464"/>
      <c r="CJ184" s="2464" t="str">
        <f>IFERROR(INDEX(Liste_Ackerkulturen_Gemüse_DropDown[Ackerkulturen],_xlfn.AGGREGATE(15,6,(ROW(Liste_Ackerkulturen_Gemüse_DropDown[Ackerkulturen])-1)/(--(SEARCH(CK$2,Liste_Ackerkulturen_Gemüse_DropDown[Ackerkulturen])&gt;0)),ROW()-2),1),"")</f>
        <v>Schwarzwurzel</v>
      </c>
      <c r="CK184" s="2464"/>
      <c r="CL184" s="2464" t="str">
        <f>IFERROR(INDEX(Liste_Ackerkulturen_Gemüse_DropDown[Ackerkulturen],_xlfn.AGGREGATE(15,6,(ROW(Liste_Ackerkulturen_Gemüse_DropDown[Ackerkulturen])-1)/(--(SEARCH(CM$2,Liste_Ackerkulturen_Gemüse_DropDown[Ackerkulturen])&gt;0)),ROW()-2),1),"")</f>
        <v>Schwarzwurzel</v>
      </c>
      <c r="CM184" s="2464"/>
      <c r="CN184" s="2464" t="str">
        <f>IFERROR(INDEX(Liste_Ackerkulturen_Gemüse_DropDown[Ackerkulturen],_xlfn.AGGREGATE(15,6,(ROW(Liste_Ackerkulturen_Gemüse_DropDown[Ackerkulturen])-1)/(--(SEARCH(CO$2,Liste_Ackerkulturen_Gemüse_DropDown[Ackerkulturen])&gt;0)),ROW()-2),1),"")</f>
        <v>Schwarzwurzel</v>
      </c>
      <c r="CO184" s="2464"/>
      <c r="CP184" s="2464" t="str">
        <f>IFERROR(INDEX(Liste_Ackerkulturen_Gemüse_DropDown[Ackerkulturen],_xlfn.AGGREGATE(15,6,(ROW(Liste_Ackerkulturen_Gemüse_DropDown[Ackerkulturen])-1)/(--(SEARCH(CQ$2,Liste_Ackerkulturen_Gemüse_DropDown[Ackerkulturen])&gt;0)),ROW()-2),1),"")</f>
        <v>Schwarzwurzel</v>
      </c>
      <c r="CQ184" s="2464"/>
      <c r="CR184" s="2464" t="str">
        <f>IFERROR(INDEX(Liste_Ackerkulturen_Gemüse_DropDown[Ackerkulturen],_xlfn.AGGREGATE(15,6,(ROW(Liste_Ackerkulturen_Gemüse_DropDown[Ackerkulturen])-1)/(--(SEARCH(CS$2,Liste_Ackerkulturen_Gemüse_DropDown[Ackerkulturen])&gt;0)),ROW()-2),1),"")</f>
        <v>Schwarzwurzel</v>
      </c>
      <c r="CS184" s="2464"/>
      <c r="DI184" s="1541"/>
      <c r="DJ184" s="1541"/>
      <c r="DK184" s="1541"/>
      <c r="DL184" s="1541"/>
      <c r="DM184" s="1541"/>
    </row>
    <row r="185" spans="1:117" s="470" customFormat="1" ht="21" customHeight="1">
      <c r="A185" s="465"/>
      <c r="B185" s="465"/>
      <c r="C185" s="1575" t="s">
        <v>121</v>
      </c>
      <c r="D185" s="1576"/>
      <c r="E185" s="1594" t="s">
        <v>1967</v>
      </c>
      <c r="F185" s="1568">
        <v>80</v>
      </c>
      <c r="G185" s="1568"/>
      <c r="H185" s="1716" t="s">
        <v>1968</v>
      </c>
      <c r="I185" s="1718">
        <v>110</v>
      </c>
      <c r="J185" s="1188" t="s">
        <v>1972</v>
      </c>
      <c r="K185" s="1568">
        <v>130</v>
      </c>
      <c r="L185" s="1188" t="s">
        <v>1973</v>
      </c>
      <c r="M185" s="1568">
        <v>140</v>
      </c>
      <c r="N185" s="1188" t="s">
        <v>1974</v>
      </c>
      <c r="O185" s="1568">
        <v>150</v>
      </c>
      <c r="P185" s="1527">
        <v>90</v>
      </c>
      <c r="Q185" s="1591">
        <v>100</v>
      </c>
      <c r="R185" s="1569">
        <v>85</v>
      </c>
      <c r="S185" s="1570">
        <v>70</v>
      </c>
      <c r="T185" s="1568">
        <v>50</v>
      </c>
      <c r="U185" s="1718">
        <v>55</v>
      </c>
      <c r="V185" s="1568">
        <v>65</v>
      </c>
      <c r="W185" s="1188" t="s">
        <v>1954</v>
      </c>
      <c r="X185" s="1592" t="s">
        <v>1955</v>
      </c>
      <c r="Y185" s="1569">
        <v>120</v>
      </c>
      <c r="Z185" s="1570">
        <v>100</v>
      </c>
      <c r="AA185" s="1568">
        <v>70</v>
      </c>
      <c r="AB185" s="1718">
        <v>80</v>
      </c>
      <c r="AC185" s="1568">
        <v>90</v>
      </c>
      <c r="AD185" s="1188" t="s">
        <v>1956</v>
      </c>
      <c r="AE185" s="1592" t="s">
        <v>1955</v>
      </c>
      <c r="AF185" s="1279"/>
      <c r="AG185" s="176"/>
      <c r="AH185" s="176"/>
      <c r="AI185" s="176"/>
      <c r="AJ185" s="473"/>
      <c r="AK185" s="472"/>
      <c r="AL185" s="472"/>
      <c r="AM185" s="2371" t="s">
        <v>255</v>
      </c>
      <c r="AN185" s="2352">
        <v>165</v>
      </c>
      <c r="AO185" s="2283" t="s">
        <v>256</v>
      </c>
      <c r="AP185" s="2352">
        <v>195</v>
      </c>
      <c r="AQ185" s="2283" t="s">
        <v>257</v>
      </c>
      <c r="AR185" s="2352">
        <v>235</v>
      </c>
      <c r="AS185" s="2283" t="s">
        <v>258</v>
      </c>
      <c r="AT185" s="2348">
        <v>235</v>
      </c>
      <c r="AU185" s="2285" t="s">
        <v>258</v>
      </c>
      <c r="AV185" s="2348">
        <v>235</v>
      </c>
      <c r="AW185" s="2285" t="s">
        <v>258</v>
      </c>
      <c r="AX185" s="2345">
        <v>155</v>
      </c>
      <c r="AY185" s="2278" t="s">
        <v>257</v>
      </c>
      <c r="AZ185" s="2350">
        <v>194</v>
      </c>
      <c r="BA185" s="2303" t="s">
        <v>2348</v>
      </c>
      <c r="BE185" s="2371" t="s">
        <v>255</v>
      </c>
      <c r="BF185" s="577">
        <v>50</v>
      </c>
      <c r="BG185" s="577">
        <v>60</v>
      </c>
      <c r="BH185" s="577">
        <v>75</v>
      </c>
      <c r="BJ185" s="2371" t="s">
        <v>255</v>
      </c>
      <c r="BK185" s="578">
        <v>125</v>
      </c>
      <c r="BL185" s="577">
        <v>155</v>
      </c>
      <c r="BM185" s="577">
        <v>195</v>
      </c>
      <c r="BP185" s="524"/>
      <c r="BQ185" s="524"/>
      <c r="BR185" s="524"/>
      <c r="BS185" s="2461" t="s">
        <v>260</v>
      </c>
      <c r="BT185" s="2463" t="str">
        <f>IFERROR(INDEX(Liste_Ackerkulturen_Gemüse_DropDown[Ackerkulturen],_xlfn.AGGREGATE(15,6,(ROW(Liste_Ackerkulturen_Gemüse_DropDown[Ackerkulturen])-1)/(--(SEARCH(BU$2,Liste_Ackerkulturen_Gemüse_DropDown[Ackerkulturen])&gt;0)),ROW()-2),1),"")</f>
        <v>Sellerie (Knollen)</v>
      </c>
      <c r="BU185" s="2463"/>
      <c r="BV185" s="2463" t="str">
        <f>IFERROR(INDEX(Liste_Ackerkulturen_Gemüse_DropDown[Ackerkulturen],_xlfn.AGGREGATE(15,6,(ROW(Liste_Ackerkulturen_Gemüse_DropDown[Ackerkulturen])-1)/(--(SEARCH(BW$2,Liste_Ackerkulturen_Gemüse_DropDown[Ackerkulturen])&gt;0)),ROW()-2),1),"")</f>
        <v>Sellerie (Knollen)</v>
      </c>
      <c r="BW185" s="2463"/>
      <c r="BX185" s="2463" t="str">
        <f>IFERROR(INDEX(Liste_Ackerkulturen_Gemüse_DropDown[Ackerkulturen],_xlfn.AGGREGATE(15,6,(ROW(Liste_Ackerkulturen_Gemüse_DropDown[Ackerkulturen])-1)/(--(SEARCH(BY$2,Liste_Ackerkulturen_Gemüse_DropDown[Ackerkulturen])&gt;0)),ROW()-2),1),"")</f>
        <v>Sellerie (Knollen)</v>
      </c>
      <c r="BY185" s="2463"/>
      <c r="BZ185" s="2463" t="str">
        <f>IFERROR(INDEX(Liste_Ackerkulturen_Gemüse_DropDown[Ackerkulturen],_xlfn.AGGREGATE(15,6,(ROW(Liste_Ackerkulturen_Gemüse_DropDown[Ackerkulturen])-1)/(--(SEARCH(CA$2,Liste_Ackerkulturen_Gemüse_DropDown[Ackerkulturen])&gt;0)),ROW()-2),1),"")</f>
        <v>Sellerie (Knollen)</v>
      </c>
      <c r="CA185" s="2463"/>
      <c r="CB185" s="2463" t="str">
        <f>IFERROR(INDEX(Liste_Ackerkulturen_Gemüse_DropDown[Ackerkulturen],_xlfn.AGGREGATE(15,6,(ROW(Liste_Ackerkulturen_Gemüse_DropDown[Ackerkulturen])-1)/(--(SEARCH(CC$2,Liste_Ackerkulturen_Gemüse_DropDown[Ackerkulturen])&gt;0)),ROW()-2),1),"")</f>
        <v>Sellerie (Knollen)</v>
      </c>
      <c r="CC185" s="2463"/>
      <c r="CD185" s="2464" t="str">
        <f>IFERROR(INDEX(Liste_Ackerkulturen_Gemüse_DropDown[Ackerkulturen],_xlfn.AGGREGATE(15,6,(ROW(Liste_Ackerkulturen_Gemüse_DropDown[Ackerkulturen])-1)/(--(SEARCH(CE$2,Liste_Ackerkulturen_Gemüse_DropDown[Ackerkulturen])&gt;0)),ROW()-2),1),"")</f>
        <v>Sellerie (Knollen)</v>
      </c>
      <c r="CE185" s="2464"/>
      <c r="CF185" s="2464" t="str">
        <f>IFERROR(INDEX(Liste_Ackerkulturen_Gemüse_DropDown[Ackerkulturen],_xlfn.AGGREGATE(15,6,(ROW(Liste_Ackerkulturen_Gemüse_DropDown[Ackerkulturen])-1)/(--(SEARCH(CG$2,Liste_Ackerkulturen_Gemüse_DropDown[Ackerkulturen])&gt;0)),ROW()-2),1),"")</f>
        <v>Sellerie (Knollen)</v>
      </c>
      <c r="CG185" s="2464"/>
      <c r="CH185" s="2464" t="str">
        <f>IFERROR(INDEX(Liste_Ackerkulturen_Gemüse_DropDown[Ackerkulturen],_xlfn.AGGREGATE(15,6,(ROW(Liste_Ackerkulturen_Gemüse_DropDown[Ackerkulturen])-1)/(--(SEARCH(CI$2,Liste_Ackerkulturen_Gemüse_DropDown[Ackerkulturen])&gt;0)),ROW()-2),1),"")</f>
        <v>Sellerie (Knollen)</v>
      </c>
      <c r="CI185" s="2464"/>
      <c r="CJ185" s="2464" t="str">
        <f>IFERROR(INDEX(Liste_Ackerkulturen_Gemüse_DropDown[Ackerkulturen],_xlfn.AGGREGATE(15,6,(ROW(Liste_Ackerkulturen_Gemüse_DropDown[Ackerkulturen])-1)/(--(SEARCH(CK$2,Liste_Ackerkulturen_Gemüse_DropDown[Ackerkulturen])&gt;0)),ROW()-2),1),"")</f>
        <v>Sellerie (Knollen)</v>
      </c>
      <c r="CK185" s="2464"/>
      <c r="CL185" s="2464" t="str">
        <f>IFERROR(INDEX(Liste_Ackerkulturen_Gemüse_DropDown[Ackerkulturen],_xlfn.AGGREGATE(15,6,(ROW(Liste_Ackerkulturen_Gemüse_DropDown[Ackerkulturen])-1)/(--(SEARCH(CM$2,Liste_Ackerkulturen_Gemüse_DropDown[Ackerkulturen])&gt;0)),ROW()-2),1),"")</f>
        <v>Sellerie (Knollen)</v>
      </c>
      <c r="CM185" s="2464"/>
      <c r="CN185" s="2464" t="str">
        <f>IFERROR(INDEX(Liste_Ackerkulturen_Gemüse_DropDown[Ackerkulturen],_xlfn.AGGREGATE(15,6,(ROW(Liste_Ackerkulturen_Gemüse_DropDown[Ackerkulturen])-1)/(--(SEARCH(CO$2,Liste_Ackerkulturen_Gemüse_DropDown[Ackerkulturen])&gt;0)),ROW()-2),1),"")</f>
        <v>Sellerie (Knollen)</v>
      </c>
      <c r="CO185" s="2464"/>
      <c r="CP185" s="2464" t="str">
        <f>IFERROR(INDEX(Liste_Ackerkulturen_Gemüse_DropDown[Ackerkulturen],_xlfn.AGGREGATE(15,6,(ROW(Liste_Ackerkulturen_Gemüse_DropDown[Ackerkulturen])-1)/(--(SEARCH(CQ$2,Liste_Ackerkulturen_Gemüse_DropDown[Ackerkulturen])&gt;0)),ROW()-2),1),"")</f>
        <v>Sellerie (Knollen)</v>
      </c>
      <c r="CQ185" s="2464"/>
      <c r="CR185" s="2464" t="str">
        <f>IFERROR(INDEX(Liste_Ackerkulturen_Gemüse_DropDown[Ackerkulturen],_xlfn.AGGREGATE(15,6,(ROW(Liste_Ackerkulturen_Gemüse_DropDown[Ackerkulturen])-1)/(--(SEARCH(CS$2,Liste_Ackerkulturen_Gemüse_DropDown[Ackerkulturen])&gt;0)),ROW()-2),1),"")</f>
        <v>Sellerie (Knollen)</v>
      </c>
      <c r="CS185" s="2464"/>
      <c r="DI185" s="1541"/>
      <c r="DJ185" s="1541"/>
      <c r="DK185" s="1541"/>
      <c r="DL185" s="1541"/>
      <c r="DM185" s="1541"/>
    </row>
    <row r="186" spans="1:117" s="470" customFormat="1" ht="21" customHeight="1">
      <c r="A186" s="465"/>
      <c r="B186" s="465"/>
      <c r="C186" s="1575" t="s">
        <v>122</v>
      </c>
      <c r="D186" s="1576"/>
      <c r="E186" s="1594" t="s">
        <v>473</v>
      </c>
      <c r="F186" s="1568">
        <v>130</v>
      </c>
      <c r="G186" s="1568"/>
      <c r="H186" s="1716" t="s">
        <v>42</v>
      </c>
      <c r="I186" s="1718">
        <v>130</v>
      </c>
      <c r="J186" s="1188" t="s">
        <v>43</v>
      </c>
      <c r="K186" s="1568">
        <v>130</v>
      </c>
      <c r="L186" s="1188" t="s">
        <v>44</v>
      </c>
      <c r="M186" s="1568">
        <v>130</v>
      </c>
      <c r="N186" s="1188" t="s">
        <v>1060</v>
      </c>
      <c r="O186" s="1568">
        <v>130</v>
      </c>
      <c r="P186" s="1527">
        <v>130</v>
      </c>
      <c r="Q186" s="1591">
        <v>130</v>
      </c>
      <c r="R186" s="1569">
        <v>115</v>
      </c>
      <c r="S186" s="1570">
        <v>95</v>
      </c>
      <c r="T186" s="1568">
        <v>70</v>
      </c>
      <c r="U186" s="1718">
        <v>75</v>
      </c>
      <c r="V186" s="1568">
        <v>85</v>
      </c>
      <c r="W186" s="1188" t="s">
        <v>1954</v>
      </c>
      <c r="X186" s="1592" t="s">
        <v>1955</v>
      </c>
      <c r="Y186" s="1569">
        <v>300</v>
      </c>
      <c r="Z186" s="1570">
        <v>250</v>
      </c>
      <c r="AA186" s="1568">
        <v>180</v>
      </c>
      <c r="AB186" s="1718">
        <v>200</v>
      </c>
      <c r="AC186" s="1568">
        <v>230</v>
      </c>
      <c r="AD186" s="1188" t="s">
        <v>1956</v>
      </c>
      <c r="AE186" s="1592" t="s">
        <v>1955</v>
      </c>
      <c r="AF186" s="1279"/>
      <c r="AG186" s="176"/>
      <c r="AH186" s="176"/>
      <c r="AI186" s="176"/>
      <c r="AJ186" s="473"/>
      <c r="AK186" s="472"/>
      <c r="AL186" s="472"/>
      <c r="AM186" s="2371" t="s">
        <v>259</v>
      </c>
      <c r="AN186" s="2352">
        <v>210</v>
      </c>
      <c r="AO186" s="2283" t="s">
        <v>1983</v>
      </c>
      <c r="AP186" s="2352">
        <v>250</v>
      </c>
      <c r="AQ186" s="2283" t="s">
        <v>1984</v>
      </c>
      <c r="AR186" s="2352">
        <v>300</v>
      </c>
      <c r="AS186" s="2283" t="s">
        <v>168</v>
      </c>
      <c r="AT186" s="2348">
        <v>300</v>
      </c>
      <c r="AU186" s="2285" t="s">
        <v>168</v>
      </c>
      <c r="AV186" s="2348">
        <v>300</v>
      </c>
      <c r="AW186" s="2285" t="s">
        <v>168</v>
      </c>
      <c r="AX186" s="2345">
        <v>200</v>
      </c>
      <c r="AY186" s="2278" t="s">
        <v>1984</v>
      </c>
      <c r="AZ186" s="2350">
        <v>250</v>
      </c>
      <c r="BA186" s="2303" t="s">
        <v>2327</v>
      </c>
      <c r="BE186" s="2371" t="s">
        <v>259</v>
      </c>
      <c r="BF186" s="577">
        <v>65</v>
      </c>
      <c r="BG186" s="577">
        <v>80</v>
      </c>
      <c r="BH186" s="577">
        <v>100</v>
      </c>
      <c r="BJ186" s="2371" t="s">
        <v>259</v>
      </c>
      <c r="BK186" s="578">
        <v>225</v>
      </c>
      <c r="BL186" s="577">
        <v>280</v>
      </c>
      <c r="BM186" s="577">
        <v>350</v>
      </c>
      <c r="BP186" s="524"/>
      <c r="BQ186" s="524"/>
      <c r="BR186" s="524"/>
      <c r="BS186" s="2461" t="s">
        <v>262</v>
      </c>
      <c r="BT186" s="2463" t="str">
        <f>IFERROR(INDEX(Liste_Ackerkulturen_Gemüse_DropDown[Ackerkulturen],_xlfn.AGGREGATE(15,6,(ROW(Liste_Ackerkulturen_Gemüse_DropDown[Ackerkulturen])-1)/(--(SEARCH(BU$2,Liste_Ackerkulturen_Gemüse_DropDown[Ackerkulturen])&gt;0)),ROW()-2),1),"")</f>
        <v>Sellerie (Stangen-, Bleich-)</v>
      </c>
      <c r="BU186" s="2463"/>
      <c r="BV186" s="2463" t="str">
        <f>IFERROR(INDEX(Liste_Ackerkulturen_Gemüse_DropDown[Ackerkulturen],_xlfn.AGGREGATE(15,6,(ROW(Liste_Ackerkulturen_Gemüse_DropDown[Ackerkulturen])-1)/(--(SEARCH(BW$2,Liste_Ackerkulturen_Gemüse_DropDown[Ackerkulturen])&gt;0)),ROW()-2),1),"")</f>
        <v>Sellerie (Stangen-, Bleich-)</v>
      </c>
      <c r="BW186" s="2463"/>
      <c r="BX186" s="2463" t="str">
        <f>IFERROR(INDEX(Liste_Ackerkulturen_Gemüse_DropDown[Ackerkulturen],_xlfn.AGGREGATE(15,6,(ROW(Liste_Ackerkulturen_Gemüse_DropDown[Ackerkulturen])-1)/(--(SEARCH(BY$2,Liste_Ackerkulturen_Gemüse_DropDown[Ackerkulturen])&gt;0)),ROW()-2),1),"")</f>
        <v>Sellerie (Stangen-, Bleich-)</v>
      </c>
      <c r="BY186" s="2463"/>
      <c r="BZ186" s="2463" t="str">
        <f>IFERROR(INDEX(Liste_Ackerkulturen_Gemüse_DropDown[Ackerkulturen],_xlfn.AGGREGATE(15,6,(ROW(Liste_Ackerkulturen_Gemüse_DropDown[Ackerkulturen])-1)/(--(SEARCH(CA$2,Liste_Ackerkulturen_Gemüse_DropDown[Ackerkulturen])&gt;0)),ROW()-2),1),"")</f>
        <v>Sellerie (Stangen-, Bleich-)</v>
      </c>
      <c r="CA186" s="2463"/>
      <c r="CB186" s="2463" t="str">
        <f>IFERROR(INDEX(Liste_Ackerkulturen_Gemüse_DropDown[Ackerkulturen],_xlfn.AGGREGATE(15,6,(ROW(Liste_Ackerkulturen_Gemüse_DropDown[Ackerkulturen])-1)/(--(SEARCH(CC$2,Liste_Ackerkulturen_Gemüse_DropDown[Ackerkulturen])&gt;0)),ROW()-2),1),"")</f>
        <v>Sellerie (Stangen-, Bleich-)</v>
      </c>
      <c r="CC186" s="2463"/>
      <c r="CD186" s="2464" t="str">
        <f>IFERROR(INDEX(Liste_Ackerkulturen_Gemüse_DropDown[Ackerkulturen],_xlfn.AGGREGATE(15,6,(ROW(Liste_Ackerkulturen_Gemüse_DropDown[Ackerkulturen])-1)/(--(SEARCH(CE$2,Liste_Ackerkulturen_Gemüse_DropDown[Ackerkulturen])&gt;0)),ROW()-2),1),"")</f>
        <v>Sellerie (Stangen-, Bleich-)</v>
      </c>
      <c r="CE186" s="2464"/>
      <c r="CF186" s="2464" t="str">
        <f>IFERROR(INDEX(Liste_Ackerkulturen_Gemüse_DropDown[Ackerkulturen],_xlfn.AGGREGATE(15,6,(ROW(Liste_Ackerkulturen_Gemüse_DropDown[Ackerkulturen])-1)/(--(SEARCH(CG$2,Liste_Ackerkulturen_Gemüse_DropDown[Ackerkulturen])&gt;0)),ROW()-2),1),"")</f>
        <v>Sellerie (Stangen-, Bleich-)</v>
      </c>
      <c r="CG186" s="2464"/>
      <c r="CH186" s="2464" t="str">
        <f>IFERROR(INDEX(Liste_Ackerkulturen_Gemüse_DropDown[Ackerkulturen],_xlfn.AGGREGATE(15,6,(ROW(Liste_Ackerkulturen_Gemüse_DropDown[Ackerkulturen])-1)/(--(SEARCH(CI$2,Liste_Ackerkulturen_Gemüse_DropDown[Ackerkulturen])&gt;0)),ROW()-2),1),"")</f>
        <v>Sellerie (Stangen-, Bleich-)</v>
      </c>
      <c r="CI186" s="2464"/>
      <c r="CJ186" s="2464" t="str">
        <f>IFERROR(INDEX(Liste_Ackerkulturen_Gemüse_DropDown[Ackerkulturen],_xlfn.AGGREGATE(15,6,(ROW(Liste_Ackerkulturen_Gemüse_DropDown[Ackerkulturen])-1)/(--(SEARCH(CK$2,Liste_Ackerkulturen_Gemüse_DropDown[Ackerkulturen])&gt;0)),ROW()-2),1),"")</f>
        <v>Sellerie (Stangen-, Bleich-)</v>
      </c>
      <c r="CK186" s="2464"/>
      <c r="CL186" s="2464" t="str">
        <f>IFERROR(INDEX(Liste_Ackerkulturen_Gemüse_DropDown[Ackerkulturen],_xlfn.AGGREGATE(15,6,(ROW(Liste_Ackerkulturen_Gemüse_DropDown[Ackerkulturen])-1)/(--(SEARCH(CM$2,Liste_Ackerkulturen_Gemüse_DropDown[Ackerkulturen])&gt;0)),ROW()-2),1),"")</f>
        <v>Sellerie (Stangen-, Bleich-)</v>
      </c>
      <c r="CM186" s="2464"/>
      <c r="CN186" s="2464" t="str">
        <f>IFERROR(INDEX(Liste_Ackerkulturen_Gemüse_DropDown[Ackerkulturen],_xlfn.AGGREGATE(15,6,(ROW(Liste_Ackerkulturen_Gemüse_DropDown[Ackerkulturen])-1)/(--(SEARCH(CO$2,Liste_Ackerkulturen_Gemüse_DropDown[Ackerkulturen])&gt;0)),ROW()-2),1),"")</f>
        <v>Sellerie (Stangen-, Bleich-)</v>
      </c>
      <c r="CO186" s="2464"/>
      <c r="CP186" s="2464" t="str">
        <f>IFERROR(INDEX(Liste_Ackerkulturen_Gemüse_DropDown[Ackerkulturen],_xlfn.AGGREGATE(15,6,(ROW(Liste_Ackerkulturen_Gemüse_DropDown[Ackerkulturen])-1)/(--(SEARCH(CQ$2,Liste_Ackerkulturen_Gemüse_DropDown[Ackerkulturen])&gt;0)),ROW()-2),1),"")</f>
        <v>Sellerie (Stangen-, Bleich-)</v>
      </c>
      <c r="CQ186" s="2464"/>
      <c r="CR186" s="2464" t="str">
        <f>IFERROR(INDEX(Liste_Ackerkulturen_Gemüse_DropDown[Ackerkulturen],_xlfn.AGGREGATE(15,6,(ROW(Liste_Ackerkulturen_Gemüse_DropDown[Ackerkulturen])-1)/(--(SEARCH(CS$2,Liste_Ackerkulturen_Gemüse_DropDown[Ackerkulturen])&gt;0)),ROW()-2),1),"")</f>
        <v>Sellerie (Stangen-, Bleich-)</v>
      </c>
      <c r="CS186" s="2464"/>
      <c r="DI186" s="1541"/>
      <c r="DJ186" s="1541"/>
      <c r="DK186" s="1541"/>
      <c r="DL186" s="1541"/>
      <c r="DM186" s="1541"/>
    </row>
    <row r="187" spans="1:117" s="470" customFormat="1" ht="21" customHeight="1" thickBot="1">
      <c r="A187" s="465"/>
      <c r="B187" s="465"/>
      <c r="C187" s="1578" t="s">
        <v>123</v>
      </c>
      <c r="D187" s="1579"/>
      <c r="E187" s="1595" t="s">
        <v>66</v>
      </c>
      <c r="F187" s="1581">
        <v>60</v>
      </c>
      <c r="G187" s="1581"/>
      <c r="H187" s="1775" t="s">
        <v>67</v>
      </c>
      <c r="I187" s="1777">
        <v>60</v>
      </c>
      <c r="J187" s="1582" t="s">
        <v>68</v>
      </c>
      <c r="K187" s="1581">
        <v>60</v>
      </c>
      <c r="L187" s="1582" t="s">
        <v>467</v>
      </c>
      <c r="M187" s="1581">
        <v>60</v>
      </c>
      <c r="N187" s="1582" t="s">
        <v>69</v>
      </c>
      <c r="O187" s="1581">
        <v>60</v>
      </c>
      <c r="P187" s="1535">
        <v>0</v>
      </c>
      <c r="Q187" s="1596">
        <v>0</v>
      </c>
      <c r="R187" s="1583">
        <v>100</v>
      </c>
      <c r="S187" s="1584">
        <v>80</v>
      </c>
      <c r="T187" s="1581">
        <v>60</v>
      </c>
      <c r="U187" s="1777">
        <v>65</v>
      </c>
      <c r="V187" s="1581">
        <v>75</v>
      </c>
      <c r="W187" s="1582" t="s">
        <v>1954</v>
      </c>
      <c r="X187" s="1597" t="s">
        <v>1955</v>
      </c>
      <c r="Y187" s="1583">
        <v>150</v>
      </c>
      <c r="Z187" s="1584">
        <v>125</v>
      </c>
      <c r="AA187" s="1581">
        <v>90</v>
      </c>
      <c r="AB187" s="1777">
        <v>100</v>
      </c>
      <c r="AC187" s="1581">
        <v>115</v>
      </c>
      <c r="AD187" s="1582" t="s">
        <v>1956</v>
      </c>
      <c r="AE187" s="1597" t="s">
        <v>1955</v>
      </c>
      <c r="AF187" s="1279"/>
      <c r="AG187" s="176"/>
      <c r="AH187" s="176"/>
      <c r="AI187" s="176"/>
      <c r="AJ187" s="473"/>
      <c r="AK187" s="472"/>
      <c r="AL187" s="472"/>
      <c r="AM187" s="2371" t="s">
        <v>260</v>
      </c>
      <c r="AN187" s="2352">
        <v>160</v>
      </c>
      <c r="AO187" s="2283" t="s">
        <v>139</v>
      </c>
      <c r="AP187" s="2352">
        <v>190</v>
      </c>
      <c r="AQ187" s="2283" t="s">
        <v>54</v>
      </c>
      <c r="AR187" s="2352">
        <v>230</v>
      </c>
      <c r="AS187" s="2283" t="s">
        <v>224</v>
      </c>
      <c r="AT187" s="2348">
        <v>230</v>
      </c>
      <c r="AU187" s="2285" t="s">
        <v>224</v>
      </c>
      <c r="AV187" s="2348">
        <v>230</v>
      </c>
      <c r="AW187" s="2285" t="s">
        <v>224</v>
      </c>
      <c r="AX187" s="2345">
        <v>140</v>
      </c>
      <c r="AY187" s="2278" t="s">
        <v>54</v>
      </c>
      <c r="AZ187" s="2350">
        <v>175</v>
      </c>
      <c r="BA187" s="2303" t="s">
        <v>2345</v>
      </c>
      <c r="BE187" s="2371" t="s">
        <v>260</v>
      </c>
      <c r="BF187" s="577">
        <v>50</v>
      </c>
      <c r="BG187" s="577">
        <v>60</v>
      </c>
      <c r="BH187" s="577">
        <v>75</v>
      </c>
      <c r="BJ187" s="2371" t="s">
        <v>260</v>
      </c>
      <c r="BK187" s="578">
        <v>190</v>
      </c>
      <c r="BL187" s="577">
        <v>240</v>
      </c>
      <c r="BM187" s="577">
        <v>300</v>
      </c>
      <c r="BP187" s="524"/>
      <c r="BQ187" s="524"/>
      <c r="BR187" s="524"/>
      <c r="BS187" s="2461" t="s">
        <v>265</v>
      </c>
      <c r="BT187" s="2463" t="str">
        <f>IFERROR(INDEX(Liste_Ackerkulturen_Gemüse_DropDown[Ackerkulturen],_xlfn.AGGREGATE(15,6,(ROW(Liste_Ackerkulturen_Gemüse_DropDown[Ackerkulturen])-1)/(--(SEARCH(BU$2,Liste_Ackerkulturen_Gemüse_DropDown[Ackerkulturen])&gt;0)),ROW()-2),1),"")</f>
        <v>Spargel (Ertragsanlage)</v>
      </c>
      <c r="BU187" s="2463"/>
      <c r="BV187" s="2463" t="str">
        <f>IFERROR(INDEX(Liste_Ackerkulturen_Gemüse_DropDown[Ackerkulturen],_xlfn.AGGREGATE(15,6,(ROW(Liste_Ackerkulturen_Gemüse_DropDown[Ackerkulturen])-1)/(--(SEARCH(BW$2,Liste_Ackerkulturen_Gemüse_DropDown[Ackerkulturen])&gt;0)),ROW()-2),1),"")</f>
        <v>Spargel (Ertragsanlage)</v>
      </c>
      <c r="BW187" s="2463"/>
      <c r="BX187" s="2463" t="str">
        <f>IFERROR(INDEX(Liste_Ackerkulturen_Gemüse_DropDown[Ackerkulturen],_xlfn.AGGREGATE(15,6,(ROW(Liste_Ackerkulturen_Gemüse_DropDown[Ackerkulturen])-1)/(--(SEARCH(BY$2,Liste_Ackerkulturen_Gemüse_DropDown[Ackerkulturen])&gt;0)),ROW()-2),1),"")</f>
        <v>Spargel (Ertragsanlage)</v>
      </c>
      <c r="BY187" s="2463"/>
      <c r="BZ187" s="2463" t="str">
        <f>IFERROR(INDEX(Liste_Ackerkulturen_Gemüse_DropDown[Ackerkulturen],_xlfn.AGGREGATE(15,6,(ROW(Liste_Ackerkulturen_Gemüse_DropDown[Ackerkulturen])-1)/(--(SEARCH(CA$2,Liste_Ackerkulturen_Gemüse_DropDown[Ackerkulturen])&gt;0)),ROW()-2),1),"")</f>
        <v>Spargel (Ertragsanlage)</v>
      </c>
      <c r="CA187" s="2463"/>
      <c r="CB187" s="2463" t="str">
        <f>IFERROR(INDEX(Liste_Ackerkulturen_Gemüse_DropDown[Ackerkulturen],_xlfn.AGGREGATE(15,6,(ROW(Liste_Ackerkulturen_Gemüse_DropDown[Ackerkulturen])-1)/(--(SEARCH(CC$2,Liste_Ackerkulturen_Gemüse_DropDown[Ackerkulturen])&gt;0)),ROW()-2),1),"")</f>
        <v>Spargel (Ertragsanlage)</v>
      </c>
      <c r="CC187" s="2463"/>
      <c r="CD187" s="2464" t="str">
        <f>IFERROR(INDEX(Liste_Ackerkulturen_Gemüse_DropDown[Ackerkulturen],_xlfn.AGGREGATE(15,6,(ROW(Liste_Ackerkulturen_Gemüse_DropDown[Ackerkulturen])-1)/(--(SEARCH(CE$2,Liste_Ackerkulturen_Gemüse_DropDown[Ackerkulturen])&gt;0)),ROW()-2),1),"")</f>
        <v>Spargel (Ertragsanlage)</v>
      </c>
      <c r="CE187" s="2464"/>
      <c r="CF187" s="2464" t="str">
        <f>IFERROR(INDEX(Liste_Ackerkulturen_Gemüse_DropDown[Ackerkulturen],_xlfn.AGGREGATE(15,6,(ROW(Liste_Ackerkulturen_Gemüse_DropDown[Ackerkulturen])-1)/(--(SEARCH(CG$2,Liste_Ackerkulturen_Gemüse_DropDown[Ackerkulturen])&gt;0)),ROW()-2),1),"")</f>
        <v>Spargel (Ertragsanlage)</v>
      </c>
      <c r="CG187" s="2464"/>
      <c r="CH187" s="2464" t="str">
        <f>IFERROR(INDEX(Liste_Ackerkulturen_Gemüse_DropDown[Ackerkulturen],_xlfn.AGGREGATE(15,6,(ROW(Liste_Ackerkulturen_Gemüse_DropDown[Ackerkulturen])-1)/(--(SEARCH(CI$2,Liste_Ackerkulturen_Gemüse_DropDown[Ackerkulturen])&gt;0)),ROW()-2),1),"")</f>
        <v>Spargel (Ertragsanlage)</v>
      </c>
      <c r="CI187" s="2464"/>
      <c r="CJ187" s="2464" t="str">
        <f>IFERROR(INDEX(Liste_Ackerkulturen_Gemüse_DropDown[Ackerkulturen],_xlfn.AGGREGATE(15,6,(ROW(Liste_Ackerkulturen_Gemüse_DropDown[Ackerkulturen])-1)/(--(SEARCH(CK$2,Liste_Ackerkulturen_Gemüse_DropDown[Ackerkulturen])&gt;0)),ROW()-2),1),"")</f>
        <v>Spargel (Ertragsanlage)</v>
      </c>
      <c r="CK187" s="2464"/>
      <c r="CL187" s="2464" t="str">
        <f>IFERROR(INDEX(Liste_Ackerkulturen_Gemüse_DropDown[Ackerkulturen],_xlfn.AGGREGATE(15,6,(ROW(Liste_Ackerkulturen_Gemüse_DropDown[Ackerkulturen])-1)/(--(SEARCH(CM$2,Liste_Ackerkulturen_Gemüse_DropDown[Ackerkulturen])&gt;0)),ROW()-2),1),"")</f>
        <v>Spargel (Ertragsanlage)</v>
      </c>
      <c r="CM187" s="2464"/>
      <c r="CN187" s="2464" t="str">
        <f>IFERROR(INDEX(Liste_Ackerkulturen_Gemüse_DropDown[Ackerkulturen],_xlfn.AGGREGATE(15,6,(ROW(Liste_Ackerkulturen_Gemüse_DropDown[Ackerkulturen])-1)/(--(SEARCH(CO$2,Liste_Ackerkulturen_Gemüse_DropDown[Ackerkulturen])&gt;0)),ROW()-2),1),"")</f>
        <v>Spargel (Ertragsanlage)</v>
      </c>
      <c r="CO187" s="2464"/>
      <c r="CP187" s="2464" t="str">
        <f>IFERROR(INDEX(Liste_Ackerkulturen_Gemüse_DropDown[Ackerkulturen],_xlfn.AGGREGATE(15,6,(ROW(Liste_Ackerkulturen_Gemüse_DropDown[Ackerkulturen])-1)/(--(SEARCH(CQ$2,Liste_Ackerkulturen_Gemüse_DropDown[Ackerkulturen])&gt;0)),ROW()-2),1),"")</f>
        <v>Spargel (Ertragsanlage)</v>
      </c>
      <c r="CQ187" s="2464"/>
      <c r="CR187" s="2464" t="str">
        <f>IFERROR(INDEX(Liste_Ackerkulturen_Gemüse_DropDown[Ackerkulturen],_xlfn.AGGREGATE(15,6,(ROW(Liste_Ackerkulturen_Gemüse_DropDown[Ackerkulturen])-1)/(--(SEARCH(CS$2,Liste_Ackerkulturen_Gemüse_DropDown[Ackerkulturen])&gt;0)),ROW()-2),1),"")</f>
        <v>Spargel (Ertragsanlage)</v>
      </c>
      <c r="CS187" s="2464"/>
      <c r="DI187" s="1541"/>
      <c r="DJ187" s="1541"/>
      <c r="DK187" s="1541"/>
      <c r="DL187" s="1541"/>
      <c r="DM187" s="1541"/>
    </row>
    <row r="188" spans="1:117" s="470" customFormat="1" ht="21" customHeight="1" thickBot="1">
      <c r="A188" s="465"/>
      <c r="B188" s="465"/>
      <c r="C188" s="1598"/>
      <c r="D188" s="1598"/>
      <c r="E188" s="1598"/>
      <c r="F188" s="1598"/>
      <c r="G188" s="1598"/>
      <c r="H188" s="1598"/>
      <c r="I188" s="1598"/>
      <c r="J188" s="1598"/>
      <c r="K188" s="1598"/>
      <c r="L188" s="1598"/>
      <c r="M188" s="1598"/>
      <c r="N188" s="1598"/>
      <c r="O188" s="1598"/>
      <c r="P188" s="1598"/>
      <c r="Q188" s="1598"/>
      <c r="R188" s="1598"/>
      <c r="S188" s="1598"/>
      <c r="T188" s="1598"/>
      <c r="U188" s="1598"/>
      <c r="V188" s="1598"/>
      <c r="W188" s="1598"/>
      <c r="X188" s="1598"/>
      <c r="Y188" s="1598"/>
      <c r="Z188" s="1598"/>
      <c r="AA188" s="1598"/>
      <c r="AB188" s="1598"/>
      <c r="AC188" s="1598"/>
      <c r="AD188" s="1598"/>
      <c r="AE188" s="1598"/>
      <c r="AF188" s="1279"/>
      <c r="AG188" s="176"/>
      <c r="AH188" s="176"/>
      <c r="AI188" s="176"/>
      <c r="AJ188" s="473"/>
      <c r="AK188" s="472"/>
      <c r="AL188" s="472"/>
      <c r="AM188" s="2371" t="s">
        <v>262</v>
      </c>
      <c r="AN188" s="2352">
        <v>120</v>
      </c>
      <c r="AO188" s="2283" t="s">
        <v>1957</v>
      </c>
      <c r="AP188" s="2352">
        <v>140</v>
      </c>
      <c r="AQ188" s="2283" t="s">
        <v>263</v>
      </c>
      <c r="AR188" s="2352">
        <v>165</v>
      </c>
      <c r="AS188" s="2283" t="s">
        <v>264</v>
      </c>
      <c r="AT188" s="2348">
        <v>165</v>
      </c>
      <c r="AU188" s="2285" t="s">
        <v>264</v>
      </c>
      <c r="AV188" s="2348">
        <v>165</v>
      </c>
      <c r="AW188" s="2285" t="s">
        <v>264</v>
      </c>
      <c r="AX188" s="2345">
        <v>100</v>
      </c>
      <c r="AY188" s="2278" t="s">
        <v>263</v>
      </c>
      <c r="AZ188" s="2350">
        <v>125</v>
      </c>
      <c r="BA188" s="2303" t="s">
        <v>2349</v>
      </c>
      <c r="BE188" s="2371" t="s">
        <v>262</v>
      </c>
      <c r="BF188" s="577">
        <v>50</v>
      </c>
      <c r="BG188" s="577">
        <v>60</v>
      </c>
      <c r="BH188" s="577">
        <v>75</v>
      </c>
      <c r="BJ188" s="2371" t="s">
        <v>262</v>
      </c>
      <c r="BK188" s="578">
        <v>110</v>
      </c>
      <c r="BL188" s="577">
        <v>140</v>
      </c>
      <c r="BM188" s="577">
        <v>175</v>
      </c>
      <c r="BP188" s="524"/>
      <c r="BQ188" s="524"/>
      <c r="BR188" s="524"/>
      <c r="BS188" s="2461" t="s">
        <v>266</v>
      </c>
      <c r="BT188" s="2463" t="str">
        <f>IFERROR(INDEX(Liste_Ackerkulturen_Gemüse_DropDown[Ackerkulturen],_xlfn.AGGREGATE(15,6,(ROW(Liste_Ackerkulturen_Gemüse_DropDown[Ackerkulturen])-1)/(--(SEARCH(BU$2,Liste_Ackerkulturen_Gemüse_DropDown[Ackerkulturen])&gt;0)),ROW()-2),1),"")</f>
        <v>Speisekürbis, Zierkürbis</v>
      </c>
      <c r="BU188" s="2463"/>
      <c r="BV188" s="2463" t="str">
        <f>IFERROR(INDEX(Liste_Ackerkulturen_Gemüse_DropDown[Ackerkulturen],_xlfn.AGGREGATE(15,6,(ROW(Liste_Ackerkulturen_Gemüse_DropDown[Ackerkulturen])-1)/(--(SEARCH(BW$2,Liste_Ackerkulturen_Gemüse_DropDown[Ackerkulturen])&gt;0)),ROW()-2),1),"")</f>
        <v>Speisekürbis, Zierkürbis</v>
      </c>
      <c r="BW188" s="2463"/>
      <c r="BX188" s="2463" t="str">
        <f>IFERROR(INDEX(Liste_Ackerkulturen_Gemüse_DropDown[Ackerkulturen],_xlfn.AGGREGATE(15,6,(ROW(Liste_Ackerkulturen_Gemüse_DropDown[Ackerkulturen])-1)/(--(SEARCH(BY$2,Liste_Ackerkulturen_Gemüse_DropDown[Ackerkulturen])&gt;0)),ROW()-2),1),"")</f>
        <v>Speisekürbis, Zierkürbis</v>
      </c>
      <c r="BY188" s="2463"/>
      <c r="BZ188" s="2463" t="str">
        <f>IFERROR(INDEX(Liste_Ackerkulturen_Gemüse_DropDown[Ackerkulturen],_xlfn.AGGREGATE(15,6,(ROW(Liste_Ackerkulturen_Gemüse_DropDown[Ackerkulturen])-1)/(--(SEARCH(CA$2,Liste_Ackerkulturen_Gemüse_DropDown[Ackerkulturen])&gt;0)),ROW()-2),1),"")</f>
        <v>Speisekürbis, Zierkürbis</v>
      </c>
      <c r="CA188" s="2463"/>
      <c r="CB188" s="2463" t="str">
        <f>IFERROR(INDEX(Liste_Ackerkulturen_Gemüse_DropDown[Ackerkulturen],_xlfn.AGGREGATE(15,6,(ROW(Liste_Ackerkulturen_Gemüse_DropDown[Ackerkulturen])-1)/(--(SEARCH(CC$2,Liste_Ackerkulturen_Gemüse_DropDown[Ackerkulturen])&gt;0)),ROW()-2),1),"")</f>
        <v>Speisekürbis, Zierkürbis</v>
      </c>
      <c r="CC188" s="2463"/>
      <c r="CD188" s="2464" t="str">
        <f>IFERROR(INDEX(Liste_Ackerkulturen_Gemüse_DropDown[Ackerkulturen],_xlfn.AGGREGATE(15,6,(ROW(Liste_Ackerkulturen_Gemüse_DropDown[Ackerkulturen])-1)/(--(SEARCH(CE$2,Liste_Ackerkulturen_Gemüse_DropDown[Ackerkulturen])&gt;0)),ROW()-2),1),"")</f>
        <v>Speisekürbis, Zierkürbis</v>
      </c>
      <c r="CE188" s="2464"/>
      <c r="CF188" s="2464" t="str">
        <f>IFERROR(INDEX(Liste_Ackerkulturen_Gemüse_DropDown[Ackerkulturen],_xlfn.AGGREGATE(15,6,(ROW(Liste_Ackerkulturen_Gemüse_DropDown[Ackerkulturen])-1)/(--(SEARCH(CG$2,Liste_Ackerkulturen_Gemüse_DropDown[Ackerkulturen])&gt;0)),ROW()-2),1),"")</f>
        <v>Speisekürbis, Zierkürbis</v>
      </c>
      <c r="CG188" s="2464"/>
      <c r="CH188" s="2464" t="str">
        <f>IFERROR(INDEX(Liste_Ackerkulturen_Gemüse_DropDown[Ackerkulturen],_xlfn.AGGREGATE(15,6,(ROW(Liste_Ackerkulturen_Gemüse_DropDown[Ackerkulturen])-1)/(--(SEARCH(CI$2,Liste_Ackerkulturen_Gemüse_DropDown[Ackerkulturen])&gt;0)),ROW()-2),1),"")</f>
        <v>Speisekürbis, Zierkürbis</v>
      </c>
      <c r="CI188" s="2464"/>
      <c r="CJ188" s="2464" t="str">
        <f>IFERROR(INDEX(Liste_Ackerkulturen_Gemüse_DropDown[Ackerkulturen],_xlfn.AGGREGATE(15,6,(ROW(Liste_Ackerkulturen_Gemüse_DropDown[Ackerkulturen])-1)/(--(SEARCH(CK$2,Liste_Ackerkulturen_Gemüse_DropDown[Ackerkulturen])&gt;0)),ROW()-2),1),"")</f>
        <v>Speisekürbis, Zierkürbis</v>
      </c>
      <c r="CK188" s="2464"/>
      <c r="CL188" s="2464" t="str">
        <f>IFERROR(INDEX(Liste_Ackerkulturen_Gemüse_DropDown[Ackerkulturen],_xlfn.AGGREGATE(15,6,(ROW(Liste_Ackerkulturen_Gemüse_DropDown[Ackerkulturen])-1)/(--(SEARCH(CM$2,Liste_Ackerkulturen_Gemüse_DropDown[Ackerkulturen])&gt;0)),ROW()-2),1),"")</f>
        <v>Speisekürbis, Zierkürbis</v>
      </c>
      <c r="CM188" s="2464"/>
      <c r="CN188" s="2464" t="str">
        <f>IFERROR(INDEX(Liste_Ackerkulturen_Gemüse_DropDown[Ackerkulturen],_xlfn.AGGREGATE(15,6,(ROW(Liste_Ackerkulturen_Gemüse_DropDown[Ackerkulturen])-1)/(--(SEARCH(CO$2,Liste_Ackerkulturen_Gemüse_DropDown[Ackerkulturen])&gt;0)),ROW()-2),1),"")</f>
        <v>Speisekürbis, Zierkürbis</v>
      </c>
      <c r="CO188" s="2464"/>
      <c r="CP188" s="2464" t="str">
        <f>IFERROR(INDEX(Liste_Ackerkulturen_Gemüse_DropDown[Ackerkulturen],_xlfn.AGGREGATE(15,6,(ROW(Liste_Ackerkulturen_Gemüse_DropDown[Ackerkulturen])-1)/(--(SEARCH(CQ$2,Liste_Ackerkulturen_Gemüse_DropDown[Ackerkulturen])&gt;0)),ROW()-2),1),"")</f>
        <v>Speisekürbis, Zierkürbis</v>
      </c>
      <c r="CQ188" s="2464"/>
      <c r="CR188" s="2464" t="str">
        <f>IFERROR(INDEX(Liste_Ackerkulturen_Gemüse_DropDown[Ackerkulturen],_xlfn.AGGREGATE(15,6,(ROW(Liste_Ackerkulturen_Gemüse_DropDown[Ackerkulturen])-1)/(--(SEARCH(CS$2,Liste_Ackerkulturen_Gemüse_DropDown[Ackerkulturen])&gt;0)),ROW()-2),1),"")</f>
        <v>Speisekürbis, Zierkürbis</v>
      </c>
      <c r="CS188" s="2464"/>
      <c r="DI188" s="1541"/>
      <c r="DJ188" s="1541"/>
      <c r="DK188" s="1541"/>
      <c r="DL188" s="1541"/>
      <c r="DM188" s="1541"/>
    </row>
    <row r="189" spans="1:117" s="470" customFormat="1" ht="21" customHeight="1">
      <c r="A189" s="465"/>
      <c r="B189" s="465"/>
      <c r="C189" s="2597" t="s">
        <v>124</v>
      </c>
      <c r="D189" s="2598"/>
      <c r="E189" s="2601" t="s">
        <v>125</v>
      </c>
      <c r="F189" s="2602"/>
      <c r="G189" s="2603"/>
      <c r="H189" s="2602"/>
      <c r="I189" s="2602"/>
      <c r="J189" s="2602"/>
      <c r="K189" s="2602"/>
      <c r="L189" s="2604" t="s">
        <v>126</v>
      </c>
      <c r="M189" s="2605"/>
      <c r="N189" s="2601" t="s">
        <v>488</v>
      </c>
      <c r="O189" s="2602"/>
      <c r="P189" s="2602"/>
      <c r="Q189" s="2602"/>
      <c r="R189" s="2602"/>
      <c r="S189" s="2602"/>
      <c r="T189" s="2607"/>
      <c r="U189" s="2601" t="s">
        <v>489</v>
      </c>
      <c r="V189" s="2602"/>
      <c r="W189" s="2602"/>
      <c r="X189" s="2602"/>
      <c r="Y189" s="2602"/>
      <c r="Z189" s="2602"/>
      <c r="AA189" s="2607"/>
      <c r="AB189" s="525"/>
      <c r="AC189" s="525"/>
      <c r="AD189" s="525"/>
      <c r="AE189" s="525"/>
      <c r="AF189" s="1279"/>
      <c r="AG189" s="176"/>
      <c r="AH189" s="176"/>
      <c r="AI189" s="176"/>
      <c r="AJ189" s="473"/>
      <c r="AK189" s="472"/>
      <c r="AL189" s="472"/>
      <c r="AM189" s="2371" t="s">
        <v>265</v>
      </c>
      <c r="AN189" s="2352">
        <v>200</v>
      </c>
      <c r="AO189" s="2283" t="s">
        <v>139</v>
      </c>
      <c r="AP189" s="2352">
        <v>235</v>
      </c>
      <c r="AQ189" s="2283" t="s">
        <v>140</v>
      </c>
      <c r="AR189" s="2352">
        <v>280</v>
      </c>
      <c r="AS189" s="2283" t="s">
        <v>141</v>
      </c>
      <c r="AT189" s="2348">
        <v>280</v>
      </c>
      <c r="AU189" s="2285" t="s">
        <v>141</v>
      </c>
      <c r="AV189" s="2348">
        <v>280</v>
      </c>
      <c r="AW189" s="2285" t="s">
        <v>141</v>
      </c>
      <c r="AX189" s="2345">
        <v>185</v>
      </c>
      <c r="AY189" s="2278" t="s">
        <v>140</v>
      </c>
      <c r="AZ189" s="2350">
        <v>231</v>
      </c>
      <c r="BA189" s="2303" t="s">
        <v>2332</v>
      </c>
      <c r="BE189" s="2371" t="s">
        <v>265</v>
      </c>
      <c r="BF189" s="577">
        <v>40</v>
      </c>
      <c r="BG189" s="577">
        <v>50</v>
      </c>
      <c r="BH189" s="577">
        <v>65</v>
      </c>
      <c r="BJ189" s="2371" t="s">
        <v>265</v>
      </c>
      <c r="BK189" s="578">
        <v>175</v>
      </c>
      <c r="BL189" s="577">
        <v>220</v>
      </c>
      <c r="BM189" s="577">
        <v>275</v>
      </c>
      <c r="BP189" s="524"/>
      <c r="BQ189" s="524"/>
      <c r="BR189" s="524"/>
      <c r="BS189" s="2461" t="s">
        <v>268</v>
      </c>
      <c r="BT189" s="2463" t="str">
        <f>IFERROR(INDEX(Liste_Ackerkulturen_Gemüse_DropDown[Ackerkulturen],_xlfn.AGGREGATE(15,6,(ROW(Liste_Ackerkulturen_Gemüse_DropDown[Ackerkulturen])-1)/(--(SEARCH(BU$2,Liste_Ackerkulturen_Gemüse_DropDown[Ackerkulturen])&gt;0)),ROW()-2),1),"")</f>
        <v>Spinat (Blattspinat)</v>
      </c>
      <c r="BU189" s="2463"/>
      <c r="BV189" s="2463" t="str">
        <f>IFERROR(INDEX(Liste_Ackerkulturen_Gemüse_DropDown[Ackerkulturen],_xlfn.AGGREGATE(15,6,(ROW(Liste_Ackerkulturen_Gemüse_DropDown[Ackerkulturen])-1)/(--(SEARCH(BW$2,Liste_Ackerkulturen_Gemüse_DropDown[Ackerkulturen])&gt;0)),ROW()-2),1),"")</f>
        <v>Spinat (Blattspinat)</v>
      </c>
      <c r="BW189" s="2463"/>
      <c r="BX189" s="2463" t="str">
        <f>IFERROR(INDEX(Liste_Ackerkulturen_Gemüse_DropDown[Ackerkulturen],_xlfn.AGGREGATE(15,6,(ROW(Liste_Ackerkulturen_Gemüse_DropDown[Ackerkulturen])-1)/(--(SEARCH(BY$2,Liste_Ackerkulturen_Gemüse_DropDown[Ackerkulturen])&gt;0)),ROW()-2),1),"")</f>
        <v>Spinat (Blattspinat)</v>
      </c>
      <c r="BY189" s="2463"/>
      <c r="BZ189" s="2463" t="str">
        <f>IFERROR(INDEX(Liste_Ackerkulturen_Gemüse_DropDown[Ackerkulturen],_xlfn.AGGREGATE(15,6,(ROW(Liste_Ackerkulturen_Gemüse_DropDown[Ackerkulturen])-1)/(--(SEARCH(CA$2,Liste_Ackerkulturen_Gemüse_DropDown[Ackerkulturen])&gt;0)),ROW()-2),1),"")</f>
        <v>Spinat (Blattspinat)</v>
      </c>
      <c r="CA189" s="2463"/>
      <c r="CB189" s="2463" t="str">
        <f>IFERROR(INDEX(Liste_Ackerkulturen_Gemüse_DropDown[Ackerkulturen],_xlfn.AGGREGATE(15,6,(ROW(Liste_Ackerkulturen_Gemüse_DropDown[Ackerkulturen])-1)/(--(SEARCH(CC$2,Liste_Ackerkulturen_Gemüse_DropDown[Ackerkulturen])&gt;0)),ROW()-2),1),"")</f>
        <v>Spinat (Blattspinat)</v>
      </c>
      <c r="CC189" s="2463"/>
      <c r="CD189" s="2464" t="str">
        <f>IFERROR(INDEX(Liste_Ackerkulturen_Gemüse_DropDown[Ackerkulturen],_xlfn.AGGREGATE(15,6,(ROW(Liste_Ackerkulturen_Gemüse_DropDown[Ackerkulturen])-1)/(--(SEARCH(CE$2,Liste_Ackerkulturen_Gemüse_DropDown[Ackerkulturen])&gt;0)),ROW()-2),1),"")</f>
        <v>Spinat (Blattspinat)</v>
      </c>
      <c r="CE189" s="2464"/>
      <c r="CF189" s="2464" t="str">
        <f>IFERROR(INDEX(Liste_Ackerkulturen_Gemüse_DropDown[Ackerkulturen],_xlfn.AGGREGATE(15,6,(ROW(Liste_Ackerkulturen_Gemüse_DropDown[Ackerkulturen])-1)/(--(SEARCH(CG$2,Liste_Ackerkulturen_Gemüse_DropDown[Ackerkulturen])&gt;0)),ROW()-2),1),"")</f>
        <v>Spinat (Blattspinat)</v>
      </c>
      <c r="CG189" s="2464"/>
      <c r="CH189" s="2464" t="str">
        <f>IFERROR(INDEX(Liste_Ackerkulturen_Gemüse_DropDown[Ackerkulturen],_xlfn.AGGREGATE(15,6,(ROW(Liste_Ackerkulturen_Gemüse_DropDown[Ackerkulturen])-1)/(--(SEARCH(CI$2,Liste_Ackerkulturen_Gemüse_DropDown[Ackerkulturen])&gt;0)),ROW()-2),1),"")</f>
        <v>Spinat (Blattspinat)</v>
      </c>
      <c r="CI189" s="2464"/>
      <c r="CJ189" s="2464" t="str">
        <f>IFERROR(INDEX(Liste_Ackerkulturen_Gemüse_DropDown[Ackerkulturen],_xlfn.AGGREGATE(15,6,(ROW(Liste_Ackerkulturen_Gemüse_DropDown[Ackerkulturen])-1)/(--(SEARCH(CK$2,Liste_Ackerkulturen_Gemüse_DropDown[Ackerkulturen])&gt;0)),ROW()-2),1),"")</f>
        <v>Spinat (Blattspinat)</v>
      </c>
      <c r="CK189" s="2464"/>
      <c r="CL189" s="2464" t="str">
        <f>IFERROR(INDEX(Liste_Ackerkulturen_Gemüse_DropDown[Ackerkulturen],_xlfn.AGGREGATE(15,6,(ROW(Liste_Ackerkulturen_Gemüse_DropDown[Ackerkulturen])-1)/(--(SEARCH(CM$2,Liste_Ackerkulturen_Gemüse_DropDown[Ackerkulturen])&gt;0)),ROW()-2),1),"")</f>
        <v>Spinat (Blattspinat)</v>
      </c>
      <c r="CM189" s="2464"/>
      <c r="CN189" s="2464" t="str">
        <f>IFERROR(INDEX(Liste_Ackerkulturen_Gemüse_DropDown[Ackerkulturen],_xlfn.AGGREGATE(15,6,(ROW(Liste_Ackerkulturen_Gemüse_DropDown[Ackerkulturen])-1)/(--(SEARCH(CO$2,Liste_Ackerkulturen_Gemüse_DropDown[Ackerkulturen])&gt;0)),ROW()-2),1),"")</f>
        <v>Spinat (Blattspinat)</v>
      </c>
      <c r="CO189" s="2464"/>
      <c r="CP189" s="2464" t="str">
        <f>IFERROR(INDEX(Liste_Ackerkulturen_Gemüse_DropDown[Ackerkulturen],_xlfn.AGGREGATE(15,6,(ROW(Liste_Ackerkulturen_Gemüse_DropDown[Ackerkulturen])-1)/(--(SEARCH(CQ$2,Liste_Ackerkulturen_Gemüse_DropDown[Ackerkulturen])&gt;0)),ROW()-2),1),"")</f>
        <v>Spinat (Blattspinat)</v>
      </c>
      <c r="CQ189" s="2464"/>
      <c r="CR189" s="2464" t="str">
        <f>IFERROR(INDEX(Liste_Ackerkulturen_Gemüse_DropDown[Ackerkulturen],_xlfn.AGGREGATE(15,6,(ROW(Liste_Ackerkulturen_Gemüse_DropDown[Ackerkulturen])-1)/(--(SEARCH(CS$2,Liste_Ackerkulturen_Gemüse_DropDown[Ackerkulturen])&gt;0)),ROW()-2),1),"")</f>
        <v>Spinat (Blattspinat)</v>
      </c>
      <c r="CS189" s="2464"/>
      <c r="DI189" s="1541"/>
      <c r="DJ189" s="1541"/>
      <c r="DK189" s="1541"/>
      <c r="DL189" s="1541"/>
      <c r="DM189" s="1541"/>
    </row>
    <row r="190" spans="1:117" s="470" customFormat="1" ht="21" customHeight="1">
      <c r="A190" s="465"/>
      <c r="B190" s="465"/>
      <c r="C190" s="2599"/>
      <c r="D190" s="2600"/>
      <c r="E190" s="1767"/>
      <c r="F190" s="1716"/>
      <c r="G190" s="2222"/>
      <c r="H190" s="1716"/>
      <c r="I190" s="1716"/>
      <c r="J190" s="1716"/>
      <c r="K190" s="1716"/>
      <c r="L190" s="2594" t="s">
        <v>127</v>
      </c>
      <c r="M190" s="2606"/>
      <c r="N190" s="1738" t="s">
        <v>1938</v>
      </c>
      <c r="O190" s="1739" t="s">
        <v>1939</v>
      </c>
      <c r="P190" s="2594" t="s">
        <v>1940</v>
      </c>
      <c r="Q190" s="2594"/>
      <c r="R190" s="2594"/>
      <c r="S190" s="1739" t="s">
        <v>1941</v>
      </c>
      <c r="T190" s="1740" t="s">
        <v>1942</v>
      </c>
      <c r="U190" s="1738" t="s">
        <v>1938</v>
      </c>
      <c r="V190" s="1739" t="s">
        <v>1939</v>
      </c>
      <c r="W190" s="2594" t="s">
        <v>1940</v>
      </c>
      <c r="X190" s="2594"/>
      <c r="Y190" s="2594"/>
      <c r="Z190" s="1739" t="s">
        <v>1941</v>
      </c>
      <c r="AA190" s="1740" t="s">
        <v>1942</v>
      </c>
      <c r="AB190" s="525"/>
      <c r="AC190" s="525"/>
      <c r="AD190" s="525"/>
      <c r="AE190" s="525"/>
      <c r="AF190" s="1279"/>
      <c r="AG190" s="176"/>
      <c r="AH190" s="176"/>
      <c r="AI190" s="176"/>
      <c r="AJ190" s="473"/>
      <c r="AK190" s="472"/>
      <c r="AL190" s="472"/>
      <c r="AM190" s="2371" t="s">
        <v>266</v>
      </c>
      <c r="AN190" s="2352">
        <v>150</v>
      </c>
      <c r="AO190" s="2283" t="s">
        <v>1065</v>
      </c>
      <c r="AP190" s="2352">
        <v>180</v>
      </c>
      <c r="AQ190" s="2283" t="s">
        <v>267</v>
      </c>
      <c r="AR190" s="2352">
        <v>215</v>
      </c>
      <c r="AS190" s="2283" t="s">
        <v>137</v>
      </c>
      <c r="AT190" s="2348">
        <v>215</v>
      </c>
      <c r="AU190" s="2285" t="s">
        <v>137</v>
      </c>
      <c r="AV190" s="2348">
        <v>215</v>
      </c>
      <c r="AW190" s="2285" t="s">
        <v>137</v>
      </c>
      <c r="AX190" s="2345">
        <v>140</v>
      </c>
      <c r="AY190" s="2278" t="s">
        <v>267</v>
      </c>
      <c r="AZ190" s="2350">
        <v>175</v>
      </c>
      <c r="BA190" s="2303" t="s">
        <v>472</v>
      </c>
      <c r="BE190" s="2371" t="s">
        <v>266</v>
      </c>
      <c r="BF190" s="577">
        <v>30</v>
      </c>
      <c r="BG190" s="577">
        <v>40</v>
      </c>
      <c r="BH190" s="577">
        <v>50</v>
      </c>
      <c r="BJ190" s="2371" t="s">
        <v>266</v>
      </c>
      <c r="BK190" s="578">
        <v>110</v>
      </c>
      <c r="BL190" s="577">
        <v>140</v>
      </c>
      <c r="BM190" s="577">
        <v>175</v>
      </c>
      <c r="BP190" s="524"/>
      <c r="BQ190" s="524"/>
      <c r="BR190" s="524"/>
      <c r="BS190" s="2461" t="s">
        <v>270</v>
      </c>
      <c r="BT190" s="2463" t="str">
        <f>IFERROR(INDEX(Liste_Ackerkulturen_Gemüse_DropDown[Ackerkulturen],_xlfn.AGGREGATE(15,6,(ROW(Liste_Ackerkulturen_Gemüse_DropDown[Ackerkulturen])-1)/(--(SEARCH(BU$2,Liste_Ackerkulturen_Gemüse_DropDown[Ackerkulturen])&gt;0)),ROW()-2),1),"")</f>
        <v>Spinat (Passierspinat)</v>
      </c>
      <c r="BU190" s="2463"/>
      <c r="BV190" s="2463" t="str">
        <f>IFERROR(INDEX(Liste_Ackerkulturen_Gemüse_DropDown[Ackerkulturen],_xlfn.AGGREGATE(15,6,(ROW(Liste_Ackerkulturen_Gemüse_DropDown[Ackerkulturen])-1)/(--(SEARCH(BW$2,Liste_Ackerkulturen_Gemüse_DropDown[Ackerkulturen])&gt;0)),ROW()-2),1),"")</f>
        <v>Spinat (Passierspinat)</v>
      </c>
      <c r="BW190" s="2463"/>
      <c r="BX190" s="2463" t="str">
        <f>IFERROR(INDEX(Liste_Ackerkulturen_Gemüse_DropDown[Ackerkulturen],_xlfn.AGGREGATE(15,6,(ROW(Liste_Ackerkulturen_Gemüse_DropDown[Ackerkulturen])-1)/(--(SEARCH(BY$2,Liste_Ackerkulturen_Gemüse_DropDown[Ackerkulturen])&gt;0)),ROW()-2),1),"")</f>
        <v>Spinat (Passierspinat)</v>
      </c>
      <c r="BY190" s="2463"/>
      <c r="BZ190" s="2463" t="str">
        <f>IFERROR(INDEX(Liste_Ackerkulturen_Gemüse_DropDown[Ackerkulturen],_xlfn.AGGREGATE(15,6,(ROW(Liste_Ackerkulturen_Gemüse_DropDown[Ackerkulturen])-1)/(--(SEARCH(CA$2,Liste_Ackerkulturen_Gemüse_DropDown[Ackerkulturen])&gt;0)),ROW()-2),1),"")</f>
        <v>Spinat (Passierspinat)</v>
      </c>
      <c r="CA190" s="2463"/>
      <c r="CB190" s="2463" t="str">
        <f>IFERROR(INDEX(Liste_Ackerkulturen_Gemüse_DropDown[Ackerkulturen],_xlfn.AGGREGATE(15,6,(ROW(Liste_Ackerkulturen_Gemüse_DropDown[Ackerkulturen])-1)/(--(SEARCH(CC$2,Liste_Ackerkulturen_Gemüse_DropDown[Ackerkulturen])&gt;0)),ROW()-2),1),"")</f>
        <v>Spinat (Passierspinat)</v>
      </c>
      <c r="CC190" s="2463"/>
      <c r="CD190" s="2464" t="str">
        <f>IFERROR(INDEX(Liste_Ackerkulturen_Gemüse_DropDown[Ackerkulturen],_xlfn.AGGREGATE(15,6,(ROW(Liste_Ackerkulturen_Gemüse_DropDown[Ackerkulturen])-1)/(--(SEARCH(CE$2,Liste_Ackerkulturen_Gemüse_DropDown[Ackerkulturen])&gt;0)),ROW()-2),1),"")</f>
        <v>Spinat (Passierspinat)</v>
      </c>
      <c r="CE190" s="2464"/>
      <c r="CF190" s="2464" t="str">
        <f>IFERROR(INDEX(Liste_Ackerkulturen_Gemüse_DropDown[Ackerkulturen],_xlfn.AGGREGATE(15,6,(ROW(Liste_Ackerkulturen_Gemüse_DropDown[Ackerkulturen])-1)/(--(SEARCH(CG$2,Liste_Ackerkulturen_Gemüse_DropDown[Ackerkulturen])&gt;0)),ROW()-2),1),"")</f>
        <v>Spinat (Passierspinat)</v>
      </c>
      <c r="CG190" s="2464"/>
      <c r="CH190" s="2464" t="str">
        <f>IFERROR(INDEX(Liste_Ackerkulturen_Gemüse_DropDown[Ackerkulturen],_xlfn.AGGREGATE(15,6,(ROW(Liste_Ackerkulturen_Gemüse_DropDown[Ackerkulturen])-1)/(--(SEARCH(CI$2,Liste_Ackerkulturen_Gemüse_DropDown[Ackerkulturen])&gt;0)),ROW()-2),1),"")</f>
        <v>Spinat (Passierspinat)</v>
      </c>
      <c r="CI190" s="2464"/>
      <c r="CJ190" s="2464" t="str">
        <f>IFERROR(INDEX(Liste_Ackerkulturen_Gemüse_DropDown[Ackerkulturen],_xlfn.AGGREGATE(15,6,(ROW(Liste_Ackerkulturen_Gemüse_DropDown[Ackerkulturen])-1)/(--(SEARCH(CK$2,Liste_Ackerkulturen_Gemüse_DropDown[Ackerkulturen])&gt;0)),ROW()-2),1),"")</f>
        <v>Spinat (Passierspinat)</v>
      </c>
      <c r="CK190" s="2464"/>
      <c r="CL190" s="2464" t="str">
        <f>IFERROR(INDEX(Liste_Ackerkulturen_Gemüse_DropDown[Ackerkulturen],_xlfn.AGGREGATE(15,6,(ROW(Liste_Ackerkulturen_Gemüse_DropDown[Ackerkulturen])-1)/(--(SEARCH(CM$2,Liste_Ackerkulturen_Gemüse_DropDown[Ackerkulturen])&gt;0)),ROW()-2),1),"")</f>
        <v>Spinat (Passierspinat)</v>
      </c>
      <c r="CM190" s="2464"/>
      <c r="CN190" s="2464" t="str">
        <f>IFERROR(INDEX(Liste_Ackerkulturen_Gemüse_DropDown[Ackerkulturen],_xlfn.AGGREGATE(15,6,(ROW(Liste_Ackerkulturen_Gemüse_DropDown[Ackerkulturen])-1)/(--(SEARCH(CO$2,Liste_Ackerkulturen_Gemüse_DropDown[Ackerkulturen])&gt;0)),ROW()-2),1),"")</f>
        <v>Spinat (Passierspinat)</v>
      </c>
      <c r="CO190" s="2464"/>
      <c r="CP190" s="2464" t="str">
        <f>IFERROR(INDEX(Liste_Ackerkulturen_Gemüse_DropDown[Ackerkulturen],_xlfn.AGGREGATE(15,6,(ROW(Liste_Ackerkulturen_Gemüse_DropDown[Ackerkulturen])-1)/(--(SEARCH(CQ$2,Liste_Ackerkulturen_Gemüse_DropDown[Ackerkulturen])&gt;0)),ROW()-2),1),"")</f>
        <v>Spinat (Passierspinat)</v>
      </c>
      <c r="CQ190" s="2464"/>
      <c r="CR190" s="2464" t="str">
        <f>IFERROR(INDEX(Liste_Ackerkulturen_Gemüse_DropDown[Ackerkulturen],_xlfn.AGGREGATE(15,6,(ROW(Liste_Ackerkulturen_Gemüse_DropDown[Ackerkulturen])-1)/(--(SEARCH(CS$2,Liste_Ackerkulturen_Gemüse_DropDown[Ackerkulturen])&gt;0)),ROW()-2),1),"")</f>
        <v>Spinat (Passierspinat)</v>
      </c>
      <c r="CS190" s="2464"/>
      <c r="DI190" s="1541"/>
      <c r="DJ190" s="1541"/>
      <c r="DK190" s="1541"/>
      <c r="DL190" s="1541"/>
      <c r="DM190" s="1541"/>
    </row>
    <row r="191" spans="1:117" s="470" customFormat="1" ht="21" customHeight="1">
      <c r="A191" s="465"/>
      <c r="B191" s="465"/>
      <c r="C191" s="1741" t="s">
        <v>1778</v>
      </c>
      <c r="D191" s="1742"/>
      <c r="E191" s="2591" t="s">
        <v>1784</v>
      </c>
      <c r="F191" s="2592"/>
      <c r="G191" s="2224"/>
      <c r="H191" s="2592" t="s">
        <v>1095</v>
      </c>
      <c r="I191" s="2592"/>
      <c r="J191" s="2592" t="s">
        <v>492</v>
      </c>
      <c r="K191" s="2592"/>
      <c r="L191" s="1716" t="s">
        <v>1095</v>
      </c>
      <c r="M191" s="1752" t="s">
        <v>1839</v>
      </c>
      <c r="N191" s="1746"/>
      <c r="O191" s="1766"/>
      <c r="P191" s="1716" t="s">
        <v>1784</v>
      </c>
      <c r="Q191" s="1716" t="s">
        <v>1095</v>
      </c>
      <c r="R191" s="1716" t="s">
        <v>1839</v>
      </c>
      <c r="S191" s="1718"/>
      <c r="T191" s="1743"/>
      <c r="U191" s="1767"/>
      <c r="V191" s="1716"/>
      <c r="W191" s="1766" t="s">
        <v>1784</v>
      </c>
      <c r="X191" s="1766" t="s">
        <v>1095</v>
      </c>
      <c r="Y191" s="1766" t="s">
        <v>1839</v>
      </c>
      <c r="Z191" s="1718"/>
      <c r="AA191" s="1743"/>
      <c r="AB191" s="525"/>
      <c r="AC191" s="525"/>
      <c r="AD191" s="525"/>
      <c r="AE191" s="525"/>
      <c r="AF191" s="1279"/>
      <c r="AG191" s="176"/>
      <c r="AH191" s="176"/>
      <c r="AI191" s="176"/>
      <c r="AJ191" s="473"/>
      <c r="AK191" s="472"/>
      <c r="AL191" s="472"/>
      <c r="AM191" s="2371" t="s">
        <v>268</v>
      </c>
      <c r="AN191" s="2352">
        <v>190</v>
      </c>
      <c r="AO191" s="2283" t="s">
        <v>139</v>
      </c>
      <c r="AP191" s="2352">
        <v>230</v>
      </c>
      <c r="AQ191" s="2283" t="s">
        <v>269</v>
      </c>
      <c r="AR191" s="2352">
        <v>280</v>
      </c>
      <c r="AS191" s="2283" t="s">
        <v>258</v>
      </c>
      <c r="AT191" s="2348">
        <v>280</v>
      </c>
      <c r="AU191" s="2285" t="s">
        <v>258</v>
      </c>
      <c r="AV191" s="2348">
        <v>280</v>
      </c>
      <c r="AW191" s="2285" t="s">
        <v>258</v>
      </c>
      <c r="AX191" s="2345">
        <v>190</v>
      </c>
      <c r="AY191" s="2278" t="s">
        <v>269</v>
      </c>
      <c r="AZ191" s="2350">
        <v>238</v>
      </c>
      <c r="BA191" s="2303" t="s">
        <v>2348</v>
      </c>
      <c r="BE191" s="2371" t="s">
        <v>268</v>
      </c>
      <c r="BF191" s="577">
        <v>30</v>
      </c>
      <c r="BG191" s="577">
        <v>40</v>
      </c>
      <c r="BH191" s="577">
        <v>50</v>
      </c>
      <c r="BJ191" s="2371" t="s">
        <v>268</v>
      </c>
      <c r="BK191" s="578">
        <v>145</v>
      </c>
      <c r="BL191" s="577">
        <v>180</v>
      </c>
      <c r="BM191" s="577">
        <v>225</v>
      </c>
      <c r="BP191" s="524"/>
      <c r="BQ191" s="524"/>
      <c r="BR191" s="524"/>
      <c r="BS191" s="2461" t="s">
        <v>273</v>
      </c>
      <c r="BT191" s="2463" t="str">
        <f>IFERROR(INDEX(Liste_Ackerkulturen_Gemüse_DropDown[Ackerkulturen],_xlfn.AGGREGATE(15,6,(ROW(Liste_Ackerkulturen_Gemüse_DropDown[Ackerkulturen])-1)/(--(SEARCH(BU$2,Liste_Ackerkulturen_Gemüse_DropDown[Ackerkulturen])&gt;0)),ROW()-2),1),"")</f>
        <v>Spinat (Überwinterung)</v>
      </c>
      <c r="BU191" s="2463"/>
      <c r="BV191" s="2463" t="str">
        <f>IFERROR(INDEX(Liste_Ackerkulturen_Gemüse_DropDown[Ackerkulturen],_xlfn.AGGREGATE(15,6,(ROW(Liste_Ackerkulturen_Gemüse_DropDown[Ackerkulturen])-1)/(--(SEARCH(BW$2,Liste_Ackerkulturen_Gemüse_DropDown[Ackerkulturen])&gt;0)),ROW()-2),1),"")</f>
        <v>Spinat (Überwinterung)</v>
      </c>
      <c r="BW191" s="2463"/>
      <c r="BX191" s="2463" t="str">
        <f>IFERROR(INDEX(Liste_Ackerkulturen_Gemüse_DropDown[Ackerkulturen],_xlfn.AGGREGATE(15,6,(ROW(Liste_Ackerkulturen_Gemüse_DropDown[Ackerkulturen])-1)/(--(SEARCH(BY$2,Liste_Ackerkulturen_Gemüse_DropDown[Ackerkulturen])&gt;0)),ROW()-2),1),"")</f>
        <v>Spinat (Überwinterung)</v>
      </c>
      <c r="BY191" s="2463"/>
      <c r="BZ191" s="2463" t="str">
        <f>IFERROR(INDEX(Liste_Ackerkulturen_Gemüse_DropDown[Ackerkulturen],_xlfn.AGGREGATE(15,6,(ROW(Liste_Ackerkulturen_Gemüse_DropDown[Ackerkulturen])-1)/(--(SEARCH(CA$2,Liste_Ackerkulturen_Gemüse_DropDown[Ackerkulturen])&gt;0)),ROW()-2),1),"")</f>
        <v>Spinat (Überwinterung)</v>
      </c>
      <c r="CA191" s="2463"/>
      <c r="CB191" s="2463" t="str">
        <f>IFERROR(INDEX(Liste_Ackerkulturen_Gemüse_DropDown[Ackerkulturen],_xlfn.AGGREGATE(15,6,(ROW(Liste_Ackerkulturen_Gemüse_DropDown[Ackerkulturen])-1)/(--(SEARCH(CC$2,Liste_Ackerkulturen_Gemüse_DropDown[Ackerkulturen])&gt;0)),ROW()-2),1),"")</f>
        <v>Spinat (Überwinterung)</v>
      </c>
      <c r="CC191" s="2463"/>
      <c r="CD191" s="2464" t="str">
        <f>IFERROR(INDEX(Liste_Ackerkulturen_Gemüse_DropDown[Ackerkulturen],_xlfn.AGGREGATE(15,6,(ROW(Liste_Ackerkulturen_Gemüse_DropDown[Ackerkulturen])-1)/(--(SEARCH(CE$2,Liste_Ackerkulturen_Gemüse_DropDown[Ackerkulturen])&gt;0)),ROW()-2),1),"")</f>
        <v>Spinat (Überwinterung)</v>
      </c>
      <c r="CE191" s="2464"/>
      <c r="CF191" s="2464" t="str">
        <f>IFERROR(INDEX(Liste_Ackerkulturen_Gemüse_DropDown[Ackerkulturen],_xlfn.AGGREGATE(15,6,(ROW(Liste_Ackerkulturen_Gemüse_DropDown[Ackerkulturen])-1)/(--(SEARCH(CG$2,Liste_Ackerkulturen_Gemüse_DropDown[Ackerkulturen])&gt;0)),ROW()-2),1),"")</f>
        <v>Spinat (Überwinterung)</v>
      </c>
      <c r="CG191" s="2464"/>
      <c r="CH191" s="2464" t="str">
        <f>IFERROR(INDEX(Liste_Ackerkulturen_Gemüse_DropDown[Ackerkulturen],_xlfn.AGGREGATE(15,6,(ROW(Liste_Ackerkulturen_Gemüse_DropDown[Ackerkulturen])-1)/(--(SEARCH(CI$2,Liste_Ackerkulturen_Gemüse_DropDown[Ackerkulturen])&gt;0)),ROW()-2),1),"")</f>
        <v>Spinat (Überwinterung)</v>
      </c>
      <c r="CI191" s="2464"/>
      <c r="CJ191" s="2464" t="str">
        <f>IFERROR(INDEX(Liste_Ackerkulturen_Gemüse_DropDown[Ackerkulturen],_xlfn.AGGREGATE(15,6,(ROW(Liste_Ackerkulturen_Gemüse_DropDown[Ackerkulturen])-1)/(--(SEARCH(CK$2,Liste_Ackerkulturen_Gemüse_DropDown[Ackerkulturen])&gt;0)),ROW()-2),1),"")</f>
        <v>Spinat (Überwinterung)</v>
      </c>
      <c r="CK191" s="2464"/>
      <c r="CL191" s="2464" t="str">
        <f>IFERROR(INDEX(Liste_Ackerkulturen_Gemüse_DropDown[Ackerkulturen],_xlfn.AGGREGATE(15,6,(ROW(Liste_Ackerkulturen_Gemüse_DropDown[Ackerkulturen])-1)/(--(SEARCH(CM$2,Liste_Ackerkulturen_Gemüse_DropDown[Ackerkulturen])&gt;0)),ROW()-2),1),"")</f>
        <v>Spinat (Überwinterung)</v>
      </c>
      <c r="CM191" s="2464"/>
      <c r="CN191" s="2464" t="str">
        <f>IFERROR(INDEX(Liste_Ackerkulturen_Gemüse_DropDown[Ackerkulturen],_xlfn.AGGREGATE(15,6,(ROW(Liste_Ackerkulturen_Gemüse_DropDown[Ackerkulturen])-1)/(--(SEARCH(CO$2,Liste_Ackerkulturen_Gemüse_DropDown[Ackerkulturen])&gt;0)),ROW()-2),1),"")</f>
        <v>Spinat (Überwinterung)</v>
      </c>
      <c r="CO191" s="2464"/>
      <c r="CP191" s="2464" t="str">
        <f>IFERROR(INDEX(Liste_Ackerkulturen_Gemüse_DropDown[Ackerkulturen],_xlfn.AGGREGATE(15,6,(ROW(Liste_Ackerkulturen_Gemüse_DropDown[Ackerkulturen])-1)/(--(SEARCH(CQ$2,Liste_Ackerkulturen_Gemüse_DropDown[Ackerkulturen])&gt;0)),ROW()-2),1),"")</f>
        <v>Spinat (Überwinterung)</v>
      </c>
      <c r="CQ191" s="2464"/>
      <c r="CR191" s="2464" t="str">
        <f>IFERROR(INDEX(Liste_Ackerkulturen_Gemüse_DropDown[Ackerkulturen],_xlfn.AGGREGATE(15,6,(ROW(Liste_Ackerkulturen_Gemüse_DropDown[Ackerkulturen])-1)/(--(SEARCH(CS$2,Liste_Ackerkulturen_Gemüse_DropDown[Ackerkulturen])&gt;0)),ROW()-2),1),"")</f>
        <v>Spinat (Überwinterung)</v>
      </c>
      <c r="CS191" s="2464"/>
      <c r="DI191" s="1541"/>
      <c r="DJ191" s="1541"/>
      <c r="DK191" s="1541"/>
      <c r="DL191" s="1541"/>
      <c r="DM191" s="1541"/>
    </row>
    <row r="192" spans="1:117" s="470" customFormat="1" ht="21" customHeight="1">
      <c r="A192" s="465"/>
      <c r="B192" s="465"/>
      <c r="C192" s="1575" t="s">
        <v>493</v>
      </c>
      <c r="D192" s="1576"/>
      <c r="E192" s="1746" t="s">
        <v>1945</v>
      </c>
      <c r="F192" s="1766" t="s">
        <v>1946</v>
      </c>
      <c r="G192" s="1766"/>
      <c r="H192" s="1766" t="s">
        <v>1945</v>
      </c>
      <c r="I192" s="1766" t="s">
        <v>1946</v>
      </c>
      <c r="J192" s="1766" t="s">
        <v>1945</v>
      </c>
      <c r="K192" s="1766" t="s">
        <v>1946</v>
      </c>
      <c r="L192" s="1766" t="s">
        <v>1946</v>
      </c>
      <c r="M192" s="1769"/>
      <c r="N192" s="1756"/>
      <c r="O192" s="1757"/>
      <c r="P192" s="2588" t="s">
        <v>1055</v>
      </c>
      <c r="Q192" s="2588"/>
      <c r="R192" s="2588"/>
      <c r="S192" s="1758"/>
      <c r="T192" s="1759"/>
      <c r="U192" s="1756"/>
      <c r="V192" s="1757"/>
      <c r="W192" s="2588" t="s">
        <v>1056</v>
      </c>
      <c r="X192" s="2588"/>
      <c r="Y192" s="2588"/>
      <c r="Z192" s="1758"/>
      <c r="AA192" s="1759"/>
      <c r="AB192" s="525"/>
      <c r="AC192" s="525"/>
      <c r="AD192" s="525"/>
      <c r="AE192" s="525"/>
      <c r="AF192" s="1279"/>
      <c r="AG192" s="176"/>
      <c r="AH192" s="176"/>
      <c r="AI192" s="176"/>
      <c r="AJ192" s="473"/>
      <c r="AK192" s="472"/>
      <c r="AL192" s="472"/>
      <c r="AM192" s="2371" t="s">
        <v>270</v>
      </c>
      <c r="AN192" s="2352">
        <v>190</v>
      </c>
      <c r="AO192" s="2283" t="s">
        <v>66</v>
      </c>
      <c r="AP192" s="2352">
        <v>225</v>
      </c>
      <c r="AQ192" s="2283" t="s">
        <v>271</v>
      </c>
      <c r="AR192" s="2352">
        <v>270</v>
      </c>
      <c r="AS192" s="2283" t="s">
        <v>272</v>
      </c>
      <c r="AT192" s="2348">
        <v>270</v>
      </c>
      <c r="AU192" s="2285" t="s">
        <v>272</v>
      </c>
      <c r="AV192" s="2348">
        <v>270</v>
      </c>
      <c r="AW192" s="2285" t="s">
        <v>272</v>
      </c>
      <c r="AX192" s="2345" t="s">
        <v>1082</v>
      </c>
      <c r="AY192" s="2278" t="s">
        <v>271</v>
      </c>
      <c r="AZ192" s="2350"/>
      <c r="BA192" s="2303" t="s">
        <v>2350</v>
      </c>
      <c r="BE192" s="2371" t="s">
        <v>270</v>
      </c>
      <c r="BF192" s="577">
        <v>30</v>
      </c>
      <c r="BG192" s="577">
        <v>40</v>
      </c>
      <c r="BH192" s="577">
        <v>50</v>
      </c>
      <c r="BJ192" s="2371" t="s">
        <v>270</v>
      </c>
      <c r="BK192" s="578">
        <v>145</v>
      </c>
      <c r="BL192" s="577">
        <v>180</v>
      </c>
      <c r="BM192" s="577">
        <v>225</v>
      </c>
      <c r="BP192" s="524"/>
      <c r="BQ192" s="524"/>
      <c r="BR192" s="524"/>
      <c r="BS192" s="2461" t="s">
        <v>275</v>
      </c>
      <c r="BT192" s="2463" t="str">
        <f>IFERROR(INDEX(Liste_Ackerkulturen_Gemüse_DropDown[Ackerkulturen],_xlfn.AGGREGATE(15,6,(ROW(Liste_Ackerkulturen_Gemüse_DropDown[Ackerkulturen])-1)/(--(SEARCH(BU$2,Liste_Ackerkulturen_Gemüse_DropDown[Ackerkulturen])&gt;0)),ROW()-2),1),"")</f>
        <v>Sprossenkohl</v>
      </c>
      <c r="BU192" s="2463"/>
      <c r="BV192" s="2463" t="str">
        <f>IFERROR(INDEX(Liste_Ackerkulturen_Gemüse_DropDown[Ackerkulturen],_xlfn.AGGREGATE(15,6,(ROW(Liste_Ackerkulturen_Gemüse_DropDown[Ackerkulturen])-1)/(--(SEARCH(BW$2,Liste_Ackerkulturen_Gemüse_DropDown[Ackerkulturen])&gt;0)),ROW()-2),1),"")</f>
        <v>Sprossenkohl</v>
      </c>
      <c r="BW192" s="2463"/>
      <c r="BX192" s="2463" t="str">
        <f>IFERROR(INDEX(Liste_Ackerkulturen_Gemüse_DropDown[Ackerkulturen],_xlfn.AGGREGATE(15,6,(ROW(Liste_Ackerkulturen_Gemüse_DropDown[Ackerkulturen])-1)/(--(SEARCH(BY$2,Liste_Ackerkulturen_Gemüse_DropDown[Ackerkulturen])&gt;0)),ROW()-2),1),"")</f>
        <v>Sprossenkohl</v>
      </c>
      <c r="BY192" s="2463"/>
      <c r="BZ192" s="2463" t="str">
        <f>IFERROR(INDEX(Liste_Ackerkulturen_Gemüse_DropDown[Ackerkulturen],_xlfn.AGGREGATE(15,6,(ROW(Liste_Ackerkulturen_Gemüse_DropDown[Ackerkulturen])-1)/(--(SEARCH(CA$2,Liste_Ackerkulturen_Gemüse_DropDown[Ackerkulturen])&gt;0)),ROW()-2),1),"")</f>
        <v>Sprossenkohl</v>
      </c>
      <c r="CA192" s="2463"/>
      <c r="CB192" s="2463" t="str">
        <f>IFERROR(INDEX(Liste_Ackerkulturen_Gemüse_DropDown[Ackerkulturen],_xlfn.AGGREGATE(15,6,(ROW(Liste_Ackerkulturen_Gemüse_DropDown[Ackerkulturen])-1)/(--(SEARCH(CC$2,Liste_Ackerkulturen_Gemüse_DropDown[Ackerkulturen])&gt;0)),ROW()-2),1),"")</f>
        <v>Sprossenkohl</v>
      </c>
      <c r="CC192" s="2463"/>
      <c r="CD192" s="2464" t="str">
        <f>IFERROR(INDEX(Liste_Ackerkulturen_Gemüse_DropDown[Ackerkulturen],_xlfn.AGGREGATE(15,6,(ROW(Liste_Ackerkulturen_Gemüse_DropDown[Ackerkulturen])-1)/(--(SEARCH(CE$2,Liste_Ackerkulturen_Gemüse_DropDown[Ackerkulturen])&gt;0)),ROW()-2),1),"")</f>
        <v>Sprossenkohl</v>
      </c>
      <c r="CE192" s="2464"/>
      <c r="CF192" s="2464" t="str">
        <f>IFERROR(INDEX(Liste_Ackerkulturen_Gemüse_DropDown[Ackerkulturen],_xlfn.AGGREGATE(15,6,(ROW(Liste_Ackerkulturen_Gemüse_DropDown[Ackerkulturen])-1)/(--(SEARCH(CG$2,Liste_Ackerkulturen_Gemüse_DropDown[Ackerkulturen])&gt;0)),ROW()-2),1),"")</f>
        <v>Sprossenkohl</v>
      </c>
      <c r="CG192" s="2464"/>
      <c r="CH192" s="2464" t="str">
        <f>IFERROR(INDEX(Liste_Ackerkulturen_Gemüse_DropDown[Ackerkulturen],_xlfn.AGGREGATE(15,6,(ROW(Liste_Ackerkulturen_Gemüse_DropDown[Ackerkulturen])-1)/(--(SEARCH(CI$2,Liste_Ackerkulturen_Gemüse_DropDown[Ackerkulturen])&gt;0)),ROW()-2),1),"")</f>
        <v>Sprossenkohl</v>
      </c>
      <c r="CI192" s="2464"/>
      <c r="CJ192" s="2464" t="str">
        <f>IFERROR(INDEX(Liste_Ackerkulturen_Gemüse_DropDown[Ackerkulturen],_xlfn.AGGREGATE(15,6,(ROW(Liste_Ackerkulturen_Gemüse_DropDown[Ackerkulturen])-1)/(--(SEARCH(CK$2,Liste_Ackerkulturen_Gemüse_DropDown[Ackerkulturen])&gt;0)),ROW()-2),1),"")</f>
        <v>Sprossenkohl</v>
      </c>
      <c r="CK192" s="2464"/>
      <c r="CL192" s="2464" t="str">
        <f>IFERROR(INDEX(Liste_Ackerkulturen_Gemüse_DropDown[Ackerkulturen],_xlfn.AGGREGATE(15,6,(ROW(Liste_Ackerkulturen_Gemüse_DropDown[Ackerkulturen])-1)/(--(SEARCH(CM$2,Liste_Ackerkulturen_Gemüse_DropDown[Ackerkulturen])&gt;0)),ROW()-2),1),"")</f>
        <v>Sprossenkohl</v>
      </c>
      <c r="CM192" s="2464"/>
      <c r="CN192" s="2464" t="str">
        <f>IFERROR(INDEX(Liste_Ackerkulturen_Gemüse_DropDown[Ackerkulturen],_xlfn.AGGREGATE(15,6,(ROW(Liste_Ackerkulturen_Gemüse_DropDown[Ackerkulturen])-1)/(--(SEARCH(CO$2,Liste_Ackerkulturen_Gemüse_DropDown[Ackerkulturen])&gt;0)),ROW()-2),1),"")</f>
        <v>Sprossenkohl</v>
      </c>
      <c r="CO192" s="2464"/>
      <c r="CP192" s="2464" t="str">
        <f>IFERROR(INDEX(Liste_Ackerkulturen_Gemüse_DropDown[Ackerkulturen],_xlfn.AGGREGATE(15,6,(ROW(Liste_Ackerkulturen_Gemüse_DropDown[Ackerkulturen])-1)/(--(SEARCH(CQ$2,Liste_Ackerkulturen_Gemüse_DropDown[Ackerkulturen])&gt;0)),ROW()-2),1),"")</f>
        <v>Sprossenkohl</v>
      </c>
      <c r="CQ192" s="2464"/>
      <c r="CR192" s="2464" t="str">
        <f>IFERROR(INDEX(Liste_Ackerkulturen_Gemüse_DropDown[Ackerkulturen],_xlfn.AGGREGATE(15,6,(ROW(Liste_Ackerkulturen_Gemüse_DropDown[Ackerkulturen])-1)/(--(SEARCH(CS$2,Liste_Ackerkulturen_Gemüse_DropDown[Ackerkulturen])&gt;0)),ROW()-2),1),"")</f>
        <v>Sprossenkohl</v>
      </c>
      <c r="CS192" s="2464"/>
      <c r="DI192" s="1541"/>
      <c r="DJ192" s="1541"/>
      <c r="DK192" s="1541"/>
      <c r="DL192" s="1541"/>
      <c r="DM192" s="1541"/>
    </row>
    <row r="193" spans="1:117" s="470" customFormat="1" ht="21" customHeight="1">
      <c r="A193" s="465"/>
      <c r="B193" s="465"/>
      <c r="C193" s="1575" t="s">
        <v>128</v>
      </c>
      <c r="D193" s="1576"/>
      <c r="E193" s="1567" t="s">
        <v>1065</v>
      </c>
      <c r="F193" s="1568">
        <v>110</v>
      </c>
      <c r="G193" s="1568"/>
      <c r="H193" s="1716" t="s">
        <v>129</v>
      </c>
      <c r="I193" s="1718">
        <v>130</v>
      </c>
      <c r="J193" s="1188" t="s">
        <v>464</v>
      </c>
      <c r="K193" s="1568">
        <v>155</v>
      </c>
      <c r="L193" s="1527">
        <v>90</v>
      </c>
      <c r="M193" s="1528">
        <v>113</v>
      </c>
      <c r="N193" s="1567">
        <v>60</v>
      </c>
      <c r="O193" s="1188">
        <v>50</v>
      </c>
      <c r="P193" s="1568">
        <v>30</v>
      </c>
      <c r="Q193" s="1718">
        <v>40</v>
      </c>
      <c r="R193" s="1568">
        <v>50</v>
      </c>
      <c r="S193" s="1568">
        <v>20</v>
      </c>
      <c r="T193" s="1599" t="s">
        <v>1201</v>
      </c>
      <c r="U193" s="1569">
        <v>210</v>
      </c>
      <c r="V193" s="1570">
        <v>175</v>
      </c>
      <c r="W193" s="1574">
        <v>110</v>
      </c>
      <c r="X193" s="1778">
        <v>140</v>
      </c>
      <c r="Y193" s="1574">
        <v>175</v>
      </c>
      <c r="Z193" s="1568">
        <v>70</v>
      </c>
      <c r="AA193" s="1599" t="s">
        <v>1201</v>
      </c>
      <c r="AB193" s="525"/>
      <c r="AC193" s="525"/>
      <c r="AD193" s="525"/>
      <c r="AE193" s="526"/>
      <c r="AF193" s="1279"/>
      <c r="AG193" s="176"/>
      <c r="AH193" s="176"/>
      <c r="AI193" s="176"/>
      <c r="AJ193" s="473"/>
      <c r="AK193" s="472"/>
      <c r="AL193" s="472"/>
      <c r="AM193" s="2371" t="s">
        <v>273</v>
      </c>
      <c r="AN193" s="2352">
        <v>240</v>
      </c>
      <c r="AO193" s="2283" t="s">
        <v>470</v>
      </c>
      <c r="AP193" s="2352">
        <v>290</v>
      </c>
      <c r="AQ193" s="2283" t="s">
        <v>274</v>
      </c>
      <c r="AR193" s="2352">
        <v>355</v>
      </c>
      <c r="AS193" s="2283" t="s">
        <v>64</v>
      </c>
      <c r="AT193" s="2348">
        <v>355</v>
      </c>
      <c r="AU193" s="2285" t="s">
        <v>64</v>
      </c>
      <c r="AV193" s="2348">
        <v>355</v>
      </c>
      <c r="AW193" s="2285" t="s">
        <v>64</v>
      </c>
      <c r="AX193" s="2345">
        <v>250</v>
      </c>
      <c r="AY193" s="2278" t="s">
        <v>274</v>
      </c>
      <c r="AZ193" s="2350">
        <v>313</v>
      </c>
      <c r="BA193" s="2303" t="s">
        <v>2351</v>
      </c>
      <c r="BE193" s="2371" t="s">
        <v>273</v>
      </c>
      <c r="BF193" s="577">
        <v>40</v>
      </c>
      <c r="BG193" s="577">
        <v>50</v>
      </c>
      <c r="BH193" s="577">
        <v>65</v>
      </c>
      <c r="BJ193" s="2371" t="s">
        <v>273</v>
      </c>
      <c r="BK193" s="578">
        <v>130</v>
      </c>
      <c r="BL193" s="577">
        <v>160</v>
      </c>
      <c r="BM193" s="577">
        <v>200</v>
      </c>
      <c r="BP193" s="524"/>
      <c r="BQ193" s="524"/>
      <c r="BR193" s="524"/>
      <c r="BS193" s="2461" t="s">
        <v>276</v>
      </c>
      <c r="BT193" s="2463" t="str">
        <f>IFERROR(INDEX(Liste_Ackerkulturen_Gemüse_DropDown[Ackerkulturen],_xlfn.AGGREGATE(15,6,(ROW(Liste_Ackerkulturen_Gemüse_DropDown[Ackerkulturen])-1)/(--(SEARCH(BU$2,Liste_Ackerkulturen_Gemüse_DropDown[Ackerkulturen])&gt;0)),ROW()-2),1),"")</f>
        <v>Stangenbohne frisch (Fisole)</v>
      </c>
      <c r="BU193" s="2463"/>
      <c r="BV193" s="2463" t="str">
        <f>IFERROR(INDEX(Liste_Ackerkulturen_Gemüse_DropDown[Ackerkulturen],_xlfn.AGGREGATE(15,6,(ROW(Liste_Ackerkulturen_Gemüse_DropDown[Ackerkulturen])-1)/(--(SEARCH(BW$2,Liste_Ackerkulturen_Gemüse_DropDown[Ackerkulturen])&gt;0)),ROW()-2),1),"")</f>
        <v>Stangenbohne frisch (Fisole)</v>
      </c>
      <c r="BW193" s="2463"/>
      <c r="BX193" s="2463" t="str">
        <f>IFERROR(INDEX(Liste_Ackerkulturen_Gemüse_DropDown[Ackerkulturen],_xlfn.AGGREGATE(15,6,(ROW(Liste_Ackerkulturen_Gemüse_DropDown[Ackerkulturen])-1)/(--(SEARCH(BY$2,Liste_Ackerkulturen_Gemüse_DropDown[Ackerkulturen])&gt;0)),ROW()-2),1),"")</f>
        <v>Stangenbohne frisch (Fisole)</v>
      </c>
      <c r="BY193" s="2463"/>
      <c r="BZ193" s="2463" t="str">
        <f>IFERROR(INDEX(Liste_Ackerkulturen_Gemüse_DropDown[Ackerkulturen],_xlfn.AGGREGATE(15,6,(ROW(Liste_Ackerkulturen_Gemüse_DropDown[Ackerkulturen])-1)/(--(SEARCH(CA$2,Liste_Ackerkulturen_Gemüse_DropDown[Ackerkulturen])&gt;0)),ROW()-2),1),"")</f>
        <v>Stangenbohne frisch (Fisole)</v>
      </c>
      <c r="CA193" s="2463"/>
      <c r="CB193" s="2463" t="str">
        <f>IFERROR(INDEX(Liste_Ackerkulturen_Gemüse_DropDown[Ackerkulturen],_xlfn.AGGREGATE(15,6,(ROW(Liste_Ackerkulturen_Gemüse_DropDown[Ackerkulturen])-1)/(--(SEARCH(CC$2,Liste_Ackerkulturen_Gemüse_DropDown[Ackerkulturen])&gt;0)),ROW()-2),1),"")</f>
        <v>Stangenbohne frisch (Fisole)</v>
      </c>
      <c r="CC193" s="2463"/>
      <c r="CD193" s="2464" t="str">
        <f>IFERROR(INDEX(Liste_Ackerkulturen_Gemüse_DropDown[Ackerkulturen],_xlfn.AGGREGATE(15,6,(ROW(Liste_Ackerkulturen_Gemüse_DropDown[Ackerkulturen])-1)/(--(SEARCH(CE$2,Liste_Ackerkulturen_Gemüse_DropDown[Ackerkulturen])&gt;0)),ROW()-2),1),"")</f>
        <v>Stangenbohne frisch (Fisole)</v>
      </c>
      <c r="CE193" s="2464"/>
      <c r="CF193" s="2464" t="str">
        <f>IFERROR(INDEX(Liste_Ackerkulturen_Gemüse_DropDown[Ackerkulturen],_xlfn.AGGREGATE(15,6,(ROW(Liste_Ackerkulturen_Gemüse_DropDown[Ackerkulturen])-1)/(--(SEARCH(CG$2,Liste_Ackerkulturen_Gemüse_DropDown[Ackerkulturen])&gt;0)),ROW()-2),1),"")</f>
        <v>Stangenbohne frisch (Fisole)</v>
      </c>
      <c r="CG193" s="2464"/>
      <c r="CH193" s="2464" t="str">
        <f>IFERROR(INDEX(Liste_Ackerkulturen_Gemüse_DropDown[Ackerkulturen],_xlfn.AGGREGATE(15,6,(ROW(Liste_Ackerkulturen_Gemüse_DropDown[Ackerkulturen])-1)/(--(SEARCH(CI$2,Liste_Ackerkulturen_Gemüse_DropDown[Ackerkulturen])&gt;0)),ROW()-2),1),"")</f>
        <v>Stangenbohne frisch (Fisole)</v>
      </c>
      <c r="CI193" s="2464"/>
      <c r="CJ193" s="2464" t="str">
        <f>IFERROR(INDEX(Liste_Ackerkulturen_Gemüse_DropDown[Ackerkulturen],_xlfn.AGGREGATE(15,6,(ROW(Liste_Ackerkulturen_Gemüse_DropDown[Ackerkulturen])-1)/(--(SEARCH(CK$2,Liste_Ackerkulturen_Gemüse_DropDown[Ackerkulturen])&gt;0)),ROW()-2),1),"")</f>
        <v>Stangenbohne frisch (Fisole)</v>
      </c>
      <c r="CK193" s="2464"/>
      <c r="CL193" s="2464" t="str">
        <f>IFERROR(INDEX(Liste_Ackerkulturen_Gemüse_DropDown[Ackerkulturen],_xlfn.AGGREGATE(15,6,(ROW(Liste_Ackerkulturen_Gemüse_DropDown[Ackerkulturen])-1)/(--(SEARCH(CM$2,Liste_Ackerkulturen_Gemüse_DropDown[Ackerkulturen])&gt;0)),ROW()-2),1),"")</f>
        <v>Stangenbohne frisch (Fisole)</v>
      </c>
      <c r="CM193" s="2464"/>
      <c r="CN193" s="2464" t="str">
        <f>IFERROR(INDEX(Liste_Ackerkulturen_Gemüse_DropDown[Ackerkulturen],_xlfn.AGGREGATE(15,6,(ROW(Liste_Ackerkulturen_Gemüse_DropDown[Ackerkulturen])-1)/(--(SEARCH(CO$2,Liste_Ackerkulturen_Gemüse_DropDown[Ackerkulturen])&gt;0)),ROW()-2),1),"")</f>
        <v>Stangenbohne frisch (Fisole)</v>
      </c>
      <c r="CO193" s="2464"/>
      <c r="CP193" s="2464" t="str">
        <f>IFERROR(INDEX(Liste_Ackerkulturen_Gemüse_DropDown[Ackerkulturen],_xlfn.AGGREGATE(15,6,(ROW(Liste_Ackerkulturen_Gemüse_DropDown[Ackerkulturen])-1)/(--(SEARCH(CQ$2,Liste_Ackerkulturen_Gemüse_DropDown[Ackerkulturen])&gt;0)),ROW()-2),1),"")</f>
        <v>Stangenbohne frisch (Fisole)</v>
      </c>
      <c r="CQ193" s="2464"/>
      <c r="CR193" s="2464" t="str">
        <f>IFERROR(INDEX(Liste_Ackerkulturen_Gemüse_DropDown[Ackerkulturen],_xlfn.AGGREGATE(15,6,(ROW(Liste_Ackerkulturen_Gemüse_DropDown[Ackerkulturen])-1)/(--(SEARCH(CS$2,Liste_Ackerkulturen_Gemüse_DropDown[Ackerkulturen])&gt;0)),ROW()-2),1),"")</f>
        <v>Stangenbohne frisch (Fisole)</v>
      </c>
      <c r="CS193" s="2464"/>
      <c r="DI193" s="1541"/>
      <c r="DJ193" s="1541"/>
      <c r="DK193" s="1541"/>
      <c r="DL193" s="1541"/>
      <c r="DM193" s="1541"/>
    </row>
    <row r="194" spans="1:117" s="470" customFormat="1" ht="21" customHeight="1">
      <c r="A194" s="465"/>
      <c r="B194" s="465"/>
      <c r="C194" s="1575" t="s">
        <v>130</v>
      </c>
      <c r="D194" s="1576"/>
      <c r="E194" s="1567" t="s">
        <v>462</v>
      </c>
      <c r="F194" s="1568">
        <v>200</v>
      </c>
      <c r="G194" s="1568"/>
      <c r="H194" s="1716" t="s">
        <v>463</v>
      </c>
      <c r="I194" s="1718">
        <v>240</v>
      </c>
      <c r="J194" s="1188" t="s">
        <v>464</v>
      </c>
      <c r="K194" s="1568">
        <v>290</v>
      </c>
      <c r="L194" s="1527">
        <v>200</v>
      </c>
      <c r="M194" s="1528">
        <v>250</v>
      </c>
      <c r="N194" s="1567">
        <v>60</v>
      </c>
      <c r="O194" s="1188">
        <v>50</v>
      </c>
      <c r="P194" s="1568">
        <v>30</v>
      </c>
      <c r="Q194" s="1718">
        <v>40</v>
      </c>
      <c r="R194" s="1568">
        <v>50</v>
      </c>
      <c r="S194" s="1568">
        <v>20</v>
      </c>
      <c r="T194" s="1599" t="s">
        <v>1201</v>
      </c>
      <c r="U194" s="1569">
        <v>165</v>
      </c>
      <c r="V194" s="1570">
        <v>140</v>
      </c>
      <c r="W194" s="1574">
        <v>90</v>
      </c>
      <c r="X194" s="1778">
        <v>110</v>
      </c>
      <c r="Y194" s="1574">
        <v>140</v>
      </c>
      <c r="Z194" s="1568">
        <v>55</v>
      </c>
      <c r="AA194" s="1599" t="s">
        <v>1201</v>
      </c>
      <c r="AB194" s="525"/>
      <c r="AC194" s="525"/>
      <c r="AD194" s="525"/>
      <c r="AE194" s="526"/>
      <c r="AF194" s="1279"/>
      <c r="AG194" s="176"/>
      <c r="AH194" s="176"/>
      <c r="AI194" s="176"/>
      <c r="AJ194" s="473"/>
      <c r="AK194" s="472"/>
      <c r="AL194" s="472"/>
      <c r="AM194" s="2371" t="s">
        <v>275</v>
      </c>
      <c r="AN194" s="2352">
        <v>135</v>
      </c>
      <c r="AO194" s="2283" t="s">
        <v>462</v>
      </c>
      <c r="AP194" s="2352">
        <v>160</v>
      </c>
      <c r="AQ194" s="2283" t="s">
        <v>1057</v>
      </c>
      <c r="AR194" s="2352">
        <v>190</v>
      </c>
      <c r="AS194" s="2283" t="s">
        <v>224</v>
      </c>
      <c r="AT194" s="2348">
        <v>190</v>
      </c>
      <c r="AU194" s="2285" t="s">
        <v>224</v>
      </c>
      <c r="AV194" s="2348">
        <v>190</v>
      </c>
      <c r="AW194" s="2285" t="s">
        <v>224</v>
      </c>
      <c r="AX194" s="2345">
        <v>120</v>
      </c>
      <c r="AY194" s="2278" t="s">
        <v>1057</v>
      </c>
      <c r="AZ194" s="2350">
        <v>150</v>
      </c>
      <c r="BA194" s="2303" t="s">
        <v>2345</v>
      </c>
      <c r="BE194" s="2371" t="s">
        <v>275</v>
      </c>
      <c r="BF194" s="577">
        <v>30</v>
      </c>
      <c r="BG194" s="577">
        <v>40</v>
      </c>
      <c r="BH194" s="577">
        <v>50</v>
      </c>
      <c r="BJ194" s="2371" t="s">
        <v>275</v>
      </c>
      <c r="BK194" s="578">
        <v>120</v>
      </c>
      <c r="BL194" s="577">
        <v>150</v>
      </c>
      <c r="BM194" s="577">
        <v>190</v>
      </c>
      <c r="BP194" s="524"/>
      <c r="BQ194" s="524"/>
      <c r="BR194" s="524"/>
      <c r="BS194" s="2461" t="s">
        <v>280</v>
      </c>
      <c r="BT194" s="2463" t="str">
        <f>IFERROR(INDEX(Liste_Ackerkulturen_Gemüse_DropDown[Ackerkulturen],_xlfn.AGGREGATE(15,6,(ROW(Liste_Ackerkulturen_Gemüse_DropDown[Ackerkulturen])-1)/(--(SEARCH(BU$2,Liste_Ackerkulturen_Gemüse_DropDown[Ackerkulturen])&gt;0)),ROW()-2),1),"")</f>
        <v>Stangenbohne, Käferbohne (trocken)</v>
      </c>
      <c r="BU194" s="2463"/>
      <c r="BV194" s="2463" t="str">
        <f>IFERROR(INDEX(Liste_Ackerkulturen_Gemüse_DropDown[Ackerkulturen],_xlfn.AGGREGATE(15,6,(ROW(Liste_Ackerkulturen_Gemüse_DropDown[Ackerkulturen])-1)/(--(SEARCH(BW$2,Liste_Ackerkulturen_Gemüse_DropDown[Ackerkulturen])&gt;0)),ROW()-2),1),"")</f>
        <v>Stangenbohne, Käferbohne (trocken)</v>
      </c>
      <c r="BW194" s="2463"/>
      <c r="BX194" s="2463" t="str">
        <f>IFERROR(INDEX(Liste_Ackerkulturen_Gemüse_DropDown[Ackerkulturen],_xlfn.AGGREGATE(15,6,(ROW(Liste_Ackerkulturen_Gemüse_DropDown[Ackerkulturen])-1)/(--(SEARCH(BY$2,Liste_Ackerkulturen_Gemüse_DropDown[Ackerkulturen])&gt;0)),ROW()-2),1),"")</f>
        <v>Stangenbohne, Käferbohne (trocken)</v>
      </c>
      <c r="BY194" s="2463"/>
      <c r="BZ194" s="2463" t="str">
        <f>IFERROR(INDEX(Liste_Ackerkulturen_Gemüse_DropDown[Ackerkulturen],_xlfn.AGGREGATE(15,6,(ROW(Liste_Ackerkulturen_Gemüse_DropDown[Ackerkulturen])-1)/(--(SEARCH(CA$2,Liste_Ackerkulturen_Gemüse_DropDown[Ackerkulturen])&gt;0)),ROW()-2),1),"")</f>
        <v>Stangenbohne, Käferbohne (trocken)</v>
      </c>
      <c r="CA194" s="2463"/>
      <c r="CB194" s="2463" t="str">
        <f>IFERROR(INDEX(Liste_Ackerkulturen_Gemüse_DropDown[Ackerkulturen],_xlfn.AGGREGATE(15,6,(ROW(Liste_Ackerkulturen_Gemüse_DropDown[Ackerkulturen])-1)/(--(SEARCH(CC$2,Liste_Ackerkulturen_Gemüse_DropDown[Ackerkulturen])&gt;0)),ROW()-2),1),"")</f>
        <v>Stangenbohne, Käferbohne (trocken)</v>
      </c>
      <c r="CC194" s="2463"/>
      <c r="CD194" s="2464" t="str">
        <f>IFERROR(INDEX(Liste_Ackerkulturen_Gemüse_DropDown[Ackerkulturen],_xlfn.AGGREGATE(15,6,(ROW(Liste_Ackerkulturen_Gemüse_DropDown[Ackerkulturen])-1)/(--(SEARCH(CE$2,Liste_Ackerkulturen_Gemüse_DropDown[Ackerkulturen])&gt;0)),ROW()-2),1),"")</f>
        <v>Stangenbohne, Käferbohne (trocken)</v>
      </c>
      <c r="CE194" s="2464"/>
      <c r="CF194" s="2464" t="str">
        <f>IFERROR(INDEX(Liste_Ackerkulturen_Gemüse_DropDown[Ackerkulturen],_xlfn.AGGREGATE(15,6,(ROW(Liste_Ackerkulturen_Gemüse_DropDown[Ackerkulturen])-1)/(--(SEARCH(CG$2,Liste_Ackerkulturen_Gemüse_DropDown[Ackerkulturen])&gt;0)),ROW()-2),1),"")</f>
        <v>Stangenbohne, Käferbohne (trocken)</v>
      </c>
      <c r="CG194" s="2464"/>
      <c r="CH194" s="2464" t="str">
        <f>IFERROR(INDEX(Liste_Ackerkulturen_Gemüse_DropDown[Ackerkulturen],_xlfn.AGGREGATE(15,6,(ROW(Liste_Ackerkulturen_Gemüse_DropDown[Ackerkulturen])-1)/(--(SEARCH(CI$2,Liste_Ackerkulturen_Gemüse_DropDown[Ackerkulturen])&gt;0)),ROW()-2),1),"")</f>
        <v>Stangenbohne, Käferbohne (trocken)</v>
      </c>
      <c r="CI194" s="2464"/>
      <c r="CJ194" s="2464" t="str">
        <f>IFERROR(INDEX(Liste_Ackerkulturen_Gemüse_DropDown[Ackerkulturen],_xlfn.AGGREGATE(15,6,(ROW(Liste_Ackerkulturen_Gemüse_DropDown[Ackerkulturen])-1)/(--(SEARCH(CK$2,Liste_Ackerkulturen_Gemüse_DropDown[Ackerkulturen])&gt;0)),ROW()-2),1),"")</f>
        <v>Stangenbohne, Käferbohne (trocken)</v>
      </c>
      <c r="CK194" s="2464"/>
      <c r="CL194" s="2464" t="str">
        <f>IFERROR(INDEX(Liste_Ackerkulturen_Gemüse_DropDown[Ackerkulturen],_xlfn.AGGREGATE(15,6,(ROW(Liste_Ackerkulturen_Gemüse_DropDown[Ackerkulturen])-1)/(--(SEARCH(CM$2,Liste_Ackerkulturen_Gemüse_DropDown[Ackerkulturen])&gt;0)),ROW()-2),1),"")</f>
        <v>Stangenbohne, Käferbohne (trocken)</v>
      </c>
      <c r="CM194" s="2464"/>
      <c r="CN194" s="2464" t="str">
        <f>IFERROR(INDEX(Liste_Ackerkulturen_Gemüse_DropDown[Ackerkulturen],_xlfn.AGGREGATE(15,6,(ROW(Liste_Ackerkulturen_Gemüse_DropDown[Ackerkulturen])-1)/(--(SEARCH(CO$2,Liste_Ackerkulturen_Gemüse_DropDown[Ackerkulturen])&gt;0)),ROW()-2),1),"")</f>
        <v>Stangenbohne, Käferbohne (trocken)</v>
      </c>
      <c r="CO194" s="2464"/>
      <c r="CP194" s="2464" t="str">
        <f>IFERROR(INDEX(Liste_Ackerkulturen_Gemüse_DropDown[Ackerkulturen],_xlfn.AGGREGATE(15,6,(ROW(Liste_Ackerkulturen_Gemüse_DropDown[Ackerkulturen])-1)/(--(SEARCH(CQ$2,Liste_Ackerkulturen_Gemüse_DropDown[Ackerkulturen])&gt;0)),ROW()-2),1),"")</f>
        <v>Stangenbohne, Käferbohne (trocken)</v>
      </c>
      <c r="CQ194" s="2464"/>
      <c r="CR194" s="2464" t="str">
        <f>IFERROR(INDEX(Liste_Ackerkulturen_Gemüse_DropDown[Ackerkulturen],_xlfn.AGGREGATE(15,6,(ROW(Liste_Ackerkulturen_Gemüse_DropDown[Ackerkulturen])-1)/(--(SEARCH(CS$2,Liste_Ackerkulturen_Gemüse_DropDown[Ackerkulturen])&gt;0)),ROW()-2),1),"")</f>
        <v>Stangenbohne, Käferbohne (trocken)</v>
      </c>
      <c r="CS194" s="2464"/>
      <c r="DI194" s="1541"/>
      <c r="DJ194" s="1541"/>
      <c r="DK194" s="1541"/>
      <c r="DL194" s="1541"/>
      <c r="DM194" s="1541"/>
    </row>
    <row r="195" spans="1:117" s="470" customFormat="1" ht="21" customHeight="1">
      <c r="A195" s="465"/>
      <c r="B195" s="465"/>
      <c r="C195" s="1575" t="s">
        <v>131</v>
      </c>
      <c r="D195" s="1576"/>
      <c r="E195" s="1567" t="s">
        <v>132</v>
      </c>
      <c r="F195" s="1568">
        <v>95</v>
      </c>
      <c r="G195" s="1568"/>
      <c r="H195" s="1716" t="s">
        <v>133</v>
      </c>
      <c r="I195" s="1718">
        <v>110</v>
      </c>
      <c r="J195" s="1188" t="s">
        <v>1066</v>
      </c>
      <c r="K195" s="1568">
        <v>130</v>
      </c>
      <c r="L195" s="1527">
        <v>70</v>
      </c>
      <c r="M195" s="1528">
        <v>88</v>
      </c>
      <c r="N195" s="1567">
        <v>30</v>
      </c>
      <c r="O195" s="1188">
        <v>25</v>
      </c>
      <c r="P195" s="1568">
        <v>15</v>
      </c>
      <c r="Q195" s="1718">
        <v>20</v>
      </c>
      <c r="R195" s="1568">
        <v>25</v>
      </c>
      <c r="S195" s="1568">
        <v>10</v>
      </c>
      <c r="T195" s="1599" t="s">
        <v>1201</v>
      </c>
      <c r="U195" s="1569">
        <v>75</v>
      </c>
      <c r="V195" s="1570">
        <v>65</v>
      </c>
      <c r="W195" s="1574">
        <v>40</v>
      </c>
      <c r="X195" s="1778">
        <v>50</v>
      </c>
      <c r="Y195" s="1574">
        <v>65</v>
      </c>
      <c r="Z195" s="1568">
        <v>25</v>
      </c>
      <c r="AA195" s="1599" t="s">
        <v>1201</v>
      </c>
      <c r="AB195" s="525"/>
      <c r="AC195" s="525"/>
      <c r="AD195" s="525"/>
      <c r="AE195" s="526"/>
      <c r="AF195" s="1279"/>
      <c r="AG195" s="176"/>
      <c r="AH195" s="176"/>
      <c r="AI195" s="176"/>
      <c r="AJ195" s="473"/>
      <c r="AK195" s="472"/>
      <c r="AL195" s="472"/>
      <c r="AM195" s="2371" t="s">
        <v>276</v>
      </c>
      <c r="AN195" s="2352">
        <v>150</v>
      </c>
      <c r="AO195" s="2283" t="s">
        <v>277</v>
      </c>
      <c r="AP195" s="2352">
        <v>180</v>
      </c>
      <c r="AQ195" s="2283" t="s">
        <v>278</v>
      </c>
      <c r="AR195" s="2352">
        <v>215</v>
      </c>
      <c r="AS195" s="2283" t="s">
        <v>279</v>
      </c>
      <c r="AT195" s="2348">
        <v>215</v>
      </c>
      <c r="AU195" s="2285" t="s">
        <v>279</v>
      </c>
      <c r="AV195" s="2348">
        <v>215</v>
      </c>
      <c r="AW195" s="2285" t="s">
        <v>279</v>
      </c>
      <c r="AX195" s="2345">
        <v>140</v>
      </c>
      <c r="AY195" s="2278" t="s">
        <v>278</v>
      </c>
      <c r="AZ195" s="2350">
        <v>175</v>
      </c>
      <c r="BA195" s="2303" t="s">
        <v>2352</v>
      </c>
      <c r="BE195" s="2371" t="s">
        <v>276</v>
      </c>
      <c r="BF195" s="577">
        <v>30</v>
      </c>
      <c r="BG195" s="577">
        <v>40</v>
      </c>
      <c r="BH195" s="577">
        <v>50</v>
      </c>
      <c r="BJ195" s="2371" t="s">
        <v>276</v>
      </c>
      <c r="BK195" s="578">
        <v>120</v>
      </c>
      <c r="BL195" s="577">
        <v>150</v>
      </c>
      <c r="BM195" s="577">
        <v>190</v>
      </c>
      <c r="BP195" s="524"/>
      <c r="BQ195" s="524"/>
      <c r="BR195" s="524"/>
      <c r="BS195" s="2461" t="s">
        <v>282</v>
      </c>
      <c r="BT195" s="2463" t="str">
        <f>IFERROR(INDEX(Liste_Ackerkulturen_Gemüse_DropDown[Ackerkulturen],_xlfn.AGGREGATE(15,6,(ROW(Liste_Ackerkulturen_Gemüse_DropDown[Ackerkulturen])-1)/(--(SEARCH(BU$2,Liste_Ackerkulturen_Gemüse_DropDown[Ackerkulturen])&gt;0)),ROW()-2),1),"")</f>
        <v>Tomate, Paradeiser (Freiland)</v>
      </c>
      <c r="BU195" s="2463"/>
      <c r="BV195" s="2463" t="str">
        <f>IFERROR(INDEX(Liste_Ackerkulturen_Gemüse_DropDown[Ackerkulturen],_xlfn.AGGREGATE(15,6,(ROW(Liste_Ackerkulturen_Gemüse_DropDown[Ackerkulturen])-1)/(--(SEARCH(BW$2,Liste_Ackerkulturen_Gemüse_DropDown[Ackerkulturen])&gt;0)),ROW()-2),1),"")</f>
        <v>Tomate, Paradeiser (Freiland)</v>
      </c>
      <c r="BW195" s="2463"/>
      <c r="BX195" s="2463" t="str">
        <f>IFERROR(INDEX(Liste_Ackerkulturen_Gemüse_DropDown[Ackerkulturen],_xlfn.AGGREGATE(15,6,(ROW(Liste_Ackerkulturen_Gemüse_DropDown[Ackerkulturen])-1)/(--(SEARCH(BY$2,Liste_Ackerkulturen_Gemüse_DropDown[Ackerkulturen])&gt;0)),ROW()-2),1),"")</f>
        <v>Tomate, Paradeiser (Freiland)</v>
      </c>
      <c r="BY195" s="2463"/>
      <c r="BZ195" s="2463" t="str">
        <f>IFERROR(INDEX(Liste_Ackerkulturen_Gemüse_DropDown[Ackerkulturen],_xlfn.AGGREGATE(15,6,(ROW(Liste_Ackerkulturen_Gemüse_DropDown[Ackerkulturen])-1)/(--(SEARCH(CA$2,Liste_Ackerkulturen_Gemüse_DropDown[Ackerkulturen])&gt;0)),ROW()-2),1),"")</f>
        <v>Tomate, Paradeiser (Freiland)</v>
      </c>
      <c r="CA195" s="2463"/>
      <c r="CB195" s="2463" t="str">
        <f>IFERROR(INDEX(Liste_Ackerkulturen_Gemüse_DropDown[Ackerkulturen],_xlfn.AGGREGATE(15,6,(ROW(Liste_Ackerkulturen_Gemüse_DropDown[Ackerkulturen])-1)/(--(SEARCH(CC$2,Liste_Ackerkulturen_Gemüse_DropDown[Ackerkulturen])&gt;0)),ROW()-2),1),"")</f>
        <v>Tomate, Paradeiser (Freiland)</v>
      </c>
      <c r="CC195" s="2463"/>
      <c r="CD195" s="2464" t="str">
        <f>IFERROR(INDEX(Liste_Ackerkulturen_Gemüse_DropDown[Ackerkulturen],_xlfn.AGGREGATE(15,6,(ROW(Liste_Ackerkulturen_Gemüse_DropDown[Ackerkulturen])-1)/(--(SEARCH(CE$2,Liste_Ackerkulturen_Gemüse_DropDown[Ackerkulturen])&gt;0)),ROW()-2),1),"")</f>
        <v>Tomate, Paradeiser (Freiland)</v>
      </c>
      <c r="CE195" s="2464"/>
      <c r="CF195" s="2464" t="str">
        <f>IFERROR(INDEX(Liste_Ackerkulturen_Gemüse_DropDown[Ackerkulturen],_xlfn.AGGREGATE(15,6,(ROW(Liste_Ackerkulturen_Gemüse_DropDown[Ackerkulturen])-1)/(--(SEARCH(CG$2,Liste_Ackerkulturen_Gemüse_DropDown[Ackerkulturen])&gt;0)),ROW()-2),1),"")</f>
        <v>Tomate, Paradeiser (Freiland)</v>
      </c>
      <c r="CG195" s="2464"/>
      <c r="CH195" s="2464" t="str">
        <f>IFERROR(INDEX(Liste_Ackerkulturen_Gemüse_DropDown[Ackerkulturen],_xlfn.AGGREGATE(15,6,(ROW(Liste_Ackerkulturen_Gemüse_DropDown[Ackerkulturen])-1)/(--(SEARCH(CI$2,Liste_Ackerkulturen_Gemüse_DropDown[Ackerkulturen])&gt;0)),ROW()-2),1),"")</f>
        <v>Tomate, Paradeiser (Freiland)</v>
      </c>
      <c r="CI195" s="2464"/>
      <c r="CJ195" s="2464" t="str">
        <f>IFERROR(INDEX(Liste_Ackerkulturen_Gemüse_DropDown[Ackerkulturen],_xlfn.AGGREGATE(15,6,(ROW(Liste_Ackerkulturen_Gemüse_DropDown[Ackerkulturen])-1)/(--(SEARCH(CK$2,Liste_Ackerkulturen_Gemüse_DropDown[Ackerkulturen])&gt;0)),ROW()-2),1),"")</f>
        <v>Tomate, Paradeiser (Freiland)</v>
      </c>
      <c r="CK195" s="2464"/>
      <c r="CL195" s="2464" t="str">
        <f>IFERROR(INDEX(Liste_Ackerkulturen_Gemüse_DropDown[Ackerkulturen],_xlfn.AGGREGATE(15,6,(ROW(Liste_Ackerkulturen_Gemüse_DropDown[Ackerkulturen])-1)/(--(SEARCH(CM$2,Liste_Ackerkulturen_Gemüse_DropDown[Ackerkulturen])&gt;0)),ROW()-2),1),"")</f>
        <v>Tomate, Paradeiser (Freiland)</v>
      </c>
      <c r="CM195" s="2464"/>
      <c r="CN195" s="2464" t="str">
        <f>IFERROR(INDEX(Liste_Ackerkulturen_Gemüse_DropDown[Ackerkulturen],_xlfn.AGGREGATE(15,6,(ROW(Liste_Ackerkulturen_Gemüse_DropDown[Ackerkulturen])-1)/(--(SEARCH(CO$2,Liste_Ackerkulturen_Gemüse_DropDown[Ackerkulturen])&gt;0)),ROW()-2),1),"")</f>
        <v>Tomate, Paradeiser (Freiland)</v>
      </c>
      <c r="CO195" s="2464"/>
      <c r="CP195" s="2464" t="str">
        <f>IFERROR(INDEX(Liste_Ackerkulturen_Gemüse_DropDown[Ackerkulturen],_xlfn.AGGREGATE(15,6,(ROW(Liste_Ackerkulturen_Gemüse_DropDown[Ackerkulturen])-1)/(--(SEARCH(CQ$2,Liste_Ackerkulturen_Gemüse_DropDown[Ackerkulturen])&gt;0)),ROW()-2),1),"")</f>
        <v>Tomate, Paradeiser (Freiland)</v>
      </c>
      <c r="CQ195" s="2464"/>
      <c r="CR195" s="2464" t="str">
        <f>IFERROR(INDEX(Liste_Ackerkulturen_Gemüse_DropDown[Ackerkulturen],_xlfn.AGGREGATE(15,6,(ROW(Liste_Ackerkulturen_Gemüse_DropDown[Ackerkulturen])-1)/(--(SEARCH(CS$2,Liste_Ackerkulturen_Gemüse_DropDown[Ackerkulturen])&gt;0)),ROW()-2),1),"")</f>
        <v>Tomate, Paradeiser (Freiland)</v>
      </c>
      <c r="CS195" s="2464"/>
      <c r="DI195" s="1541"/>
      <c r="DJ195" s="1541"/>
      <c r="DK195" s="1541"/>
      <c r="DL195" s="1541"/>
      <c r="DM195" s="1541"/>
    </row>
    <row r="196" spans="1:117" s="470" customFormat="1" ht="21" customHeight="1">
      <c r="A196" s="465"/>
      <c r="B196" s="465"/>
      <c r="C196" s="1575" t="s">
        <v>134</v>
      </c>
      <c r="D196" s="1576"/>
      <c r="E196" s="1567" t="s">
        <v>135</v>
      </c>
      <c r="F196" s="1568">
        <v>150</v>
      </c>
      <c r="G196" s="1568"/>
      <c r="H196" s="1716" t="s">
        <v>136</v>
      </c>
      <c r="I196" s="1718">
        <v>180</v>
      </c>
      <c r="J196" s="1188" t="s">
        <v>137</v>
      </c>
      <c r="K196" s="1568">
        <v>215</v>
      </c>
      <c r="L196" s="1527">
        <v>70</v>
      </c>
      <c r="M196" s="1528">
        <v>88</v>
      </c>
      <c r="N196" s="1567">
        <v>30</v>
      </c>
      <c r="O196" s="1188">
        <v>25</v>
      </c>
      <c r="P196" s="1568">
        <v>15</v>
      </c>
      <c r="Q196" s="1718">
        <v>20</v>
      </c>
      <c r="R196" s="1568">
        <v>25</v>
      </c>
      <c r="S196" s="1568">
        <v>10</v>
      </c>
      <c r="T196" s="1599" t="s">
        <v>1201</v>
      </c>
      <c r="U196" s="1569">
        <v>30</v>
      </c>
      <c r="V196" s="1570">
        <v>25</v>
      </c>
      <c r="W196" s="1574">
        <v>40</v>
      </c>
      <c r="X196" s="1778">
        <v>50</v>
      </c>
      <c r="Y196" s="1574">
        <v>65</v>
      </c>
      <c r="Z196" s="1568">
        <v>25</v>
      </c>
      <c r="AA196" s="1599" t="s">
        <v>1201</v>
      </c>
      <c r="AB196" s="525"/>
      <c r="AC196" s="525"/>
      <c r="AD196" s="525"/>
      <c r="AE196" s="526"/>
      <c r="AF196" s="1279"/>
      <c r="AG196" s="176"/>
      <c r="AH196" s="176"/>
      <c r="AI196" s="176"/>
      <c r="AJ196" s="473"/>
      <c r="AK196" s="472"/>
      <c r="AL196" s="472"/>
      <c r="AM196" s="2371" t="s">
        <v>280</v>
      </c>
      <c r="AN196" s="2352">
        <v>230</v>
      </c>
      <c r="AO196" s="2283" t="s">
        <v>143</v>
      </c>
      <c r="AP196" s="2352">
        <v>275</v>
      </c>
      <c r="AQ196" s="2283" t="s">
        <v>281</v>
      </c>
      <c r="AR196" s="2352">
        <v>330</v>
      </c>
      <c r="AS196" s="2283" t="s">
        <v>252</v>
      </c>
      <c r="AT196" s="2348">
        <v>330</v>
      </c>
      <c r="AU196" s="2285" t="s">
        <v>252</v>
      </c>
      <c r="AV196" s="2348">
        <v>330</v>
      </c>
      <c r="AW196" s="2285" t="s">
        <v>252</v>
      </c>
      <c r="AX196" s="2345">
        <v>225</v>
      </c>
      <c r="AY196" s="2278" t="s">
        <v>281</v>
      </c>
      <c r="AZ196" s="2350">
        <v>281</v>
      </c>
      <c r="BA196" s="2303" t="s">
        <v>2347</v>
      </c>
      <c r="BE196" s="2371" t="s">
        <v>280</v>
      </c>
      <c r="BF196" s="577">
        <v>30</v>
      </c>
      <c r="BG196" s="577">
        <v>40</v>
      </c>
      <c r="BH196" s="577">
        <v>50</v>
      </c>
      <c r="BJ196" s="2371" t="s">
        <v>280</v>
      </c>
      <c r="BK196" s="578">
        <v>225</v>
      </c>
      <c r="BL196" s="577">
        <v>280</v>
      </c>
      <c r="BM196" s="577">
        <v>350</v>
      </c>
      <c r="BP196" s="524"/>
      <c r="BQ196" s="524"/>
      <c r="BR196" s="524"/>
      <c r="BS196" s="2461" t="s">
        <v>285</v>
      </c>
      <c r="BT196" s="2463" t="str">
        <f>IFERROR(INDEX(Liste_Ackerkulturen_Gemüse_DropDown[Ackerkulturen],_xlfn.AGGREGATE(15,6,(ROW(Liste_Ackerkulturen_Gemüse_DropDown[Ackerkulturen])-1)/(--(SEARCH(BU$2,Liste_Ackerkulturen_Gemüse_DropDown[Ackerkulturen])&gt;0)),ROW()-2),1),"")</f>
        <v>Tomate, Paradeiser (geschützt)</v>
      </c>
      <c r="BU196" s="2463"/>
      <c r="BV196" s="2463" t="str">
        <f>IFERROR(INDEX(Liste_Ackerkulturen_Gemüse_DropDown[Ackerkulturen],_xlfn.AGGREGATE(15,6,(ROW(Liste_Ackerkulturen_Gemüse_DropDown[Ackerkulturen])-1)/(--(SEARCH(BW$2,Liste_Ackerkulturen_Gemüse_DropDown[Ackerkulturen])&gt;0)),ROW()-2),1),"")</f>
        <v>Tomate, Paradeiser (geschützt)</v>
      </c>
      <c r="BW196" s="2463"/>
      <c r="BX196" s="2463" t="str">
        <f>IFERROR(INDEX(Liste_Ackerkulturen_Gemüse_DropDown[Ackerkulturen],_xlfn.AGGREGATE(15,6,(ROW(Liste_Ackerkulturen_Gemüse_DropDown[Ackerkulturen])-1)/(--(SEARCH(BY$2,Liste_Ackerkulturen_Gemüse_DropDown[Ackerkulturen])&gt;0)),ROW()-2),1),"")</f>
        <v>Tomate, Paradeiser (geschützt)</v>
      </c>
      <c r="BY196" s="2463"/>
      <c r="BZ196" s="2463" t="str">
        <f>IFERROR(INDEX(Liste_Ackerkulturen_Gemüse_DropDown[Ackerkulturen],_xlfn.AGGREGATE(15,6,(ROW(Liste_Ackerkulturen_Gemüse_DropDown[Ackerkulturen])-1)/(--(SEARCH(CA$2,Liste_Ackerkulturen_Gemüse_DropDown[Ackerkulturen])&gt;0)),ROW()-2),1),"")</f>
        <v>Tomate, Paradeiser (geschützt)</v>
      </c>
      <c r="CA196" s="2463"/>
      <c r="CB196" s="2463" t="str">
        <f>IFERROR(INDEX(Liste_Ackerkulturen_Gemüse_DropDown[Ackerkulturen],_xlfn.AGGREGATE(15,6,(ROW(Liste_Ackerkulturen_Gemüse_DropDown[Ackerkulturen])-1)/(--(SEARCH(CC$2,Liste_Ackerkulturen_Gemüse_DropDown[Ackerkulturen])&gt;0)),ROW()-2),1),"")</f>
        <v>Tomate, Paradeiser (geschützt)</v>
      </c>
      <c r="CC196" s="2463"/>
      <c r="CD196" s="2464" t="str">
        <f>IFERROR(INDEX(Liste_Ackerkulturen_Gemüse_DropDown[Ackerkulturen],_xlfn.AGGREGATE(15,6,(ROW(Liste_Ackerkulturen_Gemüse_DropDown[Ackerkulturen])-1)/(--(SEARCH(CE$2,Liste_Ackerkulturen_Gemüse_DropDown[Ackerkulturen])&gt;0)),ROW()-2),1),"")</f>
        <v>Tomate, Paradeiser (geschützt)</v>
      </c>
      <c r="CE196" s="2464"/>
      <c r="CF196" s="2464" t="str">
        <f>IFERROR(INDEX(Liste_Ackerkulturen_Gemüse_DropDown[Ackerkulturen],_xlfn.AGGREGATE(15,6,(ROW(Liste_Ackerkulturen_Gemüse_DropDown[Ackerkulturen])-1)/(--(SEARCH(CG$2,Liste_Ackerkulturen_Gemüse_DropDown[Ackerkulturen])&gt;0)),ROW()-2),1),"")</f>
        <v>Tomate, Paradeiser (geschützt)</v>
      </c>
      <c r="CG196" s="2464"/>
      <c r="CH196" s="2464" t="str">
        <f>IFERROR(INDEX(Liste_Ackerkulturen_Gemüse_DropDown[Ackerkulturen],_xlfn.AGGREGATE(15,6,(ROW(Liste_Ackerkulturen_Gemüse_DropDown[Ackerkulturen])-1)/(--(SEARCH(CI$2,Liste_Ackerkulturen_Gemüse_DropDown[Ackerkulturen])&gt;0)),ROW()-2),1),"")</f>
        <v>Tomate, Paradeiser (geschützt)</v>
      </c>
      <c r="CI196" s="2464"/>
      <c r="CJ196" s="2464" t="str">
        <f>IFERROR(INDEX(Liste_Ackerkulturen_Gemüse_DropDown[Ackerkulturen],_xlfn.AGGREGATE(15,6,(ROW(Liste_Ackerkulturen_Gemüse_DropDown[Ackerkulturen])-1)/(--(SEARCH(CK$2,Liste_Ackerkulturen_Gemüse_DropDown[Ackerkulturen])&gt;0)),ROW()-2),1),"")</f>
        <v>Tomate, Paradeiser (geschützt)</v>
      </c>
      <c r="CK196" s="2464"/>
      <c r="CL196" s="2464" t="str">
        <f>IFERROR(INDEX(Liste_Ackerkulturen_Gemüse_DropDown[Ackerkulturen],_xlfn.AGGREGATE(15,6,(ROW(Liste_Ackerkulturen_Gemüse_DropDown[Ackerkulturen])-1)/(--(SEARCH(CM$2,Liste_Ackerkulturen_Gemüse_DropDown[Ackerkulturen])&gt;0)),ROW()-2),1),"")</f>
        <v>Tomate, Paradeiser (geschützt)</v>
      </c>
      <c r="CM196" s="2464"/>
      <c r="CN196" s="2464" t="str">
        <f>IFERROR(INDEX(Liste_Ackerkulturen_Gemüse_DropDown[Ackerkulturen],_xlfn.AGGREGATE(15,6,(ROW(Liste_Ackerkulturen_Gemüse_DropDown[Ackerkulturen])-1)/(--(SEARCH(CO$2,Liste_Ackerkulturen_Gemüse_DropDown[Ackerkulturen])&gt;0)),ROW()-2),1),"")</f>
        <v>Tomate, Paradeiser (geschützt)</v>
      </c>
      <c r="CO196" s="2464"/>
      <c r="CP196" s="2464" t="str">
        <f>IFERROR(INDEX(Liste_Ackerkulturen_Gemüse_DropDown[Ackerkulturen],_xlfn.AGGREGATE(15,6,(ROW(Liste_Ackerkulturen_Gemüse_DropDown[Ackerkulturen])-1)/(--(SEARCH(CQ$2,Liste_Ackerkulturen_Gemüse_DropDown[Ackerkulturen])&gt;0)),ROW()-2),1),"")</f>
        <v>Tomate, Paradeiser (geschützt)</v>
      </c>
      <c r="CQ196" s="2464"/>
      <c r="CR196" s="2464" t="str">
        <f>IFERROR(INDEX(Liste_Ackerkulturen_Gemüse_DropDown[Ackerkulturen],_xlfn.AGGREGATE(15,6,(ROW(Liste_Ackerkulturen_Gemüse_DropDown[Ackerkulturen])-1)/(--(SEARCH(CS$2,Liste_Ackerkulturen_Gemüse_DropDown[Ackerkulturen])&gt;0)),ROW()-2),1),"")</f>
        <v>Tomate, Paradeiser (geschützt)</v>
      </c>
      <c r="CS196" s="2464"/>
      <c r="DI196" s="1541"/>
      <c r="DJ196" s="1541"/>
      <c r="DK196" s="1541"/>
      <c r="DL196" s="1541"/>
      <c r="DM196" s="1541"/>
    </row>
    <row r="197" spans="1:117" s="470" customFormat="1" ht="21" customHeight="1">
      <c r="A197" s="465"/>
      <c r="B197" s="465"/>
      <c r="C197" s="1575" t="s">
        <v>138</v>
      </c>
      <c r="D197" s="1576"/>
      <c r="E197" s="1567" t="s">
        <v>139</v>
      </c>
      <c r="F197" s="1568">
        <v>165</v>
      </c>
      <c r="G197" s="1568"/>
      <c r="H197" s="1716" t="s">
        <v>140</v>
      </c>
      <c r="I197" s="1718">
        <v>195</v>
      </c>
      <c r="J197" s="1188" t="s">
        <v>141</v>
      </c>
      <c r="K197" s="1568">
        <v>235</v>
      </c>
      <c r="L197" s="1527">
        <v>155</v>
      </c>
      <c r="M197" s="1528">
        <v>194</v>
      </c>
      <c r="N197" s="1567">
        <v>60</v>
      </c>
      <c r="O197" s="1188">
        <v>50</v>
      </c>
      <c r="P197" s="1568">
        <v>30</v>
      </c>
      <c r="Q197" s="1718">
        <v>40</v>
      </c>
      <c r="R197" s="1568">
        <v>50</v>
      </c>
      <c r="S197" s="1568">
        <v>20</v>
      </c>
      <c r="T197" s="1599" t="s">
        <v>1201</v>
      </c>
      <c r="U197" s="1569">
        <v>225</v>
      </c>
      <c r="V197" s="1570">
        <v>190</v>
      </c>
      <c r="W197" s="1574">
        <v>120</v>
      </c>
      <c r="X197" s="1778">
        <v>150</v>
      </c>
      <c r="Y197" s="1574">
        <v>190</v>
      </c>
      <c r="Z197" s="1568">
        <v>75</v>
      </c>
      <c r="AA197" s="1599" t="s">
        <v>1201</v>
      </c>
      <c r="AB197" s="525"/>
      <c r="AC197" s="525"/>
      <c r="AD197" s="525"/>
      <c r="AE197" s="526"/>
      <c r="AF197" s="1279"/>
      <c r="AG197" s="176"/>
      <c r="AH197" s="176"/>
      <c r="AI197" s="176"/>
      <c r="AJ197" s="473"/>
      <c r="AK197" s="472"/>
      <c r="AL197" s="472"/>
      <c r="AM197" s="2371" t="s">
        <v>282</v>
      </c>
      <c r="AN197" s="2352">
        <v>295</v>
      </c>
      <c r="AO197" s="2283" t="s">
        <v>283</v>
      </c>
      <c r="AP197" s="2352">
        <v>360</v>
      </c>
      <c r="AQ197" s="2283" t="s">
        <v>284</v>
      </c>
      <c r="AR197" s="2352">
        <v>440</v>
      </c>
      <c r="AS197" s="2283" t="s">
        <v>177</v>
      </c>
      <c r="AT197" s="2348">
        <v>440</v>
      </c>
      <c r="AU197" s="2285" t="s">
        <v>177</v>
      </c>
      <c r="AV197" s="2348">
        <v>440</v>
      </c>
      <c r="AW197" s="2285" t="s">
        <v>177</v>
      </c>
      <c r="AX197" s="2345">
        <v>225</v>
      </c>
      <c r="AY197" s="2278" t="s">
        <v>284</v>
      </c>
      <c r="AZ197" s="2350">
        <v>281</v>
      </c>
      <c r="BA197" s="2303" t="s">
        <v>2338</v>
      </c>
      <c r="BE197" s="2371" t="s">
        <v>282</v>
      </c>
      <c r="BF197" s="577">
        <v>50</v>
      </c>
      <c r="BG197" s="577">
        <v>60</v>
      </c>
      <c r="BH197" s="577">
        <v>75</v>
      </c>
      <c r="BJ197" s="2371" t="s">
        <v>282</v>
      </c>
      <c r="BK197" s="578">
        <v>265</v>
      </c>
      <c r="BL197" s="577">
        <v>330</v>
      </c>
      <c r="BM197" s="577">
        <v>415</v>
      </c>
      <c r="BP197" s="524"/>
      <c r="BQ197" s="524"/>
      <c r="BR197" s="524"/>
      <c r="BS197" s="2461" t="s">
        <v>287</v>
      </c>
      <c r="BT197" s="2463" t="str">
        <f>IFERROR(INDEX(Liste_Ackerkulturen_Gemüse_DropDown[Ackerkulturen],_xlfn.AGGREGATE(15,6,(ROW(Liste_Ackerkulturen_Gemüse_DropDown[Ackerkulturen])-1)/(--(SEARCH(BU$2,Liste_Ackerkulturen_Gemüse_DropDown[Ackerkulturen])&gt;0)),ROW()-2),1),"")</f>
        <v>Vogerlsalat (Rapunzel)</v>
      </c>
      <c r="BU197" s="2463"/>
      <c r="BV197" s="2463" t="str">
        <f>IFERROR(INDEX(Liste_Ackerkulturen_Gemüse_DropDown[Ackerkulturen],_xlfn.AGGREGATE(15,6,(ROW(Liste_Ackerkulturen_Gemüse_DropDown[Ackerkulturen])-1)/(--(SEARCH(BW$2,Liste_Ackerkulturen_Gemüse_DropDown[Ackerkulturen])&gt;0)),ROW()-2),1),"")</f>
        <v>Vogerlsalat (Rapunzel)</v>
      </c>
      <c r="BW197" s="2463"/>
      <c r="BX197" s="2463" t="str">
        <f>IFERROR(INDEX(Liste_Ackerkulturen_Gemüse_DropDown[Ackerkulturen],_xlfn.AGGREGATE(15,6,(ROW(Liste_Ackerkulturen_Gemüse_DropDown[Ackerkulturen])-1)/(--(SEARCH(BY$2,Liste_Ackerkulturen_Gemüse_DropDown[Ackerkulturen])&gt;0)),ROW()-2),1),"")</f>
        <v>Vogerlsalat (Rapunzel)</v>
      </c>
      <c r="BY197" s="2463"/>
      <c r="BZ197" s="2463" t="str">
        <f>IFERROR(INDEX(Liste_Ackerkulturen_Gemüse_DropDown[Ackerkulturen],_xlfn.AGGREGATE(15,6,(ROW(Liste_Ackerkulturen_Gemüse_DropDown[Ackerkulturen])-1)/(--(SEARCH(CA$2,Liste_Ackerkulturen_Gemüse_DropDown[Ackerkulturen])&gt;0)),ROW()-2),1),"")</f>
        <v>Vogerlsalat (Rapunzel)</v>
      </c>
      <c r="CA197" s="2463"/>
      <c r="CB197" s="2463" t="str">
        <f>IFERROR(INDEX(Liste_Ackerkulturen_Gemüse_DropDown[Ackerkulturen],_xlfn.AGGREGATE(15,6,(ROW(Liste_Ackerkulturen_Gemüse_DropDown[Ackerkulturen])-1)/(--(SEARCH(CC$2,Liste_Ackerkulturen_Gemüse_DropDown[Ackerkulturen])&gt;0)),ROW()-2),1),"")</f>
        <v>Vogerlsalat (Rapunzel)</v>
      </c>
      <c r="CC197" s="2463"/>
      <c r="CD197" s="2464" t="str">
        <f>IFERROR(INDEX(Liste_Ackerkulturen_Gemüse_DropDown[Ackerkulturen],_xlfn.AGGREGATE(15,6,(ROW(Liste_Ackerkulturen_Gemüse_DropDown[Ackerkulturen])-1)/(--(SEARCH(CE$2,Liste_Ackerkulturen_Gemüse_DropDown[Ackerkulturen])&gt;0)),ROW()-2),1),"")</f>
        <v>Vogerlsalat (Rapunzel)</v>
      </c>
      <c r="CE197" s="2464"/>
      <c r="CF197" s="2464" t="str">
        <f>IFERROR(INDEX(Liste_Ackerkulturen_Gemüse_DropDown[Ackerkulturen],_xlfn.AGGREGATE(15,6,(ROW(Liste_Ackerkulturen_Gemüse_DropDown[Ackerkulturen])-1)/(--(SEARCH(CG$2,Liste_Ackerkulturen_Gemüse_DropDown[Ackerkulturen])&gt;0)),ROW()-2),1),"")</f>
        <v>Vogerlsalat (Rapunzel)</v>
      </c>
      <c r="CG197" s="2464"/>
      <c r="CH197" s="2464" t="str">
        <f>IFERROR(INDEX(Liste_Ackerkulturen_Gemüse_DropDown[Ackerkulturen],_xlfn.AGGREGATE(15,6,(ROW(Liste_Ackerkulturen_Gemüse_DropDown[Ackerkulturen])-1)/(--(SEARCH(CI$2,Liste_Ackerkulturen_Gemüse_DropDown[Ackerkulturen])&gt;0)),ROW()-2),1),"")</f>
        <v>Vogerlsalat (Rapunzel)</v>
      </c>
      <c r="CI197" s="2464"/>
      <c r="CJ197" s="2464" t="str">
        <f>IFERROR(INDEX(Liste_Ackerkulturen_Gemüse_DropDown[Ackerkulturen],_xlfn.AGGREGATE(15,6,(ROW(Liste_Ackerkulturen_Gemüse_DropDown[Ackerkulturen])-1)/(--(SEARCH(CK$2,Liste_Ackerkulturen_Gemüse_DropDown[Ackerkulturen])&gt;0)),ROW()-2),1),"")</f>
        <v>Vogerlsalat (Rapunzel)</v>
      </c>
      <c r="CK197" s="2464"/>
      <c r="CL197" s="2464" t="str">
        <f>IFERROR(INDEX(Liste_Ackerkulturen_Gemüse_DropDown[Ackerkulturen],_xlfn.AGGREGATE(15,6,(ROW(Liste_Ackerkulturen_Gemüse_DropDown[Ackerkulturen])-1)/(--(SEARCH(CM$2,Liste_Ackerkulturen_Gemüse_DropDown[Ackerkulturen])&gt;0)),ROW()-2),1),"")</f>
        <v>Vogerlsalat (Rapunzel)</v>
      </c>
      <c r="CM197" s="2464"/>
      <c r="CN197" s="2464" t="str">
        <f>IFERROR(INDEX(Liste_Ackerkulturen_Gemüse_DropDown[Ackerkulturen],_xlfn.AGGREGATE(15,6,(ROW(Liste_Ackerkulturen_Gemüse_DropDown[Ackerkulturen])-1)/(--(SEARCH(CO$2,Liste_Ackerkulturen_Gemüse_DropDown[Ackerkulturen])&gt;0)),ROW()-2),1),"")</f>
        <v>Vogerlsalat (Rapunzel)</v>
      </c>
      <c r="CO197" s="2464"/>
      <c r="CP197" s="2464" t="str">
        <f>IFERROR(INDEX(Liste_Ackerkulturen_Gemüse_DropDown[Ackerkulturen],_xlfn.AGGREGATE(15,6,(ROW(Liste_Ackerkulturen_Gemüse_DropDown[Ackerkulturen])-1)/(--(SEARCH(CQ$2,Liste_Ackerkulturen_Gemüse_DropDown[Ackerkulturen])&gt;0)),ROW()-2),1),"")</f>
        <v>Vogerlsalat (Rapunzel)</v>
      </c>
      <c r="CQ197" s="2464"/>
      <c r="CR197" s="2464" t="str">
        <f>IFERROR(INDEX(Liste_Ackerkulturen_Gemüse_DropDown[Ackerkulturen],_xlfn.AGGREGATE(15,6,(ROW(Liste_Ackerkulturen_Gemüse_DropDown[Ackerkulturen])-1)/(--(SEARCH(CS$2,Liste_Ackerkulturen_Gemüse_DropDown[Ackerkulturen])&gt;0)),ROW()-2),1),"")</f>
        <v>Vogerlsalat (Rapunzel)</v>
      </c>
      <c r="CS197" s="2464"/>
      <c r="DI197" s="1541"/>
      <c r="DJ197" s="1541"/>
      <c r="DK197" s="1541"/>
      <c r="DL197" s="1541"/>
      <c r="DM197" s="1541"/>
    </row>
    <row r="198" spans="1:117" s="470" customFormat="1" ht="21" customHeight="1">
      <c r="A198" s="465"/>
      <c r="B198" s="465"/>
      <c r="C198" s="1575" t="s">
        <v>142</v>
      </c>
      <c r="D198" s="1576"/>
      <c r="E198" s="1567" t="s">
        <v>143</v>
      </c>
      <c r="F198" s="1568">
        <v>200</v>
      </c>
      <c r="G198" s="1568"/>
      <c r="H198" s="1716" t="s">
        <v>144</v>
      </c>
      <c r="I198" s="1718">
        <v>240</v>
      </c>
      <c r="J198" s="1188" t="s">
        <v>145</v>
      </c>
      <c r="K198" s="1568">
        <v>290</v>
      </c>
      <c r="L198" s="1527">
        <v>200</v>
      </c>
      <c r="M198" s="1528">
        <v>250</v>
      </c>
      <c r="N198" s="1567">
        <v>90</v>
      </c>
      <c r="O198" s="1188">
        <v>75</v>
      </c>
      <c r="P198" s="1568">
        <v>50</v>
      </c>
      <c r="Q198" s="1718">
        <v>60</v>
      </c>
      <c r="R198" s="1568">
        <v>75</v>
      </c>
      <c r="S198" s="1568">
        <v>30</v>
      </c>
      <c r="T198" s="1599" t="s">
        <v>1201</v>
      </c>
      <c r="U198" s="1569">
        <v>270</v>
      </c>
      <c r="V198" s="1570">
        <v>225</v>
      </c>
      <c r="W198" s="1574">
        <v>145</v>
      </c>
      <c r="X198" s="1778">
        <v>180</v>
      </c>
      <c r="Y198" s="1574">
        <v>225</v>
      </c>
      <c r="Z198" s="1568">
        <v>90</v>
      </c>
      <c r="AA198" s="1599" t="s">
        <v>1201</v>
      </c>
      <c r="AB198" s="525"/>
      <c r="AC198" s="525"/>
      <c r="AD198" s="525"/>
      <c r="AE198" s="526"/>
      <c r="AF198" s="1279"/>
      <c r="AG198" s="176"/>
      <c r="AH198" s="176"/>
      <c r="AI198" s="176"/>
      <c r="AJ198" s="473"/>
      <c r="AK198" s="472"/>
      <c r="AL198" s="472"/>
      <c r="AM198" s="2371" t="s">
        <v>285</v>
      </c>
      <c r="AN198" s="2352">
        <v>70</v>
      </c>
      <c r="AO198" s="2283" t="s">
        <v>1988</v>
      </c>
      <c r="AP198" s="2352">
        <v>80</v>
      </c>
      <c r="AQ198" s="2283" t="s">
        <v>286</v>
      </c>
      <c r="AR198" s="2352">
        <v>95</v>
      </c>
      <c r="AS198" s="2283" t="s">
        <v>1974</v>
      </c>
      <c r="AT198" s="2348">
        <v>95</v>
      </c>
      <c r="AU198" s="2285" t="s">
        <v>1974</v>
      </c>
      <c r="AV198" s="2348">
        <v>95</v>
      </c>
      <c r="AW198" s="2285" t="s">
        <v>1974</v>
      </c>
      <c r="AX198" s="2345">
        <v>60</v>
      </c>
      <c r="AY198" s="2278" t="s">
        <v>286</v>
      </c>
      <c r="AZ198" s="2350">
        <v>75</v>
      </c>
      <c r="BA198" s="2303" t="s">
        <v>2353</v>
      </c>
      <c r="BE198" s="2371" t="s">
        <v>285</v>
      </c>
      <c r="BF198" s="577">
        <v>10</v>
      </c>
      <c r="BG198" s="577">
        <v>10</v>
      </c>
      <c r="BH198" s="577">
        <v>15</v>
      </c>
      <c r="BJ198" s="2371" t="s">
        <v>285</v>
      </c>
      <c r="BK198" s="578">
        <v>50</v>
      </c>
      <c r="BL198" s="577">
        <v>60</v>
      </c>
      <c r="BM198" s="577">
        <v>75</v>
      </c>
      <c r="BP198" s="524"/>
      <c r="BQ198" s="524"/>
      <c r="BR198" s="524"/>
      <c r="BS198" s="2461" t="s">
        <v>288</v>
      </c>
      <c r="BT198" s="2463" t="str">
        <f>IFERROR(INDEX(Liste_Ackerkulturen_Gemüse_DropDown[Ackerkulturen],_xlfn.AGGREGATE(15,6,(ROW(Liste_Ackerkulturen_Gemüse_DropDown[Ackerkulturen])-1)/(--(SEARCH(BU$2,Liste_Ackerkulturen_Gemüse_DropDown[Ackerkulturen])&gt;0)),ROW()-2),1),"")</f>
        <v>Zucchini</v>
      </c>
      <c r="BU198" s="2463"/>
      <c r="BV198" s="2463" t="str">
        <f>IFERROR(INDEX(Liste_Ackerkulturen_Gemüse_DropDown[Ackerkulturen],_xlfn.AGGREGATE(15,6,(ROW(Liste_Ackerkulturen_Gemüse_DropDown[Ackerkulturen])-1)/(--(SEARCH(BW$2,Liste_Ackerkulturen_Gemüse_DropDown[Ackerkulturen])&gt;0)),ROW()-2),1),"")</f>
        <v>Zucchini</v>
      </c>
      <c r="BW198" s="2463"/>
      <c r="BX198" s="2463" t="str">
        <f>IFERROR(INDEX(Liste_Ackerkulturen_Gemüse_DropDown[Ackerkulturen],_xlfn.AGGREGATE(15,6,(ROW(Liste_Ackerkulturen_Gemüse_DropDown[Ackerkulturen])-1)/(--(SEARCH(BY$2,Liste_Ackerkulturen_Gemüse_DropDown[Ackerkulturen])&gt;0)),ROW()-2),1),"")</f>
        <v>Zucchini</v>
      </c>
      <c r="BY198" s="2463"/>
      <c r="BZ198" s="2463" t="str">
        <f>IFERROR(INDEX(Liste_Ackerkulturen_Gemüse_DropDown[Ackerkulturen],_xlfn.AGGREGATE(15,6,(ROW(Liste_Ackerkulturen_Gemüse_DropDown[Ackerkulturen])-1)/(--(SEARCH(CA$2,Liste_Ackerkulturen_Gemüse_DropDown[Ackerkulturen])&gt;0)),ROW()-2),1),"")</f>
        <v>Zucchini</v>
      </c>
      <c r="CA198" s="2463"/>
      <c r="CB198" s="2463" t="str">
        <f>IFERROR(INDEX(Liste_Ackerkulturen_Gemüse_DropDown[Ackerkulturen],_xlfn.AGGREGATE(15,6,(ROW(Liste_Ackerkulturen_Gemüse_DropDown[Ackerkulturen])-1)/(--(SEARCH(CC$2,Liste_Ackerkulturen_Gemüse_DropDown[Ackerkulturen])&gt;0)),ROW()-2),1),"")</f>
        <v>Zucchini</v>
      </c>
      <c r="CC198" s="2463"/>
      <c r="CD198" s="2464" t="str">
        <f>IFERROR(INDEX(Liste_Ackerkulturen_Gemüse_DropDown[Ackerkulturen],_xlfn.AGGREGATE(15,6,(ROW(Liste_Ackerkulturen_Gemüse_DropDown[Ackerkulturen])-1)/(--(SEARCH(CE$2,Liste_Ackerkulturen_Gemüse_DropDown[Ackerkulturen])&gt;0)),ROW()-2),1),"")</f>
        <v>Zucchini</v>
      </c>
      <c r="CE198" s="2464"/>
      <c r="CF198" s="2464" t="str">
        <f>IFERROR(INDEX(Liste_Ackerkulturen_Gemüse_DropDown[Ackerkulturen],_xlfn.AGGREGATE(15,6,(ROW(Liste_Ackerkulturen_Gemüse_DropDown[Ackerkulturen])-1)/(--(SEARCH(CG$2,Liste_Ackerkulturen_Gemüse_DropDown[Ackerkulturen])&gt;0)),ROW()-2),1),"")</f>
        <v>Zucchini</v>
      </c>
      <c r="CG198" s="2464"/>
      <c r="CH198" s="2464" t="str">
        <f>IFERROR(INDEX(Liste_Ackerkulturen_Gemüse_DropDown[Ackerkulturen],_xlfn.AGGREGATE(15,6,(ROW(Liste_Ackerkulturen_Gemüse_DropDown[Ackerkulturen])-1)/(--(SEARCH(CI$2,Liste_Ackerkulturen_Gemüse_DropDown[Ackerkulturen])&gt;0)),ROW()-2),1),"")</f>
        <v>Zucchini</v>
      </c>
      <c r="CI198" s="2464"/>
      <c r="CJ198" s="2464" t="str">
        <f>IFERROR(INDEX(Liste_Ackerkulturen_Gemüse_DropDown[Ackerkulturen],_xlfn.AGGREGATE(15,6,(ROW(Liste_Ackerkulturen_Gemüse_DropDown[Ackerkulturen])-1)/(--(SEARCH(CK$2,Liste_Ackerkulturen_Gemüse_DropDown[Ackerkulturen])&gt;0)),ROW()-2),1),"")</f>
        <v>Zucchini</v>
      </c>
      <c r="CK198" s="2464"/>
      <c r="CL198" s="2464" t="str">
        <f>IFERROR(INDEX(Liste_Ackerkulturen_Gemüse_DropDown[Ackerkulturen],_xlfn.AGGREGATE(15,6,(ROW(Liste_Ackerkulturen_Gemüse_DropDown[Ackerkulturen])-1)/(--(SEARCH(CM$2,Liste_Ackerkulturen_Gemüse_DropDown[Ackerkulturen])&gt;0)),ROW()-2),1),"")</f>
        <v>Zucchini</v>
      </c>
      <c r="CM198" s="2464"/>
      <c r="CN198" s="2464" t="str">
        <f>IFERROR(INDEX(Liste_Ackerkulturen_Gemüse_DropDown[Ackerkulturen],_xlfn.AGGREGATE(15,6,(ROW(Liste_Ackerkulturen_Gemüse_DropDown[Ackerkulturen])-1)/(--(SEARCH(CO$2,Liste_Ackerkulturen_Gemüse_DropDown[Ackerkulturen])&gt;0)),ROW()-2),1),"")</f>
        <v>Zucchini</v>
      </c>
      <c r="CO198" s="2464"/>
      <c r="CP198" s="2464" t="str">
        <f>IFERROR(INDEX(Liste_Ackerkulturen_Gemüse_DropDown[Ackerkulturen],_xlfn.AGGREGATE(15,6,(ROW(Liste_Ackerkulturen_Gemüse_DropDown[Ackerkulturen])-1)/(--(SEARCH(CQ$2,Liste_Ackerkulturen_Gemüse_DropDown[Ackerkulturen])&gt;0)),ROW()-2),1),"")</f>
        <v>Zucchini</v>
      </c>
      <c r="CQ198" s="2464"/>
      <c r="CR198" s="2464" t="str">
        <f>IFERROR(INDEX(Liste_Ackerkulturen_Gemüse_DropDown[Ackerkulturen],_xlfn.AGGREGATE(15,6,(ROW(Liste_Ackerkulturen_Gemüse_DropDown[Ackerkulturen])-1)/(--(SEARCH(CS$2,Liste_Ackerkulturen_Gemüse_DropDown[Ackerkulturen])&gt;0)),ROW()-2),1),"")</f>
        <v>Zucchini</v>
      </c>
      <c r="CS198" s="2464"/>
      <c r="DI198" s="1541"/>
      <c r="DJ198" s="1541"/>
      <c r="DK198" s="1541"/>
      <c r="DL198" s="1541"/>
      <c r="DM198" s="1541"/>
    </row>
    <row r="199" spans="1:117" s="470" customFormat="1" ht="21" customHeight="1">
      <c r="A199" s="465"/>
      <c r="B199" s="465"/>
      <c r="C199" s="1575" t="s">
        <v>146</v>
      </c>
      <c r="D199" s="1576"/>
      <c r="E199" s="1567" t="s">
        <v>147</v>
      </c>
      <c r="F199" s="1568">
        <v>110</v>
      </c>
      <c r="G199" s="1568"/>
      <c r="H199" s="1716" t="s">
        <v>148</v>
      </c>
      <c r="I199" s="1718">
        <v>130</v>
      </c>
      <c r="J199" s="1188" t="s">
        <v>149</v>
      </c>
      <c r="K199" s="1568">
        <v>155</v>
      </c>
      <c r="L199" s="1527">
        <v>90</v>
      </c>
      <c r="M199" s="1528">
        <v>113</v>
      </c>
      <c r="N199" s="1567">
        <v>25</v>
      </c>
      <c r="O199" s="1188">
        <v>20</v>
      </c>
      <c r="P199" s="1568">
        <v>10</v>
      </c>
      <c r="Q199" s="1718">
        <v>15</v>
      </c>
      <c r="R199" s="1568">
        <v>20</v>
      </c>
      <c r="S199" s="1568">
        <v>10</v>
      </c>
      <c r="T199" s="1599" t="s">
        <v>1201</v>
      </c>
      <c r="U199" s="1569">
        <v>150</v>
      </c>
      <c r="V199" s="1570">
        <v>125</v>
      </c>
      <c r="W199" s="1574">
        <v>80</v>
      </c>
      <c r="X199" s="1778">
        <v>100</v>
      </c>
      <c r="Y199" s="1574">
        <v>125</v>
      </c>
      <c r="Z199" s="1568">
        <v>50</v>
      </c>
      <c r="AA199" s="1599" t="s">
        <v>1201</v>
      </c>
      <c r="AB199" s="525"/>
      <c r="AC199" s="525"/>
      <c r="AD199" s="525"/>
      <c r="AE199" s="526"/>
      <c r="AF199" s="1279"/>
      <c r="AG199" s="176"/>
      <c r="AH199" s="176"/>
      <c r="AI199" s="176"/>
      <c r="AJ199" s="473"/>
      <c r="AK199" s="472"/>
      <c r="AL199" s="472"/>
      <c r="AM199" s="2371" t="s">
        <v>287</v>
      </c>
      <c r="AN199" s="2352">
        <v>195</v>
      </c>
      <c r="AO199" s="2283" t="s">
        <v>199</v>
      </c>
      <c r="AP199" s="2352">
        <v>230</v>
      </c>
      <c r="AQ199" s="2283" t="s">
        <v>68</v>
      </c>
      <c r="AR199" s="2352">
        <v>275</v>
      </c>
      <c r="AS199" s="2283" t="s">
        <v>141</v>
      </c>
      <c r="AT199" s="2348">
        <v>275</v>
      </c>
      <c r="AU199" s="2285" t="s">
        <v>141</v>
      </c>
      <c r="AV199" s="2348">
        <v>275</v>
      </c>
      <c r="AW199" s="2285" t="s">
        <v>141</v>
      </c>
      <c r="AX199" s="2345">
        <v>180</v>
      </c>
      <c r="AY199" s="2278" t="s">
        <v>68</v>
      </c>
      <c r="AZ199" s="2350">
        <v>225</v>
      </c>
      <c r="BA199" s="2303" t="s">
        <v>2332</v>
      </c>
      <c r="BE199" s="2371" t="s">
        <v>287</v>
      </c>
      <c r="BF199" s="577">
        <v>40</v>
      </c>
      <c r="BG199" s="577">
        <v>50</v>
      </c>
      <c r="BH199" s="577">
        <v>65</v>
      </c>
      <c r="BJ199" s="2371" t="s">
        <v>287</v>
      </c>
      <c r="BK199" s="578">
        <v>170</v>
      </c>
      <c r="BL199" s="577">
        <v>210</v>
      </c>
      <c r="BM199" s="577">
        <v>265</v>
      </c>
      <c r="BP199" s="524"/>
      <c r="BQ199" s="524"/>
      <c r="BR199" s="524"/>
      <c r="BS199" s="2461" t="s">
        <v>289</v>
      </c>
      <c r="BT199" s="2463" t="str">
        <f>IFERROR(INDEX(Liste_Ackerkulturen_Gemüse_DropDown[Ackerkulturen],_xlfn.AGGREGATE(15,6,(ROW(Liste_Ackerkulturen_Gemüse_DropDown[Ackerkulturen])-1)/(--(SEARCH(BU$2,Liste_Ackerkulturen_Gemüse_DropDown[Ackerkulturen])&gt;0)),ROW()-2),1),"")</f>
        <v>Zuckerhut</v>
      </c>
      <c r="BU199" s="2463"/>
      <c r="BV199" s="2463" t="str">
        <f>IFERROR(INDEX(Liste_Ackerkulturen_Gemüse_DropDown[Ackerkulturen],_xlfn.AGGREGATE(15,6,(ROW(Liste_Ackerkulturen_Gemüse_DropDown[Ackerkulturen])-1)/(--(SEARCH(BW$2,Liste_Ackerkulturen_Gemüse_DropDown[Ackerkulturen])&gt;0)),ROW()-2),1),"")</f>
        <v>Zuckerhut</v>
      </c>
      <c r="BW199" s="2463"/>
      <c r="BX199" s="2463" t="str">
        <f>IFERROR(INDEX(Liste_Ackerkulturen_Gemüse_DropDown[Ackerkulturen],_xlfn.AGGREGATE(15,6,(ROW(Liste_Ackerkulturen_Gemüse_DropDown[Ackerkulturen])-1)/(--(SEARCH(BY$2,Liste_Ackerkulturen_Gemüse_DropDown[Ackerkulturen])&gt;0)),ROW()-2),1),"")</f>
        <v>Zuckerhut</v>
      </c>
      <c r="BY199" s="2463"/>
      <c r="BZ199" s="2463" t="str">
        <f>IFERROR(INDEX(Liste_Ackerkulturen_Gemüse_DropDown[Ackerkulturen],_xlfn.AGGREGATE(15,6,(ROW(Liste_Ackerkulturen_Gemüse_DropDown[Ackerkulturen])-1)/(--(SEARCH(CA$2,Liste_Ackerkulturen_Gemüse_DropDown[Ackerkulturen])&gt;0)),ROW()-2),1),"")</f>
        <v>Zuckerhut</v>
      </c>
      <c r="CA199" s="2463"/>
      <c r="CB199" s="2463" t="str">
        <f>IFERROR(INDEX(Liste_Ackerkulturen_Gemüse_DropDown[Ackerkulturen],_xlfn.AGGREGATE(15,6,(ROW(Liste_Ackerkulturen_Gemüse_DropDown[Ackerkulturen])-1)/(--(SEARCH(CC$2,Liste_Ackerkulturen_Gemüse_DropDown[Ackerkulturen])&gt;0)),ROW()-2),1),"")</f>
        <v>Zuckerhut</v>
      </c>
      <c r="CC199" s="2463"/>
      <c r="CD199" s="2464" t="str">
        <f>IFERROR(INDEX(Liste_Ackerkulturen_Gemüse_DropDown[Ackerkulturen],_xlfn.AGGREGATE(15,6,(ROW(Liste_Ackerkulturen_Gemüse_DropDown[Ackerkulturen])-1)/(--(SEARCH(CE$2,Liste_Ackerkulturen_Gemüse_DropDown[Ackerkulturen])&gt;0)),ROW()-2),1),"")</f>
        <v>Zuckerhut</v>
      </c>
      <c r="CE199" s="2464"/>
      <c r="CF199" s="2464" t="str">
        <f>IFERROR(INDEX(Liste_Ackerkulturen_Gemüse_DropDown[Ackerkulturen],_xlfn.AGGREGATE(15,6,(ROW(Liste_Ackerkulturen_Gemüse_DropDown[Ackerkulturen])-1)/(--(SEARCH(CG$2,Liste_Ackerkulturen_Gemüse_DropDown[Ackerkulturen])&gt;0)),ROW()-2),1),"")</f>
        <v>Zuckerhut</v>
      </c>
      <c r="CG199" s="2464"/>
      <c r="CH199" s="2464" t="str">
        <f>IFERROR(INDEX(Liste_Ackerkulturen_Gemüse_DropDown[Ackerkulturen],_xlfn.AGGREGATE(15,6,(ROW(Liste_Ackerkulturen_Gemüse_DropDown[Ackerkulturen])-1)/(--(SEARCH(CI$2,Liste_Ackerkulturen_Gemüse_DropDown[Ackerkulturen])&gt;0)),ROW()-2),1),"")</f>
        <v>Zuckerhut</v>
      </c>
      <c r="CI199" s="2464"/>
      <c r="CJ199" s="2464" t="str">
        <f>IFERROR(INDEX(Liste_Ackerkulturen_Gemüse_DropDown[Ackerkulturen],_xlfn.AGGREGATE(15,6,(ROW(Liste_Ackerkulturen_Gemüse_DropDown[Ackerkulturen])-1)/(--(SEARCH(CK$2,Liste_Ackerkulturen_Gemüse_DropDown[Ackerkulturen])&gt;0)),ROW()-2),1),"")</f>
        <v>Zuckerhut</v>
      </c>
      <c r="CK199" s="2464"/>
      <c r="CL199" s="2464" t="str">
        <f>IFERROR(INDEX(Liste_Ackerkulturen_Gemüse_DropDown[Ackerkulturen],_xlfn.AGGREGATE(15,6,(ROW(Liste_Ackerkulturen_Gemüse_DropDown[Ackerkulturen])-1)/(--(SEARCH(CM$2,Liste_Ackerkulturen_Gemüse_DropDown[Ackerkulturen])&gt;0)),ROW()-2),1),"")</f>
        <v>Zuckerhut</v>
      </c>
      <c r="CM199" s="2464"/>
      <c r="CN199" s="2464" t="str">
        <f>IFERROR(INDEX(Liste_Ackerkulturen_Gemüse_DropDown[Ackerkulturen],_xlfn.AGGREGATE(15,6,(ROW(Liste_Ackerkulturen_Gemüse_DropDown[Ackerkulturen])-1)/(--(SEARCH(CO$2,Liste_Ackerkulturen_Gemüse_DropDown[Ackerkulturen])&gt;0)),ROW()-2),1),"")</f>
        <v>Zuckerhut</v>
      </c>
      <c r="CO199" s="2464"/>
      <c r="CP199" s="2464" t="str">
        <f>IFERROR(INDEX(Liste_Ackerkulturen_Gemüse_DropDown[Ackerkulturen],_xlfn.AGGREGATE(15,6,(ROW(Liste_Ackerkulturen_Gemüse_DropDown[Ackerkulturen])-1)/(--(SEARCH(CQ$2,Liste_Ackerkulturen_Gemüse_DropDown[Ackerkulturen])&gt;0)),ROW()-2),1),"")</f>
        <v>Zuckerhut</v>
      </c>
      <c r="CQ199" s="2464"/>
      <c r="CR199" s="2464" t="str">
        <f>IFERROR(INDEX(Liste_Ackerkulturen_Gemüse_DropDown[Ackerkulturen],_xlfn.AGGREGATE(15,6,(ROW(Liste_Ackerkulturen_Gemüse_DropDown[Ackerkulturen])-1)/(--(SEARCH(CS$2,Liste_Ackerkulturen_Gemüse_DropDown[Ackerkulturen])&gt;0)),ROW()-2),1),"")</f>
        <v>Zuckerhut</v>
      </c>
      <c r="CS199" s="2464"/>
      <c r="DI199" s="1541"/>
      <c r="DJ199" s="1541"/>
      <c r="DK199" s="1541"/>
      <c r="DL199" s="1541"/>
      <c r="DM199" s="1541"/>
    </row>
    <row r="200" spans="1:117" s="470" customFormat="1" ht="21" customHeight="1">
      <c r="A200" s="465"/>
      <c r="B200" s="465"/>
      <c r="C200" s="1575" t="s">
        <v>150</v>
      </c>
      <c r="D200" s="1576"/>
      <c r="E200" s="1567" t="s">
        <v>66</v>
      </c>
      <c r="F200" s="1568">
        <v>120</v>
      </c>
      <c r="G200" s="1568"/>
      <c r="H200" s="1716" t="s">
        <v>67</v>
      </c>
      <c r="I200" s="1718">
        <v>140</v>
      </c>
      <c r="J200" s="1188" t="s">
        <v>151</v>
      </c>
      <c r="K200" s="1568">
        <v>165</v>
      </c>
      <c r="L200" s="1527">
        <v>100</v>
      </c>
      <c r="M200" s="1528">
        <v>125</v>
      </c>
      <c r="N200" s="1567">
        <v>45</v>
      </c>
      <c r="O200" s="1188">
        <v>40</v>
      </c>
      <c r="P200" s="1568">
        <v>25</v>
      </c>
      <c r="Q200" s="1718">
        <v>30</v>
      </c>
      <c r="R200" s="1568">
        <v>40</v>
      </c>
      <c r="S200" s="1568">
        <v>15</v>
      </c>
      <c r="T200" s="1599" t="s">
        <v>1201</v>
      </c>
      <c r="U200" s="1569">
        <v>210</v>
      </c>
      <c r="V200" s="1570">
        <v>175</v>
      </c>
      <c r="W200" s="1574">
        <v>110</v>
      </c>
      <c r="X200" s="1778">
        <v>140</v>
      </c>
      <c r="Y200" s="1574">
        <v>175</v>
      </c>
      <c r="Z200" s="1568">
        <v>70</v>
      </c>
      <c r="AA200" s="1599" t="s">
        <v>1201</v>
      </c>
      <c r="AB200" s="525"/>
      <c r="AC200" s="525"/>
      <c r="AD200" s="525"/>
      <c r="AE200" s="526"/>
      <c r="AF200" s="1279"/>
      <c r="AG200" s="176"/>
      <c r="AH200" s="176"/>
      <c r="AI200" s="176"/>
      <c r="AJ200" s="473"/>
      <c r="AK200" s="472"/>
      <c r="AL200" s="472"/>
      <c r="AM200" s="2371" t="s">
        <v>288</v>
      </c>
      <c r="AN200" s="2352">
        <v>135</v>
      </c>
      <c r="AO200" s="2283" t="s">
        <v>1983</v>
      </c>
      <c r="AP200" s="2352">
        <v>160</v>
      </c>
      <c r="AQ200" s="2283" t="s">
        <v>1984</v>
      </c>
      <c r="AR200" s="2352">
        <v>190</v>
      </c>
      <c r="AS200" s="2283" t="s">
        <v>168</v>
      </c>
      <c r="AT200" s="2348">
        <v>190</v>
      </c>
      <c r="AU200" s="2285" t="s">
        <v>168</v>
      </c>
      <c r="AV200" s="2348">
        <v>190</v>
      </c>
      <c r="AW200" s="2285" t="s">
        <v>168</v>
      </c>
      <c r="AX200" s="2345">
        <v>120</v>
      </c>
      <c r="AY200" s="2278" t="s">
        <v>1984</v>
      </c>
      <c r="AZ200" s="2350">
        <v>150</v>
      </c>
      <c r="BA200" s="2303" t="s">
        <v>2327</v>
      </c>
      <c r="BE200" s="2371" t="s">
        <v>288</v>
      </c>
      <c r="BF200" s="577">
        <v>25</v>
      </c>
      <c r="BG200" s="577">
        <v>30</v>
      </c>
      <c r="BH200" s="577">
        <v>40</v>
      </c>
      <c r="BJ200" s="2371" t="s">
        <v>288</v>
      </c>
      <c r="BK200" s="578">
        <v>110</v>
      </c>
      <c r="BL200" s="577">
        <v>140</v>
      </c>
      <c r="BM200" s="577">
        <v>175</v>
      </c>
      <c r="BP200" s="524"/>
      <c r="BQ200" s="524"/>
      <c r="BR200" s="524"/>
      <c r="BS200" s="2461" t="s">
        <v>292</v>
      </c>
      <c r="BT200" s="2463" t="str">
        <f>IFERROR(INDEX(Liste_Ackerkulturen_Gemüse_DropDown[Ackerkulturen],_xlfn.AGGREGATE(15,6,(ROW(Liste_Ackerkulturen_Gemüse_DropDown[Ackerkulturen])-1)/(--(SEARCH(BU$2,Liste_Ackerkulturen_Gemüse_DropDown[Ackerkulturen])&gt;0)),ROW()-2),1),"")</f>
        <v>Zuckermais (Körner)</v>
      </c>
      <c r="BU200" s="2463"/>
      <c r="BV200" s="2463" t="str">
        <f>IFERROR(INDEX(Liste_Ackerkulturen_Gemüse_DropDown[Ackerkulturen],_xlfn.AGGREGATE(15,6,(ROW(Liste_Ackerkulturen_Gemüse_DropDown[Ackerkulturen])-1)/(--(SEARCH(BW$2,Liste_Ackerkulturen_Gemüse_DropDown[Ackerkulturen])&gt;0)),ROW()-2),1),"")</f>
        <v>Zuckermais (Körner)</v>
      </c>
      <c r="BW200" s="2463"/>
      <c r="BX200" s="2463" t="str">
        <f>IFERROR(INDEX(Liste_Ackerkulturen_Gemüse_DropDown[Ackerkulturen],_xlfn.AGGREGATE(15,6,(ROW(Liste_Ackerkulturen_Gemüse_DropDown[Ackerkulturen])-1)/(--(SEARCH(BY$2,Liste_Ackerkulturen_Gemüse_DropDown[Ackerkulturen])&gt;0)),ROW()-2),1),"")</f>
        <v>Zuckermais (Körner)</v>
      </c>
      <c r="BY200" s="2463"/>
      <c r="BZ200" s="2463" t="str">
        <f>IFERROR(INDEX(Liste_Ackerkulturen_Gemüse_DropDown[Ackerkulturen],_xlfn.AGGREGATE(15,6,(ROW(Liste_Ackerkulturen_Gemüse_DropDown[Ackerkulturen])-1)/(--(SEARCH(CA$2,Liste_Ackerkulturen_Gemüse_DropDown[Ackerkulturen])&gt;0)),ROW()-2),1),"")</f>
        <v>Zuckermais (Körner)</v>
      </c>
      <c r="CA200" s="2463"/>
      <c r="CB200" s="2463" t="str">
        <f>IFERROR(INDEX(Liste_Ackerkulturen_Gemüse_DropDown[Ackerkulturen],_xlfn.AGGREGATE(15,6,(ROW(Liste_Ackerkulturen_Gemüse_DropDown[Ackerkulturen])-1)/(--(SEARCH(CC$2,Liste_Ackerkulturen_Gemüse_DropDown[Ackerkulturen])&gt;0)),ROW()-2),1),"")</f>
        <v>Zuckermais (Körner)</v>
      </c>
      <c r="CC200" s="2463"/>
      <c r="CD200" s="2464" t="str">
        <f>IFERROR(INDEX(Liste_Ackerkulturen_Gemüse_DropDown[Ackerkulturen],_xlfn.AGGREGATE(15,6,(ROW(Liste_Ackerkulturen_Gemüse_DropDown[Ackerkulturen])-1)/(--(SEARCH(CE$2,Liste_Ackerkulturen_Gemüse_DropDown[Ackerkulturen])&gt;0)),ROW()-2),1),"")</f>
        <v>Zuckermais (Körner)</v>
      </c>
      <c r="CE200" s="2464"/>
      <c r="CF200" s="2464" t="str">
        <f>IFERROR(INDEX(Liste_Ackerkulturen_Gemüse_DropDown[Ackerkulturen],_xlfn.AGGREGATE(15,6,(ROW(Liste_Ackerkulturen_Gemüse_DropDown[Ackerkulturen])-1)/(--(SEARCH(CG$2,Liste_Ackerkulturen_Gemüse_DropDown[Ackerkulturen])&gt;0)),ROW()-2),1),"")</f>
        <v>Zuckermais (Körner)</v>
      </c>
      <c r="CG200" s="2464"/>
      <c r="CH200" s="2464" t="str">
        <f>IFERROR(INDEX(Liste_Ackerkulturen_Gemüse_DropDown[Ackerkulturen],_xlfn.AGGREGATE(15,6,(ROW(Liste_Ackerkulturen_Gemüse_DropDown[Ackerkulturen])-1)/(--(SEARCH(CI$2,Liste_Ackerkulturen_Gemüse_DropDown[Ackerkulturen])&gt;0)),ROW()-2),1),"")</f>
        <v>Zuckermais (Körner)</v>
      </c>
      <c r="CI200" s="2464"/>
      <c r="CJ200" s="2464" t="str">
        <f>IFERROR(INDEX(Liste_Ackerkulturen_Gemüse_DropDown[Ackerkulturen],_xlfn.AGGREGATE(15,6,(ROW(Liste_Ackerkulturen_Gemüse_DropDown[Ackerkulturen])-1)/(--(SEARCH(CK$2,Liste_Ackerkulturen_Gemüse_DropDown[Ackerkulturen])&gt;0)),ROW()-2),1),"")</f>
        <v>Zuckermais (Körner)</v>
      </c>
      <c r="CK200" s="2464"/>
      <c r="CL200" s="2464" t="str">
        <f>IFERROR(INDEX(Liste_Ackerkulturen_Gemüse_DropDown[Ackerkulturen],_xlfn.AGGREGATE(15,6,(ROW(Liste_Ackerkulturen_Gemüse_DropDown[Ackerkulturen])-1)/(--(SEARCH(CM$2,Liste_Ackerkulturen_Gemüse_DropDown[Ackerkulturen])&gt;0)),ROW()-2),1),"")</f>
        <v>Zuckermais (Körner)</v>
      </c>
      <c r="CM200" s="2464"/>
      <c r="CN200" s="2464" t="str">
        <f>IFERROR(INDEX(Liste_Ackerkulturen_Gemüse_DropDown[Ackerkulturen],_xlfn.AGGREGATE(15,6,(ROW(Liste_Ackerkulturen_Gemüse_DropDown[Ackerkulturen])-1)/(--(SEARCH(CO$2,Liste_Ackerkulturen_Gemüse_DropDown[Ackerkulturen])&gt;0)),ROW()-2),1),"")</f>
        <v>Zuckermais (Körner)</v>
      </c>
      <c r="CO200" s="2464"/>
      <c r="CP200" s="2464" t="str">
        <f>IFERROR(INDEX(Liste_Ackerkulturen_Gemüse_DropDown[Ackerkulturen],_xlfn.AGGREGATE(15,6,(ROW(Liste_Ackerkulturen_Gemüse_DropDown[Ackerkulturen])-1)/(--(SEARCH(CQ$2,Liste_Ackerkulturen_Gemüse_DropDown[Ackerkulturen])&gt;0)),ROW()-2),1),"")</f>
        <v>Zuckermais (Körner)</v>
      </c>
      <c r="CQ200" s="2464"/>
      <c r="CR200" s="2464" t="str">
        <f>IFERROR(INDEX(Liste_Ackerkulturen_Gemüse_DropDown[Ackerkulturen],_xlfn.AGGREGATE(15,6,(ROW(Liste_Ackerkulturen_Gemüse_DropDown[Ackerkulturen])-1)/(--(SEARCH(CS$2,Liste_Ackerkulturen_Gemüse_DropDown[Ackerkulturen])&gt;0)),ROW()-2),1),"")</f>
        <v>Zuckermais (Körner)</v>
      </c>
      <c r="CS200" s="2464"/>
      <c r="DI200" s="1541"/>
      <c r="DJ200" s="1541"/>
      <c r="DK200" s="1541"/>
      <c r="DL200" s="1541"/>
      <c r="DM200" s="1541"/>
    </row>
    <row r="201" spans="1:117" s="470" customFormat="1" ht="21" customHeight="1">
      <c r="A201" s="465"/>
      <c r="B201" s="465"/>
      <c r="C201" s="1575" t="s">
        <v>152</v>
      </c>
      <c r="D201" s="1576"/>
      <c r="E201" s="1567" t="s">
        <v>66</v>
      </c>
      <c r="F201" s="1568">
        <v>120</v>
      </c>
      <c r="G201" s="1568"/>
      <c r="H201" s="1716" t="s">
        <v>67</v>
      </c>
      <c r="I201" s="1718">
        <v>140</v>
      </c>
      <c r="J201" s="1188" t="s">
        <v>151</v>
      </c>
      <c r="K201" s="1568">
        <v>165</v>
      </c>
      <c r="L201" s="1527">
        <v>100</v>
      </c>
      <c r="M201" s="1528">
        <v>125</v>
      </c>
      <c r="N201" s="1567">
        <v>45</v>
      </c>
      <c r="O201" s="1188">
        <v>40</v>
      </c>
      <c r="P201" s="1568">
        <v>25</v>
      </c>
      <c r="Q201" s="1718">
        <v>30</v>
      </c>
      <c r="R201" s="1568">
        <v>40</v>
      </c>
      <c r="S201" s="1568">
        <v>15</v>
      </c>
      <c r="T201" s="1599" t="s">
        <v>1201</v>
      </c>
      <c r="U201" s="1569">
        <v>210</v>
      </c>
      <c r="V201" s="1570">
        <v>175</v>
      </c>
      <c r="W201" s="1574">
        <v>110</v>
      </c>
      <c r="X201" s="1778">
        <v>140</v>
      </c>
      <c r="Y201" s="1574">
        <v>175</v>
      </c>
      <c r="Z201" s="1568">
        <v>70</v>
      </c>
      <c r="AA201" s="1599" t="s">
        <v>1201</v>
      </c>
      <c r="AB201" s="525"/>
      <c r="AC201" s="525"/>
      <c r="AD201" s="525"/>
      <c r="AE201" s="526"/>
      <c r="AF201" s="1279"/>
      <c r="AG201" s="176"/>
      <c r="AH201" s="176"/>
      <c r="AI201" s="176"/>
      <c r="AJ201" s="473"/>
      <c r="AK201" s="472"/>
      <c r="AL201" s="472"/>
      <c r="AM201" s="2371" t="s">
        <v>289</v>
      </c>
      <c r="AN201" s="2352">
        <v>170</v>
      </c>
      <c r="AO201" s="2283" t="s">
        <v>1065</v>
      </c>
      <c r="AP201" s="2352">
        <v>200</v>
      </c>
      <c r="AQ201" s="2283" t="s">
        <v>290</v>
      </c>
      <c r="AR201" s="2352">
        <v>240</v>
      </c>
      <c r="AS201" s="2283" t="s">
        <v>291</v>
      </c>
      <c r="AT201" s="2348">
        <v>240</v>
      </c>
      <c r="AU201" s="2285" t="s">
        <v>291</v>
      </c>
      <c r="AV201" s="2348">
        <v>240</v>
      </c>
      <c r="AW201" s="2285" t="s">
        <v>291</v>
      </c>
      <c r="AX201" s="2345">
        <v>160</v>
      </c>
      <c r="AY201" s="2278" t="s">
        <v>290</v>
      </c>
      <c r="AZ201" s="2350">
        <v>200</v>
      </c>
      <c r="BA201" s="2303" t="s">
        <v>2354</v>
      </c>
      <c r="BE201" s="2371" t="s">
        <v>289</v>
      </c>
      <c r="BF201" s="577">
        <v>30</v>
      </c>
      <c r="BG201" s="577">
        <v>40</v>
      </c>
      <c r="BH201" s="577">
        <v>50</v>
      </c>
      <c r="BJ201" s="2371" t="s">
        <v>289</v>
      </c>
      <c r="BK201" s="578">
        <v>120</v>
      </c>
      <c r="BL201" s="577">
        <v>150</v>
      </c>
      <c r="BM201" s="577">
        <v>190</v>
      </c>
      <c r="BP201" s="524"/>
      <c r="BQ201" s="524"/>
      <c r="BR201" s="524"/>
      <c r="BS201" s="2461" t="s">
        <v>294</v>
      </c>
      <c r="BT201" s="2463" t="str">
        <f>IFERROR(INDEX(Liste_Ackerkulturen_Gemüse_DropDown[Ackerkulturen],_xlfn.AGGREGATE(15,6,(ROW(Liste_Ackerkulturen_Gemüse_DropDown[Ackerkulturen])-1)/(--(SEARCH(BU$2,Liste_Ackerkulturen_Gemüse_DropDown[Ackerkulturen])&gt;0)),ROW()-2),1),"")</f>
        <v>Zwiebel (Bund)</v>
      </c>
      <c r="BU201" s="2463"/>
      <c r="BV201" s="2463" t="str">
        <f>IFERROR(INDEX(Liste_Ackerkulturen_Gemüse_DropDown[Ackerkulturen],_xlfn.AGGREGATE(15,6,(ROW(Liste_Ackerkulturen_Gemüse_DropDown[Ackerkulturen])-1)/(--(SEARCH(BW$2,Liste_Ackerkulturen_Gemüse_DropDown[Ackerkulturen])&gt;0)),ROW()-2),1),"")</f>
        <v>Zwiebel (Bund)</v>
      </c>
      <c r="BW201" s="2463"/>
      <c r="BX201" s="2463" t="str">
        <f>IFERROR(INDEX(Liste_Ackerkulturen_Gemüse_DropDown[Ackerkulturen],_xlfn.AGGREGATE(15,6,(ROW(Liste_Ackerkulturen_Gemüse_DropDown[Ackerkulturen])-1)/(--(SEARCH(BY$2,Liste_Ackerkulturen_Gemüse_DropDown[Ackerkulturen])&gt;0)),ROW()-2),1),"")</f>
        <v>Zwiebel (Bund)</v>
      </c>
      <c r="BY201" s="2463"/>
      <c r="BZ201" s="2463" t="str">
        <f>IFERROR(INDEX(Liste_Ackerkulturen_Gemüse_DropDown[Ackerkulturen],_xlfn.AGGREGATE(15,6,(ROW(Liste_Ackerkulturen_Gemüse_DropDown[Ackerkulturen])-1)/(--(SEARCH(CA$2,Liste_Ackerkulturen_Gemüse_DropDown[Ackerkulturen])&gt;0)),ROW()-2),1),"")</f>
        <v>Zwiebel (Bund)</v>
      </c>
      <c r="CA201" s="2463"/>
      <c r="CB201" s="2463" t="str">
        <f>IFERROR(INDEX(Liste_Ackerkulturen_Gemüse_DropDown[Ackerkulturen],_xlfn.AGGREGATE(15,6,(ROW(Liste_Ackerkulturen_Gemüse_DropDown[Ackerkulturen])-1)/(--(SEARCH(CC$2,Liste_Ackerkulturen_Gemüse_DropDown[Ackerkulturen])&gt;0)),ROW()-2),1),"")</f>
        <v>Zwiebel (Bund)</v>
      </c>
      <c r="CC201" s="2463"/>
      <c r="CD201" s="2464" t="str">
        <f>IFERROR(INDEX(Liste_Ackerkulturen_Gemüse_DropDown[Ackerkulturen],_xlfn.AGGREGATE(15,6,(ROW(Liste_Ackerkulturen_Gemüse_DropDown[Ackerkulturen])-1)/(--(SEARCH(CE$2,Liste_Ackerkulturen_Gemüse_DropDown[Ackerkulturen])&gt;0)),ROW()-2),1),"")</f>
        <v>Zwiebel (Bund)</v>
      </c>
      <c r="CE201" s="2464"/>
      <c r="CF201" s="2464" t="str">
        <f>IFERROR(INDEX(Liste_Ackerkulturen_Gemüse_DropDown[Ackerkulturen],_xlfn.AGGREGATE(15,6,(ROW(Liste_Ackerkulturen_Gemüse_DropDown[Ackerkulturen])-1)/(--(SEARCH(CG$2,Liste_Ackerkulturen_Gemüse_DropDown[Ackerkulturen])&gt;0)),ROW()-2),1),"")</f>
        <v>Zwiebel (Bund)</v>
      </c>
      <c r="CG201" s="2464"/>
      <c r="CH201" s="2464" t="str">
        <f>IFERROR(INDEX(Liste_Ackerkulturen_Gemüse_DropDown[Ackerkulturen],_xlfn.AGGREGATE(15,6,(ROW(Liste_Ackerkulturen_Gemüse_DropDown[Ackerkulturen])-1)/(--(SEARCH(CI$2,Liste_Ackerkulturen_Gemüse_DropDown[Ackerkulturen])&gt;0)),ROW()-2),1),"")</f>
        <v>Zwiebel (Bund)</v>
      </c>
      <c r="CI201" s="2464"/>
      <c r="CJ201" s="2464" t="str">
        <f>IFERROR(INDEX(Liste_Ackerkulturen_Gemüse_DropDown[Ackerkulturen],_xlfn.AGGREGATE(15,6,(ROW(Liste_Ackerkulturen_Gemüse_DropDown[Ackerkulturen])-1)/(--(SEARCH(CK$2,Liste_Ackerkulturen_Gemüse_DropDown[Ackerkulturen])&gt;0)),ROW()-2),1),"")</f>
        <v>Zwiebel (Bund)</v>
      </c>
      <c r="CK201" s="2464"/>
      <c r="CL201" s="2464" t="str">
        <f>IFERROR(INDEX(Liste_Ackerkulturen_Gemüse_DropDown[Ackerkulturen],_xlfn.AGGREGATE(15,6,(ROW(Liste_Ackerkulturen_Gemüse_DropDown[Ackerkulturen])-1)/(--(SEARCH(CM$2,Liste_Ackerkulturen_Gemüse_DropDown[Ackerkulturen])&gt;0)),ROW()-2),1),"")</f>
        <v>Zwiebel (Bund)</v>
      </c>
      <c r="CM201" s="2464"/>
      <c r="CN201" s="2464" t="str">
        <f>IFERROR(INDEX(Liste_Ackerkulturen_Gemüse_DropDown[Ackerkulturen],_xlfn.AGGREGATE(15,6,(ROW(Liste_Ackerkulturen_Gemüse_DropDown[Ackerkulturen])-1)/(--(SEARCH(CO$2,Liste_Ackerkulturen_Gemüse_DropDown[Ackerkulturen])&gt;0)),ROW()-2),1),"")</f>
        <v>Zwiebel (Bund)</v>
      </c>
      <c r="CO201" s="2464"/>
      <c r="CP201" s="2464" t="str">
        <f>IFERROR(INDEX(Liste_Ackerkulturen_Gemüse_DropDown[Ackerkulturen],_xlfn.AGGREGATE(15,6,(ROW(Liste_Ackerkulturen_Gemüse_DropDown[Ackerkulturen])-1)/(--(SEARCH(CQ$2,Liste_Ackerkulturen_Gemüse_DropDown[Ackerkulturen])&gt;0)),ROW()-2),1),"")</f>
        <v>Zwiebel (Bund)</v>
      </c>
      <c r="CQ201" s="2464"/>
      <c r="CR201" s="2464" t="str">
        <f>IFERROR(INDEX(Liste_Ackerkulturen_Gemüse_DropDown[Ackerkulturen],_xlfn.AGGREGATE(15,6,(ROW(Liste_Ackerkulturen_Gemüse_DropDown[Ackerkulturen])-1)/(--(SEARCH(CS$2,Liste_Ackerkulturen_Gemüse_DropDown[Ackerkulturen])&gt;0)),ROW()-2),1),"")</f>
        <v>Zwiebel (Bund)</v>
      </c>
      <c r="CS201" s="2464"/>
      <c r="DI201" s="1541"/>
      <c r="DJ201" s="1541"/>
      <c r="DK201" s="1541"/>
      <c r="DL201" s="1541"/>
      <c r="DM201" s="1541"/>
    </row>
    <row r="202" spans="1:117" s="470" customFormat="1" ht="21" customHeight="1">
      <c r="A202" s="465"/>
      <c r="B202" s="465"/>
      <c r="C202" s="1575" t="s">
        <v>153</v>
      </c>
      <c r="D202" s="1576"/>
      <c r="E202" s="1567" t="s">
        <v>66</v>
      </c>
      <c r="F202" s="1568">
        <v>140</v>
      </c>
      <c r="G202" s="1568"/>
      <c r="H202" s="1716" t="s">
        <v>67</v>
      </c>
      <c r="I202" s="1718">
        <v>160</v>
      </c>
      <c r="J202" s="1188" t="s">
        <v>151</v>
      </c>
      <c r="K202" s="1568">
        <v>185</v>
      </c>
      <c r="L202" s="1527">
        <v>100</v>
      </c>
      <c r="M202" s="1528">
        <v>125</v>
      </c>
      <c r="N202" s="1567">
        <v>30</v>
      </c>
      <c r="O202" s="1188">
        <v>25</v>
      </c>
      <c r="P202" s="1568">
        <v>15</v>
      </c>
      <c r="Q202" s="1718">
        <v>20</v>
      </c>
      <c r="R202" s="1568">
        <v>25</v>
      </c>
      <c r="S202" s="1568">
        <v>10</v>
      </c>
      <c r="T202" s="1599" t="s">
        <v>1201</v>
      </c>
      <c r="U202" s="1569">
        <v>175</v>
      </c>
      <c r="V202" s="1570">
        <v>145</v>
      </c>
      <c r="W202" s="1574">
        <v>90</v>
      </c>
      <c r="X202" s="1778">
        <v>115</v>
      </c>
      <c r="Y202" s="1574">
        <v>145</v>
      </c>
      <c r="Z202" s="1568">
        <v>60</v>
      </c>
      <c r="AA202" s="1599" t="s">
        <v>1201</v>
      </c>
      <c r="AB202" s="525"/>
      <c r="AC202" s="525"/>
      <c r="AD202" s="525"/>
      <c r="AE202" s="526"/>
      <c r="AF202" s="1279"/>
      <c r="AG202" s="176"/>
      <c r="AH202" s="176"/>
      <c r="AI202" s="176"/>
      <c r="AJ202" s="473"/>
      <c r="AK202" s="472"/>
      <c r="AL202" s="472"/>
      <c r="AM202" s="2371" t="s">
        <v>292</v>
      </c>
      <c r="AN202" s="2352">
        <v>145</v>
      </c>
      <c r="AO202" s="2283" t="s">
        <v>1983</v>
      </c>
      <c r="AP202" s="2352">
        <v>170</v>
      </c>
      <c r="AQ202" s="2283" t="s">
        <v>293</v>
      </c>
      <c r="AR202" s="2352">
        <v>205</v>
      </c>
      <c r="AS202" s="2283" t="s">
        <v>69</v>
      </c>
      <c r="AT202" s="2348">
        <v>205</v>
      </c>
      <c r="AU202" s="2285" t="s">
        <v>69</v>
      </c>
      <c r="AV202" s="2348">
        <v>205</v>
      </c>
      <c r="AW202" s="2285" t="s">
        <v>69</v>
      </c>
      <c r="AX202" s="2345">
        <v>75</v>
      </c>
      <c r="AY202" s="2278" t="s">
        <v>293</v>
      </c>
      <c r="AZ202" s="2350">
        <v>94</v>
      </c>
      <c r="BA202" s="2303" t="s">
        <v>2336</v>
      </c>
      <c r="BE202" s="2371" t="s">
        <v>292</v>
      </c>
      <c r="BF202" s="577">
        <v>30</v>
      </c>
      <c r="BG202" s="577">
        <v>40</v>
      </c>
      <c r="BH202" s="577">
        <v>50</v>
      </c>
      <c r="BJ202" s="2371" t="s">
        <v>292</v>
      </c>
      <c r="BK202" s="578">
        <v>110</v>
      </c>
      <c r="BL202" s="577">
        <v>140</v>
      </c>
      <c r="BM202" s="577">
        <v>175</v>
      </c>
      <c r="BP202" s="524"/>
      <c r="BQ202" s="524"/>
      <c r="BR202" s="524"/>
      <c r="BS202" s="2461" t="s">
        <v>355</v>
      </c>
      <c r="BT202" s="2463" t="str">
        <f>IFERROR(INDEX(Liste_Ackerkulturen_Gemüse_DropDown[Ackerkulturen],_xlfn.AGGREGATE(15,6,(ROW(Liste_Ackerkulturen_Gemüse_DropDown[Ackerkulturen])-1)/(--(SEARCH(BU$2,Liste_Ackerkulturen_Gemüse_DropDown[Ackerkulturen])&gt;0)),ROW()-2),1),"")</f>
        <v>Zwiebel (trocken)</v>
      </c>
      <c r="BU202" s="2463"/>
      <c r="BV202" s="2463" t="str">
        <f>IFERROR(INDEX(Liste_Ackerkulturen_Gemüse_DropDown[Ackerkulturen],_xlfn.AGGREGATE(15,6,(ROW(Liste_Ackerkulturen_Gemüse_DropDown[Ackerkulturen])-1)/(--(SEARCH(BW$2,Liste_Ackerkulturen_Gemüse_DropDown[Ackerkulturen])&gt;0)),ROW()-2),1),"")</f>
        <v>Zwiebel (trocken)</v>
      </c>
      <c r="BW202" s="2463"/>
      <c r="BX202" s="2463" t="str">
        <f>IFERROR(INDEX(Liste_Ackerkulturen_Gemüse_DropDown[Ackerkulturen],_xlfn.AGGREGATE(15,6,(ROW(Liste_Ackerkulturen_Gemüse_DropDown[Ackerkulturen])-1)/(--(SEARCH(BY$2,Liste_Ackerkulturen_Gemüse_DropDown[Ackerkulturen])&gt;0)),ROW()-2),1),"")</f>
        <v>Zwiebel (trocken)</v>
      </c>
      <c r="BY202" s="2463"/>
      <c r="BZ202" s="2463" t="str">
        <f>IFERROR(INDEX(Liste_Ackerkulturen_Gemüse_DropDown[Ackerkulturen],_xlfn.AGGREGATE(15,6,(ROW(Liste_Ackerkulturen_Gemüse_DropDown[Ackerkulturen])-1)/(--(SEARCH(CA$2,Liste_Ackerkulturen_Gemüse_DropDown[Ackerkulturen])&gt;0)),ROW()-2),1),"")</f>
        <v>Zwiebel (trocken)</v>
      </c>
      <c r="CA202" s="2463"/>
      <c r="CB202" s="2463" t="str">
        <f>IFERROR(INDEX(Liste_Ackerkulturen_Gemüse_DropDown[Ackerkulturen],_xlfn.AGGREGATE(15,6,(ROW(Liste_Ackerkulturen_Gemüse_DropDown[Ackerkulturen])-1)/(--(SEARCH(CC$2,Liste_Ackerkulturen_Gemüse_DropDown[Ackerkulturen])&gt;0)),ROW()-2),1),"")</f>
        <v>Zwiebel (trocken)</v>
      </c>
      <c r="CC202" s="2463"/>
      <c r="CD202" s="2464" t="str">
        <f>IFERROR(INDEX(Liste_Ackerkulturen_Gemüse_DropDown[Ackerkulturen],_xlfn.AGGREGATE(15,6,(ROW(Liste_Ackerkulturen_Gemüse_DropDown[Ackerkulturen])-1)/(--(SEARCH(CE$2,Liste_Ackerkulturen_Gemüse_DropDown[Ackerkulturen])&gt;0)),ROW()-2),1),"")</f>
        <v>Zwiebel (trocken)</v>
      </c>
      <c r="CE202" s="2464"/>
      <c r="CF202" s="2464" t="str">
        <f>IFERROR(INDEX(Liste_Ackerkulturen_Gemüse_DropDown[Ackerkulturen],_xlfn.AGGREGATE(15,6,(ROW(Liste_Ackerkulturen_Gemüse_DropDown[Ackerkulturen])-1)/(--(SEARCH(CG$2,Liste_Ackerkulturen_Gemüse_DropDown[Ackerkulturen])&gt;0)),ROW()-2),1),"")</f>
        <v>Zwiebel (trocken)</v>
      </c>
      <c r="CG202" s="2464"/>
      <c r="CH202" s="2464" t="str">
        <f>IFERROR(INDEX(Liste_Ackerkulturen_Gemüse_DropDown[Ackerkulturen],_xlfn.AGGREGATE(15,6,(ROW(Liste_Ackerkulturen_Gemüse_DropDown[Ackerkulturen])-1)/(--(SEARCH(CI$2,Liste_Ackerkulturen_Gemüse_DropDown[Ackerkulturen])&gt;0)),ROW()-2),1),"")</f>
        <v>Zwiebel (trocken)</v>
      </c>
      <c r="CI202" s="2464"/>
      <c r="CJ202" s="2464" t="str">
        <f>IFERROR(INDEX(Liste_Ackerkulturen_Gemüse_DropDown[Ackerkulturen],_xlfn.AGGREGATE(15,6,(ROW(Liste_Ackerkulturen_Gemüse_DropDown[Ackerkulturen])-1)/(--(SEARCH(CK$2,Liste_Ackerkulturen_Gemüse_DropDown[Ackerkulturen])&gt;0)),ROW()-2),1),"")</f>
        <v>Zwiebel (trocken)</v>
      </c>
      <c r="CK202" s="2464"/>
      <c r="CL202" s="2464" t="str">
        <f>IFERROR(INDEX(Liste_Ackerkulturen_Gemüse_DropDown[Ackerkulturen],_xlfn.AGGREGATE(15,6,(ROW(Liste_Ackerkulturen_Gemüse_DropDown[Ackerkulturen])-1)/(--(SEARCH(CM$2,Liste_Ackerkulturen_Gemüse_DropDown[Ackerkulturen])&gt;0)),ROW()-2),1),"")</f>
        <v>Zwiebel (trocken)</v>
      </c>
      <c r="CM202" s="2464"/>
      <c r="CN202" s="2464" t="str">
        <f>IFERROR(INDEX(Liste_Ackerkulturen_Gemüse_DropDown[Ackerkulturen],_xlfn.AGGREGATE(15,6,(ROW(Liste_Ackerkulturen_Gemüse_DropDown[Ackerkulturen])-1)/(--(SEARCH(CO$2,Liste_Ackerkulturen_Gemüse_DropDown[Ackerkulturen])&gt;0)),ROW()-2),1),"")</f>
        <v>Zwiebel (trocken)</v>
      </c>
      <c r="CO202" s="2464"/>
      <c r="CP202" s="2464" t="str">
        <f>IFERROR(INDEX(Liste_Ackerkulturen_Gemüse_DropDown[Ackerkulturen],_xlfn.AGGREGATE(15,6,(ROW(Liste_Ackerkulturen_Gemüse_DropDown[Ackerkulturen])-1)/(--(SEARCH(CQ$2,Liste_Ackerkulturen_Gemüse_DropDown[Ackerkulturen])&gt;0)),ROW()-2),1),"")</f>
        <v>Zwiebel (trocken)</v>
      </c>
      <c r="CQ202" s="2464"/>
      <c r="CR202" s="2464" t="str">
        <f>IFERROR(INDEX(Liste_Ackerkulturen_Gemüse_DropDown[Ackerkulturen],_xlfn.AGGREGATE(15,6,(ROW(Liste_Ackerkulturen_Gemüse_DropDown[Ackerkulturen])-1)/(--(SEARCH(CS$2,Liste_Ackerkulturen_Gemüse_DropDown[Ackerkulturen])&gt;0)),ROW()-2),1),"")</f>
        <v>Zwiebel (trocken)</v>
      </c>
      <c r="CS202" s="2464"/>
      <c r="DI202" s="1541"/>
      <c r="DJ202" s="1541"/>
      <c r="DK202" s="1541"/>
      <c r="DL202" s="1541"/>
      <c r="DM202" s="1541"/>
    </row>
    <row r="203" spans="1:117" s="470" customFormat="1" ht="21" customHeight="1">
      <c r="A203" s="465"/>
      <c r="B203" s="465"/>
      <c r="C203" s="1575" t="s">
        <v>154</v>
      </c>
      <c r="D203" s="1576"/>
      <c r="E203" s="1567" t="s">
        <v>465</v>
      </c>
      <c r="F203" s="1568">
        <v>130</v>
      </c>
      <c r="G203" s="1568"/>
      <c r="H203" s="1716" t="s">
        <v>155</v>
      </c>
      <c r="I203" s="1718">
        <v>155</v>
      </c>
      <c r="J203" s="1188" t="s">
        <v>151</v>
      </c>
      <c r="K203" s="1568">
        <v>185</v>
      </c>
      <c r="L203" s="1527">
        <v>115</v>
      </c>
      <c r="M203" s="1528">
        <v>144</v>
      </c>
      <c r="N203" s="1567">
        <v>45</v>
      </c>
      <c r="O203" s="1188">
        <v>40</v>
      </c>
      <c r="P203" s="1568">
        <v>25</v>
      </c>
      <c r="Q203" s="1718">
        <v>30</v>
      </c>
      <c r="R203" s="1568">
        <v>40</v>
      </c>
      <c r="S203" s="1568">
        <v>15</v>
      </c>
      <c r="T203" s="1599" t="s">
        <v>1201</v>
      </c>
      <c r="U203" s="1569">
        <v>210</v>
      </c>
      <c r="V203" s="1570">
        <v>175</v>
      </c>
      <c r="W203" s="1574">
        <v>110</v>
      </c>
      <c r="X203" s="1778">
        <v>140</v>
      </c>
      <c r="Y203" s="1574">
        <v>175</v>
      </c>
      <c r="Z203" s="1568">
        <v>70</v>
      </c>
      <c r="AA203" s="1599" t="s">
        <v>1201</v>
      </c>
      <c r="AB203" s="525"/>
      <c r="AC203" s="525"/>
      <c r="AD203" s="525"/>
      <c r="AE203" s="526"/>
      <c r="AF203" s="1279"/>
      <c r="AG203" s="176"/>
      <c r="AH203" s="176"/>
      <c r="AI203" s="176"/>
      <c r="AJ203" s="473"/>
      <c r="AK203" s="472"/>
      <c r="AL203" s="472"/>
      <c r="AM203" s="2371" t="s">
        <v>294</v>
      </c>
      <c r="AN203" s="2286">
        <v>145</v>
      </c>
      <c r="AO203" s="2308" t="s">
        <v>1983</v>
      </c>
      <c r="AP203" s="2286">
        <v>170</v>
      </c>
      <c r="AQ203" s="2308" t="s">
        <v>293</v>
      </c>
      <c r="AR203" s="2286">
        <v>205</v>
      </c>
      <c r="AS203" s="2308" t="s">
        <v>69</v>
      </c>
      <c r="AT203" s="2287">
        <v>205</v>
      </c>
      <c r="AU203" s="2309" t="s">
        <v>69</v>
      </c>
      <c r="AV203" s="2287">
        <v>205</v>
      </c>
      <c r="AW203" s="2309" t="s">
        <v>69</v>
      </c>
      <c r="AX203" s="2403">
        <v>130</v>
      </c>
      <c r="AY203" s="2299" t="s">
        <v>293</v>
      </c>
      <c r="AZ203" s="2298">
        <v>163</v>
      </c>
      <c r="BA203" s="2373" t="s">
        <v>2336</v>
      </c>
      <c r="BE203" s="2371" t="s">
        <v>294</v>
      </c>
      <c r="BF203" s="2404">
        <v>30</v>
      </c>
      <c r="BG203" s="2404">
        <v>40</v>
      </c>
      <c r="BH203" s="2404">
        <v>50</v>
      </c>
      <c r="BJ203" s="2371" t="s">
        <v>294</v>
      </c>
      <c r="BK203" s="2405">
        <v>110</v>
      </c>
      <c r="BL203" s="2404">
        <v>140</v>
      </c>
      <c r="BM203" s="2404">
        <v>175</v>
      </c>
      <c r="BP203" s="524"/>
      <c r="BQ203" s="524"/>
      <c r="BR203" s="524"/>
      <c r="BS203" s="2461" t="s">
        <v>356</v>
      </c>
      <c r="BT203" s="2463" t="str">
        <f>IFERROR(INDEX(Liste_Ackerkulturen_Gemüse_DropDown[Ackerkulturen],_xlfn.AGGREGATE(15,6,(ROW(Liste_Ackerkulturen_Gemüse_DropDown[Ackerkulturen])-1)/(--(SEARCH(BU$2,Liste_Ackerkulturen_Gemüse_DropDown[Ackerkulturen])&gt;0)),ROW()-2),1),"")</f>
        <v>Ackerstiefmütterchen</v>
      </c>
      <c r="BU203" s="2463"/>
      <c r="BV203" s="2463" t="str">
        <f>IFERROR(INDEX(Liste_Ackerkulturen_Gemüse_DropDown[Ackerkulturen],_xlfn.AGGREGATE(15,6,(ROW(Liste_Ackerkulturen_Gemüse_DropDown[Ackerkulturen])-1)/(--(SEARCH(BW$2,Liste_Ackerkulturen_Gemüse_DropDown[Ackerkulturen])&gt;0)),ROW()-2),1),"")</f>
        <v>Ackerstiefmütterchen</v>
      </c>
      <c r="BW203" s="2463"/>
      <c r="BX203" s="2463" t="str">
        <f>IFERROR(INDEX(Liste_Ackerkulturen_Gemüse_DropDown[Ackerkulturen],_xlfn.AGGREGATE(15,6,(ROW(Liste_Ackerkulturen_Gemüse_DropDown[Ackerkulturen])-1)/(--(SEARCH(BY$2,Liste_Ackerkulturen_Gemüse_DropDown[Ackerkulturen])&gt;0)),ROW()-2),1),"")</f>
        <v>Ackerstiefmütterchen</v>
      </c>
      <c r="BY203" s="2463"/>
      <c r="BZ203" s="2463" t="str">
        <f>IFERROR(INDEX(Liste_Ackerkulturen_Gemüse_DropDown[Ackerkulturen],_xlfn.AGGREGATE(15,6,(ROW(Liste_Ackerkulturen_Gemüse_DropDown[Ackerkulturen])-1)/(--(SEARCH(CA$2,Liste_Ackerkulturen_Gemüse_DropDown[Ackerkulturen])&gt;0)),ROW()-2),1),"")</f>
        <v>Ackerstiefmütterchen</v>
      </c>
      <c r="CA203" s="2463"/>
      <c r="CB203" s="2463" t="str">
        <f>IFERROR(INDEX(Liste_Ackerkulturen_Gemüse_DropDown[Ackerkulturen],_xlfn.AGGREGATE(15,6,(ROW(Liste_Ackerkulturen_Gemüse_DropDown[Ackerkulturen])-1)/(--(SEARCH(CC$2,Liste_Ackerkulturen_Gemüse_DropDown[Ackerkulturen])&gt;0)),ROW()-2),1),"")</f>
        <v>Ackerstiefmütterchen</v>
      </c>
      <c r="CC203" s="2463"/>
      <c r="CD203" s="2464" t="str">
        <f>IFERROR(INDEX(Liste_Ackerkulturen_Gemüse_DropDown[Ackerkulturen],_xlfn.AGGREGATE(15,6,(ROW(Liste_Ackerkulturen_Gemüse_DropDown[Ackerkulturen])-1)/(--(SEARCH(CE$2,Liste_Ackerkulturen_Gemüse_DropDown[Ackerkulturen])&gt;0)),ROW()-2),1),"")</f>
        <v>Ackerstiefmütterchen</v>
      </c>
      <c r="CE203" s="2464"/>
      <c r="CF203" s="2464" t="str">
        <f>IFERROR(INDEX(Liste_Ackerkulturen_Gemüse_DropDown[Ackerkulturen],_xlfn.AGGREGATE(15,6,(ROW(Liste_Ackerkulturen_Gemüse_DropDown[Ackerkulturen])-1)/(--(SEARCH(CG$2,Liste_Ackerkulturen_Gemüse_DropDown[Ackerkulturen])&gt;0)),ROW()-2),1),"")</f>
        <v>Ackerstiefmütterchen</v>
      </c>
      <c r="CG203" s="2464"/>
      <c r="CH203" s="2464" t="str">
        <f>IFERROR(INDEX(Liste_Ackerkulturen_Gemüse_DropDown[Ackerkulturen],_xlfn.AGGREGATE(15,6,(ROW(Liste_Ackerkulturen_Gemüse_DropDown[Ackerkulturen])-1)/(--(SEARCH(CI$2,Liste_Ackerkulturen_Gemüse_DropDown[Ackerkulturen])&gt;0)),ROW()-2),1),"")</f>
        <v>Ackerstiefmütterchen</v>
      </c>
      <c r="CI203" s="2464"/>
      <c r="CJ203" s="2464" t="str">
        <f>IFERROR(INDEX(Liste_Ackerkulturen_Gemüse_DropDown[Ackerkulturen],_xlfn.AGGREGATE(15,6,(ROW(Liste_Ackerkulturen_Gemüse_DropDown[Ackerkulturen])-1)/(--(SEARCH(CK$2,Liste_Ackerkulturen_Gemüse_DropDown[Ackerkulturen])&gt;0)),ROW()-2),1),"")</f>
        <v>Ackerstiefmütterchen</v>
      </c>
      <c r="CK203" s="2464"/>
      <c r="CL203" s="2464" t="str">
        <f>IFERROR(INDEX(Liste_Ackerkulturen_Gemüse_DropDown[Ackerkulturen],_xlfn.AGGREGATE(15,6,(ROW(Liste_Ackerkulturen_Gemüse_DropDown[Ackerkulturen])-1)/(--(SEARCH(CM$2,Liste_Ackerkulturen_Gemüse_DropDown[Ackerkulturen])&gt;0)),ROW()-2),1),"")</f>
        <v>Ackerstiefmütterchen</v>
      </c>
      <c r="CM203" s="2464"/>
      <c r="CN203" s="2464" t="str">
        <f>IFERROR(INDEX(Liste_Ackerkulturen_Gemüse_DropDown[Ackerkulturen],_xlfn.AGGREGATE(15,6,(ROW(Liste_Ackerkulturen_Gemüse_DropDown[Ackerkulturen])-1)/(--(SEARCH(CO$2,Liste_Ackerkulturen_Gemüse_DropDown[Ackerkulturen])&gt;0)),ROW()-2),1),"")</f>
        <v>Ackerstiefmütterchen</v>
      </c>
      <c r="CO203" s="2464"/>
      <c r="CP203" s="2464" t="str">
        <f>IFERROR(INDEX(Liste_Ackerkulturen_Gemüse_DropDown[Ackerkulturen],_xlfn.AGGREGATE(15,6,(ROW(Liste_Ackerkulturen_Gemüse_DropDown[Ackerkulturen])-1)/(--(SEARCH(CQ$2,Liste_Ackerkulturen_Gemüse_DropDown[Ackerkulturen])&gt;0)),ROW()-2),1),"")</f>
        <v>Ackerstiefmütterchen</v>
      </c>
      <c r="CQ203" s="2464"/>
      <c r="CR203" s="2464" t="str">
        <f>IFERROR(INDEX(Liste_Ackerkulturen_Gemüse_DropDown[Ackerkulturen],_xlfn.AGGREGATE(15,6,(ROW(Liste_Ackerkulturen_Gemüse_DropDown[Ackerkulturen])-1)/(--(SEARCH(CS$2,Liste_Ackerkulturen_Gemüse_DropDown[Ackerkulturen])&gt;0)),ROW()-2),1),"")</f>
        <v>Ackerstiefmütterchen</v>
      </c>
      <c r="CS203" s="2464"/>
      <c r="DI203" s="1541"/>
      <c r="DJ203" s="1541"/>
      <c r="DK203" s="1541"/>
      <c r="DL203" s="1541"/>
      <c r="DM203" s="1541"/>
    </row>
    <row r="204" spans="1:117" s="470" customFormat="1" ht="21" customHeight="1">
      <c r="A204" s="465"/>
      <c r="B204" s="465"/>
      <c r="C204" s="1575" t="s">
        <v>156</v>
      </c>
      <c r="D204" s="1576"/>
      <c r="E204" s="1567" t="s">
        <v>465</v>
      </c>
      <c r="F204" s="1568">
        <v>150</v>
      </c>
      <c r="G204" s="1568"/>
      <c r="H204" s="1716" t="s">
        <v>155</v>
      </c>
      <c r="I204" s="1718">
        <v>175</v>
      </c>
      <c r="J204" s="1188" t="s">
        <v>151</v>
      </c>
      <c r="K204" s="1568">
        <v>205</v>
      </c>
      <c r="L204" s="1527">
        <v>115</v>
      </c>
      <c r="M204" s="1528">
        <v>144</v>
      </c>
      <c r="N204" s="1567">
        <v>45</v>
      </c>
      <c r="O204" s="1188">
        <v>40</v>
      </c>
      <c r="P204" s="1568">
        <v>25</v>
      </c>
      <c r="Q204" s="1718">
        <v>30</v>
      </c>
      <c r="R204" s="1568">
        <v>40</v>
      </c>
      <c r="S204" s="1568">
        <v>15</v>
      </c>
      <c r="T204" s="1599" t="s">
        <v>1201</v>
      </c>
      <c r="U204" s="1569">
        <v>210</v>
      </c>
      <c r="V204" s="1570">
        <v>175</v>
      </c>
      <c r="W204" s="1574">
        <v>110</v>
      </c>
      <c r="X204" s="1778">
        <v>140</v>
      </c>
      <c r="Y204" s="1574">
        <v>175</v>
      </c>
      <c r="Z204" s="1568">
        <v>70</v>
      </c>
      <c r="AA204" s="1599" t="s">
        <v>1201</v>
      </c>
      <c r="AB204" s="525"/>
      <c r="AC204" s="525"/>
      <c r="AD204" s="525"/>
      <c r="AE204" s="526"/>
      <c r="AF204" s="1279"/>
      <c r="AG204" s="176"/>
      <c r="AH204" s="176"/>
      <c r="AI204" s="176"/>
      <c r="AJ204" s="473"/>
      <c r="AK204" s="472"/>
      <c r="AL204" s="472"/>
      <c r="AM204" s="2371" t="s">
        <v>355</v>
      </c>
      <c r="AN204" s="2286">
        <v>80</v>
      </c>
      <c r="AO204" s="2308" t="s">
        <v>1201</v>
      </c>
      <c r="AP204" s="2286">
        <v>80</v>
      </c>
      <c r="AQ204" s="2308" t="s">
        <v>1201</v>
      </c>
      <c r="AR204" s="2286">
        <v>80</v>
      </c>
      <c r="AS204" s="2308" t="s">
        <v>1201</v>
      </c>
      <c r="AT204" s="2287">
        <v>80</v>
      </c>
      <c r="AU204" s="2309" t="s">
        <v>1201</v>
      </c>
      <c r="AV204" s="2287">
        <v>80</v>
      </c>
      <c r="AW204" s="2309" t="s">
        <v>1201</v>
      </c>
      <c r="AX204" s="2403">
        <v>70</v>
      </c>
      <c r="AY204" s="2299" t="s">
        <v>1201</v>
      </c>
      <c r="AZ204" s="2298">
        <v>70</v>
      </c>
      <c r="BA204" s="2373" t="s">
        <v>1201</v>
      </c>
      <c r="BE204" s="2371" t="s">
        <v>355</v>
      </c>
      <c r="BF204" s="2404">
        <v>60</v>
      </c>
      <c r="BG204" s="2404">
        <v>60</v>
      </c>
      <c r="BH204" s="2404">
        <v>60</v>
      </c>
      <c r="BJ204" s="2371" t="s">
        <v>355</v>
      </c>
      <c r="BK204" s="2400">
        <v>0</v>
      </c>
      <c r="BL204" s="577">
        <v>0</v>
      </c>
      <c r="BM204" s="577">
        <v>0</v>
      </c>
      <c r="BN204" s="2406"/>
      <c r="BO204" s="2402"/>
      <c r="BP204" s="2244"/>
      <c r="BQ204" s="2244"/>
      <c r="BR204" s="2244"/>
      <c r="BS204" s="2461" t="s">
        <v>357</v>
      </c>
      <c r="BT204" s="2463" t="str">
        <f>IFERROR(INDEX(Liste_Ackerkulturen_Gemüse_DropDown[Ackerkulturen],_xlfn.AGGREGATE(15,6,(ROW(Liste_Ackerkulturen_Gemüse_DropDown[Ackerkulturen])-1)/(--(SEARCH(BU$2,Liste_Ackerkulturen_Gemüse_DropDown[Ackerkulturen])&gt;0)),ROW()-2),1),"")</f>
        <v>Alant</v>
      </c>
      <c r="BU204" s="2463"/>
      <c r="BV204" s="2463" t="str">
        <f>IFERROR(INDEX(Liste_Ackerkulturen_Gemüse_DropDown[Ackerkulturen],_xlfn.AGGREGATE(15,6,(ROW(Liste_Ackerkulturen_Gemüse_DropDown[Ackerkulturen])-1)/(--(SEARCH(BW$2,Liste_Ackerkulturen_Gemüse_DropDown[Ackerkulturen])&gt;0)),ROW()-2),1),"")</f>
        <v>Alant</v>
      </c>
      <c r="BW204" s="2463"/>
      <c r="BX204" s="2463" t="str">
        <f>IFERROR(INDEX(Liste_Ackerkulturen_Gemüse_DropDown[Ackerkulturen],_xlfn.AGGREGATE(15,6,(ROW(Liste_Ackerkulturen_Gemüse_DropDown[Ackerkulturen])-1)/(--(SEARCH(BY$2,Liste_Ackerkulturen_Gemüse_DropDown[Ackerkulturen])&gt;0)),ROW()-2),1),"")</f>
        <v>Alant</v>
      </c>
      <c r="BY204" s="2463"/>
      <c r="BZ204" s="2463" t="str">
        <f>IFERROR(INDEX(Liste_Ackerkulturen_Gemüse_DropDown[Ackerkulturen],_xlfn.AGGREGATE(15,6,(ROW(Liste_Ackerkulturen_Gemüse_DropDown[Ackerkulturen])-1)/(--(SEARCH(CA$2,Liste_Ackerkulturen_Gemüse_DropDown[Ackerkulturen])&gt;0)),ROW()-2),1),"")</f>
        <v>Alant</v>
      </c>
      <c r="CA204" s="2463"/>
      <c r="CB204" s="2463" t="str">
        <f>IFERROR(INDEX(Liste_Ackerkulturen_Gemüse_DropDown[Ackerkulturen],_xlfn.AGGREGATE(15,6,(ROW(Liste_Ackerkulturen_Gemüse_DropDown[Ackerkulturen])-1)/(--(SEARCH(CC$2,Liste_Ackerkulturen_Gemüse_DropDown[Ackerkulturen])&gt;0)),ROW()-2),1),"")</f>
        <v>Alant</v>
      </c>
      <c r="CC204" s="2463"/>
      <c r="CD204" s="2464" t="str">
        <f>IFERROR(INDEX(Liste_Ackerkulturen_Gemüse_DropDown[Ackerkulturen],_xlfn.AGGREGATE(15,6,(ROW(Liste_Ackerkulturen_Gemüse_DropDown[Ackerkulturen])-1)/(--(SEARCH(CE$2,Liste_Ackerkulturen_Gemüse_DropDown[Ackerkulturen])&gt;0)),ROW()-2),1),"")</f>
        <v>Alant</v>
      </c>
      <c r="CE204" s="2464"/>
      <c r="CF204" s="2464" t="str">
        <f>IFERROR(INDEX(Liste_Ackerkulturen_Gemüse_DropDown[Ackerkulturen],_xlfn.AGGREGATE(15,6,(ROW(Liste_Ackerkulturen_Gemüse_DropDown[Ackerkulturen])-1)/(--(SEARCH(CG$2,Liste_Ackerkulturen_Gemüse_DropDown[Ackerkulturen])&gt;0)),ROW()-2),1),"")</f>
        <v>Alant</v>
      </c>
      <c r="CG204" s="2464"/>
      <c r="CH204" s="2464" t="str">
        <f>IFERROR(INDEX(Liste_Ackerkulturen_Gemüse_DropDown[Ackerkulturen],_xlfn.AGGREGATE(15,6,(ROW(Liste_Ackerkulturen_Gemüse_DropDown[Ackerkulturen])-1)/(--(SEARCH(CI$2,Liste_Ackerkulturen_Gemüse_DropDown[Ackerkulturen])&gt;0)),ROW()-2),1),"")</f>
        <v>Alant</v>
      </c>
      <c r="CI204" s="2464"/>
      <c r="CJ204" s="2464" t="str">
        <f>IFERROR(INDEX(Liste_Ackerkulturen_Gemüse_DropDown[Ackerkulturen],_xlfn.AGGREGATE(15,6,(ROW(Liste_Ackerkulturen_Gemüse_DropDown[Ackerkulturen])-1)/(--(SEARCH(CK$2,Liste_Ackerkulturen_Gemüse_DropDown[Ackerkulturen])&gt;0)),ROW()-2),1),"")</f>
        <v>Alant</v>
      </c>
      <c r="CK204" s="2464"/>
      <c r="CL204" s="2464" t="str">
        <f>IFERROR(INDEX(Liste_Ackerkulturen_Gemüse_DropDown[Ackerkulturen],_xlfn.AGGREGATE(15,6,(ROW(Liste_Ackerkulturen_Gemüse_DropDown[Ackerkulturen])-1)/(--(SEARCH(CM$2,Liste_Ackerkulturen_Gemüse_DropDown[Ackerkulturen])&gt;0)),ROW()-2),1),"")</f>
        <v>Alant</v>
      </c>
      <c r="CM204" s="2464"/>
      <c r="CN204" s="2464" t="str">
        <f>IFERROR(INDEX(Liste_Ackerkulturen_Gemüse_DropDown[Ackerkulturen],_xlfn.AGGREGATE(15,6,(ROW(Liste_Ackerkulturen_Gemüse_DropDown[Ackerkulturen])-1)/(--(SEARCH(CO$2,Liste_Ackerkulturen_Gemüse_DropDown[Ackerkulturen])&gt;0)),ROW()-2),1),"")</f>
        <v>Alant</v>
      </c>
      <c r="CO204" s="2464"/>
      <c r="CP204" s="2464" t="str">
        <f>IFERROR(INDEX(Liste_Ackerkulturen_Gemüse_DropDown[Ackerkulturen],_xlfn.AGGREGATE(15,6,(ROW(Liste_Ackerkulturen_Gemüse_DropDown[Ackerkulturen])-1)/(--(SEARCH(CQ$2,Liste_Ackerkulturen_Gemüse_DropDown[Ackerkulturen])&gt;0)),ROW()-2),1),"")</f>
        <v>Alant</v>
      </c>
      <c r="CQ204" s="2464"/>
      <c r="CR204" s="2464" t="str">
        <f>IFERROR(INDEX(Liste_Ackerkulturen_Gemüse_DropDown[Ackerkulturen],_xlfn.AGGREGATE(15,6,(ROW(Liste_Ackerkulturen_Gemüse_DropDown[Ackerkulturen])-1)/(--(SEARCH(CS$2,Liste_Ackerkulturen_Gemüse_DropDown[Ackerkulturen])&gt;0)),ROW()-2),1),"")</f>
        <v>Alant</v>
      </c>
      <c r="CS204" s="2464"/>
      <c r="DI204" s="1541"/>
      <c r="DJ204" s="1541"/>
      <c r="DK204" s="1541"/>
      <c r="DL204" s="1541"/>
      <c r="DM204" s="1541"/>
    </row>
    <row r="205" spans="1:117" s="470" customFormat="1" ht="21" customHeight="1">
      <c r="A205" s="465"/>
      <c r="B205" s="465"/>
      <c r="C205" s="1575" t="s">
        <v>157</v>
      </c>
      <c r="D205" s="1576"/>
      <c r="E205" s="1567" t="s">
        <v>465</v>
      </c>
      <c r="F205" s="1568">
        <v>160</v>
      </c>
      <c r="G205" s="1568"/>
      <c r="H205" s="1716" t="s">
        <v>158</v>
      </c>
      <c r="I205" s="1718">
        <v>190</v>
      </c>
      <c r="J205" s="1188" t="s">
        <v>159</v>
      </c>
      <c r="K205" s="1568">
        <v>230</v>
      </c>
      <c r="L205" s="1527">
        <v>150</v>
      </c>
      <c r="M205" s="1528">
        <v>188</v>
      </c>
      <c r="N205" s="1567">
        <v>55</v>
      </c>
      <c r="O205" s="1188">
        <v>45</v>
      </c>
      <c r="P205" s="1568">
        <v>30</v>
      </c>
      <c r="Q205" s="1718">
        <v>35</v>
      </c>
      <c r="R205" s="1568">
        <v>45</v>
      </c>
      <c r="S205" s="1568">
        <v>20</v>
      </c>
      <c r="T205" s="1599" t="s">
        <v>1201</v>
      </c>
      <c r="U205" s="1569">
        <v>210</v>
      </c>
      <c r="V205" s="1570">
        <v>175</v>
      </c>
      <c r="W205" s="1574">
        <v>110</v>
      </c>
      <c r="X205" s="1778">
        <v>140</v>
      </c>
      <c r="Y205" s="1574">
        <v>175</v>
      </c>
      <c r="Z205" s="1568">
        <v>70</v>
      </c>
      <c r="AA205" s="1599" t="s">
        <v>1201</v>
      </c>
      <c r="AB205" s="525"/>
      <c r="AC205" s="525"/>
      <c r="AD205" s="525"/>
      <c r="AE205" s="526"/>
      <c r="AF205" s="1279"/>
      <c r="AG205" s="176"/>
      <c r="AH205" s="176"/>
      <c r="AI205" s="176"/>
      <c r="AJ205" s="473"/>
      <c r="AK205" s="472"/>
      <c r="AL205" s="472"/>
      <c r="AM205" s="2371" t="s">
        <v>356</v>
      </c>
      <c r="AN205" s="2286">
        <v>140</v>
      </c>
      <c r="AO205" s="2308" t="s">
        <v>1201</v>
      </c>
      <c r="AP205" s="2286">
        <v>140</v>
      </c>
      <c r="AQ205" s="2308" t="s">
        <v>1201</v>
      </c>
      <c r="AR205" s="2286">
        <v>140</v>
      </c>
      <c r="AS205" s="2308" t="s">
        <v>1201</v>
      </c>
      <c r="AT205" s="2287">
        <v>140</v>
      </c>
      <c r="AU205" s="2309" t="s">
        <v>1201</v>
      </c>
      <c r="AV205" s="2287">
        <v>140</v>
      </c>
      <c r="AW205" s="2309" t="s">
        <v>1201</v>
      </c>
      <c r="AX205" s="2403">
        <v>130</v>
      </c>
      <c r="AY205" s="2299" t="s">
        <v>1201</v>
      </c>
      <c r="AZ205" s="2298">
        <v>130</v>
      </c>
      <c r="BA205" s="2373" t="s">
        <v>1201</v>
      </c>
      <c r="BE205" s="2371" t="s">
        <v>356</v>
      </c>
      <c r="BF205" s="2404">
        <v>60</v>
      </c>
      <c r="BG205" s="2404">
        <v>60</v>
      </c>
      <c r="BH205" s="2404">
        <v>60</v>
      </c>
      <c r="BJ205" s="2371" t="s">
        <v>356</v>
      </c>
      <c r="BK205" s="2400">
        <v>0</v>
      </c>
      <c r="BL205" s="577">
        <v>0</v>
      </c>
      <c r="BM205" s="577">
        <v>0</v>
      </c>
      <c r="BN205" s="2406"/>
      <c r="BO205" s="2402"/>
      <c r="BP205" s="2244"/>
      <c r="BQ205" s="2244"/>
      <c r="BR205" s="2244"/>
      <c r="BS205" s="2461" t="s">
        <v>358</v>
      </c>
      <c r="BT205" s="2463" t="str">
        <f>IFERROR(INDEX(Liste_Ackerkulturen_Gemüse_DropDown[Ackerkulturen],_xlfn.AGGREGATE(15,6,(ROW(Liste_Ackerkulturen_Gemüse_DropDown[Ackerkulturen])-1)/(--(SEARCH(BU$2,Liste_Ackerkulturen_Gemüse_DropDown[Ackerkulturen])&gt;0)),ROW()-2),1),"")</f>
        <v>Anis</v>
      </c>
      <c r="BU205" s="2463"/>
      <c r="BV205" s="2463" t="str">
        <f>IFERROR(INDEX(Liste_Ackerkulturen_Gemüse_DropDown[Ackerkulturen],_xlfn.AGGREGATE(15,6,(ROW(Liste_Ackerkulturen_Gemüse_DropDown[Ackerkulturen])-1)/(--(SEARCH(BW$2,Liste_Ackerkulturen_Gemüse_DropDown[Ackerkulturen])&gt;0)),ROW()-2),1),"")</f>
        <v>Anis</v>
      </c>
      <c r="BW205" s="2463"/>
      <c r="BX205" s="2463" t="str">
        <f>IFERROR(INDEX(Liste_Ackerkulturen_Gemüse_DropDown[Ackerkulturen],_xlfn.AGGREGATE(15,6,(ROW(Liste_Ackerkulturen_Gemüse_DropDown[Ackerkulturen])-1)/(--(SEARCH(BY$2,Liste_Ackerkulturen_Gemüse_DropDown[Ackerkulturen])&gt;0)),ROW()-2),1),"")</f>
        <v>Anis</v>
      </c>
      <c r="BY205" s="2463"/>
      <c r="BZ205" s="2463" t="str">
        <f>IFERROR(INDEX(Liste_Ackerkulturen_Gemüse_DropDown[Ackerkulturen],_xlfn.AGGREGATE(15,6,(ROW(Liste_Ackerkulturen_Gemüse_DropDown[Ackerkulturen])-1)/(--(SEARCH(CA$2,Liste_Ackerkulturen_Gemüse_DropDown[Ackerkulturen])&gt;0)),ROW()-2),1),"")</f>
        <v>Anis</v>
      </c>
      <c r="CA205" s="2463"/>
      <c r="CB205" s="2463" t="str">
        <f>IFERROR(INDEX(Liste_Ackerkulturen_Gemüse_DropDown[Ackerkulturen],_xlfn.AGGREGATE(15,6,(ROW(Liste_Ackerkulturen_Gemüse_DropDown[Ackerkulturen])-1)/(--(SEARCH(CC$2,Liste_Ackerkulturen_Gemüse_DropDown[Ackerkulturen])&gt;0)),ROW()-2),1),"")</f>
        <v>Anis</v>
      </c>
      <c r="CC205" s="2463"/>
      <c r="CD205" s="2464" t="str">
        <f>IFERROR(INDEX(Liste_Ackerkulturen_Gemüse_DropDown[Ackerkulturen],_xlfn.AGGREGATE(15,6,(ROW(Liste_Ackerkulturen_Gemüse_DropDown[Ackerkulturen])-1)/(--(SEARCH(CE$2,Liste_Ackerkulturen_Gemüse_DropDown[Ackerkulturen])&gt;0)),ROW()-2),1),"")</f>
        <v>Anis</v>
      </c>
      <c r="CE205" s="2464"/>
      <c r="CF205" s="2464" t="str">
        <f>IFERROR(INDEX(Liste_Ackerkulturen_Gemüse_DropDown[Ackerkulturen],_xlfn.AGGREGATE(15,6,(ROW(Liste_Ackerkulturen_Gemüse_DropDown[Ackerkulturen])-1)/(--(SEARCH(CG$2,Liste_Ackerkulturen_Gemüse_DropDown[Ackerkulturen])&gt;0)),ROW()-2),1),"")</f>
        <v>Anis</v>
      </c>
      <c r="CG205" s="2464"/>
      <c r="CH205" s="2464" t="str">
        <f>IFERROR(INDEX(Liste_Ackerkulturen_Gemüse_DropDown[Ackerkulturen],_xlfn.AGGREGATE(15,6,(ROW(Liste_Ackerkulturen_Gemüse_DropDown[Ackerkulturen])-1)/(--(SEARCH(CI$2,Liste_Ackerkulturen_Gemüse_DropDown[Ackerkulturen])&gt;0)),ROW()-2),1),"")</f>
        <v>Anis</v>
      </c>
      <c r="CI205" s="2464"/>
      <c r="CJ205" s="2464" t="str">
        <f>IFERROR(INDEX(Liste_Ackerkulturen_Gemüse_DropDown[Ackerkulturen],_xlfn.AGGREGATE(15,6,(ROW(Liste_Ackerkulturen_Gemüse_DropDown[Ackerkulturen])-1)/(--(SEARCH(CK$2,Liste_Ackerkulturen_Gemüse_DropDown[Ackerkulturen])&gt;0)),ROW()-2),1),"")</f>
        <v>Anis</v>
      </c>
      <c r="CK205" s="2464"/>
      <c r="CL205" s="2464" t="str">
        <f>IFERROR(INDEX(Liste_Ackerkulturen_Gemüse_DropDown[Ackerkulturen],_xlfn.AGGREGATE(15,6,(ROW(Liste_Ackerkulturen_Gemüse_DropDown[Ackerkulturen])-1)/(--(SEARCH(CM$2,Liste_Ackerkulturen_Gemüse_DropDown[Ackerkulturen])&gt;0)),ROW()-2),1),"")</f>
        <v>Anis</v>
      </c>
      <c r="CM205" s="2464"/>
      <c r="CN205" s="2464" t="str">
        <f>IFERROR(INDEX(Liste_Ackerkulturen_Gemüse_DropDown[Ackerkulturen],_xlfn.AGGREGATE(15,6,(ROW(Liste_Ackerkulturen_Gemüse_DropDown[Ackerkulturen])-1)/(--(SEARCH(CO$2,Liste_Ackerkulturen_Gemüse_DropDown[Ackerkulturen])&gt;0)),ROW()-2),1),"")</f>
        <v>Anis</v>
      </c>
      <c r="CO205" s="2464"/>
      <c r="CP205" s="2464" t="str">
        <f>IFERROR(INDEX(Liste_Ackerkulturen_Gemüse_DropDown[Ackerkulturen],_xlfn.AGGREGATE(15,6,(ROW(Liste_Ackerkulturen_Gemüse_DropDown[Ackerkulturen])-1)/(--(SEARCH(CQ$2,Liste_Ackerkulturen_Gemüse_DropDown[Ackerkulturen])&gt;0)),ROW()-2),1),"")</f>
        <v>Anis</v>
      </c>
      <c r="CQ205" s="2464"/>
      <c r="CR205" s="2464" t="str">
        <f>IFERROR(INDEX(Liste_Ackerkulturen_Gemüse_DropDown[Ackerkulturen],_xlfn.AGGREGATE(15,6,(ROW(Liste_Ackerkulturen_Gemüse_DropDown[Ackerkulturen])-1)/(--(SEARCH(CS$2,Liste_Ackerkulturen_Gemüse_DropDown[Ackerkulturen])&gt;0)),ROW()-2),1),"")</f>
        <v>Anis</v>
      </c>
      <c r="CS205" s="2464"/>
      <c r="DI205" s="1541"/>
      <c r="DJ205" s="1541"/>
      <c r="DK205" s="1541"/>
      <c r="DL205" s="1541"/>
      <c r="DM205" s="1541"/>
    </row>
    <row r="206" spans="1:117" s="470" customFormat="1" ht="21" customHeight="1">
      <c r="A206" s="465"/>
      <c r="B206" s="465"/>
      <c r="C206" s="1575" t="s">
        <v>160</v>
      </c>
      <c r="D206" s="1576"/>
      <c r="E206" s="1567" t="s">
        <v>1957</v>
      </c>
      <c r="F206" s="1568">
        <v>100</v>
      </c>
      <c r="G206" s="1568"/>
      <c r="H206" s="1716" t="s">
        <v>161</v>
      </c>
      <c r="I206" s="1718">
        <v>110</v>
      </c>
      <c r="J206" s="1188" t="s">
        <v>162</v>
      </c>
      <c r="K206" s="1568">
        <v>130</v>
      </c>
      <c r="L206" s="1527">
        <v>70</v>
      </c>
      <c r="M206" s="1528">
        <v>88</v>
      </c>
      <c r="N206" s="1567">
        <v>30</v>
      </c>
      <c r="O206" s="1188">
        <v>25</v>
      </c>
      <c r="P206" s="1568">
        <v>15</v>
      </c>
      <c r="Q206" s="1718">
        <v>20</v>
      </c>
      <c r="R206" s="1568">
        <v>25</v>
      </c>
      <c r="S206" s="1568">
        <v>10</v>
      </c>
      <c r="T206" s="1599" t="s">
        <v>1201</v>
      </c>
      <c r="U206" s="1569">
        <v>75</v>
      </c>
      <c r="V206" s="1570">
        <v>65</v>
      </c>
      <c r="W206" s="1574">
        <v>40</v>
      </c>
      <c r="X206" s="1778">
        <v>50</v>
      </c>
      <c r="Y206" s="1574">
        <v>65</v>
      </c>
      <c r="Z206" s="1568">
        <v>25</v>
      </c>
      <c r="AA206" s="1599" t="s">
        <v>1201</v>
      </c>
      <c r="AB206" s="525"/>
      <c r="AC206" s="525"/>
      <c r="AD206" s="525"/>
      <c r="AE206" s="526"/>
      <c r="AF206" s="1279"/>
      <c r="AG206" s="176"/>
      <c r="AH206" s="176"/>
      <c r="AI206" s="176"/>
      <c r="AJ206" s="473"/>
      <c r="AK206" s="472"/>
      <c r="AL206" s="472"/>
      <c r="AM206" s="2371" t="s">
        <v>357</v>
      </c>
      <c r="AN206" s="2286">
        <v>70</v>
      </c>
      <c r="AO206" s="2308" t="s">
        <v>1201</v>
      </c>
      <c r="AP206" s="2286">
        <v>70</v>
      </c>
      <c r="AQ206" s="2308" t="s">
        <v>1201</v>
      </c>
      <c r="AR206" s="2286">
        <v>70</v>
      </c>
      <c r="AS206" s="2308" t="s">
        <v>1201</v>
      </c>
      <c r="AT206" s="2287">
        <v>70</v>
      </c>
      <c r="AU206" s="2309" t="s">
        <v>1201</v>
      </c>
      <c r="AV206" s="2287">
        <v>70</v>
      </c>
      <c r="AW206" s="2309" t="s">
        <v>1201</v>
      </c>
      <c r="AX206" s="2403">
        <v>50</v>
      </c>
      <c r="AY206" s="2299" t="s">
        <v>1201</v>
      </c>
      <c r="AZ206" s="2298">
        <v>50</v>
      </c>
      <c r="BA206" s="2373" t="s">
        <v>1201</v>
      </c>
      <c r="BE206" s="2371" t="s">
        <v>357</v>
      </c>
      <c r="BF206" s="2404">
        <v>60</v>
      </c>
      <c r="BG206" s="2404">
        <v>60</v>
      </c>
      <c r="BH206" s="2404">
        <v>60</v>
      </c>
      <c r="BJ206" s="2371" t="s">
        <v>357</v>
      </c>
      <c r="BK206" s="2400">
        <v>0</v>
      </c>
      <c r="BL206" s="577">
        <v>0</v>
      </c>
      <c r="BM206" s="577">
        <v>0</v>
      </c>
      <c r="BN206" s="2406"/>
      <c r="BO206" s="2402"/>
      <c r="BP206" s="2244"/>
      <c r="BQ206" s="2244"/>
      <c r="BR206" s="2244"/>
      <c r="BS206" s="2461" t="s">
        <v>359</v>
      </c>
      <c r="BT206" s="2463" t="str">
        <f>IFERROR(INDEX(Liste_Ackerkulturen_Gemüse_DropDown[Ackerkulturen],_xlfn.AGGREGATE(15,6,(ROW(Liste_Ackerkulturen_Gemüse_DropDown[Ackerkulturen])-1)/(--(SEARCH(BU$2,Liste_Ackerkulturen_Gemüse_DropDown[Ackerkulturen])&gt;0)),ROW()-2),1),"")</f>
        <v>Arnika (Berg-)</v>
      </c>
      <c r="BU206" s="2463"/>
      <c r="BV206" s="2463" t="str">
        <f>IFERROR(INDEX(Liste_Ackerkulturen_Gemüse_DropDown[Ackerkulturen],_xlfn.AGGREGATE(15,6,(ROW(Liste_Ackerkulturen_Gemüse_DropDown[Ackerkulturen])-1)/(--(SEARCH(BW$2,Liste_Ackerkulturen_Gemüse_DropDown[Ackerkulturen])&gt;0)),ROW()-2),1),"")</f>
        <v>Arnika (Berg-)</v>
      </c>
      <c r="BW206" s="2463"/>
      <c r="BX206" s="2463" t="str">
        <f>IFERROR(INDEX(Liste_Ackerkulturen_Gemüse_DropDown[Ackerkulturen],_xlfn.AGGREGATE(15,6,(ROW(Liste_Ackerkulturen_Gemüse_DropDown[Ackerkulturen])-1)/(--(SEARCH(BY$2,Liste_Ackerkulturen_Gemüse_DropDown[Ackerkulturen])&gt;0)),ROW()-2),1),"")</f>
        <v>Arnika (Berg-)</v>
      </c>
      <c r="BY206" s="2463"/>
      <c r="BZ206" s="2463" t="str">
        <f>IFERROR(INDEX(Liste_Ackerkulturen_Gemüse_DropDown[Ackerkulturen],_xlfn.AGGREGATE(15,6,(ROW(Liste_Ackerkulturen_Gemüse_DropDown[Ackerkulturen])-1)/(--(SEARCH(CA$2,Liste_Ackerkulturen_Gemüse_DropDown[Ackerkulturen])&gt;0)),ROW()-2),1),"")</f>
        <v>Arnika (Berg-)</v>
      </c>
      <c r="CA206" s="2463"/>
      <c r="CB206" s="2463" t="str">
        <f>IFERROR(INDEX(Liste_Ackerkulturen_Gemüse_DropDown[Ackerkulturen],_xlfn.AGGREGATE(15,6,(ROW(Liste_Ackerkulturen_Gemüse_DropDown[Ackerkulturen])-1)/(--(SEARCH(CC$2,Liste_Ackerkulturen_Gemüse_DropDown[Ackerkulturen])&gt;0)),ROW()-2),1),"")</f>
        <v>Arnika (Berg-)</v>
      </c>
      <c r="CC206" s="2463"/>
      <c r="CD206" s="2464" t="str">
        <f>IFERROR(INDEX(Liste_Ackerkulturen_Gemüse_DropDown[Ackerkulturen],_xlfn.AGGREGATE(15,6,(ROW(Liste_Ackerkulturen_Gemüse_DropDown[Ackerkulturen])-1)/(--(SEARCH(CE$2,Liste_Ackerkulturen_Gemüse_DropDown[Ackerkulturen])&gt;0)),ROW()-2),1),"")</f>
        <v>Arnika (Berg-)</v>
      </c>
      <c r="CE206" s="2464"/>
      <c r="CF206" s="2464" t="str">
        <f>IFERROR(INDEX(Liste_Ackerkulturen_Gemüse_DropDown[Ackerkulturen],_xlfn.AGGREGATE(15,6,(ROW(Liste_Ackerkulturen_Gemüse_DropDown[Ackerkulturen])-1)/(--(SEARCH(CG$2,Liste_Ackerkulturen_Gemüse_DropDown[Ackerkulturen])&gt;0)),ROW()-2),1),"")</f>
        <v>Arnika (Berg-)</v>
      </c>
      <c r="CG206" s="2464"/>
      <c r="CH206" s="2464" t="str">
        <f>IFERROR(INDEX(Liste_Ackerkulturen_Gemüse_DropDown[Ackerkulturen],_xlfn.AGGREGATE(15,6,(ROW(Liste_Ackerkulturen_Gemüse_DropDown[Ackerkulturen])-1)/(--(SEARCH(CI$2,Liste_Ackerkulturen_Gemüse_DropDown[Ackerkulturen])&gt;0)),ROW()-2),1),"")</f>
        <v>Arnika (Berg-)</v>
      </c>
      <c r="CI206" s="2464"/>
      <c r="CJ206" s="2464" t="str">
        <f>IFERROR(INDEX(Liste_Ackerkulturen_Gemüse_DropDown[Ackerkulturen],_xlfn.AGGREGATE(15,6,(ROW(Liste_Ackerkulturen_Gemüse_DropDown[Ackerkulturen])-1)/(--(SEARCH(CK$2,Liste_Ackerkulturen_Gemüse_DropDown[Ackerkulturen])&gt;0)),ROW()-2),1),"")</f>
        <v>Arnika (Berg-)</v>
      </c>
      <c r="CK206" s="2464"/>
      <c r="CL206" s="2464" t="str">
        <f>IFERROR(INDEX(Liste_Ackerkulturen_Gemüse_DropDown[Ackerkulturen],_xlfn.AGGREGATE(15,6,(ROW(Liste_Ackerkulturen_Gemüse_DropDown[Ackerkulturen])-1)/(--(SEARCH(CM$2,Liste_Ackerkulturen_Gemüse_DropDown[Ackerkulturen])&gt;0)),ROW()-2),1),"")</f>
        <v>Arnika (Berg-)</v>
      </c>
      <c r="CM206" s="2464"/>
      <c r="CN206" s="2464" t="str">
        <f>IFERROR(INDEX(Liste_Ackerkulturen_Gemüse_DropDown[Ackerkulturen],_xlfn.AGGREGATE(15,6,(ROW(Liste_Ackerkulturen_Gemüse_DropDown[Ackerkulturen])-1)/(--(SEARCH(CO$2,Liste_Ackerkulturen_Gemüse_DropDown[Ackerkulturen])&gt;0)),ROW()-2),1),"")</f>
        <v>Arnika (Berg-)</v>
      </c>
      <c r="CO206" s="2464"/>
      <c r="CP206" s="2464" t="str">
        <f>IFERROR(INDEX(Liste_Ackerkulturen_Gemüse_DropDown[Ackerkulturen],_xlfn.AGGREGATE(15,6,(ROW(Liste_Ackerkulturen_Gemüse_DropDown[Ackerkulturen])-1)/(--(SEARCH(CQ$2,Liste_Ackerkulturen_Gemüse_DropDown[Ackerkulturen])&gt;0)),ROW()-2),1),"")</f>
        <v>Arnika (Berg-)</v>
      </c>
      <c r="CQ206" s="2464"/>
      <c r="CR206" s="2464" t="str">
        <f>IFERROR(INDEX(Liste_Ackerkulturen_Gemüse_DropDown[Ackerkulturen],_xlfn.AGGREGATE(15,6,(ROW(Liste_Ackerkulturen_Gemüse_DropDown[Ackerkulturen])-1)/(--(SEARCH(CS$2,Liste_Ackerkulturen_Gemüse_DropDown[Ackerkulturen])&gt;0)),ROW()-2),1),"")</f>
        <v>Arnika (Berg-)</v>
      </c>
      <c r="CS206" s="2464"/>
      <c r="DI206" s="1541"/>
      <c r="DJ206" s="1541"/>
      <c r="DK206" s="1541"/>
      <c r="DL206" s="1541"/>
      <c r="DM206" s="1541"/>
    </row>
    <row r="207" spans="1:117" s="470" customFormat="1" ht="21" customHeight="1">
      <c r="A207" s="465"/>
      <c r="B207" s="465"/>
      <c r="C207" s="1575" t="s">
        <v>163</v>
      </c>
      <c r="D207" s="1576"/>
      <c r="E207" s="1567" t="s">
        <v>66</v>
      </c>
      <c r="F207" s="1568">
        <v>210</v>
      </c>
      <c r="G207" s="1568"/>
      <c r="H207" s="1716" t="s">
        <v>67</v>
      </c>
      <c r="I207" s="1718">
        <v>250</v>
      </c>
      <c r="J207" s="1188" t="s">
        <v>151</v>
      </c>
      <c r="K207" s="1568">
        <v>305</v>
      </c>
      <c r="L207" s="1527">
        <v>250</v>
      </c>
      <c r="M207" s="1528">
        <v>313</v>
      </c>
      <c r="N207" s="1567">
        <v>60</v>
      </c>
      <c r="O207" s="1188">
        <v>50</v>
      </c>
      <c r="P207" s="1568">
        <v>30</v>
      </c>
      <c r="Q207" s="1718">
        <v>40</v>
      </c>
      <c r="R207" s="1568">
        <v>50</v>
      </c>
      <c r="S207" s="1568">
        <v>20</v>
      </c>
      <c r="T207" s="1599" t="s">
        <v>1201</v>
      </c>
      <c r="U207" s="1569">
        <v>210</v>
      </c>
      <c r="V207" s="1570">
        <v>175</v>
      </c>
      <c r="W207" s="1574">
        <v>110</v>
      </c>
      <c r="X207" s="1778">
        <v>140</v>
      </c>
      <c r="Y207" s="1574">
        <v>175</v>
      </c>
      <c r="Z207" s="1568">
        <v>70</v>
      </c>
      <c r="AA207" s="1599" t="s">
        <v>1201</v>
      </c>
      <c r="AB207" s="525"/>
      <c r="AC207" s="525"/>
      <c r="AD207" s="525"/>
      <c r="AE207" s="526"/>
      <c r="AF207" s="1279"/>
      <c r="AG207" s="176"/>
      <c r="AH207" s="176"/>
      <c r="AI207" s="176"/>
      <c r="AJ207" s="473"/>
      <c r="AK207" s="472"/>
      <c r="AL207" s="472"/>
      <c r="AM207" s="2371" t="s">
        <v>358</v>
      </c>
      <c r="AN207" s="2286">
        <v>40</v>
      </c>
      <c r="AO207" s="2308" t="s">
        <v>1201</v>
      </c>
      <c r="AP207" s="2286">
        <v>40</v>
      </c>
      <c r="AQ207" s="2308" t="s">
        <v>1201</v>
      </c>
      <c r="AR207" s="2286">
        <v>40</v>
      </c>
      <c r="AS207" s="2308" t="s">
        <v>1201</v>
      </c>
      <c r="AT207" s="2287">
        <v>40</v>
      </c>
      <c r="AU207" s="2309" t="s">
        <v>1201</v>
      </c>
      <c r="AV207" s="2287">
        <v>40</v>
      </c>
      <c r="AW207" s="2309" t="s">
        <v>1201</v>
      </c>
      <c r="AX207" s="2403">
        <v>0</v>
      </c>
      <c r="AY207" s="2299" t="s">
        <v>1201</v>
      </c>
      <c r="AZ207" s="2298">
        <v>0</v>
      </c>
      <c r="BA207" s="2373" t="s">
        <v>1201</v>
      </c>
      <c r="BE207" s="2371" t="s">
        <v>358</v>
      </c>
      <c r="BF207" s="2404">
        <v>30</v>
      </c>
      <c r="BG207" s="2404">
        <v>30</v>
      </c>
      <c r="BH207" s="2404">
        <v>30</v>
      </c>
      <c r="BJ207" s="2371" t="s">
        <v>358</v>
      </c>
      <c r="BK207" s="2400">
        <v>0</v>
      </c>
      <c r="BL207" s="577">
        <v>0</v>
      </c>
      <c r="BM207" s="577">
        <v>0</v>
      </c>
      <c r="BN207" s="2406"/>
      <c r="BO207" s="2402"/>
      <c r="BP207" s="2244"/>
      <c r="BQ207" s="2244"/>
      <c r="BR207" s="2244"/>
      <c r="BS207" s="2461" t="s">
        <v>360</v>
      </c>
      <c r="BT207" s="2463" t="str">
        <f>IFERROR(INDEX(Liste_Ackerkulturen_Gemüse_DropDown[Ackerkulturen],_xlfn.AGGREGATE(15,6,(ROW(Liste_Ackerkulturen_Gemüse_DropDown[Ackerkulturen])-1)/(--(SEARCH(BU$2,Liste_Ackerkulturen_Gemüse_DropDown[Ackerkulturen])&gt;0)),ROW()-2),1),"")</f>
        <v>Artemisia-Arten</v>
      </c>
      <c r="BU207" s="2463"/>
      <c r="BV207" s="2463" t="str">
        <f>IFERROR(INDEX(Liste_Ackerkulturen_Gemüse_DropDown[Ackerkulturen],_xlfn.AGGREGATE(15,6,(ROW(Liste_Ackerkulturen_Gemüse_DropDown[Ackerkulturen])-1)/(--(SEARCH(BW$2,Liste_Ackerkulturen_Gemüse_DropDown[Ackerkulturen])&gt;0)),ROW()-2),1),"")</f>
        <v>Artemisia-Arten</v>
      </c>
      <c r="BW207" s="2463"/>
      <c r="BX207" s="2463" t="str">
        <f>IFERROR(INDEX(Liste_Ackerkulturen_Gemüse_DropDown[Ackerkulturen],_xlfn.AGGREGATE(15,6,(ROW(Liste_Ackerkulturen_Gemüse_DropDown[Ackerkulturen])-1)/(--(SEARCH(BY$2,Liste_Ackerkulturen_Gemüse_DropDown[Ackerkulturen])&gt;0)),ROW()-2),1),"")</f>
        <v>Artemisia-Arten</v>
      </c>
      <c r="BY207" s="2463"/>
      <c r="BZ207" s="2463" t="str">
        <f>IFERROR(INDEX(Liste_Ackerkulturen_Gemüse_DropDown[Ackerkulturen],_xlfn.AGGREGATE(15,6,(ROW(Liste_Ackerkulturen_Gemüse_DropDown[Ackerkulturen])-1)/(--(SEARCH(CA$2,Liste_Ackerkulturen_Gemüse_DropDown[Ackerkulturen])&gt;0)),ROW()-2),1),"")</f>
        <v>Artemisia-Arten</v>
      </c>
      <c r="CA207" s="2463"/>
      <c r="CB207" s="2463" t="str">
        <f>IFERROR(INDEX(Liste_Ackerkulturen_Gemüse_DropDown[Ackerkulturen],_xlfn.AGGREGATE(15,6,(ROW(Liste_Ackerkulturen_Gemüse_DropDown[Ackerkulturen])-1)/(--(SEARCH(CC$2,Liste_Ackerkulturen_Gemüse_DropDown[Ackerkulturen])&gt;0)),ROW()-2),1),"")</f>
        <v>Artemisia-Arten</v>
      </c>
      <c r="CC207" s="2463"/>
      <c r="CD207" s="2464" t="str">
        <f>IFERROR(INDEX(Liste_Ackerkulturen_Gemüse_DropDown[Ackerkulturen],_xlfn.AGGREGATE(15,6,(ROW(Liste_Ackerkulturen_Gemüse_DropDown[Ackerkulturen])-1)/(--(SEARCH(CE$2,Liste_Ackerkulturen_Gemüse_DropDown[Ackerkulturen])&gt;0)),ROW()-2),1),"")</f>
        <v>Artemisia-Arten</v>
      </c>
      <c r="CE207" s="2464"/>
      <c r="CF207" s="2464" t="str">
        <f>IFERROR(INDEX(Liste_Ackerkulturen_Gemüse_DropDown[Ackerkulturen],_xlfn.AGGREGATE(15,6,(ROW(Liste_Ackerkulturen_Gemüse_DropDown[Ackerkulturen])-1)/(--(SEARCH(CG$2,Liste_Ackerkulturen_Gemüse_DropDown[Ackerkulturen])&gt;0)),ROW()-2),1),"")</f>
        <v>Artemisia-Arten</v>
      </c>
      <c r="CG207" s="2464"/>
      <c r="CH207" s="2464" t="str">
        <f>IFERROR(INDEX(Liste_Ackerkulturen_Gemüse_DropDown[Ackerkulturen],_xlfn.AGGREGATE(15,6,(ROW(Liste_Ackerkulturen_Gemüse_DropDown[Ackerkulturen])-1)/(--(SEARCH(CI$2,Liste_Ackerkulturen_Gemüse_DropDown[Ackerkulturen])&gt;0)),ROW()-2),1),"")</f>
        <v>Artemisia-Arten</v>
      </c>
      <c r="CI207" s="2464"/>
      <c r="CJ207" s="2464" t="str">
        <f>IFERROR(INDEX(Liste_Ackerkulturen_Gemüse_DropDown[Ackerkulturen],_xlfn.AGGREGATE(15,6,(ROW(Liste_Ackerkulturen_Gemüse_DropDown[Ackerkulturen])-1)/(--(SEARCH(CK$2,Liste_Ackerkulturen_Gemüse_DropDown[Ackerkulturen])&gt;0)),ROW()-2),1),"")</f>
        <v>Artemisia-Arten</v>
      </c>
      <c r="CK207" s="2464"/>
      <c r="CL207" s="2464" t="str">
        <f>IFERROR(INDEX(Liste_Ackerkulturen_Gemüse_DropDown[Ackerkulturen],_xlfn.AGGREGATE(15,6,(ROW(Liste_Ackerkulturen_Gemüse_DropDown[Ackerkulturen])-1)/(--(SEARCH(CM$2,Liste_Ackerkulturen_Gemüse_DropDown[Ackerkulturen])&gt;0)),ROW()-2),1),"")</f>
        <v>Artemisia-Arten</v>
      </c>
      <c r="CM207" s="2464"/>
      <c r="CN207" s="2464" t="str">
        <f>IFERROR(INDEX(Liste_Ackerkulturen_Gemüse_DropDown[Ackerkulturen],_xlfn.AGGREGATE(15,6,(ROW(Liste_Ackerkulturen_Gemüse_DropDown[Ackerkulturen])-1)/(--(SEARCH(CO$2,Liste_Ackerkulturen_Gemüse_DropDown[Ackerkulturen])&gt;0)),ROW()-2),1),"")</f>
        <v>Artemisia-Arten</v>
      </c>
      <c r="CO207" s="2464"/>
      <c r="CP207" s="2464" t="str">
        <f>IFERROR(INDEX(Liste_Ackerkulturen_Gemüse_DropDown[Ackerkulturen],_xlfn.AGGREGATE(15,6,(ROW(Liste_Ackerkulturen_Gemüse_DropDown[Ackerkulturen])-1)/(--(SEARCH(CQ$2,Liste_Ackerkulturen_Gemüse_DropDown[Ackerkulturen])&gt;0)),ROW()-2),1),"")</f>
        <v>Artemisia-Arten</v>
      </c>
      <c r="CQ207" s="2464"/>
      <c r="CR207" s="2464" t="str">
        <f>IFERROR(INDEX(Liste_Ackerkulturen_Gemüse_DropDown[Ackerkulturen],_xlfn.AGGREGATE(15,6,(ROW(Liste_Ackerkulturen_Gemüse_DropDown[Ackerkulturen])-1)/(--(SEARCH(CS$2,Liste_Ackerkulturen_Gemüse_DropDown[Ackerkulturen])&gt;0)),ROW()-2),1),"")</f>
        <v>Artemisia-Arten</v>
      </c>
      <c r="CS207" s="2464"/>
      <c r="DI207" s="1541"/>
      <c r="DJ207" s="1541"/>
      <c r="DK207" s="1541"/>
      <c r="DL207" s="1541"/>
      <c r="DM207" s="1541"/>
    </row>
    <row r="208" spans="1:117" s="470" customFormat="1" ht="21" customHeight="1">
      <c r="A208" s="465"/>
      <c r="B208" s="465"/>
      <c r="C208" s="1575" t="s">
        <v>164</v>
      </c>
      <c r="D208" s="1576"/>
      <c r="E208" s="1567" t="s">
        <v>1967</v>
      </c>
      <c r="F208" s="1568">
        <v>95</v>
      </c>
      <c r="G208" s="1568"/>
      <c r="H208" s="1716" t="s">
        <v>165</v>
      </c>
      <c r="I208" s="1718">
        <v>110</v>
      </c>
      <c r="J208" s="1188" t="s">
        <v>166</v>
      </c>
      <c r="K208" s="1568">
        <v>130</v>
      </c>
      <c r="L208" s="1527">
        <v>70</v>
      </c>
      <c r="M208" s="1528">
        <v>88</v>
      </c>
      <c r="N208" s="1567">
        <v>45</v>
      </c>
      <c r="O208" s="1188">
        <v>40</v>
      </c>
      <c r="P208" s="1568">
        <v>25</v>
      </c>
      <c r="Q208" s="1718">
        <v>30</v>
      </c>
      <c r="R208" s="1568">
        <v>40</v>
      </c>
      <c r="S208" s="1568">
        <v>15</v>
      </c>
      <c r="T208" s="1599" t="s">
        <v>1201</v>
      </c>
      <c r="U208" s="1569">
        <v>90</v>
      </c>
      <c r="V208" s="1570">
        <v>75</v>
      </c>
      <c r="W208" s="1574">
        <v>50</v>
      </c>
      <c r="X208" s="1778">
        <v>60</v>
      </c>
      <c r="Y208" s="1574">
        <v>75</v>
      </c>
      <c r="Z208" s="1568">
        <v>30</v>
      </c>
      <c r="AA208" s="1599" t="s">
        <v>1201</v>
      </c>
      <c r="AB208" s="525"/>
      <c r="AC208" s="525"/>
      <c r="AD208" s="525"/>
      <c r="AE208" s="526"/>
      <c r="AF208" s="1279"/>
      <c r="AG208" s="176"/>
      <c r="AH208" s="176"/>
      <c r="AI208" s="176"/>
      <c r="AJ208" s="473"/>
      <c r="AK208" s="472"/>
      <c r="AL208" s="472"/>
      <c r="AM208" s="2371" t="s">
        <v>359</v>
      </c>
      <c r="AN208" s="2286">
        <v>140</v>
      </c>
      <c r="AO208" s="2308" t="s">
        <v>1201</v>
      </c>
      <c r="AP208" s="2286">
        <v>140</v>
      </c>
      <c r="AQ208" s="2308" t="s">
        <v>1201</v>
      </c>
      <c r="AR208" s="2286">
        <v>140</v>
      </c>
      <c r="AS208" s="2308" t="s">
        <v>1201</v>
      </c>
      <c r="AT208" s="2287">
        <v>140</v>
      </c>
      <c r="AU208" s="2309" t="s">
        <v>1201</v>
      </c>
      <c r="AV208" s="2287">
        <v>140</v>
      </c>
      <c r="AW208" s="2309" t="s">
        <v>1201</v>
      </c>
      <c r="AX208" s="2403">
        <v>70</v>
      </c>
      <c r="AY208" s="2299" t="s">
        <v>1201</v>
      </c>
      <c r="AZ208" s="2298">
        <v>70</v>
      </c>
      <c r="BA208" s="2373" t="s">
        <v>1201</v>
      </c>
      <c r="BE208" s="2371" t="s">
        <v>359</v>
      </c>
      <c r="BF208" s="2404">
        <v>60</v>
      </c>
      <c r="BG208" s="2404">
        <v>60</v>
      </c>
      <c r="BH208" s="2404">
        <v>60</v>
      </c>
      <c r="BJ208" s="2371" t="s">
        <v>359</v>
      </c>
      <c r="BK208" s="2400">
        <v>0</v>
      </c>
      <c r="BL208" s="577">
        <v>0</v>
      </c>
      <c r="BM208" s="577">
        <v>0</v>
      </c>
      <c r="BN208" s="2406"/>
      <c r="BO208" s="2402"/>
      <c r="BP208" s="2244"/>
      <c r="BQ208" s="2244"/>
      <c r="BR208" s="2244"/>
      <c r="BS208" s="2461" t="s">
        <v>361</v>
      </c>
      <c r="BT208" s="2463" t="str">
        <f>IFERROR(INDEX(Liste_Ackerkulturen_Gemüse_DropDown[Ackerkulturen],_xlfn.AGGREGATE(15,6,(ROW(Liste_Ackerkulturen_Gemüse_DropDown[Ackerkulturen])-1)/(--(SEARCH(BU$2,Liste_Ackerkulturen_Gemüse_DropDown[Ackerkulturen])&gt;0)),ROW()-2),1),"")</f>
        <v>Baldrian</v>
      </c>
      <c r="BU208" s="2463"/>
      <c r="BV208" s="2463" t="str">
        <f>IFERROR(INDEX(Liste_Ackerkulturen_Gemüse_DropDown[Ackerkulturen],_xlfn.AGGREGATE(15,6,(ROW(Liste_Ackerkulturen_Gemüse_DropDown[Ackerkulturen])-1)/(--(SEARCH(BW$2,Liste_Ackerkulturen_Gemüse_DropDown[Ackerkulturen])&gt;0)),ROW()-2),1),"")</f>
        <v>Baldrian</v>
      </c>
      <c r="BW208" s="2463"/>
      <c r="BX208" s="2463" t="str">
        <f>IFERROR(INDEX(Liste_Ackerkulturen_Gemüse_DropDown[Ackerkulturen],_xlfn.AGGREGATE(15,6,(ROW(Liste_Ackerkulturen_Gemüse_DropDown[Ackerkulturen])-1)/(--(SEARCH(BY$2,Liste_Ackerkulturen_Gemüse_DropDown[Ackerkulturen])&gt;0)),ROW()-2),1),"")</f>
        <v>Baldrian</v>
      </c>
      <c r="BY208" s="2463"/>
      <c r="BZ208" s="2463" t="str">
        <f>IFERROR(INDEX(Liste_Ackerkulturen_Gemüse_DropDown[Ackerkulturen],_xlfn.AGGREGATE(15,6,(ROW(Liste_Ackerkulturen_Gemüse_DropDown[Ackerkulturen])-1)/(--(SEARCH(CA$2,Liste_Ackerkulturen_Gemüse_DropDown[Ackerkulturen])&gt;0)),ROW()-2),1),"")</f>
        <v>Baldrian</v>
      </c>
      <c r="CA208" s="2463"/>
      <c r="CB208" s="2463" t="str">
        <f>IFERROR(INDEX(Liste_Ackerkulturen_Gemüse_DropDown[Ackerkulturen],_xlfn.AGGREGATE(15,6,(ROW(Liste_Ackerkulturen_Gemüse_DropDown[Ackerkulturen])-1)/(--(SEARCH(CC$2,Liste_Ackerkulturen_Gemüse_DropDown[Ackerkulturen])&gt;0)),ROW()-2),1),"")</f>
        <v>Baldrian</v>
      </c>
      <c r="CC208" s="2463"/>
      <c r="CD208" s="2464" t="str">
        <f>IFERROR(INDEX(Liste_Ackerkulturen_Gemüse_DropDown[Ackerkulturen],_xlfn.AGGREGATE(15,6,(ROW(Liste_Ackerkulturen_Gemüse_DropDown[Ackerkulturen])-1)/(--(SEARCH(CE$2,Liste_Ackerkulturen_Gemüse_DropDown[Ackerkulturen])&gt;0)),ROW()-2),1),"")</f>
        <v>Baldrian</v>
      </c>
      <c r="CE208" s="2464"/>
      <c r="CF208" s="2464" t="str">
        <f>IFERROR(INDEX(Liste_Ackerkulturen_Gemüse_DropDown[Ackerkulturen],_xlfn.AGGREGATE(15,6,(ROW(Liste_Ackerkulturen_Gemüse_DropDown[Ackerkulturen])-1)/(--(SEARCH(CG$2,Liste_Ackerkulturen_Gemüse_DropDown[Ackerkulturen])&gt;0)),ROW()-2),1),"")</f>
        <v>Baldrian</v>
      </c>
      <c r="CG208" s="2464"/>
      <c r="CH208" s="2464" t="str">
        <f>IFERROR(INDEX(Liste_Ackerkulturen_Gemüse_DropDown[Ackerkulturen],_xlfn.AGGREGATE(15,6,(ROW(Liste_Ackerkulturen_Gemüse_DropDown[Ackerkulturen])-1)/(--(SEARCH(CI$2,Liste_Ackerkulturen_Gemüse_DropDown[Ackerkulturen])&gt;0)),ROW()-2),1),"")</f>
        <v>Baldrian</v>
      </c>
      <c r="CI208" s="2464"/>
      <c r="CJ208" s="2464" t="str">
        <f>IFERROR(INDEX(Liste_Ackerkulturen_Gemüse_DropDown[Ackerkulturen],_xlfn.AGGREGATE(15,6,(ROW(Liste_Ackerkulturen_Gemüse_DropDown[Ackerkulturen])-1)/(--(SEARCH(CK$2,Liste_Ackerkulturen_Gemüse_DropDown[Ackerkulturen])&gt;0)),ROW()-2),1),"")</f>
        <v>Baldrian</v>
      </c>
      <c r="CK208" s="2464"/>
      <c r="CL208" s="2464" t="str">
        <f>IFERROR(INDEX(Liste_Ackerkulturen_Gemüse_DropDown[Ackerkulturen],_xlfn.AGGREGATE(15,6,(ROW(Liste_Ackerkulturen_Gemüse_DropDown[Ackerkulturen])-1)/(--(SEARCH(CM$2,Liste_Ackerkulturen_Gemüse_DropDown[Ackerkulturen])&gt;0)),ROW()-2),1),"")</f>
        <v>Baldrian</v>
      </c>
      <c r="CM208" s="2464"/>
      <c r="CN208" s="2464" t="str">
        <f>IFERROR(INDEX(Liste_Ackerkulturen_Gemüse_DropDown[Ackerkulturen],_xlfn.AGGREGATE(15,6,(ROW(Liste_Ackerkulturen_Gemüse_DropDown[Ackerkulturen])-1)/(--(SEARCH(CO$2,Liste_Ackerkulturen_Gemüse_DropDown[Ackerkulturen])&gt;0)),ROW()-2),1),"")</f>
        <v>Baldrian</v>
      </c>
      <c r="CO208" s="2464"/>
      <c r="CP208" s="2464" t="str">
        <f>IFERROR(INDEX(Liste_Ackerkulturen_Gemüse_DropDown[Ackerkulturen],_xlfn.AGGREGATE(15,6,(ROW(Liste_Ackerkulturen_Gemüse_DropDown[Ackerkulturen])-1)/(--(SEARCH(CQ$2,Liste_Ackerkulturen_Gemüse_DropDown[Ackerkulturen])&gt;0)),ROW()-2),1),"")</f>
        <v>Baldrian</v>
      </c>
      <c r="CQ208" s="2464"/>
      <c r="CR208" s="2464" t="str">
        <f>IFERROR(INDEX(Liste_Ackerkulturen_Gemüse_DropDown[Ackerkulturen],_xlfn.AGGREGATE(15,6,(ROW(Liste_Ackerkulturen_Gemüse_DropDown[Ackerkulturen])-1)/(--(SEARCH(CS$2,Liste_Ackerkulturen_Gemüse_DropDown[Ackerkulturen])&gt;0)),ROW()-2),1),"")</f>
        <v>Baldrian</v>
      </c>
      <c r="CS208" s="2464"/>
      <c r="DI208" s="1541"/>
      <c r="DJ208" s="1541"/>
      <c r="DK208" s="1541"/>
      <c r="DL208" s="1541"/>
      <c r="DM208" s="1541"/>
    </row>
    <row r="209" spans="1:117" s="470" customFormat="1" ht="21" customHeight="1">
      <c r="A209" s="465"/>
      <c r="B209" s="465"/>
      <c r="C209" s="1575" t="s">
        <v>167</v>
      </c>
      <c r="D209" s="1576"/>
      <c r="E209" s="1567" t="s">
        <v>1983</v>
      </c>
      <c r="F209" s="1568">
        <v>185</v>
      </c>
      <c r="G209" s="1568"/>
      <c r="H209" s="1716" t="s">
        <v>1984</v>
      </c>
      <c r="I209" s="1718">
        <v>220</v>
      </c>
      <c r="J209" s="1188" t="s">
        <v>168</v>
      </c>
      <c r="K209" s="1568">
        <v>265</v>
      </c>
      <c r="L209" s="1527">
        <v>180</v>
      </c>
      <c r="M209" s="1528">
        <v>225</v>
      </c>
      <c r="N209" s="1567">
        <v>60</v>
      </c>
      <c r="O209" s="1188">
        <v>50</v>
      </c>
      <c r="P209" s="1568">
        <v>30</v>
      </c>
      <c r="Q209" s="1718">
        <v>40</v>
      </c>
      <c r="R209" s="1568">
        <v>50</v>
      </c>
      <c r="S209" s="1568">
        <v>20</v>
      </c>
      <c r="T209" s="1599" t="s">
        <v>1201</v>
      </c>
      <c r="U209" s="1569">
        <v>270</v>
      </c>
      <c r="V209" s="1570">
        <v>225</v>
      </c>
      <c r="W209" s="1574">
        <v>145</v>
      </c>
      <c r="X209" s="1778">
        <v>180</v>
      </c>
      <c r="Y209" s="1574">
        <v>225</v>
      </c>
      <c r="Z209" s="1568">
        <v>90</v>
      </c>
      <c r="AA209" s="1599" t="s">
        <v>1201</v>
      </c>
      <c r="AB209" s="525"/>
      <c r="AC209" s="525"/>
      <c r="AD209" s="525"/>
      <c r="AE209" s="526"/>
      <c r="AF209" s="1279"/>
      <c r="AG209" s="176"/>
      <c r="AH209" s="176"/>
      <c r="AI209" s="176"/>
      <c r="AJ209" s="473"/>
      <c r="AK209" s="472"/>
      <c r="AL209" s="472"/>
      <c r="AM209" s="2371" t="s">
        <v>360</v>
      </c>
      <c r="AN209" s="2286">
        <v>150</v>
      </c>
      <c r="AO209" s="2308" t="s">
        <v>1201</v>
      </c>
      <c r="AP209" s="2286">
        <v>150</v>
      </c>
      <c r="AQ209" s="2308" t="s">
        <v>1201</v>
      </c>
      <c r="AR209" s="2286">
        <v>150</v>
      </c>
      <c r="AS209" s="2308" t="s">
        <v>1201</v>
      </c>
      <c r="AT209" s="2287">
        <v>150</v>
      </c>
      <c r="AU209" s="2309" t="s">
        <v>1201</v>
      </c>
      <c r="AV209" s="2287">
        <v>150</v>
      </c>
      <c r="AW209" s="2309" t="s">
        <v>1201</v>
      </c>
      <c r="AX209" s="2403">
        <v>140</v>
      </c>
      <c r="AY209" s="2299" t="s">
        <v>1201</v>
      </c>
      <c r="AZ209" s="2298">
        <v>140</v>
      </c>
      <c r="BA209" s="2373" t="s">
        <v>1201</v>
      </c>
      <c r="BE209" s="2371" t="s">
        <v>360</v>
      </c>
      <c r="BF209" s="2404">
        <v>50</v>
      </c>
      <c r="BG209" s="2404">
        <v>50</v>
      </c>
      <c r="BH209" s="2404">
        <v>50</v>
      </c>
      <c r="BJ209" s="2371" t="s">
        <v>360</v>
      </c>
      <c r="BK209" s="2400">
        <v>0</v>
      </c>
      <c r="BL209" s="577">
        <v>0</v>
      </c>
      <c r="BM209" s="577">
        <v>0</v>
      </c>
      <c r="BN209" s="2406"/>
      <c r="BO209" s="2402"/>
      <c r="BP209" s="2244"/>
      <c r="BQ209" s="2244"/>
      <c r="BR209" s="2244"/>
      <c r="BS209" s="2461" t="s">
        <v>362</v>
      </c>
      <c r="BT209" s="2463" t="str">
        <f>IFERROR(INDEX(Liste_Ackerkulturen_Gemüse_DropDown[Ackerkulturen],_xlfn.AGGREGATE(15,6,(ROW(Liste_Ackerkulturen_Gemüse_DropDown[Ackerkulturen])-1)/(--(SEARCH(BU$2,Liste_Ackerkulturen_Gemüse_DropDown[Ackerkulturen])&gt;0)),ROW()-2),1),"")</f>
        <v xml:space="preserve">Basilikum </v>
      </c>
      <c r="BU209" s="2463"/>
      <c r="BV209" s="2463" t="str">
        <f>IFERROR(INDEX(Liste_Ackerkulturen_Gemüse_DropDown[Ackerkulturen],_xlfn.AGGREGATE(15,6,(ROW(Liste_Ackerkulturen_Gemüse_DropDown[Ackerkulturen])-1)/(--(SEARCH(BW$2,Liste_Ackerkulturen_Gemüse_DropDown[Ackerkulturen])&gt;0)),ROW()-2),1),"")</f>
        <v xml:space="preserve">Basilikum </v>
      </c>
      <c r="BW209" s="2463"/>
      <c r="BX209" s="2463" t="str">
        <f>IFERROR(INDEX(Liste_Ackerkulturen_Gemüse_DropDown[Ackerkulturen],_xlfn.AGGREGATE(15,6,(ROW(Liste_Ackerkulturen_Gemüse_DropDown[Ackerkulturen])-1)/(--(SEARCH(BY$2,Liste_Ackerkulturen_Gemüse_DropDown[Ackerkulturen])&gt;0)),ROW()-2),1),"")</f>
        <v xml:space="preserve">Basilikum </v>
      </c>
      <c r="BY209" s="2463"/>
      <c r="BZ209" s="2463" t="str">
        <f>IFERROR(INDEX(Liste_Ackerkulturen_Gemüse_DropDown[Ackerkulturen],_xlfn.AGGREGATE(15,6,(ROW(Liste_Ackerkulturen_Gemüse_DropDown[Ackerkulturen])-1)/(--(SEARCH(CA$2,Liste_Ackerkulturen_Gemüse_DropDown[Ackerkulturen])&gt;0)),ROW()-2),1),"")</f>
        <v xml:space="preserve">Basilikum </v>
      </c>
      <c r="CA209" s="2463"/>
      <c r="CB209" s="2463" t="str">
        <f>IFERROR(INDEX(Liste_Ackerkulturen_Gemüse_DropDown[Ackerkulturen],_xlfn.AGGREGATE(15,6,(ROW(Liste_Ackerkulturen_Gemüse_DropDown[Ackerkulturen])-1)/(--(SEARCH(CC$2,Liste_Ackerkulturen_Gemüse_DropDown[Ackerkulturen])&gt;0)),ROW()-2),1),"")</f>
        <v xml:space="preserve">Basilikum </v>
      </c>
      <c r="CC209" s="2463"/>
      <c r="CD209" s="2464" t="str">
        <f>IFERROR(INDEX(Liste_Ackerkulturen_Gemüse_DropDown[Ackerkulturen],_xlfn.AGGREGATE(15,6,(ROW(Liste_Ackerkulturen_Gemüse_DropDown[Ackerkulturen])-1)/(--(SEARCH(CE$2,Liste_Ackerkulturen_Gemüse_DropDown[Ackerkulturen])&gt;0)),ROW()-2),1),"")</f>
        <v xml:space="preserve">Basilikum </v>
      </c>
      <c r="CE209" s="2464"/>
      <c r="CF209" s="2464" t="str">
        <f>IFERROR(INDEX(Liste_Ackerkulturen_Gemüse_DropDown[Ackerkulturen],_xlfn.AGGREGATE(15,6,(ROW(Liste_Ackerkulturen_Gemüse_DropDown[Ackerkulturen])-1)/(--(SEARCH(CG$2,Liste_Ackerkulturen_Gemüse_DropDown[Ackerkulturen])&gt;0)),ROW()-2),1),"")</f>
        <v xml:space="preserve">Basilikum </v>
      </c>
      <c r="CG209" s="2464"/>
      <c r="CH209" s="2464" t="str">
        <f>IFERROR(INDEX(Liste_Ackerkulturen_Gemüse_DropDown[Ackerkulturen],_xlfn.AGGREGATE(15,6,(ROW(Liste_Ackerkulturen_Gemüse_DropDown[Ackerkulturen])-1)/(--(SEARCH(CI$2,Liste_Ackerkulturen_Gemüse_DropDown[Ackerkulturen])&gt;0)),ROW()-2),1),"")</f>
        <v xml:space="preserve">Basilikum </v>
      </c>
      <c r="CI209" s="2464"/>
      <c r="CJ209" s="2464" t="str">
        <f>IFERROR(INDEX(Liste_Ackerkulturen_Gemüse_DropDown[Ackerkulturen],_xlfn.AGGREGATE(15,6,(ROW(Liste_Ackerkulturen_Gemüse_DropDown[Ackerkulturen])-1)/(--(SEARCH(CK$2,Liste_Ackerkulturen_Gemüse_DropDown[Ackerkulturen])&gt;0)),ROW()-2),1),"")</f>
        <v xml:space="preserve">Basilikum </v>
      </c>
      <c r="CK209" s="2464"/>
      <c r="CL209" s="2464" t="str">
        <f>IFERROR(INDEX(Liste_Ackerkulturen_Gemüse_DropDown[Ackerkulturen],_xlfn.AGGREGATE(15,6,(ROW(Liste_Ackerkulturen_Gemüse_DropDown[Ackerkulturen])-1)/(--(SEARCH(CM$2,Liste_Ackerkulturen_Gemüse_DropDown[Ackerkulturen])&gt;0)),ROW()-2),1),"")</f>
        <v xml:space="preserve">Basilikum </v>
      </c>
      <c r="CM209" s="2464"/>
      <c r="CN209" s="2464" t="str">
        <f>IFERROR(INDEX(Liste_Ackerkulturen_Gemüse_DropDown[Ackerkulturen],_xlfn.AGGREGATE(15,6,(ROW(Liste_Ackerkulturen_Gemüse_DropDown[Ackerkulturen])-1)/(--(SEARCH(CO$2,Liste_Ackerkulturen_Gemüse_DropDown[Ackerkulturen])&gt;0)),ROW()-2),1),"")</f>
        <v xml:space="preserve">Basilikum </v>
      </c>
      <c r="CO209" s="2464"/>
      <c r="CP209" s="2464" t="str">
        <f>IFERROR(INDEX(Liste_Ackerkulturen_Gemüse_DropDown[Ackerkulturen],_xlfn.AGGREGATE(15,6,(ROW(Liste_Ackerkulturen_Gemüse_DropDown[Ackerkulturen])-1)/(--(SEARCH(CQ$2,Liste_Ackerkulturen_Gemüse_DropDown[Ackerkulturen])&gt;0)),ROW()-2),1),"")</f>
        <v xml:space="preserve">Basilikum </v>
      </c>
      <c r="CQ209" s="2464"/>
      <c r="CR209" s="2464" t="str">
        <f>IFERROR(INDEX(Liste_Ackerkulturen_Gemüse_DropDown[Ackerkulturen],_xlfn.AGGREGATE(15,6,(ROW(Liste_Ackerkulturen_Gemüse_DropDown[Ackerkulturen])-1)/(--(SEARCH(CS$2,Liste_Ackerkulturen_Gemüse_DropDown[Ackerkulturen])&gt;0)),ROW()-2),1),"")</f>
        <v xml:space="preserve">Basilikum </v>
      </c>
      <c r="CS209" s="2464"/>
      <c r="DI209" s="1541"/>
      <c r="DJ209" s="1541"/>
      <c r="DK209" s="1541"/>
      <c r="DL209" s="1541"/>
      <c r="DM209" s="1541"/>
    </row>
    <row r="210" spans="1:117" s="470" customFormat="1" ht="21" customHeight="1">
      <c r="A210" s="465"/>
      <c r="B210" s="465"/>
      <c r="C210" s="1575" t="s">
        <v>169</v>
      </c>
      <c r="D210" s="1576"/>
      <c r="E210" s="1567" t="s">
        <v>170</v>
      </c>
      <c r="F210" s="1568">
        <v>185</v>
      </c>
      <c r="G210" s="1568"/>
      <c r="H210" s="1716" t="s">
        <v>467</v>
      </c>
      <c r="I210" s="1718">
        <v>220</v>
      </c>
      <c r="J210" s="1188" t="s">
        <v>69</v>
      </c>
      <c r="K210" s="1568">
        <v>265</v>
      </c>
      <c r="L210" s="1527">
        <v>180</v>
      </c>
      <c r="M210" s="1528">
        <v>225</v>
      </c>
      <c r="N210" s="1567">
        <v>75</v>
      </c>
      <c r="O210" s="1188">
        <v>65</v>
      </c>
      <c r="P210" s="1568">
        <v>40</v>
      </c>
      <c r="Q210" s="1718">
        <v>50</v>
      </c>
      <c r="R210" s="1568">
        <v>65</v>
      </c>
      <c r="S210" s="1568">
        <v>25</v>
      </c>
      <c r="T210" s="1599" t="s">
        <v>1201</v>
      </c>
      <c r="U210" s="1569">
        <v>315</v>
      </c>
      <c r="V210" s="1570">
        <v>265</v>
      </c>
      <c r="W210" s="1574">
        <v>170</v>
      </c>
      <c r="X210" s="1778">
        <v>210</v>
      </c>
      <c r="Y210" s="1574">
        <v>265</v>
      </c>
      <c r="Z210" s="1568">
        <v>105</v>
      </c>
      <c r="AA210" s="1599" t="s">
        <v>1201</v>
      </c>
      <c r="AB210" s="525"/>
      <c r="AC210" s="525"/>
      <c r="AD210" s="525"/>
      <c r="AE210" s="526"/>
      <c r="AF210" s="1279"/>
      <c r="AG210" s="176"/>
      <c r="AH210" s="176"/>
      <c r="AI210" s="176"/>
      <c r="AJ210" s="473"/>
      <c r="AK210" s="472"/>
      <c r="AL210" s="472"/>
      <c r="AM210" s="2371" t="s">
        <v>361</v>
      </c>
      <c r="AN210" s="2286">
        <v>100</v>
      </c>
      <c r="AO210" s="2308" t="s">
        <v>1201</v>
      </c>
      <c r="AP210" s="2286">
        <v>100</v>
      </c>
      <c r="AQ210" s="2308" t="s">
        <v>1201</v>
      </c>
      <c r="AR210" s="2286">
        <v>100</v>
      </c>
      <c r="AS210" s="2308" t="s">
        <v>1201</v>
      </c>
      <c r="AT210" s="2287">
        <v>100</v>
      </c>
      <c r="AU210" s="2309" t="s">
        <v>1201</v>
      </c>
      <c r="AV210" s="2287">
        <v>100</v>
      </c>
      <c r="AW210" s="2309" t="s">
        <v>1201</v>
      </c>
      <c r="AX210" s="2403">
        <v>90</v>
      </c>
      <c r="AY210" s="2299" t="s">
        <v>1201</v>
      </c>
      <c r="AZ210" s="2298">
        <v>90</v>
      </c>
      <c r="BA210" s="2373" t="s">
        <v>1201</v>
      </c>
      <c r="BE210" s="2371" t="s">
        <v>361</v>
      </c>
      <c r="BF210" s="2404">
        <v>60</v>
      </c>
      <c r="BG210" s="2404">
        <v>60</v>
      </c>
      <c r="BH210" s="2404">
        <v>60</v>
      </c>
      <c r="BJ210" s="2371" t="s">
        <v>361</v>
      </c>
      <c r="BK210" s="2400">
        <v>0</v>
      </c>
      <c r="BL210" s="577">
        <v>0</v>
      </c>
      <c r="BM210" s="577">
        <v>0</v>
      </c>
      <c r="BN210" s="2406"/>
      <c r="BO210" s="2402"/>
      <c r="BP210" s="2244"/>
      <c r="BQ210" s="2244"/>
      <c r="BR210" s="2244"/>
      <c r="BS210" s="2461" t="s">
        <v>363</v>
      </c>
      <c r="BT210" s="2463" t="str">
        <f>IFERROR(INDEX(Liste_Ackerkulturen_Gemüse_DropDown[Ackerkulturen],_xlfn.AGGREGATE(15,6,(ROW(Liste_Ackerkulturen_Gemüse_DropDown[Ackerkulturen])-1)/(--(SEARCH(BU$2,Liste_Ackerkulturen_Gemüse_DropDown[Ackerkulturen])&gt;0)),ROW()-2),1),"")</f>
        <v>Bibernelle</v>
      </c>
      <c r="BU210" s="2463"/>
      <c r="BV210" s="2463" t="str">
        <f>IFERROR(INDEX(Liste_Ackerkulturen_Gemüse_DropDown[Ackerkulturen],_xlfn.AGGREGATE(15,6,(ROW(Liste_Ackerkulturen_Gemüse_DropDown[Ackerkulturen])-1)/(--(SEARCH(BW$2,Liste_Ackerkulturen_Gemüse_DropDown[Ackerkulturen])&gt;0)),ROW()-2),1),"")</f>
        <v>Bibernelle</v>
      </c>
      <c r="BW210" s="2463"/>
      <c r="BX210" s="2463" t="str">
        <f>IFERROR(INDEX(Liste_Ackerkulturen_Gemüse_DropDown[Ackerkulturen],_xlfn.AGGREGATE(15,6,(ROW(Liste_Ackerkulturen_Gemüse_DropDown[Ackerkulturen])-1)/(--(SEARCH(BY$2,Liste_Ackerkulturen_Gemüse_DropDown[Ackerkulturen])&gt;0)),ROW()-2),1),"")</f>
        <v>Bibernelle</v>
      </c>
      <c r="BY210" s="2463"/>
      <c r="BZ210" s="2463" t="str">
        <f>IFERROR(INDEX(Liste_Ackerkulturen_Gemüse_DropDown[Ackerkulturen],_xlfn.AGGREGATE(15,6,(ROW(Liste_Ackerkulturen_Gemüse_DropDown[Ackerkulturen])-1)/(--(SEARCH(CA$2,Liste_Ackerkulturen_Gemüse_DropDown[Ackerkulturen])&gt;0)),ROW()-2),1),"")</f>
        <v>Bibernelle</v>
      </c>
      <c r="CA210" s="2463"/>
      <c r="CB210" s="2463" t="str">
        <f>IFERROR(INDEX(Liste_Ackerkulturen_Gemüse_DropDown[Ackerkulturen],_xlfn.AGGREGATE(15,6,(ROW(Liste_Ackerkulturen_Gemüse_DropDown[Ackerkulturen])-1)/(--(SEARCH(CC$2,Liste_Ackerkulturen_Gemüse_DropDown[Ackerkulturen])&gt;0)),ROW()-2),1),"")</f>
        <v>Bibernelle</v>
      </c>
      <c r="CC210" s="2463"/>
      <c r="CD210" s="2464" t="str">
        <f>IFERROR(INDEX(Liste_Ackerkulturen_Gemüse_DropDown[Ackerkulturen],_xlfn.AGGREGATE(15,6,(ROW(Liste_Ackerkulturen_Gemüse_DropDown[Ackerkulturen])-1)/(--(SEARCH(CE$2,Liste_Ackerkulturen_Gemüse_DropDown[Ackerkulturen])&gt;0)),ROW()-2),1),"")</f>
        <v>Bibernelle</v>
      </c>
      <c r="CE210" s="2464"/>
      <c r="CF210" s="2464" t="str">
        <f>IFERROR(INDEX(Liste_Ackerkulturen_Gemüse_DropDown[Ackerkulturen],_xlfn.AGGREGATE(15,6,(ROW(Liste_Ackerkulturen_Gemüse_DropDown[Ackerkulturen])-1)/(--(SEARCH(CG$2,Liste_Ackerkulturen_Gemüse_DropDown[Ackerkulturen])&gt;0)),ROW()-2),1),"")</f>
        <v>Bibernelle</v>
      </c>
      <c r="CG210" s="2464"/>
      <c r="CH210" s="2464" t="str">
        <f>IFERROR(INDEX(Liste_Ackerkulturen_Gemüse_DropDown[Ackerkulturen],_xlfn.AGGREGATE(15,6,(ROW(Liste_Ackerkulturen_Gemüse_DropDown[Ackerkulturen])-1)/(--(SEARCH(CI$2,Liste_Ackerkulturen_Gemüse_DropDown[Ackerkulturen])&gt;0)),ROW()-2),1),"")</f>
        <v>Bibernelle</v>
      </c>
      <c r="CI210" s="2464"/>
      <c r="CJ210" s="2464" t="str">
        <f>IFERROR(INDEX(Liste_Ackerkulturen_Gemüse_DropDown[Ackerkulturen],_xlfn.AGGREGATE(15,6,(ROW(Liste_Ackerkulturen_Gemüse_DropDown[Ackerkulturen])-1)/(--(SEARCH(CK$2,Liste_Ackerkulturen_Gemüse_DropDown[Ackerkulturen])&gt;0)),ROW()-2),1),"")</f>
        <v>Bibernelle</v>
      </c>
      <c r="CK210" s="2464"/>
      <c r="CL210" s="2464" t="str">
        <f>IFERROR(INDEX(Liste_Ackerkulturen_Gemüse_DropDown[Ackerkulturen],_xlfn.AGGREGATE(15,6,(ROW(Liste_Ackerkulturen_Gemüse_DropDown[Ackerkulturen])-1)/(--(SEARCH(CM$2,Liste_Ackerkulturen_Gemüse_DropDown[Ackerkulturen])&gt;0)),ROW()-2),1),"")</f>
        <v>Bibernelle</v>
      </c>
      <c r="CM210" s="2464"/>
      <c r="CN210" s="2464" t="str">
        <f>IFERROR(INDEX(Liste_Ackerkulturen_Gemüse_DropDown[Ackerkulturen],_xlfn.AGGREGATE(15,6,(ROW(Liste_Ackerkulturen_Gemüse_DropDown[Ackerkulturen])-1)/(--(SEARCH(CO$2,Liste_Ackerkulturen_Gemüse_DropDown[Ackerkulturen])&gt;0)),ROW()-2),1),"")</f>
        <v>Bibernelle</v>
      </c>
      <c r="CO210" s="2464"/>
      <c r="CP210" s="2464" t="str">
        <f>IFERROR(INDEX(Liste_Ackerkulturen_Gemüse_DropDown[Ackerkulturen],_xlfn.AGGREGATE(15,6,(ROW(Liste_Ackerkulturen_Gemüse_DropDown[Ackerkulturen])-1)/(--(SEARCH(CQ$2,Liste_Ackerkulturen_Gemüse_DropDown[Ackerkulturen])&gt;0)),ROW()-2),1),"")</f>
        <v>Bibernelle</v>
      </c>
      <c r="CQ210" s="2464"/>
      <c r="CR210" s="2464" t="str">
        <f>IFERROR(INDEX(Liste_Ackerkulturen_Gemüse_DropDown[Ackerkulturen],_xlfn.AGGREGATE(15,6,(ROW(Liste_Ackerkulturen_Gemüse_DropDown[Ackerkulturen])-1)/(--(SEARCH(CS$2,Liste_Ackerkulturen_Gemüse_DropDown[Ackerkulturen])&gt;0)),ROW()-2),1),"")</f>
        <v>Bibernelle</v>
      </c>
      <c r="CS210" s="2464"/>
      <c r="DI210" s="1541"/>
      <c r="DJ210" s="1541"/>
      <c r="DK210" s="1541"/>
      <c r="DL210" s="1541"/>
      <c r="DM210" s="1541"/>
    </row>
    <row r="211" spans="1:117" s="470" customFormat="1" ht="21" customHeight="1">
      <c r="A211" s="465"/>
      <c r="B211" s="465"/>
      <c r="C211" s="1575" t="s">
        <v>171</v>
      </c>
      <c r="D211" s="1576"/>
      <c r="E211" s="1567" t="s">
        <v>170</v>
      </c>
      <c r="F211" s="1568">
        <v>185</v>
      </c>
      <c r="G211" s="1568"/>
      <c r="H211" s="1716" t="s">
        <v>172</v>
      </c>
      <c r="I211" s="1718">
        <v>220</v>
      </c>
      <c r="J211" s="1188" t="s">
        <v>173</v>
      </c>
      <c r="K211" s="1568">
        <v>265</v>
      </c>
      <c r="L211" s="1527">
        <v>180</v>
      </c>
      <c r="M211" s="1528">
        <v>225</v>
      </c>
      <c r="N211" s="1567">
        <v>60</v>
      </c>
      <c r="O211" s="1188">
        <v>50</v>
      </c>
      <c r="P211" s="1568">
        <v>30</v>
      </c>
      <c r="Q211" s="1718">
        <v>40</v>
      </c>
      <c r="R211" s="1568">
        <v>50</v>
      </c>
      <c r="S211" s="1568">
        <v>20</v>
      </c>
      <c r="T211" s="1599" t="s">
        <v>1201</v>
      </c>
      <c r="U211" s="1569">
        <v>210</v>
      </c>
      <c r="V211" s="1570">
        <v>175</v>
      </c>
      <c r="W211" s="1574">
        <v>110</v>
      </c>
      <c r="X211" s="1778">
        <v>140</v>
      </c>
      <c r="Y211" s="1574">
        <v>175</v>
      </c>
      <c r="Z211" s="1568">
        <v>70</v>
      </c>
      <c r="AA211" s="1599" t="s">
        <v>1201</v>
      </c>
      <c r="AB211" s="525"/>
      <c r="AC211" s="525"/>
      <c r="AD211" s="525"/>
      <c r="AE211" s="526"/>
      <c r="AF211" s="1279"/>
      <c r="AG211" s="176"/>
      <c r="AH211" s="176"/>
      <c r="AI211" s="176"/>
      <c r="AJ211" s="473"/>
      <c r="AK211" s="472"/>
      <c r="AL211" s="472"/>
      <c r="AM211" s="2371" t="s">
        <v>362</v>
      </c>
      <c r="AN211" s="2286">
        <v>150</v>
      </c>
      <c r="AO211" s="2308" t="s">
        <v>1201</v>
      </c>
      <c r="AP211" s="2286">
        <v>150</v>
      </c>
      <c r="AQ211" s="2308" t="s">
        <v>1201</v>
      </c>
      <c r="AR211" s="2286">
        <v>150</v>
      </c>
      <c r="AS211" s="2308" t="s">
        <v>1201</v>
      </c>
      <c r="AT211" s="2287">
        <v>150</v>
      </c>
      <c r="AU211" s="2309" t="s">
        <v>1201</v>
      </c>
      <c r="AV211" s="2287">
        <v>150</v>
      </c>
      <c r="AW211" s="2309" t="s">
        <v>1201</v>
      </c>
      <c r="AX211" s="2403">
        <v>120</v>
      </c>
      <c r="AY211" s="2299" t="s">
        <v>1201</v>
      </c>
      <c r="AZ211" s="2298">
        <v>120</v>
      </c>
      <c r="BA211" s="2373" t="s">
        <v>1201</v>
      </c>
      <c r="BE211" s="2371" t="s">
        <v>362</v>
      </c>
      <c r="BF211" s="2404">
        <v>60</v>
      </c>
      <c r="BG211" s="2404">
        <v>60</v>
      </c>
      <c r="BH211" s="2404">
        <v>60</v>
      </c>
      <c r="BJ211" s="2371" t="s">
        <v>362</v>
      </c>
      <c r="BK211" s="2400">
        <v>0</v>
      </c>
      <c r="BL211" s="577">
        <v>0</v>
      </c>
      <c r="BM211" s="577">
        <v>0</v>
      </c>
      <c r="BN211" s="2406"/>
      <c r="BO211" s="2402"/>
      <c r="BP211" s="2244"/>
      <c r="BQ211" s="2244"/>
      <c r="BR211" s="2244"/>
      <c r="BS211" s="2461" t="s">
        <v>364</v>
      </c>
      <c r="BT211" s="2463" t="str">
        <f>IFERROR(INDEX(Liste_Ackerkulturen_Gemüse_DropDown[Ackerkulturen],_xlfn.AGGREGATE(15,6,(ROW(Liste_Ackerkulturen_Gemüse_DropDown[Ackerkulturen])-1)/(--(SEARCH(BU$2,Liste_Ackerkulturen_Gemüse_DropDown[Ackerkulturen])&gt;0)),ROW()-2),1),"")</f>
        <v>Bockshornklee</v>
      </c>
      <c r="BU211" s="2463"/>
      <c r="BV211" s="2463" t="str">
        <f>IFERROR(INDEX(Liste_Ackerkulturen_Gemüse_DropDown[Ackerkulturen],_xlfn.AGGREGATE(15,6,(ROW(Liste_Ackerkulturen_Gemüse_DropDown[Ackerkulturen])-1)/(--(SEARCH(BW$2,Liste_Ackerkulturen_Gemüse_DropDown[Ackerkulturen])&gt;0)),ROW()-2),1),"")</f>
        <v>Bockshornklee</v>
      </c>
      <c r="BW211" s="2463"/>
      <c r="BX211" s="2463" t="str">
        <f>IFERROR(INDEX(Liste_Ackerkulturen_Gemüse_DropDown[Ackerkulturen],_xlfn.AGGREGATE(15,6,(ROW(Liste_Ackerkulturen_Gemüse_DropDown[Ackerkulturen])-1)/(--(SEARCH(BY$2,Liste_Ackerkulturen_Gemüse_DropDown[Ackerkulturen])&gt;0)),ROW()-2),1),"")</f>
        <v>Bockshornklee</v>
      </c>
      <c r="BY211" s="2463"/>
      <c r="BZ211" s="2463" t="str">
        <f>IFERROR(INDEX(Liste_Ackerkulturen_Gemüse_DropDown[Ackerkulturen],_xlfn.AGGREGATE(15,6,(ROW(Liste_Ackerkulturen_Gemüse_DropDown[Ackerkulturen])-1)/(--(SEARCH(CA$2,Liste_Ackerkulturen_Gemüse_DropDown[Ackerkulturen])&gt;0)),ROW()-2),1),"")</f>
        <v>Bockshornklee</v>
      </c>
      <c r="CA211" s="2463"/>
      <c r="CB211" s="2463" t="str">
        <f>IFERROR(INDEX(Liste_Ackerkulturen_Gemüse_DropDown[Ackerkulturen],_xlfn.AGGREGATE(15,6,(ROW(Liste_Ackerkulturen_Gemüse_DropDown[Ackerkulturen])-1)/(--(SEARCH(CC$2,Liste_Ackerkulturen_Gemüse_DropDown[Ackerkulturen])&gt;0)),ROW()-2),1),"")</f>
        <v>Bockshornklee</v>
      </c>
      <c r="CC211" s="2463"/>
      <c r="CD211" s="2464" t="str">
        <f>IFERROR(INDEX(Liste_Ackerkulturen_Gemüse_DropDown[Ackerkulturen],_xlfn.AGGREGATE(15,6,(ROW(Liste_Ackerkulturen_Gemüse_DropDown[Ackerkulturen])-1)/(--(SEARCH(CE$2,Liste_Ackerkulturen_Gemüse_DropDown[Ackerkulturen])&gt;0)),ROW()-2),1),"")</f>
        <v>Bockshornklee</v>
      </c>
      <c r="CE211" s="2464"/>
      <c r="CF211" s="2464" t="str">
        <f>IFERROR(INDEX(Liste_Ackerkulturen_Gemüse_DropDown[Ackerkulturen],_xlfn.AGGREGATE(15,6,(ROW(Liste_Ackerkulturen_Gemüse_DropDown[Ackerkulturen])-1)/(--(SEARCH(CG$2,Liste_Ackerkulturen_Gemüse_DropDown[Ackerkulturen])&gt;0)),ROW()-2),1),"")</f>
        <v>Bockshornklee</v>
      </c>
      <c r="CG211" s="2464"/>
      <c r="CH211" s="2464" t="str">
        <f>IFERROR(INDEX(Liste_Ackerkulturen_Gemüse_DropDown[Ackerkulturen],_xlfn.AGGREGATE(15,6,(ROW(Liste_Ackerkulturen_Gemüse_DropDown[Ackerkulturen])-1)/(--(SEARCH(CI$2,Liste_Ackerkulturen_Gemüse_DropDown[Ackerkulturen])&gt;0)),ROW()-2),1),"")</f>
        <v>Bockshornklee</v>
      </c>
      <c r="CI211" s="2464"/>
      <c r="CJ211" s="2464" t="str">
        <f>IFERROR(INDEX(Liste_Ackerkulturen_Gemüse_DropDown[Ackerkulturen],_xlfn.AGGREGATE(15,6,(ROW(Liste_Ackerkulturen_Gemüse_DropDown[Ackerkulturen])-1)/(--(SEARCH(CK$2,Liste_Ackerkulturen_Gemüse_DropDown[Ackerkulturen])&gt;0)),ROW()-2),1),"")</f>
        <v>Bockshornklee</v>
      </c>
      <c r="CK211" s="2464"/>
      <c r="CL211" s="2464" t="str">
        <f>IFERROR(INDEX(Liste_Ackerkulturen_Gemüse_DropDown[Ackerkulturen],_xlfn.AGGREGATE(15,6,(ROW(Liste_Ackerkulturen_Gemüse_DropDown[Ackerkulturen])-1)/(--(SEARCH(CM$2,Liste_Ackerkulturen_Gemüse_DropDown[Ackerkulturen])&gt;0)),ROW()-2),1),"")</f>
        <v>Bockshornklee</v>
      </c>
      <c r="CM211" s="2464"/>
      <c r="CN211" s="2464" t="str">
        <f>IFERROR(INDEX(Liste_Ackerkulturen_Gemüse_DropDown[Ackerkulturen],_xlfn.AGGREGATE(15,6,(ROW(Liste_Ackerkulturen_Gemüse_DropDown[Ackerkulturen])-1)/(--(SEARCH(CO$2,Liste_Ackerkulturen_Gemüse_DropDown[Ackerkulturen])&gt;0)),ROW()-2),1),"")</f>
        <v>Bockshornklee</v>
      </c>
      <c r="CO211" s="2464"/>
      <c r="CP211" s="2464" t="str">
        <f>IFERROR(INDEX(Liste_Ackerkulturen_Gemüse_DropDown[Ackerkulturen],_xlfn.AGGREGATE(15,6,(ROW(Liste_Ackerkulturen_Gemüse_DropDown[Ackerkulturen])-1)/(--(SEARCH(CQ$2,Liste_Ackerkulturen_Gemüse_DropDown[Ackerkulturen])&gt;0)),ROW()-2),1),"")</f>
        <v>Bockshornklee</v>
      </c>
      <c r="CQ211" s="2464"/>
      <c r="CR211" s="2464" t="str">
        <f>IFERROR(INDEX(Liste_Ackerkulturen_Gemüse_DropDown[Ackerkulturen],_xlfn.AGGREGATE(15,6,(ROW(Liste_Ackerkulturen_Gemüse_DropDown[Ackerkulturen])-1)/(--(SEARCH(CS$2,Liste_Ackerkulturen_Gemüse_DropDown[Ackerkulturen])&gt;0)),ROW()-2),1),"")</f>
        <v>Bockshornklee</v>
      </c>
      <c r="CS211" s="2464"/>
      <c r="DI211" s="1541"/>
      <c r="DJ211" s="1541"/>
      <c r="DK211" s="1541"/>
      <c r="DL211" s="1541"/>
      <c r="DM211" s="1541"/>
    </row>
    <row r="212" spans="1:117" s="470" customFormat="1" ht="21" customHeight="1">
      <c r="A212" s="465"/>
      <c r="B212" s="465"/>
      <c r="C212" s="1575" t="s">
        <v>174</v>
      </c>
      <c r="D212" s="1576"/>
      <c r="E212" s="1567" t="s">
        <v>175</v>
      </c>
      <c r="F212" s="1568">
        <v>245</v>
      </c>
      <c r="G212" s="1568"/>
      <c r="H212" s="1716" t="s">
        <v>176</v>
      </c>
      <c r="I212" s="1718">
        <v>295</v>
      </c>
      <c r="J212" s="1188" t="s">
        <v>177</v>
      </c>
      <c r="K212" s="1568">
        <v>360</v>
      </c>
      <c r="L212" s="1527">
        <v>180</v>
      </c>
      <c r="M212" s="1528">
        <v>225</v>
      </c>
      <c r="N212" s="1567">
        <v>120</v>
      </c>
      <c r="O212" s="1188">
        <v>100</v>
      </c>
      <c r="P212" s="1568">
        <v>65</v>
      </c>
      <c r="Q212" s="1718">
        <v>80</v>
      </c>
      <c r="R212" s="1568">
        <v>100</v>
      </c>
      <c r="S212" s="1568">
        <v>40</v>
      </c>
      <c r="T212" s="1599" t="s">
        <v>1201</v>
      </c>
      <c r="U212" s="1569">
        <v>420</v>
      </c>
      <c r="V212" s="1570">
        <v>350</v>
      </c>
      <c r="W212" s="1574">
        <v>225</v>
      </c>
      <c r="X212" s="1778">
        <v>280</v>
      </c>
      <c r="Y212" s="1574">
        <v>350</v>
      </c>
      <c r="Z212" s="1568">
        <v>140</v>
      </c>
      <c r="AA212" s="1599" t="s">
        <v>1201</v>
      </c>
      <c r="AB212" s="525"/>
      <c r="AC212" s="525"/>
      <c r="AD212" s="525"/>
      <c r="AE212" s="526"/>
      <c r="AF212" s="1279"/>
      <c r="AG212" s="176"/>
      <c r="AH212" s="176"/>
      <c r="AI212" s="176"/>
      <c r="AJ212" s="473"/>
      <c r="AK212" s="472"/>
      <c r="AL212" s="472"/>
      <c r="AM212" s="2371" t="s">
        <v>363</v>
      </c>
      <c r="AN212" s="2286">
        <v>0</v>
      </c>
      <c r="AO212" s="2308" t="s">
        <v>1201</v>
      </c>
      <c r="AP212" s="2286">
        <v>0</v>
      </c>
      <c r="AQ212" s="2308" t="s">
        <v>1201</v>
      </c>
      <c r="AR212" s="2286">
        <v>0</v>
      </c>
      <c r="AS212" s="2308" t="s">
        <v>1201</v>
      </c>
      <c r="AT212" s="2287">
        <v>0</v>
      </c>
      <c r="AU212" s="2309" t="s">
        <v>1201</v>
      </c>
      <c r="AV212" s="2287">
        <v>0</v>
      </c>
      <c r="AW212" s="2309" t="s">
        <v>1201</v>
      </c>
      <c r="AX212" s="2403">
        <v>0</v>
      </c>
      <c r="AY212" s="2299" t="s">
        <v>1201</v>
      </c>
      <c r="AZ212" s="2298">
        <v>0</v>
      </c>
      <c r="BA212" s="2373" t="s">
        <v>1201</v>
      </c>
      <c r="BE212" s="2371" t="s">
        <v>363</v>
      </c>
      <c r="BF212" s="2404">
        <v>30</v>
      </c>
      <c r="BG212" s="2404">
        <v>30</v>
      </c>
      <c r="BH212" s="2404">
        <v>30</v>
      </c>
      <c r="BJ212" s="2371" t="s">
        <v>363</v>
      </c>
      <c r="BK212" s="2400">
        <v>0</v>
      </c>
      <c r="BL212" s="577">
        <v>0</v>
      </c>
      <c r="BM212" s="577">
        <v>0</v>
      </c>
      <c r="BN212" s="2406"/>
      <c r="BO212" s="2402"/>
      <c r="BP212" s="2244"/>
      <c r="BQ212" s="2244"/>
      <c r="BR212" s="2244"/>
      <c r="BS212" s="2461" t="s">
        <v>365</v>
      </c>
      <c r="BT212" s="2463" t="str">
        <f>IFERROR(INDEX(Liste_Ackerkulturen_Gemüse_DropDown[Ackerkulturen],_xlfn.AGGREGATE(15,6,(ROW(Liste_Ackerkulturen_Gemüse_DropDown[Ackerkulturen])-1)/(--(SEARCH(BU$2,Liste_Ackerkulturen_Gemüse_DropDown[Ackerkulturen])&gt;0)),ROW()-2),1),"")</f>
        <v>Bohnenkraut</v>
      </c>
      <c r="BU212" s="2463"/>
      <c r="BV212" s="2463" t="str">
        <f>IFERROR(INDEX(Liste_Ackerkulturen_Gemüse_DropDown[Ackerkulturen],_xlfn.AGGREGATE(15,6,(ROW(Liste_Ackerkulturen_Gemüse_DropDown[Ackerkulturen])-1)/(--(SEARCH(BW$2,Liste_Ackerkulturen_Gemüse_DropDown[Ackerkulturen])&gt;0)),ROW()-2),1),"")</f>
        <v>Bohnenkraut</v>
      </c>
      <c r="BW212" s="2463"/>
      <c r="BX212" s="2463" t="str">
        <f>IFERROR(INDEX(Liste_Ackerkulturen_Gemüse_DropDown[Ackerkulturen],_xlfn.AGGREGATE(15,6,(ROW(Liste_Ackerkulturen_Gemüse_DropDown[Ackerkulturen])-1)/(--(SEARCH(BY$2,Liste_Ackerkulturen_Gemüse_DropDown[Ackerkulturen])&gt;0)),ROW()-2),1),"")</f>
        <v>Bohnenkraut</v>
      </c>
      <c r="BY212" s="2463"/>
      <c r="BZ212" s="2463" t="str">
        <f>IFERROR(INDEX(Liste_Ackerkulturen_Gemüse_DropDown[Ackerkulturen],_xlfn.AGGREGATE(15,6,(ROW(Liste_Ackerkulturen_Gemüse_DropDown[Ackerkulturen])-1)/(--(SEARCH(CA$2,Liste_Ackerkulturen_Gemüse_DropDown[Ackerkulturen])&gt;0)),ROW()-2),1),"")</f>
        <v>Bohnenkraut</v>
      </c>
      <c r="CA212" s="2463"/>
      <c r="CB212" s="2463" t="str">
        <f>IFERROR(INDEX(Liste_Ackerkulturen_Gemüse_DropDown[Ackerkulturen],_xlfn.AGGREGATE(15,6,(ROW(Liste_Ackerkulturen_Gemüse_DropDown[Ackerkulturen])-1)/(--(SEARCH(CC$2,Liste_Ackerkulturen_Gemüse_DropDown[Ackerkulturen])&gt;0)),ROW()-2),1),"")</f>
        <v>Bohnenkraut</v>
      </c>
      <c r="CC212" s="2463"/>
      <c r="CD212" s="2464" t="str">
        <f>IFERROR(INDEX(Liste_Ackerkulturen_Gemüse_DropDown[Ackerkulturen],_xlfn.AGGREGATE(15,6,(ROW(Liste_Ackerkulturen_Gemüse_DropDown[Ackerkulturen])-1)/(--(SEARCH(CE$2,Liste_Ackerkulturen_Gemüse_DropDown[Ackerkulturen])&gt;0)),ROW()-2),1),"")</f>
        <v>Bohnenkraut</v>
      </c>
      <c r="CE212" s="2464"/>
      <c r="CF212" s="2464" t="str">
        <f>IFERROR(INDEX(Liste_Ackerkulturen_Gemüse_DropDown[Ackerkulturen],_xlfn.AGGREGATE(15,6,(ROW(Liste_Ackerkulturen_Gemüse_DropDown[Ackerkulturen])-1)/(--(SEARCH(CG$2,Liste_Ackerkulturen_Gemüse_DropDown[Ackerkulturen])&gt;0)),ROW()-2),1),"")</f>
        <v>Bohnenkraut</v>
      </c>
      <c r="CG212" s="2464"/>
      <c r="CH212" s="2464" t="str">
        <f>IFERROR(INDEX(Liste_Ackerkulturen_Gemüse_DropDown[Ackerkulturen],_xlfn.AGGREGATE(15,6,(ROW(Liste_Ackerkulturen_Gemüse_DropDown[Ackerkulturen])-1)/(--(SEARCH(CI$2,Liste_Ackerkulturen_Gemüse_DropDown[Ackerkulturen])&gt;0)),ROW()-2),1),"")</f>
        <v>Bohnenkraut</v>
      </c>
      <c r="CI212" s="2464"/>
      <c r="CJ212" s="2464" t="str">
        <f>IFERROR(INDEX(Liste_Ackerkulturen_Gemüse_DropDown[Ackerkulturen],_xlfn.AGGREGATE(15,6,(ROW(Liste_Ackerkulturen_Gemüse_DropDown[Ackerkulturen])-1)/(--(SEARCH(CK$2,Liste_Ackerkulturen_Gemüse_DropDown[Ackerkulturen])&gt;0)),ROW()-2),1),"")</f>
        <v>Bohnenkraut</v>
      </c>
      <c r="CK212" s="2464"/>
      <c r="CL212" s="2464" t="str">
        <f>IFERROR(INDEX(Liste_Ackerkulturen_Gemüse_DropDown[Ackerkulturen],_xlfn.AGGREGATE(15,6,(ROW(Liste_Ackerkulturen_Gemüse_DropDown[Ackerkulturen])-1)/(--(SEARCH(CM$2,Liste_Ackerkulturen_Gemüse_DropDown[Ackerkulturen])&gt;0)),ROW()-2),1),"")</f>
        <v>Bohnenkraut</v>
      </c>
      <c r="CM212" s="2464"/>
      <c r="CN212" s="2464" t="str">
        <f>IFERROR(INDEX(Liste_Ackerkulturen_Gemüse_DropDown[Ackerkulturen],_xlfn.AGGREGATE(15,6,(ROW(Liste_Ackerkulturen_Gemüse_DropDown[Ackerkulturen])-1)/(--(SEARCH(CO$2,Liste_Ackerkulturen_Gemüse_DropDown[Ackerkulturen])&gt;0)),ROW()-2),1),"")</f>
        <v>Bohnenkraut</v>
      </c>
      <c r="CO212" s="2464"/>
      <c r="CP212" s="2464" t="str">
        <f>IFERROR(INDEX(Liste_Ackerkulturen_Gemüse_DropDown[Ackerkulturen],_xlfn.AGGREGATE(15,6,(ROW(Liste_Ackerkulturen_Gemüse_DropDown[Ackerkulturen])-1)/(--(SEARCH(CQ$2,Liste_Ackerkulturen_Gemüse_DropDown[Ackerkulturen])&gt;0)),ROW()-2),1),"")</f>
        <v>Bohnenkraut</v>
      </c>
      <c r="CQ212" s="2464"/>
      <c r="CR212" s="2464" t="str">
        <f>IFERROR(INDEX(Liste_Ackerkulturen_Gemüse_DropDown[Ackerkulturen],_xlfn.AGGREGATE(15,6,(ROW(Liste_Ackerkulturen_Gemüse_DropDown[Ackerkulturen])-1)/(--(SEARCH(CS$2,Liste_Ackerkulturen_Gemüse_DropDown[Ackerkulturen])&gt;0)),ROW()-2),1),"")</f>
        <v>Bohnenkraut</v>
      </c>
      <c r="CS212" s="2464"/>
      <c r="DI212" s="1541"/>
      <c r="DJ212" s="1541"/>
      <c r="DK212" s="1541"/>
      <c r="DL212" s="1541"/>
      <c r="DM212" s="1541"/>
    </row>
    <row r="213" spans="1:117" s="470" customFormat="1" ht="21" customHeight="1">
      <c r="A213" s="465"/>
      <c r="B213" s="465"/>
      <c r="C213" s="1575" t="s">
        <v>178</v>
      </c>
      <c r="D213" s="1576"/>
      <c r="E213" s="1567" t="s">
        <v>139</v>
      </c>
      <c r="F213" s="1568">
        <v>220</v>
      </c>
      <c r="G213" s="1568"/>
      <c r="H213" s="1716" t="s">
        <v>179</v>
      </c>
      <c r="I213" s="1718">
        <v>260</v>
      </c>
      <c r="J213" s="1188" t="s">
        <v>55</v>
      </c>
      <c r="K213" s="1568">
        <v>310</v>
      </c>
      <c r="L213" s="1527">
        <v>200</v>
      </c>
      <c r="M213" s="1528">
        <v>250</v>
      </c>
      <c r="N213" s="1567">
        <v>55</v>
      </c>
      <c r="O213" s="1188">
        <v>45</v>
      </c>
      <c r="P213" s="1568">
        <v>30</v>
      </c>
      <c r="Q213" s="1718">
        <v>35</v>
      </c>
      <c r="R213" s="1568">
        <v>45</v>
      </c>
      <c r="S213" s="1568">
        <v>20</v>
      </c>
      <c r="T213" s="1599" t="s">
        <v>1201</v>
      </c>
      <c r="U213" s="1569">
        <v>195</v>
      </c>
      <c r="V213" s="1570">
        <v>165</v>
      </c>
      <c r="W213" s="1574">
        <v>105</v>
      </c>
      <c r="X213" s="1778">
        <v>130</v>
      </c>
      <c r="Y213" s="1574">
        <v>165</v>
      </c>
      <c r="Z213" s="1568">
        <v>65</v>
      </c>
      <c r="AA213" s="1599" t="s">
        <v>1201</v>
      </c>
      <c r="AB213" s="525"/>
      <c r="AC213" s="525"/>
      <c r="AD213" s="525"/>
      <c r="AE213" s="526"/>
      <c r="AF213" s="1279"/>
      <c r="AG213" s="176"/>
      <c r="AH213" s="176"/>
      <c r="AI213" s="176"/>
      <c r="AJ213" s="473"/>
      <c r="AK213" s="472"/>
      <c r="AL213" s="472"/>
      <c r="AM213" s="2371" t="s">
        <v>364</v>
      </c>
      <c r="AN213" s="2286">
        <v>80</v>
      </c>
      <c r="AO213" s="2308" t="s">
        <v>1201</v>
      </c>
      <c r="AP213" s="2286">
        <v>80</v>
      </c>
      <c r="AQ213" s="2308" t="s">
        <v>1201</v>
      </c>
      <c r="AR213" s="2286">
        <v>80</v>
      </c>
      <c r="AS213" s="2308" t="s">
        <v>1201</v>
      </c>
      <c r="AT213" s="2287">
        <v>80</v>
      </c>
      <c r="AU213" s="2309" t="s">
        <v>1201</v>
      </c>
      <c r="AV213" s="2287">
        <v>80</v>
      </c>
      <c r="AW213" s="2309" t="s">
        <v>1201</v>
      </c>
      <c r="AX213" s="2403">
        <v>70</v>
      </c>
      <c r="AY213" s="2299" t="s">
        <v>1201</v>
      </c>
      <c r="AZ213" s="2298">
        <v>70</v>
      </c>
      <c r="BA213" s="2373" t="s">
        <v>1201</v>
      </c>
      <c r="BE213" s="2371" t="s">
        <v>364</v>
      </c>
      <c r="BF213" s="2404">
        <v>50</v>
      </c>
      <c r="BG213" s="2404">
        <v>50</v>
      </c>
      <c r="BH213" s="2404">
        <v>50</v>
      </c>
      <c r="BJ213" s="2371" t="s">
        <v>364</v>
      </c>
      <c r="BK213" s="2400">
        <v>0</v>
      </c>
      <c r="BL213" s="577">
        <v>0</v>
      </c>
      <c r="BM213" s="577">
        <v>0</v>
      </c>
      <c r="BN213" s="2406"/>
      <c r="BO213" s="2402"/>
      <c r="BP213" s="2244"/>
      <c r="BQ213" s="2244"/>
      <c r="BR213" s="2244"/>
      <c r="BS213" s="2461" t="s">
        <v>366</v>
      </c>
      <c r="BT213" s="2463" t="str">
        <f>IFERROR(INDEX(Liste_Ackerkulturen_Gemüse_DropDown[Ackerkulturen],_xlfn.AGGREGATE(15,6,(ROW(Liste_Ackerkulturen_Gemüse_DropDown[Ackerkulturen])-1)/(--(SEARCH(BU$2,Liste_Ackerkulturen_Gemüse_DropDown[Ackerkulturen])&gt;0)),ROW()-2),1),"")</f>
        <v>Borretsch</v>
      </c>
      <c r="BU213" s="2463"/>
      <c r="BV213" s="2463" t="str">
        <f>IFERROR(INDEX(Liste_Ackerkulturen_Gemüse_DropDown[Ackerkulturen],_xlfn.AGGREGATE(15,6,(ROW(Liste_Ackerkulturen_Gemüse_DropDown[Ackerkulturen])-1)/(--(SEARCH(BW$2,Liste_Ackerkulturen_Gemüse_DropDown[Ackerkulturen])&gt;0)),ROW()-2),1),"")</f>
        <v>Borretsch</v>
      </c>
      <c r="BW213" s="2463"/>
      <c r="BX213" s="2463" t="str">
        <f>IFERROR(INDEX(Liste_Ackerkulturen_Gemüse_DropDown[Ackerkulturen],_xlfn.AGGREGATE(15,6,(ROW(Liste_Ackerkulturen_Gemüse_DropDown[Ackerkulturen])-1)/(--(SEARCH(BY$2,Liste_Ackerkulturen_Gemüse_DropDown[Ackerkulturen])&gt;0)),ROW()-2),1),"")</f>
        <v>Borretsch</v>
      </c>
      <c r="BY213" s="2463"/>
      <c r="BZ213" s="2463" t="str">
        <f>IFERROR(INDEX(Liste_Ackerkulturen_Gemüse_DropDown[Ackerkulturen],_xlfn.AGGREGATE(15,6,(ROW(Liste_Ackerkulturen_Gemüse_DropDown[Ackerkulturen])-1)/(--(SEARCH(CA$2,Liste_Ackerkulturen_Gemüse_DropDown[Ackerkulturen])&gt;0)),ROW()-2),1),"")</f>
        <v>Borretsch</v>
      </c>
      <c r="CA213" s="2463"/>
      <c r="CB213" s="2463" t="str">
        <f>IFERROR(INDEX(Liste_Ackerkulturen_Gemüse_DropDown[Ackerkulturen],_xlfn.AGGREGATE(15,6,(ROW(Liste_Ackerkulturen_Gemüse_DropDown[Ackerkulturen])-1)/(--(SEARCH(CC$2,Liste_Ackerkulturen_Gemüse_DropDown[Ackerkulturen])&gt;0)),ROW()-2),1),"")</f>
        <v>Borretsch</v>
      </c>
      <c r="CC213" s="2463"/>
      <c r="CD213" s="2464" t="str">
        <f>IFERROR(INDEX(Liste_Ackerkulturen_Gemüse_DropDown[Ackerkulturen],_xlfn.AGGREGATE(15,6,(ROW(Liste_Ackerkulturen_Gemüse_DropDown[Ackerkulturen])-1)/(--(SEARCH(CE$2,Liste_Ackerkulturen_Gemüse_DropDown[Ackerkulturen])&gt;0)),ROW()-2),1),"")</f>
        <v>Borretsch</v>
      </c>
      <c r="CE213" s="2464"/>
      <c r="CF213" s="2464" t="str">
        <f>IFERROR(INDEX(Liste_Ackerkulturen_Gemüse_DropDown[Ackerkulturen],_xlfn.AGGREGATE(15,6,(ROW(Liste_Ackerkulturen_Gemüse_DropDown[Ackerkulturen])-1)/(--(SEARCH(CG$2,Liste_Ackerkulturen_Gemüse_DropDown[Ackerkulturen])&gt;0)),ROW()-2),1),"")</f>
        <v>Borretsch</v>
      </c>
      <c r="CG213" s="2464"/>
      <c r="CH213" s="2464" t="str">
        <f>IFERROR(INDEX(Liste_Ackerkulturen_Gemüse_DropDown[Ackerkulturen],_xlfn.AGGREGATE(15,6,(ROW(Liste_Ackerkulturen_Gemüse_DropDown[Ackerkulturen])-1)/(--(SEARCH(CI$2,Liste_Ackerkulturen_Gemüse_DropDown[Ackerkulturen])&gt;0)),ROW()-2),1),"")</f>
        <v>Borretsch</v>
      </c>
      <c r="CI213" s="2464"/>
      <c r="CJ213" s="2464" t="str">
        <f>IFERROR(INDEX(Liste_Ackerkulturen_Gemüse_DropDown[Ackerkulturen],_xlfn.AGGREGATE(15,6,(ROW(Liste_Ackerkulturen_Gemüse_DropDown[Ackerkulturen])-1)/(--(SEARCH(CK$2,Liste_Ackerkulturen_Gemüse_DropDown[Ackerkulturen])&gt;0)),ROW()-2),1),"")</f>
        <v>Borretsch</v>
      </c>
      <c r="CK213" s="2464"/>
      <c r="CL213" s="2464" t="str">
        <f>IFERROR(INDEX(Liste_Ackerkulturen_Gemüse_DropDown[Ackerkulturen],_xlfn.AGGREGATE(15,6,(ROW(Liste_Ackerkulturen_Gemüse_DropDown[Ackerkulturen])-1)/(--(SEARCH(CM$2,Liste_Ackerkulturen_Gemüse_DropDown[Ackerkulturen])&gt;0)),ROW()-2),1),"")</f>
        <v>Borretsch</v>
      </c>
      <c r="CM213" s="2464"/>
      <c r="CN213" s="2464" t="str">
        <f>IFERROR(INDEX(Liste_Ackerkulturen_Gemüse_DropDown[Ackerkulturen],_xlfn.AGGREGATE(15,6,(ROW(Liste_Ackerkulturen_Gemüse_DropDown[Ackerkulturen])-1)/(--(SEARCH(CO$2,Liste_Ackerkulturen_Gemüse_DropDown[Ackerkulturen])&gt;0)),ROW()-2),1),"")</f>
        <v>Borretsch</v>
      </c>
      <c r="CO213" s="2464"/>
      <c r="CP213" s="2464" t="str">
        <f>IFERROR(INDEX(Liste_Ackerkulturen_Gemüse_DropDown[Ackerkulturen],_xlfn.AGGREGATE(15,6,(ROW(Liste_Ackerkulturen_Gemüse_DropDown[Ackerkulturen])-1)/(--(SEARCH(CQ$2,Liste_Ackerkulturen_Gemüse_DropDown[Ackerkulturen])&gt;0)),ROW()-2),1),"")</f>
        <v>Borretsch</v>
      </c>
      <c r="CQ213" s="2464"/>
      <c r="CR213" s="2464" t="str">
        <f>IFERROR(INDEX(Liste_Ackerkulturen_Gemüse_DropDown[Ackerkulturen],_xlfn.AGGREGATE(15,6,(ROW(Liste_Ackerkulturen_Gemüse_DropDown[Ackerkulturen])-1)/(--(SEARCH(CS$2,Liste_Ackerkulturen_Gemüse_DropDown[Ackerkulturen])&gt;0)),ROW()-2),1),"")</f>
        <v>Borretsch</v>
      </c>
      <c r="CS213" s="2464"/>
      <c r="DI213" s="1541"/>
      <c r="DJ213" s="1541"/>
      <c r="DK213" s="1541"/>
      <c r="DL213" s="1541"/>
      <c r="DM213" s="1541"/>
    </row>
    <row r="214" spans="1:117" s="470" customFormat="1" ht="21" customHeight="1">
      <c r="A214" s="465"/>
      <c r="B214" s="465"/>
      <c r="C214" s="1575" t="s">
        <v>180</v>
      </c>
      <c r="D214" s="1576"/>
      <c r="E214" s="1567" t="s">
        <v>181</v>
      </c>
      <c r="F214" s="1568">
        <v>180</v>
      </c>
      <c r="G214" s="1568"/>
      <c r="H214" s="1716" t="s">
        <v>182</v>
      </c>
      <c r="I214" s="1718">
        <v>210</v>
      </c>
      <c r="J214" s="1188" t="s">
        <v>183</v>
      </c>
      <c r="K214" s="1568">
        <v>255</v>
      </c>
      <c r="L214" s="1527">
        <v>110</v>
      </c>
      <c r="M214" s="1528">
        <v>138</v>
      </c>
      <c r="N214" s="1567">
        <v>45</v>
      </c>
      <c r="O214" s="1188">
        <v>40</v>
      </c>
      <c r="P214" s="1568">
        <v>25</v>
      </c>
      <c r="Q214" s="1718">
        <v>30</v>
      </c>
      <c r="R214" s="1568">
        <v>40</v>
      </c>
      <c r="S214" s="1568">
        <v>15</v>
      </c>
      <c r="T214" s="1599" t="s">
        <v>1201</v>
      </c>
      <c r="U214" s="1569">
        <v>300</v>
      </c>
      <c r="V214" s="1570">
        <v>250</v>
      </c>
      <c r="W214" s="1574">
        <v>160</v>
      </c>
      <c r="X214" s="1778">
        <v>200</v>
      </c>
      <c r="Y214" s="1574">
        <v>250</v>
      </c>
      <c r="Z214" s="1568">
        <v>100</v>
      </c>
      <c r="AA214" s="1599" t="s">
        <v>1201</v>
      </c>
      <c r="AB214" s="525"/>
      <c r="AC214" s="525"/>
      <c r="AD214" s="525"/>
      <c r="AE214" s="526"/>
      <c r="AF214" s="1279"/>
      <c r="AG214" s="176"/>
      <c r="AH214" s="176"/>
      <c r="AI214" s="176"/>
      <c r="AJ214" s="473"/>
      <c r="AK214" s="472"/>
      <c r="AL214" s="472"/>
      <c r="AM214" s="2371" t="s">
        <v>365</v>
      </c>
      <c r="AN214" s="2286">
        <v>120</v>
      </c>
      <c r="AO214" s="2308" t="s">
        <v>1201</v>
      </c>
      <c r="AP214" s="2286">
        <v>120</v>
      </c>
      <c r="AQ214" s="2308" t="s">
        <v>1201</v>
      </c>
      <c r="AR214" s="2286">
        <v>120</v>
      </c>
      <c r="AS214" s="2308" t="s">
        <v>1201</v>
      </c>
      <c r="AT214" s="2287">
        <v>120</v>
      </c>
      <c r="AU214" s="2309" t="s">
        <v>1201</v>
      </c>
      <c r="AV214" s="2287">
        <v>120</v>
      </c>
      <c r="AW214" s="2309" t="s">
        <v>1201</v>
      </c>
      <c r="AX214" s="2403">
        <v>110</v>
      </c>
      <c r="AY214" s="2299" t="s">
        <v>1201</v>
      </c>
      <c r="AZ214" s="2298">
        <v>110</v>
      </c>
      <c r="BA214" s="2373" t="s">
        <v>1201</v>
      </c>
      <c r="BE214" s="2371" t="s">
        <v>365</v>
      </c>
      <c r="BF214" s="2404">
        <v>40</v>
      </c>
      <c r="BG214" s="2404">
        <v>40</v>
      </c>
      <c r="BH214" s="2404">
        <v>40</v>
      </c>
      <c r="BJ214" s="2371" t="s">
        <v>365</v>
      </c>
      <c r="BK214" s="2400">
        <v>0</v>
      </c>
      <c r="BL214" s="577">
        <v>0</v>
      </c>
      <c r="BM214" s="577">
        <v>0</v>
      </c>
      <c r="BN214" s="2406"/>
      <c r="BO214" s="2402"/>
      <c r="BP214" s="2244"/>
      <c r="BQ214" s="2244"/>
      <c r="BR214" s="2244"/>
      <c r="BS214" s="2461" t="s">
        <v>367</v>
      </c>
      <c r="BT214" s="2463" t="str">
        <f>IFERROR(INDEX(Liste_Ackerkulturen_Gemüse_DropDown[Ackerkulturen],_xlfn.AGGREGATE(15,6,(ROW(Liste_Ackerkulturen_Gemüse_DropDown[Ackerkulturen])-1)/(--(SEARCH(BU$2,Liste_Ackerkulturen_Gemüse_DropDown[Ackerkulturen])&gt;0)),ROW()-2),1),"")</f>
        <v>Brennnessel</v>
      </c>
      <c r="BU214" s="2463"/>
      <c r="BV214" s="2463" t="str">
        <f>IFERROR(INDEX(Liste_Ackerkulturen_Gemüse_DropDown[Ackerkulturen],_xlfn.AGGREGATE(15,6,(ROW(Liste_Ackerkulturen_Gemüse_DropDown[Ackerkulturen])-1)/(--(SEARCH(BW$2,Liste_Ackerkulturen_Gemüse_DropDown[Ackerkulturen])&gt;0)),ROW()-2),1),"")</f>
        <v>Brennnessel</v>
      </c>
      <c r="BW214" s="2463"/>
      <c r="BX214" s="2463" t="str">
        <f>IFERROR(INDEX(Liste_Ackerkulturen_Gemüse_DropDown[Ackerkulturen],_xlfn.AGGREGATE(15,6,(ROW(Liste_Ackerkulturen_Gemüse_DropDown[Ackerkulturen])-1)/(--(SEARCH(BY$2,Liste_Ackerkulturen_Gemüse_DropDown[Ackerkulturen])&gt;0)),ROW()-2),1),"")</f>
        <v>Brennnessel</v>
      </c>
      <c r="BY214" s="2463"/>
      <c r="BZ214" s="2463" t="str">
        <f>IFERROR(INDEX(Liste_Ackerkulturen_Gemüse_DropDown[Ackerkulturen],_xlfn.AGGREGATE(15,6,(ROW(Liste_Ackerkulturen_Gemüse_DropDown[Ackerkulturen])-1)/(--(SEARCH(CA$2,Liste_Ackerkulturen_Gemüse_DropDown[Ackerkulturen])&gt;0)),ROW()-2),1),"")</f>
        <v>Brennnessel</v>
      </c>
      <c r="CA214" s="2463"/>
      <c r="CB214" s="2463" t="str">
        <f>IFERROR(INDEX(Liste_Ackerkulturen_Gemüse_DropDown[Ackerkulturen],_xlfn.AGGREGATE(15,6,(ROW(Liste_Ackerkulturen_Gemüse_DropDown[Ackerkulturen])-1)/(--(SEARCH(CC$2,Liste_Ackerkulturen_Gemüse_DropDown[Ackerkulturen])&gt;0)),ROW()-2),1),"")</f>
        <v>Brennnessel</v>
      </c>
      <c r="CC214" s="2463"/>
      <c r="CD214" s="2464" t="str">
        <f>IFERROR(INDEX(Liste_Ackerkulturen_Gemüse_DropDown[Ackerkulturen],_xlfn.AGGREGATE(15,6,(ROW(Liste_Ackerkulturen_Gemüse_DropDown[Ackerkulturen])-1)/(--(SEARCH(CE$2,Liste_Ackerkulturen_Gemüse_DropDown[Ackerkulturen])&gt;0)),ROW()-2),1),"")</f>
        <v>Brennnessel</v>
      </c>
      <c r="CE214" s="2464"/>
      <c r="CF214" s="2464" t="str">
        <f>IFERROR(INDEX(Liste_Ackerkulturen_Gemüse_DropDown[Ackerkulturen],_xlfn.AGGREGATE(15,6,(ROW(Liste_Ackerkulturen_Gemüse_DropDown[Ackerkulturen])-1)/(--(SEARCH(CG$2,Liste_Ackerkulturen_Gemüse_DropDown[Ackerkulturen])&gt;0)),ROW()-2),1),"")</f>
        <v>Brennnessel</v>
      </c>
      <c r="CG214" s="2464"/>
      <c r="CH214" s="2464" t="str">
        <f>IFERROR(INDEX(Liste_Ackerkulturen_Gemüse_DropDown[Ackerkulturen],_xlfn.AGGREGATE(15,6,(ROW(Liste_Ackerkulturen_Gemüse_DropDown[Ackerkulturen])-1)/(--(SEARCH(CI$2,Liste_Ackerkulturen_Gemüse_DropDown[Ackerkulturen])&gt;0)),ROW()-2),1),"")</f>
        <v>Brennnessel</v>
      </c>
      <c r="CI214" s="2464"/>
      <c r="CJ214" s="2464" t="str">
        <f>IFERROR(INDEX(Liste_Ackerkulturen_Gemüse_DropDown[Ackerkulturen],_xlfn.AGGREGATE(15,6,(ROW(Liste_Ackerkulturen_Gemüse_DropDown[Ackerkulturen])-1)/(--(SEARCH(CK$2,Liste_Ackerkulturen_Gemüse_DropDown[Ackerkulturen])&gt;0)),ROW()-2),1),"")</f>
        <v>Brennnessel</v>
      </c>
      <c r="CK214" s="2464"/>
      <c r="CL214" s="2464" t="str">
        <f>IFERROR(INDEX(Liste_Ackerkulturen_Gemüse_DropDown[Ackerkulturen],_xlfn.AGGREGATE(15,6,(ROW(Liste_Ackerkulturen_Gemüse_DropDown[Ackerkulturen])-1)/(--(SEARCH(CM$2,Liste_Ackerkulturen_Gemüse_DropDown[Ackerkulturen])&gt;0)),ROW()-2),1),"")</f>
        <v>Brennnessel</v>
      </c>
      <c r="CM214" s="2464"/>
      <c r="CN214" s="2464" t="str">
        <f>IFERROR(INDEX(Liste_Ackerkulturen_Gemüse_DropDown[Ackerkulturen],_xlfn.AGGREGATE(15,6,(ROW(Liste_Ackerkulturen_Gemüse_DropDown[Ackerkulturen])-1)/(--(SEARCH(CO$2,Liste_Ackerkulturen_Gemüse_DropDown[Ackerkulturen])&gt;0)),ROW()-2),1),"")</f>
        <v>Brennnessel</v>
      </c>
      <c r="CO214" s="2464"/>
      <c r="CP214" s="2464" t="str">
        <f>IFERROR(INDEX(Liste_Ackerkulturen_Gemüse_DropDown[Ackerkulturen],_xlfn.AGGREGATE(15,6,(ROW(Liste_Ackerkulturen_Gemüse_DropDown[Ackerkulturen])-1)/(--(SEARCH(CQ$2,Liste_Ackerkulturen_Gemüse_DropDown[Ackerkulturen])&gt;0)),ROW()-2),1),"")</f>
        <v>Brennnessel</v>
      </c>
      <c r="CQ214" s="2464"/>
      <c r="CR214" s="2464" t="str">
        <f>IFERROR(INDEX(Liste_Ackerkulturen_Gemüse_DropDown[Ackerkulturen],_xlfn.AGGREGATE(15,6,(ROW(Liste_Ackerkulturen_Gemüse_DropDown[Ackerkulturen])-1)/(--(SEARCH(CS$2,Liste_Ackerkulturen_Gemüse_DropDown[Ackerkulturen])&gt;0)),ROW()-2),1),"")</f>
        <v>Brennnessel</v>
      </c>
      <c r="CS214" s="2464"/>
      <c r="DI214" s="1541"/>
      <c r="DJ214" s="1541"/>
      <c r="DK214" s="1541"/>
      <c r="DL214" s="1541"/>
      <c r="DM214" s="1541"/>
    </row>
    <row r="215" spans="1:117" s="470" customFormat="1" ht="21" customHeight="1">
      <c r="A215" s="465"/>
      <c r="B215" s="465"/>
      <c r="C215" s="1575" t="s">
        <v>184</v>
      </c>
      <c r="D215" s="1576"/>
      <c r="E215" s="1567" t="s">
        <v>181</v>
      </c>
      <c r="F215" s="1568">
        <v>180</v>
      </c>
      <c r="G215" s="1568"/>
      <c r="H215" s="1716" t="s">
        <v>182</v>
      </c>
      <c r="I215" s="1718">
        <v>210</v>
      </c>
      <c r="J215" s="1188" t="s">
        <v>183</v>
      </c>
      <c r="K215" s="1568">
        <v>255</v>
      </c>
      <c r="L215" s="1527">
        <v>150</v>
      </c>
      <c r="M215" s="1528">
        <v>188</v>
      </c>
      <c r="N215" s="1567">
        <v>75</v>
      </c>
      <c r="O215" s="1188">
        <v>65</v>
      </c>
      <c r="P215" s="1568">
        <v>40</v>
      </c>
      <c r="Q215" s="1718">
        <v>50</v>
      </c>
      <c r="R215" s="1568">
        <v>65</v>
      </c>
      <c r="S215" s="1568">
        <v>25</v>
      </c>
      <c r="T215" s="1599" t="s">
        <v>1201</v>
      </c>
      <c r="U215" s="1569">
        <v>375</v>
      </c>
      <c r="V215" s="1570">
        <v>315</v>
      </c>
      <c r="W215" s="1574">
        <v>200</v>
      </c>
      <c r="X215" s="1778">
        <v>250</v>
      </c>
      <c r="Y215" s="1574">
        <v>315</v>
      </c>
      <c r="Z215" s="1568">
        <v>125</v>
      </c>
      <c r="AA215" s="1599" t="s">
        <v>1201</v>
      </c>
      <c r="AB215" s="525"/>
      <c r="AC215" s="525"/>
      <c r="AD215" s="525"/>
      <c r="AE215" s="526"/>
      <c r="AF215" s="1279"/>
      <c r="AG215" s="176"/>
      <c r="AH215" s="176"/>
      <c r="AI215" s="176"/>
      <c r="AJ215" s="473"/>
      <c r="AK215" s="472"/>
      <c r="AL215" s="472"/>
      <c r="AM215" s="2371" t="s">
        <v>366</v>
      </c>
      <c r="AN215" s="2286">
        <v>200</v>
      </c>
      <c r="AO215" s="2308" t="s">
        <v>1201</v>
      </c>
      <c r="AP215" s="2286">
        <v>200</v>
      </c>
      <c r="AQ215" s="2308" t="s">
        <v>1201</v>
      </c>
      <c r="AR215" s="2286">
        <v>200</v>
      </c>
      <c r="AS215" s="2308" t="s">
        <v>1201</v>
      </c>
      <c r="AT215" s="2287">
        <v>200</v>
      </c>
      <c r="AU215" s="2309" t="s">
        <v>1201</v>
      </c>
      <c r="AV215" s="2287">
        <v>200</v>
      </c>
      <c r="AW215" s="2309" t="s">
        <v>1201</v>
      </c>
      <c r="AX215" s="2403">
        <v>150</v>
      </c>
      <c r="AY215" s="2299" t="s">
        <v>1201</v>
      </c>
      <c r="AZ215" s="2298">
        <v>150</v>
      </c>
      <c r="BA215" s="2373" t="s">
        <v>1201</v>
      </c>
      <c r="BE215" s="2371" t="s">
        <v>366</v>
      </c>
      <c r="BF215" s="2404">
        <v>60</v>
      </c>
      <c r="BG215" s="2404">
        <v>60</v>
      </c>
      <c r="BH215" s="2404">
        <v>60</v>
      </c>
      <c r="BJ215" s="2371" t="s">
        <v>366</v>
      </c>
      <c r="BK215" s="2400">
        <v>0</v>
      </c>
      <c r="BL215" s="577">
        <v>0</v>
      </c>
      <c r="BM215" s="577">
        <v>0</v>
      </c>
      <c r="BN215" s="2406"/>
      <c r="BO215" s="2402"/>
      <c r="BP215" s="2244"/>
      <c r="BQ215" s="2244"/>
      <c r="BR215" s="2244"/>
      <c r="BS215" s="2461" t="s">
        <v>368</v>
      </c>
      <c r="BT215" s="2463" t="str">
        <f>IFERROR(INDEX(Liste_Ackerkulturen_Gemüse_DropDown[Ackerkulturen],_xlfn.AGGREGATE(15,6,(ROW(Liste_Ackerkulturen_Gemüse_DropDown[Ackerkulturen])-1)/(--(SEARCH(BU$2,Liste_Ackerkulturen_Gemüse_DropDown[Ackerkulturen])&gt;0)),ROW()-2),1),"")</f>
        <v>Eibisch</v>
      </c>
      <c r="BU215" s="2463"/>
      <c r="BV215" s="2463" t="str">
        <f>IFERROR(INDEX(Liste_Ackerkulturen_Gemüse_DropDown[Ackerkulturen],_xlfn.AGGREGATE(15,6,(ROW(Liste_Ackerkulturen_Gemüse_DropDown[Ackerkulturen])-1)/(--(SEARCH(BW$2,Liste_Ackerkulturen_Gemüse_DropDown[Ackerkulturen])&gt;0)),ROW()-2),1),"")</f>
        <v>Eibisch</v>
      </c>
      <c r="BW215" s="2463"/>
      <c r="BX215" s="2463" t="str">
        <f>IFERROR(INDEX(Liste_Ackerkulturen_Gemüse_DropDown[Ackerkulturen],_xlfn.AGGREGATE(15,6,(ROW(Liste_Ackerkulturen_Gemüse_DropDown[Ackerkulturen])-1)/(--(SEARCH(BY$2,Liste_Ackerkulturen_Gemüse_DropDown[Ackerkulturen])&gt;0)),ROW()-2),1),"")</f>
        <v>Eibisch</v>
      </c>
      <c r="BY215" s="2463"/>
      <c r="BZ215" s="2463" t="str">
        <f>IFERROR(INDEX(Liste_Ackerkulturen_Gemüse_DropDown[Ackerkulturen],_xlfn.AGGREGATE(15,6,(ROW(Liste_Ackerkulturen_Gemüse_DropDown[Ackerkulturen])-1)/(--(SEARCH(CA$2,Liste_Ackerkulturen_Gemüse_DropDown[Ackerkulturen])&gt;0)),ROW()-2),1),"")</f>
        <v>Eibisch</v>
      </c>
      <c r="CA215" s="2463"/>
      <c r="CB215" s="2463" t="str">
        <f>IFERROR(INDEX(Liste_Ackerkulturen_Gemüse_DropDown[Ackerkulturen],_xlfn.AGGREGATE(15,6,(ROW(Liste_Ackerkulturen_Gemüse_DropDown[Ackerkulturen])-1)/(--(SEARCH(CC$2,Liste_Ackerkulturen_Gemüse_DropDown[Ackerkulturen])&gt;0)),ROW()-2),1),"")</f>
        <v>Eibisch</v>
      </c>
      <c r="CC215" s="2463"/>
      <c r="CD215" s="2464" t="str">
        <f>IFERROR(INDEX(Liste_Ackerkulturen_Gemüse_DropDown[Ackerkulturen],_xlfn.AGGREGATE(15,6,(ROW(Liste_Ackerkulturen_Gemüse_DropDown[Ackerkulturen])-1)/(--(SEARCH(CE$2,Liste_Ackerkulturen_Gemüse_DropDown[Ackerkulturen])&gt;0)),ROW()-2),1),"")</f>
        <v>Eibisch</v>
      </c>
      <c r="CE215" s="2464"/>
      <c r="CF215" s="2464" t="str">
        <f>IFERROR(INDEX(Liste_Ackerkulturen_Gemüse_DropDown[Ackerkulturen],_xlfn.AGGREGATE(15,6,(ROW(Liste_Ackerkulturen_Gemüse_DropDown[Ackerkulturen])-1)/(--(SEARCH(CG$2,Liste_Ackerkulturen_Gemüse_DropDown[Ackerkulturen])&gt;0)),ROW()-2),1),"")</f>
        <v>Eibisch</v>
      </c>
      <c r="CG215" s="2464"/>
      <c r="CH215" s="2464" t="str">
        <f>IFERROR(INDEX(Liste_Ackerkulturen_Gemüse_DropDown[Ackerkulturen],_xlfn.AGGREGATE(15,6,(ROW(Liste_Ackerkulturen_Gemüse_DropDown[Ackerkulturen])-1)/(--(SEARCH(CI$2,Liste_Ackerkulturen_Gemüse_DropDown[Ackerkulturen])&gt;0)),ROW()-2),1),"")</f>
        <v>Eibisch</v>
      </c>
      <c r="CI215" s="2464"/>
      <c r="CJ215" s="2464" t="str">
        <f>IFERROR(INDEX(Liste_Ackerkulturen_Gemüse_DropDown[Ackerkulturen],_xlfn.AGGREGATE(15,6,(ROW(Liste_Ackerkulturen_Gemüse_DropDown[Ackerkulturen])-1)/(--(SEARCH(CK$2,Liste_Ackerkulturen_Gemüse_DropDown[Ackerkulturen])&gt;0)),ROW()-2),1),"")</f>
        <v>Eibisch</v>
      </c>
      <c r="CK215" s="2464"/>
      <c r="CL215" s="2464" t="str">
        <f>IFERROR(INDEX(Liste_Ackerkulturen_Gemüse_DropDown[Ackerkulturen],_xlfn.AGGREGATE(15,6,(ROW(Liste_Ackerkulturen_Gemüse_DropDown[Ackerkulturen])-1)/(--(SEARCH(CM$2,Liste_Ackerkulturen_Gemüse_DropDown[Ackerkulturen])&gt;0)),ROW()-2),1),"")</f>
        <v>Eibisch</v>
      </c>
      <c r="CM215" s="2464"/>
      <c r="CN215" s="2464" t="str">
        <f>IFERROR(INDEX(Liste_Ackerkulturen_Gemüse_DropDown[Ackerkulturen],_xlfn.AGGREGATE(15,6,(ROW(Liste_Ackerkulturen_Gemüse_DropDown[Ackerkulturen])-1)/(--(SEARCH(CO$2,Liste_Ackerkulturen_Gemüse_DropDown[Ackerkulturen])&gt;0)),ROW()-2),1),"")</f>
        <v>Eibisch</v>
      </c>
      <c r="CO215" s="2464"/>
      <c r="CP215" s="2464" t="str">
        <f>IFERROR(INDEX(Liste_Ackerkulturen_Gemüse_DropDown[Ackerkulturen],_xlfn.AGGREGATE(15,6,(ROW(Liste_Ackerkulturen_Gemüse_DropDown[Ackerkulturen])-1)/(--(SEARCH(CQ$2,Liste_Ackerkulturen_Gemüse_DropDown[Ackerkulturen])&gt;0)),ROW()-2),1),"")</f>
        <v>Eibisch</v>
      </c>
      <c r="CQ215" s="2464"/>
      <c r="CR215" s="2464" t="str">
        <f>IFERROR(INDEX(Liste_Ackerkulturen_Gemüse_DropDown[Ackerkulturen],_xlfn.AGGREGATE(15,6,(ROW(Liste_Ackerkulturen_Gemüse_DropDown[Ackerkulturen])-1)/(--(SEARCH(CS$2,Liste_Ackerkulturen_Gemüse_DropDown[Ackerkulturen])&gt;0)),ROW()-2),1),"")</f>
        <v>Eibisch</v>
      </c>
      <c r="CS215" s="2464"/>
      <c r="DI215" s="1541"/>
      <c r="DJ215" s="1541"/>
      <c r="DK215" s="1541"/>
      <c r="DL215" s="1541"/>
      <c r="DM215" s="1541"/>
    </row>
    <row r="216" spans="1:117" s="470" customFormat="1" ht="21" customHeight="1">
      <c r="A216" s="465"/>
      <c r="B216" s="465"/>
      <c r="C216" s="1575" t="s">
        <v>185</v>
      </c>
      <c r="D216" s="1576"/>
      <c r="E216" s="1567" t="s">
        <v>181</v>
      </c>
      <c r="F216" s="1568">
        <v>180</v>
      </c>
      <c r="G216" s="1568"/>
      <c r="H216" s="1716" t="s">
        <v>182</v>
      </c>
      <c r="I216" s="1718">
        <v>210</v>
      </c>
      <c r="J216" s="1188" t="s">
        <v>183</v>
      </c>
      <c r="K216" s="1568">
        <v>255</v>
      </c>
      <c r="L216" s="1527">
        <v>150</v>
      </c>
      <c r="M216" s="1528">
        <v>188</v>
      </c>
      <c r="N216" s="1567">
        <v>75</v>
      </c>
      <c r="O216" s="1188">
        <v>65</v>
      </c>
      <c r="P216" s="1568">
        <v>40</v>
      </c>
      <c r="Q216" s="1718">
        <v>50</v>
      </c>
      <c r="R216" s="1568">
        <v>65</v>
      </c>
      <c r="S216" s="1568">
        <v>25</v>
      </c>
      <c r="T216" s="1599" t="s">
        <v>1201</v>
      </c>
      <c r="U216" s="1569">
        <v>375</v>
      </c>
      <c r="V216" s="1570">
        <v>315</v>
      </c>
      <c r="W216" s="1574">
        <v>200</v>
      </c>
      <c r="X216" s="1778">
        <v>250</v>
      </c>
      <c r="Y216" s="1574">
        <v>315</v>
      </c>
      <c r="Z216" s="1568">
        <v>125</v>
      </c>
      <c r="AA216" s="1599" t="s">
        <v>1201</v>
      </c>
      <c r="AB216" s="525"/>
      <c r="AC216" s="525"/>
      <c r="AD216" s="525"/>
      <c r="AE216" s="526"/>
      <c r="AF216" s="1279"/>
      <c r="AG216" s="176"/>
      <c r="AH216" s="176"/>
      <c r="AI216" s="176"/>
      <c r="AJ216" s="473"/>
      <c r="AK216" s="472"/>
      <c r="AL216" s="472"/>
      <c r="AM216" s="2371" t="s">
        <v>367</v>
      </c>
      <c r="AN216" s="2286">
        <v>140</v>
      </c>
      <c r="AO216" s="2308" t="s">
        <v>1201</v>
      </c>
      <c r="AP216" s="2286">
        <v>140</v>
      </c>
      <c r="AQ216" s="2308" t="s">
        <v>1201</v>
      </c>
      <c r="AR216" s="2286">
        <v>140</v>
      </c>
      <c r="AS216" s="2308" t="s">
        <v>1201</v>
      </c>
      <c r="AT216" s="2287">
        <v>140</v>
      </c>
      <c r="AU216" s="2309" t="s">
        <v>1201</v>
      </c>
      <c r="AV216" s="2287">
        <v>140</v>
      </c>
      <c r="AW216" s="2309" t="s">
        <v>1201</v>
      </c>
      <c r="AX216" s="2403">
        <v>130</v>
      </c>
      <c r="AY216" s="2299" t="s">
        <v>1201</v>
      </c>
      <c r="AZ216" s="2298">
        <v>130</v>
      </c>
      <c r="BA216" s="2373" t="s">
        <v>1201</v>
      </c>
      <c r="BE216" s="2371" t="s">
        <v>367</v>
      </c>
      <c r="BF216" s="2404">
        <v>60</v>
      </c>
      <c r="BG216" s="2404">
        <v>60</v>
      </c>
      <c r="BH216" s="2404">
        <v>60</v>
      </c>
      <c r="BJ216" s="2371" t="s">
        <v>367</v>
      </c>
      <c r="BK216" s="2400">
        <v>0</v>
      </c>
      <c r="BL216" s="577">
        <v>0</v>
      </c>
      <c r="BM216" s="577">
        <v>0</v>
      </c>
      <c r="BN216" s="2406"/>
      <c r="BO216" s="2402"/>
      <c r="BP216" s="2244"/>
      <c r="BQ216" s="2244"/>
      <c r="BR216" s="2244"/>
      <c r="BS216" s="2461" t="s">
        <v>369</v>
      </c>
      <c r="BT216" s="2463" t="str">
        <f>IFERROR(INDEX(Liste_Ackerkulturen_Gemüse_DropDown[Ackerkulturen],_xlfn.AGGREGATE(15,6,(ROW(Liste_Ackerkulturen_Gemüse_DropDown[Ackerkulturen])-1)/(--(SEARCH(BU$2,Liste_Ackerkulturen_Gemüse_DropDown[Ackerkulturen])&gt;0)),ROW()-2),1),"")</f>
        <v>Engelwurz</v>
      </c>
      <c r="BU216" s="2463"/>
      <c r="BV216" s="2463" t="str">
        <f>IFERROR(INDEX(Liste_Ackerkulturen_Gemüse_DropDown[Ackerkulturen],_xlfn.AGGREGATE(15,6,(ROW(Liste_Ackerkulturen_Gemüse_DropDown[Ackerkulturen])-1)/(--(SEARCH(BW$2,Liste_Ackerkulturen_Gemüse_DropDown[Ackerkulturen])&gt;0)),ROW()-2),1),"")</f>
        <v>Engelwurz</v>
      </c>
      <c r="BW216" s="2463"/>
      <c r="BX216" s="2463" t="str">
        <f>IFERROR(INDEX(Liste_Ackerkulturen_Gemüse_DropDown[Ackerkulturen],_xlfn.AGGREGATE(15,6,(ROW(Liste_Ackerkulturen_Gemüse_DropDown[Ackerkulturen])-1)/(--(SEARCH(BY$2,Liste_Ackerkulturen_Gemüse_DropDown[Ackerkulturen])&gt;0)),ROW()-2),1),"")</f>
        <v>Engelwurz</v>
      </c>
      <c r="BY216" s="2463"/>
      <c r="BZ216" s="2463" t="str">
        <f>IFERROR(INDEX(Liste_Ackerkulturen_Gemüse_DropDown[Ackerkulturen],_xlfn.AGGREGATE(15,6,(ROW(Liste_Ackerkulturen_Gemüse_DropDown[Ackerkulturen])-1)/(--(SEARCH(CA$2,Liste_Ackerkulturen_Gemüse_DropDown[Ackerkulturen])&gt;0)),ROW()-2),1),"")</f>
        <v>Engelwurz</v>
      </c>
      <c r="CA216" s="2463"/>
      <c r="CB216" s="2463" t="str">
        <f>IFERROR(INDEX(Liste_Ackerkulturen_Gemüse_DropDown[Ackerkulturen],_xlfn.AGGREGATE(15,6,(ROW(Liste_Ackerkulturen_Gemüse_DropDown[Ackerkulturen])-1)/(--(SEARCH(CC$2,Liste_Ackerkulturen_Gemüse_DropDown[Ackerkulturen])&gt;0)),ROW()-2),1),"")</f>
        <v>Engelwurz</v>
      </c>
      <c r="CC216" s="2463"/>
      <c r="CD216" s="2464" t="str">
        <f>IFERROR(INDEX(Liste_Ackerkulturen_Gemüse_DropDown[Ackerkulturen],_xlfn.AGGREGATE(15,6,(ROW(Liste_Ackerkulturen_Gemüse_DropDown[Ackerkulturen])-1)/(--(SEARCH(CE$2,Liste_Ackerkulturen_Gemüse_DropDown[Ackerkulturen])&gt;0)),ROW()-2),1),"")</f>
        <v>Engelwurz</v>
      </c>
      <c r="CE216" s="2464"/>
      <c r="CF216" s="2464" t="str">
        <f>IFERROR(INDEX(Liste_Ackerkulturen_Gemüse_DropDown[Ackerkulturen],_xlfn.AGGREGATE(15,6,(ROW(Liste_Ackerkulturen_Gemüse_DropDown[Ackerkulturen])-1)/(--(SEARCH(CG$2,Liste_Ackerkulturen_Gemüse_DropDown[Ackerkulturen])&gt;0)),ROW()-2),1),"")</f>
        <v>Engelwurz</v>
      </c>
      <c r="CG216" s="2464"/>
      <c r="CH216" s="2464" t="str">
        <f>IFERROR(INDEX(Liste_Ackerkulturen_Gemüse_DropDown[Ackerkulturen],_xlfn.AGGREGATE(15,6,(ROW(Liste_Ackerkulturen_Gemüse_DropDown[Ackerkulturen])-1)/(--(SEARCH(CI$2,Liste_Ackerkulturen_Gemüse_DropDown[Ackerkulturen])&gt;0)),ROW()-2),1),"")</f>
        <v>Engelwurz</v>
      </c>
      <c r="CI216" s="2464"/>
      <c r="CJ216" s="2464" t="str">
        <f>IFERROR(INDEX(Liste_Ackerkulturen_Gemüse_DropDown[Ackerkulturen],_xlfn.AGGREGATE(15,6,(ROW(Liste_Ackerkulturen_Gemüse_DropDown[Ackerkulturen])-1)/(--(SEARCH(CK$2,Liste_Ackerkulturen_Gemüse_DropDown[Ackerkulturen])&gt;0)),ROW()-2),1),"")</f>
        <v>Engelwurz</v>
      </c>
      <c r="CK216" s="2464"/>
      <c r="CL216" s="2464" t="str">
        <f>IFERROR(INDEX(Liste_Ackerkulturen_Gemüse_DropDown[Ackerkulturen],_xlfn.AGGREGATE(15,6,(ROW(Liste_Ackerkulturen_Gemüse_DropDown[Ackerkulturen])-1)/(--(SEARCH(CM$2,Liste_Ackerkulturen_Gemüse_DropDown[Ackerkulturen])&gt;0)),ROW()-2),1),"")</f>
        <v>Engelwurz</v>
      </c>
      <c r="CM216" s="2464"/>
      <c r="CN216" s="2464" t="str">
        <f>IFERROR(INDEX(Liste_Ackerkulturen_Gemüse_DropDown[Ackerkulturen],_xlfn.AGGREGATE(15,6,(ROW(Liste_Ackerkulturen_Gemüse_DropDown[Ackerkulturen])-1)/(--(SEARCH(CO$2,Liste_Ackerkulturen_Gemüse_DropDown[Ackerkulturen])&gt;0)),ROW()-2),1),"")</f>
        <v>Engelwurz</v>
      </c>
      <c r="CO216" s="2464"/>
      <c r="CP216" s="2464" t="str">
        <f>IFERROR(INDEX(Liste_Ackerkulturen_Gemüse_DropDown[Ackerkulturen],_xlfn.AGGREGATE(15,6,(ROW(Liste_Ackerkulturen_Gemüse_DropDown[Ackerkulturen])-1)/(--(SEARCH(CQ$2,Liste_Ackerkulturen_Gemüse_DropDown[Ackerkulturen])&gt;0)),ROW()-2),1),"")</f>
        <v>Engelwurz</v>
      </c>
      <c r="CQ216" s="2464"/>
      <c r="CR216" s="2464" t="str">
        <f>IFERROR(INDEX(Liste_Ackerkulturen_Gemüse_DropDown[Ackerkulturen],_xlfn.AGGREGATE(15,6,(ROW(Liste_Ackerkulturen_Gemüse_DropDown[Ackerkulturen])-1)/(--(SEARCH(CS$2,Liste_Ackerkulturen_Gemüse_DropDown[Ackerkulturen])&gt;0)),ROW()-2),1),"")</f>
        <v>Engelwurz</v>
      </c>
      <c r="CS216" s="2464"/>
      <c r="DI216" s="1541"/>
      <c r="DJ216" s="1541"/>
      <c r="DK216" s="1541"/>
      <c r="DL216" s="1541"/>
      <c r="DM216" s="1541"/>
    </row>
    <row r="217" spans="1:117" s="470" customFormat="1" ht="21" customHeight="1">
      <c r="A217" s="465"/>
      <c r="B217" s="465"/>
      <c r="C217" s="1575" t="s">
        <v>186</v>
      </c>
      <c r="D217" s="1576"/>
      <c r="E217" s="1567" t="s">
        <v>462</v>
      </c>
      <c r="F217" s="1568">
        <v>105</v>
      </c>
      <c r="G217" s="1568"/>
      <c r="H217" s="1716" t="s">
        <v>463</v>
      </c>
      <c r="I217" s="1718">
        <v>120</v>
      </c>
      <c r="J217" s="1188" t="s">
        <v>464</v>
      </c>
      <c r="K217" s="1568">
        <v>140</v>
      </c>
      <c r="L217" s="1527">
        <v>120</v>
      </c>
      <c r="M217" s="1528">
        <v>150</v>
      </c>
      <c r="N217" s="1567">
        <v>45</v>
      </c>
      <c r="O217" s="1188">
        <v>40</v>
      </c>
      <c r="P217" s="1568">
        <v>25</v>
      </c>
      <c r="Q217" s="1718">
        <v>30</v>
      </c>
      <c r="R217" s="1568">
        <v>40</v>
      </c>
      <c r="S217" s="1568">
        <v>15</v>
      </c>
      <c r="T217" s="1599" t="s">
        <v>1201</v>
      </c>
      <c r="U217" s="1569">
        <v>285</v>
      </c>
      <c r="V217" s="1570">
        <v>240</v>
      </c>
      <c r="W217" s="1574">
        <v>150</v>
      </c>
      <c r="X217" s="1778">
        <v>190</v>
      </c>
      <c r="Y217" s="1574">
        <v>240</v>
      </c>
      <c r="Z217" s="1568">
        <v>95</v>
      </c>
      <c r="AA217" s="1599" t="s">
        <v>1201</v>
      </c>
      <c r="AB217" s="525"/>
      <c r="AC217" s="525"/>
      <c r="AD217" s="525"/>
      <c r="AE217" s="526"/>
      <c r="AF217" s="1279"/>
      <c r="AG217" s="176"/>
      <c r="AH217" s="176"/>
      <c r="AI217" s="176"/>
      <c r="AJ217" s="473"/>
      <c r="AK217" s="472"/>
      <c r="AL217" s="472"/>
      <c r="AM217" s="2371" t="s">
        <v>368</v>
      </c>
      <c r="AN217" s="2286">
        <v>130</v>
      </c>
      <c r="AO217" s="2308" t="s">
        <v>1201</v>
      </c>
      <c r="AP217" s="2286">
        <v>130</v>
      </c>
      <c r="AQ217" s="2308" t="s">
        <v>1201</v>
      </c>
      <c r="AR217" s="2286">
        <v>130</v>
      </c>
      <c r="AS217" s="2308" t="s">
        <v>1201</v>
      </c>
      <c r="AT217" s="2287">
        <v>130</v>
      </c>
      <c r="AU217" s="2309" t="s">
        <v>1201</v>
      </c>
      <c r="AV217" s="2287">
        <v>130</v>
      </c>
      <c r="AW217" s="2309" t="s">
        <v>1201</v>
      </c>
      <c r="AX217" s="2403">
        <v>100</v>
      </c>
      <c r="AY217" s="2299" t="s">
        <v>1201</v>
      </c>
      <c r="AZ217" s="2298">
        <v>100</v>
      </c>
      <c r="BA217" s="2373" t="s">
        <v>1201</v>
      </c>
      <c r="BE217" s="2371" t="s">
        <v>368</v>
      </c>
      <c r="BF217" s="2404">
        <v>70</v>
      </c>
      <c r="BG217" s="2404">
        <v>70</v>
      </c>
      <c r="BH217" s="2404">
        <v>70</v>
      </c>
      <c r="BJ217" s="2371" t="s">
        <v>368</v>
      </c>
      <c r="BK217" s="2400">
        <v>0</v>
      </c>
      <c r="BL217" s="577">
        <v>0</v>
      </c>
      <c r="BM217" s="577">
        <v>0</v>
      </c>
      <c r="BN217" s="2406"/>
      <c r="BO217" s="2402"/>
      <c r="BP217" s="2244"/>
      <c r="BQ217" s="2244"/>
      <c r="BR217" s="2244"/>
      <c r="BS217" s="2461" t="s">
        <v>370</v>
      </c>
      <c r="BT217" s="2463" t="str">
        <f>IFERROR(INDEX(Liste_Ackerkulturen_Gemüse_DropDown[Ackerkulturen],_xlfn.AGGREGATE(15,6,(ROW(Liste_Ackerkulturen_Gemüse_DropDown[Ackerkulturen])-1)/(--(SEARCH(BU$2,Liste_Ackerkulturen_Gemüse_DropDown[Ackerkulturen])&gt;0)),ROW()-2),1),"")</f>
        <v>Fingerhut</v>
      </c>
      <c r="BU217" s="2463"/>
      <c r="BV217" s="2463" t="str">
        <f>IFERROR(INDEX(Liste_Ackerkulturen_Gemüse_DropDown[Ackerkulturen],_xlfn.AGGREGATE(15,6,(ROW(Liste_Ackerkulturen_Gemüse_DropDown[Ackerkulturen])-1)/(--(SEARCH(BW$2,Liste_Ackerkulturen_Gemüse_DropDown[Ackerkulturen])&gt;0)),ROW()-2),1),"")</f>
        <v>Fingerhut</v>
      </c>
      <c r="BW217" s="2463"/>
      <c r="BX217" s="2463" t="str">
        <f>IFERROR(INDEX(Liste_Ackerkulturen_Gemüse_DropDown[Ackerkulturen],_xlfn.AGGREGATE(15,6,(ROW(Liste_Ackerkulturen_Gemüse_DropDown[Ackerkulturen])-1)/(--(SEARCH(BY$2,Liste_Ackerkulturen_Gemüse_DropDown[Ackerkulturen])&gt;0)),ROW()-2),1),"")</f>
        <v>Fingerhut</v>
      </c>
      <c r="BY217" s="2463"/>
      <c r="BZ217" s="2463" t="str">
        <f>IFERROR(INDEX(Liste_Ackerkulturen_Gemüse_DropDown[Ackerkulturen],_xlfn.AGGREGATE(15,6,(ROW(Liste_Ackerkulturen_Gemüse_DropDown[Ackerkulturen])-1)/(--(SEARCH(CA$2,Liste_Ackerkulturen_Gemüse_DropDown[Ackerkulturen])&gt;0)),ROW()-2),1),"")</f>
        <v>Fingerhut</v>
      </c>
      <c r="CA217" s="2463"/>
      <c r="CB217" s="2463" t="str">
        <f>IFERROR(INDEX(Liste_Ackerkulturen_Gemüse_DropDown[Ackerkulturen],_xlfn.AGGREGATE(15,6,(ROW(Liste_Ackerkulturen_Gemüse_DropDown[Ackerkulturen])-1)/(--(SEARCH(CC$2,Liste_Ackerkulturen_Gemüse_DropDown[Ackerkulturen])&gt;0)),ROW()-2),1),"")</f>
        <v>Fingerhut</v>
      </c>
      <c r="CC217" s="2463"/>
      <c r="CD217" s="2464" t="str">
        <f>IFERROR(INDEX(Liste_Ackerkulturen_Gemüse_DropDown[Ackerkulturen],_xlfn.AGGREGATE(15,6,(ROW(Liste_Ackerkulturen_Gemüse_DropDown[Ackerkulturen])-1)/(--(SEARCH(CE$2,Liste_Ackerkulturen_Gemüse_DropDown[Ackerkulturen])&gt;0)),ROW()-2),1),"")</f>
        <v>Fingerhut</v>
      </c>
      <c r="CE217" s="2464"/>
      <c r="CF217" s="2464" t="str">
        <f>IFERROR(INDEX(Liste_Ackerkulturen_Gemüse_DropDown[Ackerkulturen],_xlfn.AGGREGATE(15,6,(ROW(Liste_Ackerkulturen_Gemüse_DropDown[Ackerkulturen])-1)/(--(SEARCH(CG$2,Liste_Ackerkulturen_Gemüse_DropDown[Ackerkulturen])&gt;0)),ROW()-2),1),"")</f>
        <v>Fingerhut</v>
      </c>
      <c r="CG217" s="2464"/>
      <c r="CH217" s="2464" t="str">
        <f>IFERROR(INDEX(Liste_Ackerkulturen_Gemüse_DropDown[Ackerkulturen],_xlfn.AGGREGATE(15,6,(ROW(Liste_Ackerkulturen_Gemüse_DropDown[Ackerkulturen])-1)/(--(SEARCH(CI$2,Liste_Ackerkulturen_Gemüse_DropDown[Ackerkulturen])&gt;0)),ROW()-2),1),"")</f>
        <v>Fingerhut</v>
      </c>
      <c r="CI217" s="2464"/>
      <c r="CJ217" s="2464" t="str">
        <f>IFERROR(INDEX(Liste_Ackerkulturen_Gemüse_DropDown[Ackerkulturen],_xlfn.AGGREGATE(15,6,(ROW(Liste_Ackerkulturen_Gemüse_DropDown[Ackerkulturen])-1)/(--(SEARCH(CK$2,Liste_Ackerkulturen_Gemüse_DropDown[Ackerkulturen])&gt;0)),ROW()-2),1),"")</f>
        <v>Fingerhut</v>
      </c>
      <c r="CK217" s="2464"/>
      <c r="CL217" s="2464" t="str">
        <f>IFERROR(INDEX(Liste_Ackerkulturen_Gemüse_DropDown[Ackerkulturen],_xlfn.AGGREGATE(15,6,(ROW(Liste_Ackerkulturen_Gemüse_DropDown[Ackerkulturen])-1)/(--(SEARCH(CM$2,Liste_Ackerkulturen_Gemüse_DropDown[Ackerkulturen])&gt;0)),ROW()-2),1),"")</f>
        <v>Fingerhut</v>
      </c>
      <c r="CM217" s="2464"/>
      <c r="CN217" s="2464" t="str">
        <f>IFERROR(INDEX(Liste_Ackerkulturen_Gemüse_DropDown[Ackerkulturen],_xlfn.AGGREGATE(15,6,(ROW(Liste_Ackerkulturen_Gemüse_DropDown[Ackerkulturen])-1)/(--(SEARCH(CO$2,Liste_Ackerkulturen_Gemüse_DropDown[Ackerkulturen])&gt;0)),ROW()-2),1),"")</f>
        <v>Fingerhut</v>
      </c>
      <c r="CO217" s="2464"/>
      <c r="CP217" s="2464" t="str">
        <f>IFERROR(INDEX(Liste_Ackerkulturen_Gemüse_DropDown[Ackerkulturen],_xlfn.AGGREGATE(15,6,(ROW(Liste_Ackerkulturen_Gemüse_DropDown[Ackerkulturen])-1)/(--(SEARCH(CQ$2,Liste_Ackerkulturen_Gemüse_DropDown[Ackerkulturen])&gt;0)),ROW()-2),1),"")</f>
        <v>Fingerhut</v>
      </c>
      <c r="CQ217" s="2464"/>
      <c r="CR217" s="2464" t="str">
        <f>IFERROR(INDEX(Liste_Ackerkulturen_Gemüse_DropDown[Ackerkulturen],_xlfn.AGGREGATE(15,6,(ROW(Liste_Ackerkulturen_Gemüse_DropDown[Ackerkulturen])-1)/(--(SEARCH(CS$2,Liste_Ackerkulturen_Gemüse_DropDown[Ackerkulturen])&gt;0)),ROW()-2),1),"")</f>
        <v>Fingerhut</v>
      </c>
      <c r="CS217" s="2464"/>
      <c r="DI217" s="1541"/>
      <c r="DJ217" s="1541"/>
      <c r="DK217" s="1541"/>
      <c r="DL217" s="1541"/>
      <c r="DM217" s="1541"/>
    </row>
    <row r="218" spans="1:117" s="470" customFormat="1" ht="21" customHeight="1">
      <c r="A218" s="465"/>
      <c r="B218" s="465"/>
      <c r="C218" s="1575" t="s">
        <v>187</v>
      </c>
      <c r="D218" s="1576"/>
      <c r="E218" s="1567" t="s">
        <v>1957</v>
      </c>
      <c r="F218" s="1568">
        <v>80</v>
      </c>
      <c r="G218" s="1568"/>
      <c r="H218" s="1716" t="s">
        <v>188</v>
      </c>
      <c r="I218" s="1718">
        <v>95</v>
      </c>
      <c r="J218" s="1188" t="s">
        <v>166</v>
      </c>
      <c r="K218" s="1568">
        <v>115</v>
      </c>
      <c r="L218" s="1527">
        <v>75</v>
      </c>
      <c r="M218" s="1528">
        <v>94</v>
      </c>
      <c r="N218" s="1567">
        <v>45</v>
      </c>
      <c r="O218" s="1188">
        <v>40</v>
      </c>
      <c r="P218" s="1568">
        <v>25</v>
      </c>
      <c r="Q218" s="1718">
        <v>30</v>
      </c>
      <c r="R218" s="1568">
        <v>40</v>
      </c>
      <c r="S218" s="1568">
        <v>15</v>
      </c>
      <c r="T218" s="1599" t="s">
        <v>1201</v>
      </c>
      <c r="U218" s="1569">
        <v>120</v>
      </c>
      <c r="V218" s="1570">
        <v>100</v>
      </c>
      <c r="W218" s="1574">
        <v>65</v>
      </c>
      <c r="X218" s="1778">
        <v>80</v>
      </c>
      <c r="Y218" s="1574">
        <v>100</v>
      </c>
      <c r="Z218" s="1568">
        <v>40</v>
      </c>
      <c r="AA218" s="1599" t="s">
        <v>1201</v>
      </c>
      <c r="AB218" s="525"/>
      <c r="AC218" s="525"/>
      <c r="AD218" s="525"/>
      <c r="AE218" s="526"/>
      <c r="AF218" s="1279"/>
      <c r="AG218" s="176"/>
      <c r="AH218" s="176"/>
      <c r="AI218" s="176"/>
      <c r="AJ218" s="473"/>
      <c r="AK218" s="472"/>
      <c r="AL218" s="472"/>
      <c r="AM218" s="2371" t="s">
        <v>369</v>
      </c>
      <c r="AN218" s="2286">
        <v>120</v>
      </c>
      <c r="AO218" s="2308" t="s">
        <v>1201</v>
      </c>
      <c r="AP218" s="2286">
        <v>120</v>
      </c>
      <c r="AQ218" s="2308" t="s">
        <v>1201</v>
      </c>
      <c r="AR218" s="2286">
        <v>120</v>
      </c>
      <c r="AS218" s="2308" t="s">
        <v>1201</v>
      </c>
      <c r="AT218" s="2287">
        <v>120</v>
      </c>
      <c r="AU218" s="2309" t="s">
        <v>1201</v>
      </c>
      <c r="AV218" s="2287">
        <v>120</v>
      </c>
      <c r="AW218" s="2309" t="s">
        <v>1201</v>
      </c>
      <c r="AX218" s="2403">
        <v>100</v>
      </c>
      <c r="AY218" s="2299" t="s">
        <v>1201</v>
      </c>
      <c r="AZ218" s="2298">
        <v>100</v>
      </c>
      <c r="BA218" s="2373" t="s">
        <v>1201</v>
      </c>
      <c r="BE218" s="2371" t="s">
        <v>369</v>
      </c>
      <c r="BF218" s="2404">
        <v>60</v>
      </c>
      <c r="BG218" s="2404">
        <v>60</v>
      </c>
      <c r="BH218" s="2404">
        <v>60</v>
      </c>
      <c r="BJ218" s="2371" t="s">
        <v>369</v>
      </c>
      <c r="BK218" s="2400">
        <v>0</v>
      </c>
      <c r="BL218" s="577">
        <v>0</v>
      </c>
      <c r="BM218" s="577">
        <v>0</v>
      </c>
      <c r="BN218" s="2406"/>
      <c r="BO218" s="2402"/>
      <c r="BP218" s="2244"/>
      <c r="BQ218" s="2244"/>
      <c r="BR218" s="2244"/>
      <c r="BS218" s="2461" t="s">
        <v>371</v>
      </c>
      <c r="BT218" s="2463" t="str">
        <f>IFERROR(INDEX(Liste_Ackerkulturen_Gemüse_DropDown[Ackerkulturen],_xlfn.AGGREGATE(15,6,(ROW(Liste_Ackerkulturen_Gemüse_DropDown[Ackerkulturen])-1)/(--(SEARCH(BU$2,Liste_Ackerkulturen_Gemüse_DropDown[Ackerkulturen])&gt;0)),ROW()-2),1),"")</f>
        <v>Flohsamen</v>
      </c>
      <c r="BU218" s="2463"/>
      <c r="BV218" s="2463" t="str">
        <f>IFERROR(INDEX(Liste_Ackerkulturen_Gemüse_DropDown[Ackerkulturen],_xlfn.AGGREGATE(15,6,(ROW(Liste_Ackerkulturen_Gemüse_DropDown[Ackerkulturen])-1)/(--(SEARCH(BW$2,Liste_Ackerkulturen_Gemüse_DropDown[Ackerkulturen])&gt;0)),ROW()-2),1),"")</f>
        <v>Flohsamen</v>
      </c>
      <c r="BW218" s="2463"/>
      <c r="BX218" s="2463" t="str">
        <f>IFERROR(INDEX(Liste_Ackerkulturen_Gemüse_DropDown[Ackerkulturen],_xlfn.AGGREGATE(15,6,(ROW(Liste_Ackerkulturen_Gemüse_DropDown[Ackerkulturen])-1)/(--(SEARCH(BY$2,Liste_Ackerkulturen_Gemüse_DropDown[Ackerkulturen])&gt;0)),ROW()-2),1),"")</f>
        <v>Flohsamen</v>
      </c>
      <c r="BY218" s="2463"/>
      <c r="BZ218" s="2463" t="str">
        <f>IFERROR(INDEX(Liste_Ackerkulturen_Gemüse_DropDown[Ackerkulturen],_xlfn.AGGREGATE(15,6,(ROW(Liste_Ackerkulturen_Gemüse_DropDown[Ackerkulturen])-1)/(--(SEARCH(CA$2,Liste_Ackerkulturen_Gemüse_DropDown[Ackerkulturen])&gt;0)),ROW()-2),1),"")</f>
        <v>Flohsamen</v>
      </c>
      <c r="CA218" s="2463"/>
      <c r="CB218" s="2463" t="str">
        <f>IFERROR(INDEX(Liste_Ackerkulturen_Gemüse_DropDown[Ackerkulturen],_xlfn.AGGREGATE(15,6,(ROW(Liste_Ackerkulturen_Gemüse_DropDown[Ackerkulturen])-1)/(--(SEARCH(CC$2,Liste_Ackerkulturen_Gemüse_DropDown[Ackerkulturen])&gt;0)),ROW()-2),1),"")</f>
        <v>Flohsamen</v>
      </c>
      <c r="CC218" s="2463"/>
      <c r="CD218" s="2464" t="str">
        <f>IFERROR(INDEX(Liste_Ackerkulturen_Gemüse_DropDown[Ackerkulturen],_xlfn.AGGREGATE(15,6,(ROW(Liste_Ackerkulturen_Gemüse_DropDown[Ackerkulturen])-1)/(--(SEARCH(CE$2,Liste_Ackerkulturen_Gemüse_DropDown[Ackerkulturen])&gt;0)),ROW()-2),1),"")</f>
        <v>Flohsamen</v>
      </c>
      <c r="CE218" s="2464"/>
      <c r="CF218" s="2464" t="str">
        <f>IFERROR(INDEX(Liste_Ackerkulturen_Gemüse_DropDown[Ackerkulturen],_xlfn.AGGREGATE(15,6,(ROW(Liste_Ackerkulturen_Gemüse_DropDown[Ackerkulturen])-1)/(--(SEARCH(CG$2,Liste_Ackerkulturen_Gemüse_DropDown[Ackerkulturen])&gt;0)),ROW()-2),1),"")</f>
        <v>Flohsamen</v>
      </c>
      <c r="CG218" s="2464"/>
      <c r="CH218" s="2464" t="str">
        <f>IFERROR(INDEX(Liste_Ackerkulturen_Gemüse_DropDown[Ackerkulturen],_xlfn.AGGREGATE(15,6,(ROW(Liste_Ackerkulturen_Gemüse_DropDown[Ackerkulturen])-1)/(--(SEARCH(CI$2,Liste_Ackerkulturen_Gemüse_DropDown[Ackerkulturen])&gt;0)),ROW()-2),1),"")</f>
        <v>Flohsamen</v>
      </c>
      <c r="CI218" s="2464"/>
      <c r="CJ218" s="2464" t="str">
        <f>IFERROR(INDEX(Liste_Ackerkulturen_Gemüse_DropDown[Ackerkulturen],_xlfn.AGGREGATE(15,6,(ROW(Liste_Ackerkulturen_Gemüse_DropDown[Ackerkulturen])-1)/(--(SEARCH(CK$2,Liste_Ackerkulturen_Gemüse_DropDown[Ackerkulturen])&gt;0)),ROW()-2),1),"")</f>
        <v>Flohsamen</v>
      </c>
      <c r="CK218" s="2464"/>
      <c r="CL218" s="2464" t="str">
        <f>IFERROR(INDEX(Liste_Ackerkulturen_Gemüse_DropDown[Ackerkulturen],_xlfn.AGGREGATE(15,6,(ROW(Liste_Ackerkulturen_Gemüse_DropDown[Ackerkulturen])-1)/(--(SEARCH(CM$2,Liste_Ackerkulturen_Gemüse_DropDown[Ackerkulturen])&gt;0)),ROW()-2),1),"")</f>
        <v>Flohsamen</v>
      </c>
      <c r="CM218" s="2464"/>
      <c r="CN218" s="2464" t="str">
        <f>IFERROR(INDEX(Liste_Ackerkulturen_Gemüse_DropDown[Ackerkulturen],_xlfn.AGGREGATE(15,6,(ROW(Liste_Ackerkulturen_Gemüse_DropDown[Ackerkulturen])-1)/(--(SEARCH(CO$2,Liste_Ackerkulturen_Gemüse_DropDown[Ackerkulturen])&gt;0)),ROW()-2),1),"")</f>
        <v>Flohsamen</v>
      </c>
      <c r="CO218" s="2464"/>
      <c r="CP218" s="2464" t="str">
        <f>IFERROR(INDEX(Liste_Ackerkulturen_Gemüse_DropDown[Ackerkulturen],_xlfn.AGGREGATE(15,6,(ROW(Liste_Ackerkulturen_Gemüse_DropDown[Ackerkulturen])-1)/(--(SEARCH(CQ$2,Liste_Ackerkulturen_Gemüse_DropDown[Ackerkulturen])&gt;0)),ROW()-2),1),"")</f>
        <v>Flohsamen</v>
      </c>
      <c r="CQ218" s="2464"/>
      <c r="CR218" s="2464" t="str">
        <f>IFERROR(INDEX(Liste_Ackerkulturen_Gemüse_DropDown[Ackerkulturen],_xlfn.AGGREGATE(15,6,(ROW(Liste_Ackerkulturen_Gemüse_DropDown[Ackerkulturen])-1)/(--(SEARCH(CS$2,Liste_Ackerkulturen_Gemüse_DropDown[Ackerkulturen])&gt;0)),ROW()-2),1),"")</f>
        <v>Flohsamen</v>
      </c>
      <c r="CS218" s="2464"/>
      <c r="DI218" s="1541"/>
      <c r="DJ218" s="1541"/>
      <c r="DK218" s="1541"/>
      <c r="DL218" s="1541"/>
      <c r="DM218" s="1541"/>
    </row>
    <row r="219" spans="1:117" s="470" customFormat="1" ht="21" customHeight="1">
      <c r="A219" s="465"/>
      <c r="B219" s="465"/>
      <c r="C219" s="1575" t="s">
        <v>189</v>
      </c>
      <c r="D219" s="1576"/>
      <c r="E219" s="1567" t="s">
        <v>190</v>
      </c>
      <c r="F219" s="1568">
        <v>90</v>
      </c>
      <c r="G219" s="1568"/>
      <c r="H219" s="1716" t="s">
        <v>191</v>
      </c>
      <c r="I219" s="1718">
        <v>110</v>
      </c>
      <c r="J219" s="1188" t="s">
        <v>192</v>
      </c>
      <c r="K219" s="1568">
        <v>135</v>
      </c>
      <c r="L219" s="1527">
        <v>90</v>
      </c>
      <c r="M219" s="1528">
        <v>113</v>
      </c>
      <c r="N219" s="1567">
        <v>45</v>
      </c>
      <c r="O219" s="1188">
        <v>40</v>
      </c>
      <c r="P219" s="1568">
        <v>25</v>
      </c>
      <c r="Q219" s="1718">
        <v>30</v>
      </c>
      <c r="R219" s="1568">
        <v>40</v>
      </c>
      <c r="S219" s="1568">
        <v>15</v>
      </c>
      <c r="T219" s="1599" t="s">
        <v>1201</v>
      </c>
      <c r="U219" s="1569">
        <v>120</v>
      </c>
      <c r="V219" s="1570">
        <v>100</v>
      </c>
      <c r="W219" s="1574">
        <v>65</v>
      </c>
      <c r="X219" s="1778">
        <v>80</v>
      </c>
      <c r="Y219" s="1574">
        <v>100</v>
      </c>
      <c r="Z219" s="1568">
        <v>40</v>
      </c>
      <c r="AA219" s="1599" t="s">
        <v>1201</v>
      </c>
      <c r="AB219" s="525"/>
      <c r="AC219" s="525"/>
      <c r="AD219" s="525"/>
      <c r="AE219" s="526"/>
      <c r="AF219" s="1279"/>
      <c r="AG219" s="176"/>
      <c r="AH219" s="176"/>
      <c r="AI219" s="176"/>
      <c r="AJ219" s="473"/>
      <c r="AK219" s="472"/>
      <c r="AL219" s="472"/>
      <c r="AM219" s="2371" t="s">
        <v>370</v>
      </c>
      <c r="AN219" s="2286">
        <v>0</v>
      </c>
      <c r="AO219" s="2308" t="s">
        <v>1201</v>
      </c>
      <c r="AP219" s="2286">
        <v>0</v>
      </c>
      <c r="AQ219" s="2308" t="s">
        <v>1201</v>
      </c>
      <c r="AR219" s="2286">
        <v>0</v>
      </c>
      <c r="AS219" s="2308" t="s">
        <v>1201</v>
      </c>
      <c r="AT219" s="2287">
        <v>0</v>
      </c>
      <c r="AU219" s="2309" t="s">
        <v>1201</v>
      </c>
      <c r="AV219" s="2287">
        <v>0</v>
      </c>
      <c r="AW219" s="2309" t="s">
        <v>1201</v>
      </c>
      <c r="AX219" s="2403">
        <v>0</v>
      </c>
      <c r="AY219" s="2299" t="s">
        <v>1201</v>
      </c>
      <c r="AZ219" s="2298">
        <v>0</v>
      </c>
      <c r="BA219" s="2373" t="s">
        <v>1201</v>
      </c>
      <c r="BE219" s="2371" t="s">
        <v>370</v>
      </c>
      <c r="BF219" s="2404">
        <v>0</v>
      </c>
      <c r="BG219" s="2404">
        <v>0</v>
      </c>
      <c r="BH219" s="2404">
        <v>0</v>
      </c>
      <c r="BJ219" s="2371" t="s">
        <v>370</v>
      </c>
      <c r="BK219" s="2400">
        <v>0</v>
      </c>
      <c r="BL219" s="577">
        <v>0</v>
      </c>
      <c r="BM219" s="577">
        <v>0</v>
      </c>
      <c r="BN219" s="2406"/>
      <c r="BO219" s="2402"/>
      <c r="BP219" s="2244"/>
      <c r="BQ219" s="2244"/>
      <c r="BR219" s="2244"/>
      <c r="BS219" s="2461" t="s">
        <v>372</v>
      </c>
      <c r="BT219" s="2463" t="str">
        <f>IFERROR(INDEX(Liste_Ackerkulturen_Gemüse_DropDown[Ackerkulturen],_xlfn.AGGREGATE(15,6,(ROW(Liste_Ackerkulturen_Gemüse_DropDown[Ackerkulturen])-1)/(--(SEARCH(BU$2,Liste_Ackerkulturen_Gemüse_DropDown[Ackerkulturen])&gt;0)),ROW()-2),1),"")</f>
        <v>Gelber Enzian 1. Jahr</v>
      </c>
      <c r="BU219" s="2463"/>
      <c r="BV219" s="2463" t="str">
        <f>IFERROR(INDEX(Liste_Ackerkulturen_Gemüse_DropDown[Ackerkulturen],_xlfn.AGGREGATE(15,6,(ROW(Liste_Ackerkulturen_Gemüse_DropDown[Ackerkulturen])-1)/(--(SEARCH(BW$2,Liste_Ackerkulturen_Gemüse_DropDown[Ackerkulturen])&gt;0)),ROW()-2),1),"")</f>
        <v>Gelber Enzian 1. Jahr</v>
      </c>
      <c r="BW219" s="2463"/>
      <c r="BX219" s="2463" t="str">
        <f>IFERROR(INDEX(Liste_Ackerkulturen_Gemüse_DropDown[Ackerkulturen],_xlfn.AGGREGATE(15,6,(ROW(Liste_Ackerkulturen_Gemüse_DropDown[Ackerkulturen])-1)/(--(SEARCH(BY$2,Liste_Ackerkulturen_Gemüse_DropDown[Ackerkulturen])&gt;0)),ROW()-2),1),"")</f>
        <v>Gelber Enzian 1. Jahr</v>
      </c>
      <c r="BY219" s="2463"/>
      <c r="BZ219" s="2463" t="str">
        <f>IFERROR(INDEX(Liste_Ackerkulturen_Gemüse_DropDown[Ackerkulturen],_xlfn.AGGREGATE(15,6,(ROW(Liste_Ackerkulturen_Gemüse_DropDown[Ackerkulturen])-1)/(--(SEARCH(CA$2,Liste_Ackerkulturen_Gemüse_DropDown[Ackerkulturen])&gt;0)),ROW()-2),1),"")</f>
        <v>Gelber Enzian 1. Jahr</v>
      </c>
      <c r="CA219" s="2463"/>
      <c r="CB219" s="2463" t="str">
        <f>IFERROR(INDEX(Liste_Ackerkulturen_Gemüse_DropDown[Ackerkulturen],_xlfn.AGGREGATE(15,6,(ROW(Liste_Ackerkulturen_Gemüse_DropDown[Ackerkulturen])-1)/(--(SEARCH(CC$2,Liste_Ackerkulturen_Gemüse_DropDown[Ackerkulturen])&gt;0)),ROW()-2),1),"")</f>
        <v>Gelber Enzian 1. Jahr</v>
      </c>
      <c r="CC219" s="2463"/>
      <c r="CD219" s="2464" t="str">
        <f>IFERROR(INDEX(Liste_Ackerkulturen_Gemüse_DropDown[Ackerkulturen],_xlfn.AGGREGATE(15,6,(ROW(Liste_Ackerkulturen_Gemüse_DropDown[Ackerkulturen])-1)/(--(SEARCH(CE$2,Liste_Ackerkulturen_Gemüse_DropDown[Ackerkulturen])&gt;0)),ROW()-2),1),"")</f>
        <v>Gelber Enzian 1. Jahr</v>
      </c>
      <c r="CE219" s="2464"/>
      <c r="CF219" s="2464" t="str">
        <f>IFERROR(INDEX(Liste_Ackerkulturen_Gemüse_DropDown[Ackerkulturen],_xlfn.AGGREGATE(15,6,(ROW(Liste_Ackerkulturen_Gemüse_DropDown[Ackerkulturen])-1)/(--(SEARCH(CG$2,Liste_Ackerkulturen_Gemüse_DropDown[Ackerkulturen])&gt;0)),ROW()-2),1),"")</f>
        <v>Gelber Enzian 1. Jahr</v>
      </c>
      <c r="CG219" s="2464"/>
      <c r="CH219" s="2464" t="str">
        <f>IFERROR(INDEX(Liste_Ackerkulturen_Gemüse_DropDown[Ackerkulturen],_xlfn.AGGREGATE(15,6,(ROW(Liste_Ackerkulturen_Gemüse_DropDown[Ackerkulturen])-1)/(--(SEARCH(CI$2,Liste_Ackerkulturen_Gemüse_DropDown[Ackerkulturen])&gt;0)),ROW()-2),1),"")</f>
        <v>Gelber Enzian 1. Jahr</v>
      </c>
      <c r="CI219" s="2464"/>
      <c r="CJ219" s="2464" t="str">
        <f>IFERROR(INDEX(Liste_Ackerkulturen_Gemüse_DropDown[Ackerkulturen],_xlfn.AGGREGATE(15,6,(ROW(Liste_Ackerkulturen_Gemüse_DropDown[Ackerkulturen])-1)/(--(SEARCH(CK$2,Liste_Ackerkulturen_Gemüse_DropDown[Ackerkulturen])&gt;0)),ROW()-2),1),"")</f>
        <v>Gelber Enzian 1. Jahr</v>
      </c>
      <c r="CK219" s="2464"/>
      <c r="CL219" s="2464" t="str">
        <f>IFERROR(INDEX(Liste_Ackerkulturen_Gemüse_DropDown[Ackerkulturen],_xlfn.AGGREGATE(15,6,(ROW(Liste_Ackerkulturen_Gemüse_DropDown[Ackerkulturen])-1)/(--(SEARCH(CM$2,Liste_Ackerkulturen_Gemüse_DropDown[Ackerkulturen])&gt;0)),ROW()-2),1),"")</f>
        <v>Gelber Enzian 1. Jahr</v>
      </c>
      <c r="CM219" s="2464"/>
      <c r="CN219" s="2464" t="str">
        <f>IFERROR(INDEX(Liste_Ackerkulturen_Gemüse_DropDown[Ackerkulturen],_xlfn.AGGREGATE(15,6,(ROW(Liste_Ackerkulturen_Gemüse_DropDown[Ackerkulturen])-1)/(--(SEARCH(CO$2,Liste_Ackerkulturen_Gemüse_DropDown[Ackerkulturen])&gt;0)),ROW()-2),1),"")</f>
        <v>Gelber Enzian 1. Jahr</v>
      </c>
      <c r="CO219" s="2464"/>
      <c r="CP219" s="2464" t="str">
        <f>IFERROR(INDEX(Liste_Ackerkulturen_Gemüse_DropDown[Ackerkulturen],_xlfn.AGGREGATE(15,6,(ROW(Liste_Ackerkulturen_Gemüse_DropDown[Ackerkulturen])-1)/(--(SEARCH(CQ$2,Liste_Ackerkulturen_Gemüse_DropDown[Ackerkulturen])&gt;0)),ROW()-2),1),"")</f>
        <v>Gelber Enzian 1. Jahr</v>
      </c>
      <c r="CQ219" s="2464"/>
      <c r="CR219" s="2464" t="str">
        <f>IFERROR(INDEX(Liste_Ackerkulturen_Gemüse_DropDown[Ackerkulturen],_xlfn.AGGREGATE(15,6,(ROW(Liste_Ackerkulturen_Gemüse_DropDown[Ackerkulturen])-1)/(--(SEARCH(CS$2,Liste_Ackerkulturen_Gemüse_DropDown[Ackerkulturen])&gt;0)),ROW()-2),1),"")</f>
        <v>Gelber Enzian 1. Jahr</v>
      </c>
      <c r="CS219" s="2464"/>
      <c r="DI219" s="1541"/>
      <c r="DJ219" s="1541"/>
      <c r="DK219" s="1541"/>
      <c r="DL219" s="1541"/>
      <c r="DM219" s="1541"/>
    </row>
    <row r="220" spans="1:117" s="470" customFormat="1" ht="21" customHeight="1">
      <c r="A220" s="465"/>
      <c r="B220" s="465"/>
      <c r="C220" s="1575" t="s">
        <v>193</v>
      </c>
      <c r="D220" s="1576"/>
      <c r="E220" s="1567" t="s">
        <v>66</v>
      </c>
      <c r="F220" s="1568">
        <v>160</v>
      </c>
      <c r="G220" s="1568"/>
      <c r="H220" s="1716" t="s">
        <v>1058</v>
      </c>
      <c r="I220" s="1718">
        <v>190</v>
      </c>
      <c r="J220" s="1188" t="s">
        <v>55</v>
      </c>
      <c r="K220" s="1568">
        <v>230</v>
      </c>
      <c r="L220" s="1527">
        <v>150</v>
      </c>
      <c r="M220" s="1528">
        <v>188</v>
      </c>
      <c r="N220" s="1567">
        <v>30</v>
      </c>
      <c r="O220" s="1188">
        <v>25</v>
      </c>
      <c r="P220" s="1568">
        <v>15</v>
      </c>
      <c r="Q220" s="1718">
        <v>20</v>
      </c>
      <c r="R220" s="1568">
        <v>25</v>
      </c>
      <c r="S220" s="1568">
        <v>10</v>
      </c>
      <c r="T220" s="1599" t="s">
        <v>1201</v>
      </c>
      <c r="U220" s="1569">
        <v>210</v>
      </c>
      <c r="V220" s="1570">
        <v>175</v>
      </c>
      <c r="W220" s="1574">
        <v>110</v>
      </c>
      <c r="X220" s="1778">
        <v>140</v>
      </c>
      <c r="Y220" s="1574">
        <v>175</v>
      </c>
      <c r="Z220" s="1568">
        <v>70</v>
      </c>
      <c r="AA220" s="1599" t="s">
        <v>1201</v>
      </c>
      <c r="AB220" s="525"/>
      <c r="AC220" s="525"/>
      <c r="AD220" s="525"/>
      <c r="AE220" s="526"/>
      <c r="AF220" s="1279"/>
      <c r="AG220" s="176"/>
      <c r="AH220" s="176"/>
      <c r="AI220" s="176"/>
      <c r="AJ220" s="473"/>
      <c r="AK220" s="472"/>
      <c r="AL220" s="472"/>
      <c r="AM220" s="2371" t="s">
        <v>371</v>
      </c>
      <c r="AN220" s="2286">
        <v>0</v>
      </c>
      <c r="AO220" s="2308" t="s">
        <v>1201</v>
      </c>
      <c r="AP220" s="2286">
        <v>0</v>
      </c>
      <c r="AQ220" s="2308" t="s">
        <v>1201</v>
      </c>
      <c r="AR220" s="2286">
        <v>0</v>
      </c>
      <c r="AS220" s="2308" t="s">
        <v>1201</v>
      </c>
      <c r="AT220" s="2287">
        <v>0</v>
      </c>
      <c r="AU220" s="2309" t="s">
        <v>1201</v>
      </c>
      <c r="AV220" s="2287">
        <v>0</v>
      </c>
      <c r="AW220" s="2309" t="s">
        <v>1201</v>
      </c>
      <c r="AX220" s="2403">
        <v>0</v>
      </c>
      <c r="AY220" s="2299" t="s">
        <v>1201</v>
      </c>
      <c r="AZ220" s="2298">
        <v>0</v>
      </c>
      <c r="BA220" s="2373" t="s">
        <v>1201</v>
      </c>
      <c r="BE220" s="2371" t="s">
        <v>371</v>
      </c>
      <c r="BF220" s="2404">
        <v>0</v>
      </c>
      <c r="BG220" s="2404">
        <v>0</v>
      </c>
      <c r="BH220" s="2404">
        <v>0</v>
      </c>
      <c r="BJ220" s="2371" t="s">
        <v>371</v>
      </c>
      <c r="BK220" s="2400">
        <v>0</v>
      </c>
      <c r="BL220" s="577">
        <v>0</v>
      </c>
      <c r="BM220" s="577">
        <v>0</v>
      </c>
      <c r="BN220" s="2406"/>
      <c r="BO220" s="2402"/>
      <c r="BP220" s="2244"/>
      <c r="BQ220" s="2244"/>
      <c r="BR220" s="2244"/>
      <c r="BS220" s="2461" t="s">
        <v>373</v>
      </c>
      <c r="BT220" s="2463" t="str">
        <f>IFERROR(INDEX(Liste_Ackerkulturen_Gemüse_DropDown[Ackerkulturen],_xlfn.AGGREGATE(15,6,(ROW(Liste_Ackerkulturen_Gemüse_DropDown[Ackerkulturen])-1)/(--(SEARCH(BU$2,Liste_Ackerkulturen_Gemüse_DropDown[Ackerkulturen])&gt;0)),ROW()-2),1),"")</f>
        <v>Gelber Enzian 2. Jahr</v>
      </c>
      <c r="BU220" s="2463"/>
      <c r="BV220" s="2463" t="str">
        <f>IFERROR(INDEX(Liste_Ackerkulturen_Gemüse_DropDown[Ackerkulturen],_xlfn.AGGREGATE(15,6,(ROW(Liste_Ackerkulturen_Gemüse_DropDown[Ackerkulturen])-1)/(--(SEARCH(BW$2,Liste_Ackerkulturen_Gemüse_DropDown[Ackerkulturen])&gt;0)),ROW()-2),1),"")</f>
        <v>Gelber Enzian 2. Jahr</v>
      </c>
      <c r="BW220" s="2463"/>
      <c r="BX220" s="2463" t="str">
        <f>IFERROR(INDEX(Liste_Ackerkulturen_Gemüse_DropDown[Ackerkulturen],_xlfn.AGGREGATE(15,6,(ROW(Liste_Ackerkulturen_Gemüse_DropDown[Ackerkulturen])-1)/(--(SEARCH(BY$2,Liste_Ackerkulturen_Gemüse_DropDown[Ackerkulturen])&gt;0)),ROW()-2),1),"")</f>
        <v>Gelber Enzian 2. Jahr</v>
      </c>
      <c r="BY220" s="2463"/>
      <c r="BZ220" s="2463" t="str">
        <f>IFERROR(INDEX(Liste_Ackerkulturen_Gemüse_DropDown[Ackerkulturen],_xlfn.AGGREGATE(15,6,(ROW(Liste_Ackerkulturen_Gemüse_DropDown[Ackerkulturen])-1)/(--(SEARCH(CA$2,Liste_Ackerkulturen_Gemüse_DropDown[Ackerkulturen])&gt;0)),ROW()-2),1),"")</f>
        <v>Gelber Enzian 2. Jahr</v>
      </c>
      <c r="CA220" s="2463"/>
      <c r="CB220" s="2463" t="str">
        <f>IFERROR(INDEX(Liste_Ackerkulturen_Gemüse_DropDown[Ackerkulturen],_xlfn.AGGREGATE(15,6,(ROW(Liste_Ackerkulturen_Gemüse_DropDown[Ackerkulturen])-1)/(--(SEARCH(CC$2,Liste_Ackerkulturen_Gemüse_DropDown[Ackerkulturen])&gt;0)),ROW()-2),1),"")</f>
        <v>Gelber Enzian 2. Jahr</v>
      </c>
      <c r="CC220" s="2463"/>
      <c r="CD220" s="2464" t="str">
        <f>IFERROR(INDEX(Liste_Ackerkulturen_Gemüse_DropDown[Ackerkulturen],_xlfn.AGGREGATE(15,6,(ROW(Liste_Ackerkulturen_Gemüse_DropDown[Ackerkulturen])-1)/(--(SEARCH(CE$2,Liste_Ackerkulturen_Gemüse_DropDown[Ackerkulturen])&gt;0)),ROW()-2),1),"")</f>
        <v>Gelber Enzian 2. Jahr</v>
      </c>
      <c r="CE220" s="2464"/>
      <c r="CF220" s="2464" t="str">
        <f>IFERROR(INDEX(Liste_Ackerkulturen_Gemüse_DropDown[Ackerkulturen],_xlfn.AGGREGATE(15,6,(ROW(Liste_Ackerkulturen_Gemüse_DropDown[Ackerkulturen])-1)/(--(SEARCH(CG$2,Liste_Ackerkulturen_Gemüse_DropDown[Ackerkulturen])&gt;0)),ROW()-2),1),"")</f>
        <v>Gelber Enzian 2. Jahr</v>
      </c>
      <c r="CG220" s="2464"/>
      <c r="CH220" s="2464" t="str">
        <f>IFERROR(INDEX(Liste_Ackerkulturen_Gemüse_DropDown[Ackerkulturen],_xlfn.AGGREGATE(15,6,(ROW(Liste_Ackerkulturen_Gemüse_DropDown[Ackerkulturen])-1)/(--(SEARCH(CI$2,Liste_Ackerkulturen_Gemüse_DropDown[Ackerkulturen])&gt;0)),ROW()-2),1),"")</f>
        <v>Gelber Enzian 2. Jahr</v>
      </c>
      <c r="CI220" s="2464"/>
      <c r="CJ220" s="2464" t="str">
        <f>IFERROR(INDEX(Liste_Ackerkulturen_Gemüse_DropDown[Ackerkulturen],_xlfn.AGGREGATE(15,6,(ROW(Liste_Ackerkulturen_Gemüse_DropDown[Ackerkulturen])-1)/(--(SEARCH(CK$2,Liste_Ackerkulturen_Gemüse_DropDown[Ackerkulturen])&gt;0)),ROW()-2),1),"")</f>
        <v>Gelber Enzian 2. Jahr</v>
      </c>
      <c r="CK220" s="2464"/>
      <c r="CL220" s="2464" t="str">
        <f>IFERROR(INDEX(Liste_Ackerkulturen_Gemüse_DropDown[Ackerkulturen],_xlfn.AGGREGATE(15,6,(ROW(Liste_Ackerkulturen_Gemüse_DropDown[Ackerkulturen])-1)/(--(SEARCH(CM$2,Liste_Ackerkulturen_Gemüse_DropDown[Ackerkulturen])&gt;0)),ROW()-2),1),"")</f>
        <v>Gelber Enzian 2. Jahr</v>
      </c>
      <c r="CM220" s="2464"/>
      <c r="CN220" s="2464" t="str">
        <f>IFERROR(INDEX(Liste_Ackerkulturen_Gemüse_DropDown[Ackerkulturen],_xlfn.AGGREGATE(15,6,(ROW(Liste_Ackerkulturen_Gemüse_DropDown[Ackerkulturen])-1)/(--(SEARCH(CO$2,Liste_Ackerkulturen_Gemüse_DropDown[Ackerkulturen])&gt;0)),ROW()-2),1),"")</f>
        <v>Gelber Enzian 2. Jahr</v>
      </c>
      <c r="CO220" s="2464"/>
      <c r="CP220" s="2464" t="str">
        <f>IFERROR(INDEX(Liste_Ackerkulturen_Gemüse_DropDown[Ackerkulturen],_xlfn.AGGREGATE(15,6,(ROW(Liste_Ackerkulturen_Gemüse_DropDown[Ackerkulturen])-1)/(--(SEARCH(CQ$2,Liste_Ackerkulturen_Gemüse_DropDown[Ackerkulturen])&gt;0)),ROW()-2),1),"")</f>
        <v>Gelber Enzian 2. Jahr</v>
      </c>
      <c r="CQ220" s="2464"/>
      <c r="CR220" s="2464" t="str">
        <f>IFERROR(INDEX(Liste_Ackerkulturen_Gemüse_DropDown[Ackerkulturen],_xlfn.AGGREGATE(15,6,(ROW(Liste_Ackerkulturen_Gemüse_DropDown[Ackerkulturen])-1)/(--(SEARCH(CS$2,Liste_Ackerkulturen_Gemüse_DropDown[Ackerkulturen])&gt;0)),ROW()-2),1),"")</f>
        <v>Gelber Enzian 2. Jahr</v>
      </c>
      <c r="CS220" s="2464"/>
      <c r="DI220" s="1541"/>
      <c r="DJ220" s="1541"/>
      <c r="DK220" s="1541"/>
      <c r="DL220" s="1541"/>
      <c r="DM220" s="1541"/>
    </row>
    <row r="221" spans="1:117" s="470" customFormat="1" ht="21" customHeight="1">
      <c r="A221" s="465"/>
      <c r="B221" s="465"/>
      <c r="C221" s="1575" t="s">
        <v>194</v>
      </c>
      <c r="D221" s="1576"/>
      <c r="E221" s="1567" t="s">
        <v>170</v>
      </c>
      <c r="F221" s="1568">
        <v>170</v>
      </c>
      <c r="G221" s="1568"/>
      <c r="H221" s="1716" t="s">
        <v>467</v>
      </c>
      <c r="I221" s="1718">
        <v>200</v>
      </c>
      <c r="J221" s="1188" t="s">
        <v>69</v>
      </c>
      <c r="K221" s="1568">
        <v>240</v>
      </c>
      <c r="L221" s="1527">
        <v>160</v>
      </c>
      <c r="M221" s="1528">
        <v>200</v>
      </c>
      <c r="N221" s="1567">
        <v>90</v>
      </c>
      <c r="O221" s="1188">
        <v>75</v>
      </c>
      <c r="P221" s="1568">
        <v>50</v>
      </c>
      <c r="Q221" s="1718">
        <v>60</v>
      </c>
      <c r="R221" s="1568">
        <v>75</v>
      </c>
      <c r="S221" s="1568">
        <v>30</v>
      </c>
      <c r="T221" s="1599" t="s">
        <v>1201</v>
      </c>
      <c r="U221" s="1569">
        <v>270</v>
      </c>
      <c r="V221" s="1570">
        <v>225</v>
      </c>
      <c r="W221" s="1574">
        <v>145</v>
      </c>
      <c r="X221" s="1778">
        <v>180</v>
      </c>
      <c r="Y221" s="1574">
        <v>225</v>
      </c>
      <c r="Z221" s="1568">
        <v>90</v>
      </c>
      <c r="AA221" s="1599" t="s">
        <v>1201</v>
      </c>
      <c r="AB221" s="525"/>
      <c r="AC221" s="525"/>
      <c r="AD221" s="525"/>
      <c r="AE221" s="526"/>
      <c r="AF221" s="1279"/>
      <c r="AG221" s="176"/>
      <c r="AH221" s="176"/>
      <c r="AI221" s="176"/>
      <c r="AJ221" s="473"/>
      <c r="AK221" s="472"/>
      <c r="AL221" s="472"/>
      <c r="AM221" s="2371" t="s">
        <v>372</v>
      </c>
      <c r="AN221" s="2286">
        <v>60</v>
      </c>
      <c r="AO221" s="2308" t="s">
        <v>1201</v>
      </c>
      <c r="AP221" s="2286">
        <v>60</v>
      </c>
      <c r="AQ221" s="2308" t="s">
        <v>1201</v>
      </c>
      <c r="AR221" s="2286">
        <v>60</v>
      </c>
      <c r="AS221" s="2308" t="s">
        <v>1201</v>
      </c>
      <c r="AT221" s="2287">
        <v>60</v>
      </c>
      <c r="AU221" s="2309" t="s">
        <v>1201</v>
      </c>
      <c r="AV221" s="2287">
        <v>60</v>
      </c>
      <c r="AW221" s="2309" t="s">
        <v>1201</v>
      </c>
      <c r="AX221" s="2403">
        <v>60</v>
      </c>
      <c r="AY221" s="2299" t="s">
        <v>1201</v>
      </c>
      <c r="AZ221" s="2298">
        <v>60</v>
      </c>
      <c r="BA221" s="2373" t="s">
        <v>1201</v>
      </c>
      <c r="BE221" s="2371" t="s">
        <v>372</v>
      </c>
      <c r="BF221" s="2404">
        <v>60</v>
      </c>
      <c r="BG221" s="2404">
        <v>60</v>
      </c>
      <c r="BH221" s="2404">
        <v>60</v>
      </c>
      <c r="BJ221" s="2371" t="s">
        <v>372</v>
      </c>
      <c r="BK221" s="2400">
        <v>0</v>
      </c>
      <c r="BL221" s="577">
        <v>0</v>
      </c>
      <c r="BM221" s="577">
        <v>0</v>
      </c>
      <c r="BN221" s="2406"/>
      <c r="BO221" s="2402"/>
      <c r="BP221" s="2244"/>
      <c r="BQ221" s="2244"/>
      <c r="BR221" s="2244"/>
      <c r="BS221" s="2461" t="s">
        <v>374</v>
      </c>
      <c r="BT221" s="2463" t="str">
        <f>IFERROR(INDEX(Liste_Ackerkulturen_Gemüse_DropDown[Ackerkulturen],_xlfn.AGGREGATE(15,6,(ROW(Liste_Ackerkulturen_Gemüse_DropDown[Ackerkulturen])-1)/(--(SEARCH(BU$2,Liste_Ackerkulturen_Gemüse_DropDown[Ackerkulturen])&gt;0)),ROW()-2),1),"")</f>
        <v>Gelber Enzian 3. Jahr</v>
      </c>
      <c r="BU221" s="2463"/>
      <c r="BV221" s="2463" t="str">
        <f>IFERROR(INDEX(Liste_Ackerkulturen_Gemüse_DropDown[Ackerkulturen],_xlfn.AGGREGATE(15,6,(ROW(Liste_Ackerkulturen_Gemüse_DropDown[Ackerkulturen])-1)/(--(SEARCH(BW$2,Liste_Ackerkulturen_Gemüse_DropDown[Ackerkulturen])&gt;0)),ROW()-2),1),"")</f>
        <v>Gelber Enzian 3. Jahr</v>
      </c>
      <c r="BW221" s="2463"/>
      <c r="BX221" s="2463" t="str">
        <f>IFERROR(INDEX(Liste_Ackerkulturen_Gemüse_DropDown[Ackerkulturen],_xlfn.AGGREGATE(15,6,(ROW(Liste_Ackerkulturen_Gemüse_DropDown[Ackerkulturen])-1)/(--(SEARCH(BY$2,Liste_Ackerkulturen_Gemüse_DropDown[Ackerkulturen])&gt;0)),ROW()-2),1),"")</f>
        <v>Gelber Enzian 3. Jahr</v>
      </c>
      <c r="BY221" s="2463"/>
      <c r="BZ221" s="2463" t="str">
        <f>IFERROR(INDEX(Liste_Ackerkulturen_Gemüse_DropDown[Ackerkulturen],_xlfn.AGGREGATE(15,6,(ROW(Liste_Ackerkulturen_Gemüse_DropDown[Ackerkulturen])-1)/(--(SEARCH(CA$2,Liste_Ackerkulturen_Gemüse_DropDown[Ackerkulturen])&gt;0)),ROW()-2),1),"")</f>
        <v>Gelber Enzian 3. Jahr</v>
      </c>
      <c r="CA221" s="2463"/>
      <c r="CB221" s="2463" t="str">
        <f>IFERROR(INDEX(Liste_Ackerkulturen_Gemüse_DropDown[Ackerkulturen],_xlfn.AGGREGATE(15,6,(ROW(Liste_Ackerkulturen_Gemüse_DropDown[Ackerkulturen])-1)/(--(SEARCH(CC$2,Liste_Ackerkulturen_Gemüse_DropDown[Ackerkulturen])&gt;0)),ROW()-2),1),"")</f>
        <v>Gelber Enzian 3. Jahr</v>
      </c>
      <c r="CC221" s="2463"/>
      <c r="CD221" s="2464" t="str">
        <f>IFERROR(INDEX(Liste_Ackerkulturen_Gemüse_DropDown[Ackerkulturen],_xlfn.AGGREGATE(15,6,(ROW(Liste_Ackerkulturen_Gemüse_DropDown[Ackerkulturen])-1)/(--(SEARCH(CE$2,Liste_Ackerkulturen_Gemüse_DropDown[Ackerkulturen])&gt;0)),ROW()-2),1),"")</f>
        <v>Gelber Enzian 3. Jahr</v>
      </c>
      <c r="CE221" s="2464"/>
      <c r="CF221" s="2464" t="str">
        <f>IFERROR(INDEX(Liste_Ackerkulturen_Gemüse_DropDown[Ackerkulturen],_xlfn.AGGREGATE(15,6,(ROW(Liste_Ackerkulturen_Gemüse_DropDown[Ackerkulturen])-1)/(--(SEARCH(CG$2,Liste_Ackerkulturen_Gemüse_DropDown[Ackerkulturen])&gt;0)),ROW()-2),1),"")</f>
        <v>Gelber Enzian 3. Jahr</v>
      </c>
      <c r="CG221" s="2464"/>
      <c r="CH221" s="2464" t="str">
        <f>IFERROR(INDEX(Liste_Ackerkulturen_Gemüse_DropDown[Ackerkulturen],_xlfn.AGGREGATE(15,6,(ROW(Liste_Ackerkulturen_Gemüse_DropDown[Ackerkulturen])-1)/(--(SEARCH(CI$2,Liste_Ackerkulturen_Gemüse_DropDown[Ackerkulturen])&gt;0)),ROW()-2),1),"")</f>
        <v>Gelber Enzian 3. Jahr</v>
      </c>
      <c r="CI221" s="2464"/>
      <c r="CJ221" s="2464" t="str">
        <f>IFERROR(INDEX(Liste_Ackerkulturen_Gemüse_DropDown[Ackerkulturen],_xlfn.AGGREGATE(15,6,(ROW(Liste_Ackerkulturen_Gemüse_DropDown[Ackerkulturen])-1)/(--(SEARCH(CK$2,Liste_Ackerkulturen_Gemüse_DropDown[Ackerkulturen])&gt;0)),ROW()-2),1),"")</f>
        <v>Gelber Enzian 3. Jahr</v>
      </c>
      <c r="CK221" s="2464"/>
      <c r="CL221" s="2464" t="str">
        <f>IFERROR(INDEX(Liste_Ackerkulturen_Gemüse_DropDown[Ackerkulturen],_xlfn.AGGREGATE(15,6,(ROW(Liste_Ackerkulturen_Gemüse_DropDown[Ackerkulturen])-1)/(--(SEARCH(CM$2,Liste_Ackerkulturen_Gemüse_DropDown[Ackerkulturen])&gt;0)),ROW()-2),1),"")</f>
        <v>Gelber Enzian 3. Jahr</v>
      </c>
      <c r="CM221" s="2464"/>
      <c r="CN221" s="2464" t="str">
        <f>IFERROR(INDEX(Liste_Ackerkulturen_Gemüse_DropDown[Ackerkulturen],_xlfn.AGGREGATE(15,6,(ROW(Liste_Ackerkulturen_Gemüse_DropDown[Ackerkulturen])-1)/(--(SEARCH(CO$2,Liste_Ackerkulturen_Gemüse_DropDown[Ackerkulturen])&gt;0)),ROW()-2),1),"")</f>
        <v>Gelber Enzian 3. Jahr</v>
      </c>
      <c r="CO221" s="2464"/>
      <c r="CP221" s="2464" t="str">
        <f>IFERROR(INDEX(Liste_Ackerkulturen_Gemüse_DropDown[Ackerkulturen],_xlfn.AGGREGATE(15,6,(ROW(Liste_Ackerkulturen_Gemüse_DropDown[Ackerkulturen])-1)/(--(SEARCH(CQ$2,Liste_Ackerkulturen_Gemüse_DropDown[Ackerkulturen])&gt;0)),ROW()-2),1),"")</f>
        <v>Gelber Enzian 3. Jahr</v>
      </c>
      <c r="CQ221" s="2464"/>
      <c r="CR221" s="2464" t="str">
        <f>IFERROR(INDEX(Liste_Ackerkulturen_Gemüse_DropDown[Ackerkulturen],_xlfn.AGGREGATE(15,6,(ROW(Liste_Ackerkulturen_Gemüse_DropDown[Ackerkulturen])-1)/(--(SEARCH(CS$2,Liste_Ackerkulturen_Gemüse_DropDown[Ackerkulturen])&gt;0)),ROW()-2),1),"")</f>
        <v>Gelber Enzian 3. Jahr</v>
      </c>
      <c r="CS221" s="2464"/>
      <c r="DI221" s="1541"/>
      <c r="DJ221" s="1541"/>
      <c r="DK221" s="1541"/>
      <c r="DL221" s="1541"/>
      <c r="DM221" s="1541"/>
    </row>
    <row r="222" spans="1:117" s="470" customFormat="1" ht="21" customHeight="1">
      <c r="A222" s="465"/>
      <c r="B222" s="465"/>
      <c r="C222" s="1575" t="s">
        <v>195</v>
      </c>
      <c r="D222" s="1576"/>
      <c r="E222" s="1567" t="s">
        <v>1983</v>
      </c>
      <c r="F222" s="1568">
        <v>240</v>
      </c>
      <c r="G222" s="1568"/>
      <c r="H222" s="1716" t="s">
        <v>1984</v>
      </c>
      <c r="I222" s="1718">
        <v>290</v>
      </c>
      <c r="J222" s="1188" t="s">
        <v>168</v>
      </c>
      <c r="K222" s="1568">
        <v>355</v>
      </c>
      <c r="L222" s="1527">
        <v>250</v>
      </c>
      <c r="M222" s="1528">
        <v>313</v>
      </c>
      <c r="N222" s="1567">
        <v>75</v>
      </c>
      <c r="O222" s="1188">
        <v>65</v>
      </c>
      <c r="P222" s="1568">
        <v>40</v>
      </c>
      <c r="Q222" s="1718">
        <v>50</v>
      </c>
      <c r="R222" s="1568">
        <v>65</v>
      </c>
      <c r="S222" s="1568">
        <v>25</v>
      </c>
      <c r="T222" s="1599" t="s">
        <v>1201</v>
      </c>
      <c r="U222" s="1569">
        <v>270</v>
      </c>
      <c r="V222" s="1570">
        <v>225</v>
      </c>
      <c r="W222" s="1574">
        <v>145</v>
      </c>
      <c r="X222" s="1778">
        <v>180</v>
      </c>
      <c r="Y222" s="1574">
        <v>225</v>
      </c>
      <c r="Z222" s="1568">
        <v>90</v>
      </c>
      <c r="AA222" s="1599" t="s">
        <v>1201</v>
      </c>
      <c r="AB222" s="525"/>
      <c r="AC222" s="525"/>
      <c r="AD222" s="525"/>
      <c r="AE222" s="526"/>
      <c r="AF222" s="1279"/>
      <c r="AG222" s="176"/>
      <c r="AH222" s="176"/>
      <c r="AI222" s="176"/>
      <c r="AJ222" s="473"/>
      <c r="AK222" s="472"/>
      <c r="AL222" s="472"/>
      <c r="AM222" s="2371" t="s">
        <v>373</v>
      </c>
      <c r="AN222" s="2286">
        <v>120</v>
      </c>
      <c r="AO222" s="2308" t="s">
        <v>1201</v>
      </c>
      <c r="AP222" s="2286">
        <v>120</v>
      </c>
      <c r="AQ222" s="2308" t="s">
        <v>1201</v>
      </c>
      <c r="AR222" s="2286">
        <v>120</v>
      </c>
      <c r="AS222" s="2308" t="s">
        <v>1201</v>
      </c>
      <c r="AT222" s="2287">
        <v>120</v>
      </c>
      <c r="AU222" s="2309" t="s">
        <v>1201</v>
      </c>
      <c r="AV222" s="2287">
        <v>120</v>
      </c>
      <c r="AW222" s="2309" t="s">
        <v>1201</v>
      </c>
      <c r="AX222" s="2403">
        <v>120</v>
      </c>
      <c r="AY222" s="2299" t="s">
        <v>1201</v>
      </c>
      <c r="AZ222" s="2298">
        <v>120</v>
      </c>
      <c r="BA222" s="2373" t="s">
        <v>1201</v>
      </c>
      <c r="BE222" s="2371" t="s">
        <v>373</v>
      </c>
      <c r="BF222" s="2404">
        <v>60</v>
      </c>
      <c r="BG222" s="2404">
        <v>60</v>
      </c>
      <c r="BH222" s="2404">
        <v>60</v>
      </c>
      <c r="BJ222" s="2371" t="s">
        <v>373</v>
      </c>
      <c r="BK222" s="2400">
        <v>0</v>
      </c>
      <c r="BL222" s="577">
        <v>0</v>
      </c>
      <c r="BM222" s="577">
        <v>0</v>
      </c>
      <c r="BN222" s="2406"/>
      <c r="BO222" s="2402"/>
      <c r="BP222" s="2244"/>
      <c r="BQ222" s="2244"/>
      <c r="BR222" s="2244"/>
      <c r="BS222" s="2461" t="s">
        <v>375</v>
      </c>
      <c r="BT222" s="2463" t="str">
        <f>IFERROR(INDEX(Liste_Ackerkulturen_Gemüse_DropDown[Ackerkulturen],_xlfn.AGGREGATE(15,6,(ROW(Liste_Ackerkulturen_Gemüse_DropDown[Ackerkulturen])-1)/(--(SEARCH(BU$2,Liste_Ackerkulturen_Gemüse_DropDown[Ackerkulturen])&gt;0)),ROW()-2),1),"")</f>
        <v>Gewürzfenchel</v>
      </c>
      <c r="BU222" s="2463"/>
      <c r="BV222" s="2463" t="str">
        <f>IFERROR(INDEX(Liste_Ackerkulturen_Gemüse_DropDown[Ackerkulturen],_xlfn.AGGREGATE(15,6,(ROW(Liste_Ackerkulturen_Gemüse_DropDown[Ackerkulturen])-1)/(--(SEARCH(BW$2,Liste_Ackerkulturen_Gemüse_DropDown[Ackerkulturen])&gt;0)),ROW()-2),1),"")</f>
        <v>Gewürzfenchel</v>
      </c>
      <c r="BW222" s="2463"/>
      <c r="BX222" s="2463" t="str">
        <f>IFERROR(INDEX(Liste_Ackerkulturen_Gemüse_DropDown[Ackerkulturen],_xlfn.AGGREGATE(15,6,(ROW(Liste_Ackerkulturen_Gemüse_DropDown[Ackerkulturen])-1)/(--(SEARCH(BY$2,Liste_Ackerkulturen_Gemüse_DropDown[Ackerkulturen])&gt;0)),ROW()-2),1),"")</f>
        <v>Gewürzfenchel</v>
      </c>
      <c r="BY222" s="2463"/>
      <c r="BZ222" s="2463" t="str">
        <f>IFERROR(INDEX(Liste_Ackerkulturen_Gemüse_DropDown[Ackerkulturen],_xlfn.AGGREGATE(15,6,(ROW(Liste_Ackerkulturen_Gemüse_DropDown[Ackerkulturen])-1)/(--(SEARCH(CA$2,Liste_Ackerkulturen_Gemüse_DropDown[Ackerkulturen])&gt;0)),ROW()-2),1),"")</f>
        <v>Gewürzfenchel</v>
      </c>
      <c r="CA222" s="2463"/>
      <c r="CB222" s="2463" t="str">
        <f>IFERROR(INDEX(Liste_Ackerkulturen_Gemüse_DropDown[Ackerkulturen],_xlfn.AGGREGATE(15,6,(ROW(Liste_Ackerkulturen_Gemüse_DropDown[Ackerkulturen])-1)/(--(SEARCH(CC$2,Liste_Ackerkulturen_Gemüse_DropDown[Ackerkulturen])&gt;0)),ROW()-2),1),"")</f>
        <v>Gewürzfenchel</v>
      </c>
      <c r="CC222" s="2463"/>
      <c r="CD222" s="2464" t="str">
        <f>IFERROR(INDEX(Liste_Ackerkulturen_Gemüse_DropDown[Ackerkulturen],_xlfn.AGGREGATE(15,6,(ROW(Liste_Ackerkulturen_Gemüse_DropDown[Ackerkulturen])-1)/(--(SEARCH(CE$2,Liste_Ackerkulturen_Gemüse_DropDown[Ackerkulturen])&gt;0)),ROW()-2),1),"")</f>
        <v>Gewürzfenchel</v>
      </c>
      <c r="CE222" s="2464"/>
      <c r="CF222" s="2464" t="str">
        <f>IFERROR(INDEX(Liste_Ackerkulturen_Gemüse_DropDown[Ackerkulturen],_xlfn.AGGREGATE(15,6,(ROW(Liste_Ackerkulturen_Gemüse_DropDown[Ackerkulturen])-1)/(--(SEARCH(CG$2,Liste_Ackerkulturen_Gemüse_DropDown[Ackerkulturen])&gt;0)),ROW()-2),1),"")</f>
        <v>Gewürzfenchel</v>
      </c>
      <c r="CG222" s="2464"/>
      <c r="CH222" s="2464" t="str">
        <f>IFERROR(INDEX(Liste_Ackerkulturen_Gemüse_DropDown[Ackerkulturen],_xlfn.AGGREGATE(15,6,(ROW(Liste_Ackerkulturen_Gemüse_DropDown[Ackerkulturen])-1)/(--(SEARCH(CI$2,Liste_Ackerkulturen_Gemüse_DropDown[Ackerkulturen])&gt;0)),ROW()-2),1),"")</f>
        <v>Gewürzfenchel</v>
      </c>
      <c r="CI222" s="2464"/>
      <c r="CJ222" s="2464" t="str">
        <f>IFERROR(INDEX(Liste_Ackerkulturen_Gemüse_DropDown[Ackerkulturen],_xlfn.AGGREGATE(15,6,(ROW(Liste_Ackerkulturen_Gemüse_DropDown[Ackerkulturen])-1)/(--(SEARCH(CK$2,Liste_Ackerkulturen_Gemüse_DropDown[Ackerkulturen])&gt;0)),ROW()-2),1),"")</f>
        <v>Gewürzfenchel</v>
      </c>
      <c r="CK222" s="2464"/>
      <c r="CL222" s="2464" t="str">
        <f>IFERROR(INDEX(Liste_Ackerkulturen_Gemüse_DropDown[Ackerkulturen],_xlfn.AGGREGATE(15,6,(ROW(Liste_Ackerkulturen_Gemüse_DropDown[Ackerkulturen])-1)/(--(SEARCH(CM$2,Liste_Ackerkulturen_Gemüse_DropDown[Ackerkulturen])&gt;0)),ROW()-2),1),"")</f>
        <v>Gewürzfenchel</v>
      </c>
      <c r="CM222" s="2464"/>
      <c r="CN222" s="2464" t="str">
        <f>IFERROR(INDEX(Liste_Ackerkulturen_Gemüse_DropDown[Ackerkulturen],_xlfn.AGGREGATE(15,6,(ROW(Liste_Ackerkulturen_Gemüse_DropDown[Ackerkulturen])-1)/(--(SEARCH(CO$2,Liste_Ackerkulturen_Gemüse_DropDown[Ackerkulturen])&gt;0)),ROW()-2),1),"")</f>
        <v>Gewürzfenchel</v>
      </c>
      <c r="CO222" s="2464"/>
      <c r="CP222" s="2464" t="str">
        <f>IFERROR(INDEX(Liste_Ackerkulturen_Gemüse_DropDown[Ackerkulturen],_xlfn.AGGREGATE(15,6,(ROW(Liste_Ackerkulturen_Gemüse_DropDown[Ackerkulturen])-1)/(--(SEARCH(CQ$2,Liste_Ackerkulturen_Gemüse_DropDown[Ackerkulturen])&gt;0)),ROW()-2),1),"")</f>
        <v>Gewürzfenchel</v>
      </c>
      <c r="CQ222" s="2464"/>
      <c r="CR222" s="2464" t="str">
        <f>IFERROR(INDEX(Liste_Ackerkulturen_Gemüse_DropDown[Ackerkulturen],_xlfn.AGGREGATE(15,6,(ROW(Liste_Ackerkulturen_Gemüse_DropDown[Ackerkulturen])-1)/(--(SEARCH(CS$2,Liste_Ackerkulturen_Gemüse_DropDown[Ackerkulturen])&gt;0)),ROW()-2),1),"")</f>
        <v>Gewürzfenchel</v>
      </c>
      <c r="CS222" s="2464"/>
      <c r="DI222" s="1541"/>
      <c r="DJ222" s="1541"/>
      <c r="DK222" s="1541"/>
      <c r="DL222" s="1541"/>
      <c r="DM222" s="1541"/>
    </row>
    <row r="223" spans="1:117" s="470" customFormat="1" ht="21" customHeight="1">
      <c r="A223" s="465"/>
      <c r="B223" s="465"/>
      <c r="C223" s="1575" t="s">
        <v>196</v>
      </c>
      <c r="D223" s="1576"/>
      <c r="E223" s="1567" t="s">
        <v>1983</v>
      </c>
      <c r="F223" s="1568">
        <v>200</v>
      </c>
      <c r="G223" s="1568"/>
      <c r="H223" s="1716" t="s">
        <v>1984</v>
      </c>
      <c r="I223" s="1718">
        <v>240</v>
      </c>
      <c r="J223" s="1188" t="s">
        <v>168</v>
      </c>
      <c r="K223" s="1568">
        <v>290</v>
      </c>
      <c r="L223" s="1527">
        <v>250</v>
      </c>
      <c r="M223" s="1528">
        <v>313</v>
      </c>
      <c r="N223" s="1567">
        <v>60</v>
      </c>
      <c r="O223" s="1188">
        <v>50</v>
      </c>
      <c r="P223" s="1568">
        <v>30</v>
      </c>
      <c r="Q223" s="1718">
        <v>40</v>
      </c>
      <c r="R223" s="1568">
        <v>50</v>
      </c>
      <c r="S223" s="1568">
        <v>20</v>
      </c>
      <c r="T223" s="1599" t="s">
        <v>1201</v>
      </c>
      <c r="U223" s="1569">
        <v>210</v>
      </c>
      <c r="V223" s="1570">
        <v>175</v>
      </c>
      <c r="W223" s="1574">
        <v>110</v>
      </c>
      <c r="X223" s="1778">
        <v>140</v>
      </c>
      <c r="Y223" s="1574">
        <v>175</v>
      </c>
      <c r="Z223" s="1568">
        <v>70</v>
      </c>
      <c r="AA223" s="1599" t="s">
        <v>1201</v>
      </c>
      <c r="AB223" s="525"/>
      <c r="AC223" s="525"/>
      <c r="AD223" s="525"/>
      <c r="AE223" s="526"/>
      <c r="AF223" s="1279"/>
      <c r="AG223" s="176"/>
      <c r="AH223" s="176"/>
      <c r="AI223" s="176"/>
      <c r="AJ223" s="473"/>
      <c r="AK223" s="472"/>
      <c r="AL223" s="472"/>
      <c r="AM223" s="2371" t="s">
        <v>374</v>
      </c>
      <c r="AN223" s="2286">
        <v>120</v>
      </c>
      <c r="AO223" s="2308" t="s">
        <v>1201</v>
      </c>
      <c r="AP223" s="2286">
        <v>120</v>
      </c>
      <c r="AQ223" s="2308" t="s">
        <v>1201</v>
      </c>
      <c r="AR223" s="2286">
        <v>120</v>
      </c>
      <c r="AS223" s="2308" t="s">
        <v>1201</v>
      </c>
      <c r="AT223" s="2287">
        <v>120</v>
      </c>
      <c r="AU223" s="2309" t="s">
        <v>1201</v>
      </c>
      <c r="AV223" s="2287">
        <v>120</v>
      </c>
      <c r="AW223" s="2309" t="s">
        <v>1201</v>
      </c>
      <c r="AX223" s="2403">
        <v>80</v>
      </c>
      <c r="AY223" s="2299" t="s">
        <v>1201</v>
      </c>
      <c r="AZ223" s="2298">
        <v>80</v>
      </c>
      <c r="BA223" s="2373" t="s">
        <v>1201</v>
      </c>
      <c r="BE223" s="2371" t="s">
        <v>374</v>
      </c>
      <c r="BF223" s="2404">
        <v>60</v>
      </c>
      <c r="BG223" s="2404">
        <v>60</v>
      </c>
      <c r="BH223" s="2404">
        <v>60</v>
      </c>
      <c r="BJ223" s="2371" t="s">
        <v>374</v>
      </c>
      <c r="BK223" s="2400">
        <v>0</v>
      </c>
      <c r="BL223" s="577">
        <v>0</v>
      </c>
      <c r="BM223" s="577">
        <v>0</v>
      </c>
      <c r="BN223" s="2406"/>
      <c r="BO223" s="2402"/>
      <c r="BP223" s="2244"/>
      <c r="BQ223" s="2244"/>
      <c r="BR223" s="2244"/>
      <c r="BS223" s="2461" t="s">
        <v>376</v>
      </c>
      <c r="BT223" s="2463" t="str">
        <f>IFERROR(INDEX(Liste_Ackerkulturen_Gemüse_DropDown[Ackerkulturen],_xlfn.AGGREGATE(15,6,(ROW(Liste_Ackerkulturen_Gemüse_DropDown[Ackerkulturen])-1)/(--(SEARCH(BU$2,Liste_Ackerkulturen_Gemüse_DropDown[Ackerkulturen])&gt;0)),ROW()-2),1),"")</f>
        <v>Ginseng</v>
      </c>
      <c r="BU223" s="2463"/>
      <c r="BV223" s="2463" t="str">
        <f>IFERROR(INDEX(Liste_Ackerkulturen_Gemüse_DropDown[Ackerkulturen],_xlfn.AGGREGATE(15,6,(ROW(Liste_Ackerkulturen_Gemüse_DropDown[Ackerkulturen])-1)/(--(SEARCH(BW$2,Liste_Ackerkulturen_Gemüse_DropDown[Ackerkulturen])&gt;0)),ROW()-2),1),"")</f>
        <v>Ginseng</v>
      </c>
      <c r="BW223" s="2463"/>
      <c r="BX223" s="2463" t="str">
        <f>IFERROR(INDEX(Liste_Ackerkulturen_Gemüse_DropDown[Ackerkulturen],_xlfn.AGGREGATE(15,6,(ROW(Liste_Ackerkulturen_Gemüse_DropDown[Ackerkulturen])-1)/(--(SEARCH(BY$2,Liste_Ackerkulturen_Gemüse_DropDown[Ackerkulturen])&gt;0)),ROW()-2),1),"")</f>
        <v>Ginseng</v>
      </c>
      <c r="BY223" s="2463"/>
      <c r="BZ223" s="2463" t="str">
        <f>IFERROR(INDEX(Liste_Ackerkulturen_Gemüse_DropDown[Ackerkulturen],_xlfn.AGGREGATE(15,6,(ROW(Liste_Ackerkulturen_Gemüse_DropDown[Ackerkulturen])-1)/(--(SEARCH(CA$2,Liste_Ackerkulturen_Gemüse_DropDown[Ackerkulturen])&gt;0)),ROW()-2),1),"")</f>
        <v>Ginseng</v>
      </c>
      <c r="CA223" s="2463"/>
      <c r="CB223" s="2463" t="str">
        <f>IFERROR(INDEX(Liste_Ackerkulturen_Gemüse_DropDown[Ackerkulturen],_xlfn.AGGREGATE(15,6,(ROW(Liste_Ackerkulturen_Gemüse_DropDown[Ackerkulturen])-1)/(--(SEARCH(CC$2,Liste_Ackerkulturen_Gemüse_DropDown[Ackerkulturen])&gt;0)),ROW()-2),1),"")</f>
        <v>Ginseng</v>
      </c>
      <c r="CC223" s="2463"/>
      <c r="CD223" s="2464" t="str">
        <f>IFERROR(INDEX(Liste_Ackerkulturen_Gemüse_DropDown[Ackerkulturen],_xlfn.AGGREGATE(15,6,(ROW(Liste_Ackerkulturen_Gemüse_DropDown[Ackerkulturen])-1)/(--(SEARCH(CE$2,Liste_Ackerkulturen_Gemüse_DropDown[Ackerkulturen])&gt;0)),ROW()-2),1),"")</f>
        <v>Ginseng</v>
      </c>
      <c r="CE223" s="2464"/>
      <c r="CF223" s="2464" t="str">
        <f>IFERROR(INDEX(Liste_Ackerkulturen_Gemüse_DropDown[Ackerkulturen],_xlfn.AGGREGATE(15,6,(ROW(Liste_Ackerkulturen_Gemüse_DropDown[Ackerkulturen])-1)/(--(SEARCH(CG$2,Liste_Ackerkulturen_Gemüse_DropDown[Ackerkulturen])&gt;0)),ROW()-2),1),"")</f>
        <v>Ginseng</v>
      </c>
      <c r="CG223" s="2464"/>
      <c r="CH223" s="2464" t="str">
        <f>IFERROR(INDEX(Liste_Ackerkulturen_Gemüse_DropDown[Ackerkulturen],_xlfn.AGGREGATE(15,6,(ROW(Liste_Ackerkulturen_Gemüse_DropDown[Ackerkulturen])-1)/(--(SEARCH(CI$2,Liste_Ackerkulturen_Gemüse_DropDown[Ackerkulturen])&gt;0)),ROW()-2),1),"")</f>
        <v>Ginseng</v>
      </c>
      <c r="CI223" s="2464"/>
      <c r="CJ223" s="2464" t="str">
        <f>IFERROR(INDEX(Liste_Ackerkulturen_Gemüse_DropDown[Ackerkulturen],_xlfn.AGGREGATE(15,6,(ROW(Liste_Ackerkulturen_Gemüse_DropDown[Ackerkulturen])-1)/(--(SEARCH(CK$2,Liste_Ackerkulturen_Gemüse_DropDown[Ackerkulturen])&gt;0)),ROW()-2),1),"")</f>
        <v>Ginseng</v>
      </c>
      <c r="CK223" s="2464"/>
      <c r="CL223" s="2464" t="str">
        <f>IFERROR(INDEX(Liste_Ackerkulturen_Gemüse_DropDown[Ackerkulturen],_xlfn.AGGREGATE(15,6,(ROW(Liste_Ackerkulturen_Gemüse_DropDown[Ackerkulturen])-1)/(--(SEARCH(CM$2,Liste_Ackerkulturen_Gemüse_DropDown[Ackerkulturen])&gt;0)),ROW()-2),1),"")</f>
        <v>Ginseng</v>
      </c>
      <c r="CM223" s="2464"/>
      <c r="CN223" s="2464" t="str">
        <f>IFERROR(INDEX(Liste_Ackerkulturen_Gemüse_DropDown[Ackerkulturen],_xlfn.AGGREGATE(15,6,(ROW(Liste_Ackerkulturen_Gemüse_DropDown[Ackerkulturen])-1)/(--(SEARCH(CO$2,Liste_Ackerkulturen_Gemüse_DropDown[Ackerkulturen])&gt;0)),ROW()-2),1),"")</f>
        <v>Ginseng</v>
      </c>
      <c r="CO223" s="2464"/>
      <c r="CP223" s="2464" t="str">
        <f>IFERROR(INDEX(Liste_Ackerkulturen_Gemüse_DropDown[Ackerkulturen],_xlfn.AGGREGATE(15,6,(ROW(Liste_Ackerkulturen_Gemüse_DropDown[Ackerkulturen])-1)/(--(SEARCH(CQ$2,Liste_Ackerkulturen_Gemüse_DropDown[Ackerkulturen])&gt;0)),ROW()-2),1),"")</f>
        <v>Ginseng</v>
      </c>
      <c r="CQ223" s="2464"/>
      <c r="CR223" s="2464" t="str">
        <f>IFERROR(INDEX(Liste_Ackerkulturen_Gemüse_DropDown[Ackerkulturen],_xlfn.AGGREGATE(15,6,(ROW(Liste_Ackerkulturen_Gemüse_DropDown[Ackerkulturen])-1)/(--(SEARCH(CS$2,Liste_Ackerkulturen_Gemüse_DropDown[Ackerkulturen])&gt;0)),ROW()-2),1),"")</f>
        <v>Ginseng</v>
      </c>
      <c r="CS223" s="2464"/>
      <c r="DI223" s="1541"/>
      <c r="DJ223" s="1541"/>
      <c r="DK223" s="1541"/>
      <c r="DL223" s="1541"/>
      <c r="DM223" s="1541"/>
    </row>
    <row r="224" spans="1:117" s="470" customFormat="1" ht="21" customHeight="1">
      <c r="A224" s="465"/>
      <c r="B224" s="465"/>
      <c r="C224" s="1575" t="s">
        <v>197</v>
      </c>
      <c r="D224" s="1576"/>
      <c r="E224" s="1567" t="s">
        <v>66</v>
      </c>
      <c r="F224" s="1568">
        <v>170</v>
      </c>
      <c r="G224" s="1568"/>
      <c r="H224" s="1716" t="s">
        <v>67</v>
      </c>
      <c r="I224" s="1718">
        <v>200</v>
      </c>
      <c r="J224" s="1188" t="s">
        <v>151</v>
      </c>
      <c r="K224" s="1568">
        <v>240</v>
      </c>
      <c r="L224" s="1527">
        <v>160</v>
      </c>
      <c r="M224" s="1528">
        <v>200</v>
      </c>
      <c r="N224" s="1567">
        <v>60</v>
      </c>
      <c r="O224" s="1188">
        <v>50</v>
      </c>
      <c r="P224" s="1568">
        <v>30</v>
      </c>
      <c r="Q224" s="1718">
        <v>40</v>
      </c>
      <c r="R224" s="1568">
        <v>50</v>
      </c>
      <c r="S224" s="1568">
        <v>20</v>
      </c>
      <c r="T224" s="1599" t="s">
        <v>1201</v>
      </c>
      <c r="U224" s="1569">
        <v>210</v>
      </c>
      <c r="V224" s="1570">
        <v>175</v>
      </c>
      <c r="W224" s="1574">
        <v>110</v>
      </c>
      <c r="X224" s="1778">
        <v>140</v>
      </c>
      <c r="Y224" s="1574">
        <v>175</v>
      </c>
      <c r="Z224" s="1568">
        <v>70</v>
      </c>
      <c r="AA224" s="1599" t="s">
        <v>1201</v>
      </c>
      <c r="AB224" s="525"/>
      <c r="AC224" s="525"/>
      <c r="AD224" s="525"/>
      <c r="AE224" s="526"/>
      <c r="AF224" s="1279"/>
      <c r="AG224" s="176"/>
      <c r="AH224" s="176"/>
      <c r="AI224" s="176"/>
      <c r="AJ224" s="473"/>
      <c r="AK224" s="472"/>
      <c r="AL224" s="472"/>
      <c r="AM224" s="2371" t="s">
        <v>375</v>
      </c>
      <c r="AN224" s="2286">
        <v>70</v>
      </c>
      <c r="AO224" s="2308" t="s">
        <v>1201</v>
      </c>
      <c r="AP224" s="2286">
        <v>70</v>
      </c>
      <c r="AQ224" s="2308" t="s">
        <v>1201</v>
      </c>
      <c r="AR224" s="2286">
        <v>70</v>
      </c>
      <c r="AS224" s="2308" t="s">
        <v>1201</v>
      </c>
      <c r="AT224" s="2287">
        <v>70</v>
      </c>
      <c r="AU224" s="2309" t="s">
        <v>1201</v>
      </c>
      <c r="AV224" s="2287">
        <v>70</v>
      </c>
      <c r="AW224" s="2309" t="s">
        <v>1201</v>
      </c>
      <c r="AX224" s="2403">
        <v>60</v>
      </c>
      <c r="AY224" s="2299" t="s">
        <v>1201</v>
      </c>
      <c r="AZ224" s="2298">
        <v>60</v>
      </c>
      <c r="BA224" s="2373" t="s">
        <v>1201</v>
      </c>
      <c r="BE224" s="2371" t="s">
        <v>375</v>
      </c>
      <c r="BF224" s="2404">
        <v>60</v>
      </c>
      <c r="BG224" s="2404">
        <v>60</v>
      </c>
      <c r="BH224" s="2404">
        <v>60</v>
      </c>
      <c r="BJ224" s="2371" t="s">
        <v>375</v>
      </c>
      <c r="BK224" s="2400">
        <v>0</v>
      </c>
      <c r="BL224" s="577">
        <v>0</v>
      </c>
      <c r="BM224" s="577">
        <v>0</v>
      </c>
      <c r="BN224" s="2406"/>
      <c r="BO224" s="2402"/>
      <c r="BP224" s="2244"/>
      <c r="BQ224" s="2244"/>
      <c r="BR224" s="2244"/>
      <c r="BS224" s="2461" t="s">
        <v>377</v>
      </c>
      <c r="BT224" s="2463" t="str">
        <f>IFERROR(INDEX(Liste_Ackerkulturen_Gemüse_DropDown[Ackerkulturen],_xlfn.AGGREGATE(15,6,(ROW(Liste_Ackerkulturen_Gemüse_DropDown[Ackerkulturen])-1)/(--(SEARCH(BU$2,Liste_Ackerkulturen_Gemüse_DropDown[Ackerkulturen])&gt;0)),ROW()-2),1),"")</f>
        <v>Goldmelisse</v>
      </c>
      <c r="BU224" s="2463"/>
      <c r="BV224" s="2463" t="str">
        <f>IFERROR(INDEX(Liste_Ackerkulturen_Gemüse_DropDown[Ackerkulturen],_xlfn.AGGREGATE(15,6,(ROW(Liste_Ackerkulturen_Gemüse_DropDown[Ackerkulturen])-1)/(--(SEARCH(BW$2,Liste_Ackerkulturen_Gemüse_DropDown[Ackerkulturen])&gt;0)),ROW()-2),1),"")</f>
        <v>Goldmelisse</v>
      </c>
      <c r="BW224" s="2463"/>
      <c r="BX224" s="2463" t="str">
        <f>IFERROR(INDEX(Liste_Ackerkulturen_Gemüse_DropDown[Ackerkulturen],_xlfn.AGGREGATE(15,6,(ROW(Liste_Ackerkulturen_Gemüse_DropDown[Ackerkulturen])-1)/(--(SEARCH(BY$2,Liste_Ackerkulturen_Gemüse_DropDown[Ackerkulturen])&gt;0)),ROW()-2),1),"")</f>
        <v>Goldmelisse</v>
      </c>
      <c r="BY224" s="2463"/>
      <c r="BZ224" s="2463" t="str">
        <f>IFERROR(INDEX(Liste_Ackerkulturen_Gemüse_DropDown[Ackerkulturen],_xlfn.AGGREGATE(15,6,(ROW(Liste_Ackerkulturen_Gemüse_DropDown[Ackerkulturen])-1)/(--(SEARCH(CA$2,Liste_Ackerkulturen_Gemüse_DropDown[Ackerkulturen])&gt;0)),ROW()-2),1),"")</f>
        <v>Goldmelisse</v>
      </c>
      <c r="CA224" s="2463"/>
      <c r="CB224" s="2463" t="str">
        <f>IFERROR(INDEX(Liste_Ackerkulturen_Gemüse_DropDown[Ackerkulturen],_xlfn.AGGREGATE(15,6,(ROW(Liste_Ackerkulturen_Gemüse_DropDown[Ackerkulturen])-1)/(--(SEARCH(CC$2,Liste_Ackerkulturen_Gemüse_DropDown[Ackerkulturen])&gt;0)),ROW()-2),1),"")</f>
        <v>Goldmelisse</v>
      </c>
      <c r="CC224" s="2463"/>
      <c r="CD224" s="2464" t="str">
        <f>IFERROR(INDEX(Liste_Ackerkulturen_Gemüse_DropDown[Ackerkulturen],_xlfn.AGGREGATE(15,6,(ROW(Liste_Ackerkulturen_Gemüse_DropDown[Ackerkulturen])-1)/(--(SEARCH(CE$2,Liste_Ackerkulturen_Gemüse_DropDown[Ackerkulturen])&gt;0)),ROW()-2),1),"")</f>
        <v>Goldmelisse</v>
      </c>
      <c r="CE224" s="2464"/>
      <c r="CF224" s="2464" t="str">
        <f>IFERROR(INDEX(Liste_Ackerkulturen_Gemüse_DropDown[Ackerkulturen],_xlfn.AGGREGATE(15,6,(ROW(Liste_Ackerkulturen_Gemüse_DropDown[Ackerkulturen])-1)/(--(SEARCH(CG$2,Liste_Ackerkulturen_Gemüse_DropDown[Ackerkulturen])&gt;0)),ROW()-2),1),"")</f>
        <v>Goldmelisse</v>
      </c>
      <c r="CG224" s="2464"/>
      <c r="CH224" s="2464" t="str">
        <f>IFERROR(INDEX(Liste_Ackerkulturen_Gemüse_DropDown[Ackerkulturen],_xlfn.AGGREGATE(15,6,(ROW(Liste_Ackerkulturen_Gemüse_DropDown[Ackerkulturen])-1)/(--(SEARCH(CI$2,Liste_Ackerkulturen_Gemüse_DropDown[Ackerkulturen])&gt;0)),ROW()-2),1),"")</f>
        <v>Goldmelisse</v>
      </c>
      <c r="CI224" s="2464"/>
      <c r="CJ224" s="2464" t="str">
        <f>IFERROR(INDEX(Liste_Ackerkulturen_Gemüse_DropDown[Ackerkulturen],_xlfn.AGGREGATE(15,6,(ROW(Liste_Ackerkulturen_Gemüse_DropDown[Ackerkulturen])-1)/(--(SEARCH(CK$2,Liste_Ackerkulturen_Gemüse_DropDown[Ackerkulturen])&gt;0)),ROW()-2),1),"")</f>
        <v>Goldmelisse</v>
      </c>
      <c r="CK224" s="2464"/>
      <c r="CL224" s="2464" t="str">
        <f>IFERROR(INDEX(Liste_Ackerkulturen_Gemüse_DropDown[Ackerkulturen],_xlfn.AGGREGATE(15,6,(ROW(Liste_Ackerkulturen_Gemüse_DropDown[Ackerkulturen])-1)/(--(SEARCH(CM$2,Liste_Ackerkulturen_Gemüse_DropDown[Ackerkulturen])&gt;0)),ROW()-2),1),"")</f>
        <v>Goldmelisse</v>
      </c>
      <c r="CM224" s="2464"/>
      <c r="CN224" s="2464" t="str">
        <f>IFERROR(INDEX(Liste_Ackerkulturen_Gemüse_DropDown[Ackerkulturen],_xlfn.AGGREGATE(15,6,(ROW(Liste_Ackerkulturen_Gemüse_DropDown[Ackerkulturen])-1)/(--(SEARCH(CO$2,Liste_Ackerkulturen_Gemüse_DropDown[Ackerkulturen])&gt;0)),ROW()-2),1),"")</f>
        <v>Goldmelisse</v>
      </c>
      <c r="CO224" s="2464"/>
      <c r="CP224" s="2464" t="str">
        <f>IFERROR(INDEX(Liste_Ackerkulturen_Gemüse_DropDown[Ackerkulturen],_xlfn.AGGREGATE(15,6,(ROW(Liste_Ackerkulturen_Gemüse_DropDown[Ackerkulturen])-1)/(--(SEARCH(CQ$2,Liste_Ackerkulturen_Gemüse_DropDown[Ackerkulturen])&gt;0)),ROW()-2),1),"")</f>
        <v>Goldmelisse</v>
      </c>
      <c r="CQ224" s="2464"/>
      <c r="CR224" s="2464" t="str">
        <f>IFERROR(INDEX(Liste_Ackerkulturen_Gemüse_DropDown[Ackerkulturen],_xlfn.AGGREGATE(15,6,(ROW(Liste_Ackerkulturen_Gemüse_DropDown[Ackerkulturen])-1)/(--(SEARCH(CS$2,Liste_Ackerkulturen_Gemüse_DropDown[Ackerkulturen])&gt;0)),ROW()-2),1),"")</f>
        <v>Goldmelisse</v>
      </c>
      <c r="CS224" s="2464"/>
      <c r="DI224" s="1541"/>
      <c r="DJ224" s="1541"/>
      <c r="DK224" s="1541"/>
      <c r="DL224" s="1541"/>
      <c r="DM224" s="1541"/>
    </row>
    <row r="225" spans="1:117" s="470" customFormat="1" ht="21" customHeight="1">
      <c r="A225" s="465"/>
      <c r="B225" s="465"/>
      <c r="C225" s="1575" t="s">
        <v>198</v>
      </c>
      <c r="D225" s="1576"/>
      <c r="E225" s="1567" t="s">
        <v>199</v>
      </c>
      <c r="F225" s="1568">
        <v>170</v>
      </c>
      <c r="G225" s="1568"/>
      <c r="H225" s="1716" t="s">
        <v>200</v>
      </c>
      <c r="I225" s="1718">
        <v>200</v>
      </c>
      <c r="J225" s="1188" t="s">
        <v>159</v>
      </c>
      <c r="K225" s="1568">
        <v>235</v>
      </c>
      <c r="L225" s="1527">
        <v>160</v>
      </c>
      <c r="M225" s="1528">
        <v>200</v>
      </c>
      <c r="N225" s="1567">
        <v>60</v>
      </c>
      <c r="O225" s="1188">
        <v>50</v>
      </c>
      <c r="P225" s="1568">
        <v>30</v>
      </c>
      <c r="Q225" s="1718">
        <v>40</v>
      </c>
      <c r="R225" s="1568">
        <v>50</v>
      </c>
      <c r="S225" s="1568">
        <v>20</v>
      </c>
      <c r="T225" s="1599" t="s">
        <v>1201</v>
      </c>
      <c r="U225" s="1569">
        <v>210</v>
      </c>
      <c r="V225" s="1570">
        <v>175</v>
      </c>
      <c r="W225" s="1574">
        <v>110</v>
      </c>
      <c r="X225" s="1778">
        <v>140</v>
      </c>
      <c r="Y225" s="1574">
        <v>175</v>
      </c>
      <c r="Z225" s="1568">
        <v>70</v>
      </c>
      <c r="AA225" s="1599" t="s">
        <v>1201</v>
      </c>
      <c r="AB225" s="525"/>
      <c r="AC225" s="525"/>
      <c r="AD225" s="525"/>
      <c r="AE225" s="526"/>
      <c r="AF225" s="1279"/>
      <c r="AG225" s="176"/>
      <c r="AH225" s="176"/>
      <c r="AI225" s="176"/>
      <c r="AJ225" s="473"/>
      <c r="AK225" s="472"/>
      <c r="AL225" s="472"/>
      <c r="AM225" s="2371" t="s">
        <v>376</v>
      </c>
      <c r="AN225" s="2286">
        <v>180</v>
      </c>
      <c r="AO225" s="2308" t="s">
        <v>1201</v>
      </c>
      <c r="AP225" s="2286">
        <v>180</v>
      </c>
      <c r="AQ225" s="2308" t="s">
        <v>1201</v>
      </c>
      <c r="AR225" s="2286">
        <v>180</v>
      </c>
      <c r="AS225" s="2308" t="s">
        <v>1201</v>
      </c>
      <c r="AT225" s="2287">
        <v>180</v>
      </c>
      <c r="AU225" s="2309" t="s">
        <v>1201</v>
      </c>
      <c r="AV225" s="2287">
        <v>180</v>
      </c>
      <c r="AW225" s="2309" t="s">
        <v>1201</v>
      </c>
      <c r="AX225" s="2403">
        <v>140</v>
      </c>
      <c r="AY225" s="2299" t="s">
        <v>1201</v>
      </c>
      <c r="AZ225" s="2298">
        <v>140</v>
      </c>
      <c r="BA225" s="2373" t="s">
        <v>1201</v>
      </c>
      <c r="BE225" s="2371" t="s">
        <v>376</v>
      </c>
      <c r="BF225" s="2404">
        <v>60</v>
      </c>
      <c r="BG225" s="2404">
        <v>60</v>
      </c>
      <c r="BH225" s="2404">
        <v>60</v>
      </c>
      <c r="BJ225" s="2371" t="s">
        <v>376</v>
      </c>
      <c r="BK225" s="2400">
        <v>0</v>
      </c>
      <c r="BL225" s="577">
        <v>0</v>
      </c>
      <c r="BM225" s="577">
        <v>0</v>
      </c>
      <c r="BN225" s="2406"/>
      <c r="BO225" s="2402"/>
      <c r="BP225" s="2244"/>
      <c r="BQ225" s="2244"/>
      <c r="BR225" s="2244"/>
      <c r="BS225" s="2461" t="s">
        <v>378</v>
      </c>
      <c r="BT225" s="2463" t="str">
        <f>IFERROR(INDEX(Liste_Ackerkulturen_Gemüse_DropDown[Ackerkulturen],_xlfn.AGGREGATE(15,6,(ROW(Liste_Ackerkulturen_Gemüse_DropDown[Ackerkulturen])-1)/(--(SEARCH(BU$2,Liste_Ackerkulturen_Gemüse_DropDown[Ackerkulturen])&gt;0)),ROW()-2),1),"")</f>
        <v>Johanniskraut</v>
      </c>
      <c r="BU225" s="2463"/>
      <c r="BV225" s="2463" t="str">
        <f>IFERROR(INDEX(Liste_Ackerkulturen_Gemüse_DropDown[Ackerkulturen],_xlfn.AGGREGATE(15,6,(ROW(Liste_Ackerkulturen_Gemüse_DropDown[Ackerkulturen])-1)/(--(SEARCH(BW$2,Liste_Ackerkulturen_Gemüse_DropDown[Ackerkulturen])&gt;0)),ROW()-2),1),"")</f>
        <v>Johanniskraut</v>
      </c>
      <c r="BW225" s="2463"/>
      <c r="BX225" s="2463" t="str">
        <f>IFERROR(INDEX(Liste_Ackerkulturen_Gemüse_DropDown[Ackerkulturen],_xlfn.AGGREGATE(15,6,(ROW(Liste_Ackerkulturen_Gemüse_DropDown[Ackerkulturen])-1)/(--(SEARCH(BY$2,Liste_Ackerkulturen_Gemüse_DropDown[Ackerkulturen])&gt;0)),ROW()-2),1),"")</f>
        <v>Johanniskraut</v>
      </c>
      <c r="BY225" s="2463"/>
      <c r="BZ225" s="2463" t="str">
        <f>IFERROR(INDEX(Liste_Ackerkulturen_Gemüse_DropDown[Ackerkulturen],_xlfn.AGGREGATE(15,6,(ROW(Liste_Ackerkulturen_Gemüse_DropDown[Ackerkulturen])-1)/(--(SEARCH(CA$2,Liste_Ackerkulturen_Gemüse_DropDown[Ackerkulturen])&gt;0)),ROW()-2),1),"")</f>
        <v>Johanniskraut</v>
      </c>
      <c r="CA225" s="2463"/>
      <c r="CB225" s="2463" t="str">
        <f>IFERROR(INDEX(Liste_Ackerkulturen_Gemüse_DropDown[Ackerkulturen],_xlfn.AGGREGATE(15,6,(ROW(Liste_Ackerkulturen_Gemüse_DropDown[Ackerkulturen])-1)/(--(SEARCH(CC$2,Liste_Ackerkulturen_Gemüse_DropDown[Ackerkulturen])&gt;0)),ROW()-2),1),"")</f>
        <v>Johanniskraut</v>
      </c>
      <c r="CC225" s="2463"/>
      <c r="CD225" s="2464" t="str">
        <f>IFERROR(INDEX(Liste_Ackerkulturen_Gemüse_DropDown[Ackerkulturen],_xlfn.AGGREGATE(15,6,(ROW(Liste_Ackerkulturen_Gemüse_DropDown[Ackerkulturen])-1)/(--(SEARCH(CE$2,Liste_Ackerkulturen_Gemüse_DropDown[Ackerkulturen])&gt;0)),ROW()-2),1),"")</f>
        <v>Johanniskraut</v>
      </c>
      <c r="CE225" s="2464"/>
      <c r="CF225" s="2464" t="str">
        <f>IFERROR(INDEX(Liste_Ackerkulturen_Gemüse_DropDown[Ackerkulturen],_xlfn.AGGREGATE(15,6,(ROW(Liste_Ackerkulturen_Gemüse_DropDown[Ackerkulturen])-1)/(--(SEARCH(CG$2,Liste_Ackerkulturen_Gemüse_DropDown[Ackerkulturen])&gt;0)),ROW()-2),1),"")</f>
        <v>Johanniskraut</v>
      </c>
      <c r="CG225" s="2464"/>
      <c r="CH225" s="2464" t="str">
        <f>IFERROR(INDEX(Liste_Ackerkulturen_Gemüse_DropDown[Ackerkulturen],_xlfn.AGGREGATE(15,6,(ROW(Liste_Ackerkulturen_Gemüse_DropDown[Ackerkulturen])-1)/(--(SEARCH(CI$2,Liste_Ackerkulturen_Gemüse_DropDown[Ackerkulturen])&gt;0)),ROW()-2),1),"")</f>
        <v>Johanniskraut</v>
      </c>
      <c r="CI225" s="2464"/>
      <c r="CJ225" s="2464" t="str">
        <f>IFERROR(INDEX(Liste_Ackerkulturen_Gemüse_DropDown[Ackerkulturen],_xlfn.AGGREGATE(15,6,(ROW(Liste_Ackerkulturen_Gemüse_DropDown[Ackerkulturen])-1)/(--(SEARCH(CK$2,Liste_Ackerkulturen_Gemüse_DropDown[Ackerkulturen])&gt;0)),ROW()-2),1),"")</f>
        <v>Johanniskraut</v>
      </c>
      <c r="CK225" s="2464"/>
      <c r="CL225" s="2464" t="str">
        <f>IFERROR(INDEX(Liste_Ackerkulturen_Gemüse_DropDown[Ackerkulturen],_xlfn.AGGREGATE(15,6,(ROW(Liste_Ackerkulturen_Gemüse_DropDown[Ackerkulturen])-1)/(--(SEARCH(CM$2,Liste_Ackerkulturen_Gemüse_DropDown[Ackerkulturen])&gt;0)),ROW()-2),1),"")</f>
        <v>Johanniskraut</v>
      </c>
      <c r="CM225" s="2464"/>
      <c r="CN225" s="2464" t="str">
        <f>IFERROR(INDEX(Liste_Ackerkulturen_Gemüse_DropDown[Ackerkulturen],_xlfn.AGGREGATE(15,6,(ROW(Liste_Ackerkulturen_Gemüse_DropDown[Ackerkulturen])-1)/(--(SEARCH(CO$2,Liste_Ackerkulturen_Gemüse_DropDown[Ackerkulturen])&gt;0)),ROW()-2),1),"")</f>
        <v>Johanniskraut</v>
      </c>
      <c r="CO225" s="2464"/>
      <c r="CP225" s="2464" t="str">
        <f>IFERROR(INDEX(Liste_Ackerkulturen_Gemüse_DropDown[Ackerkulturen],_xlfn.AGGREGATE(15,6,(ROW(Liste_Ackerkulturen_Gemüse_DropDown[Ackerkulturen])-1)/(--(SEARCH(CQ$2,Liste_Ackerkulturen_Gemüse_DropDown[Ackerkulturen])&gt;0)),ROW()-2),1),"")</f>
        <v>Johanniskraut</v>
      </c>
      <c r="CQ225" s="2464"/>
      <c r="CR225" s="2464" t="str">
        <f>IFERROR(INDEX(Liste_Ackerkulturen_Gemüse_DropDown[Ackerkulturen],_xlfn.AGGREGATE(15,6,(ROW(Liste_Ackerkulturen_Gemüse_DropDown[Ackerkulturen])-1)/(--(SEARCH(CS$2,Liste_Ackerkulturen_Gemüse_DropDown[Ackerkulturen])&gt;0)),ROW()-2),1),"")</f>
        <v>Johanniskraut</v>
      </c>
      <c r="CS225" s="2464"/>
      <c r="DI225" s="1541"/>
      <c r="DJ225" s="1541"/>
      <c r="DK225" s="1541"/>
      <c r="DL225" s="1541"/>
      <c r="DM225" s="1541"/>
    </row>
    <row r="226" spans="1:117" s="470" customFormat="1" ht="21" customHeight="1">
      <c r="A226" s="465"/>
      <c r="B226" s="465"/>
      <c r="C226" s="1575" t="s">
        <v>201</v>
      </c>
      <c r="D226" s="1576"/>
      <c r="E226" s="1567" t="s">
        <v>143</v>
      </c>
      <c r="F226" s="1568">
        <v>210</v>
      </c>
      <c r="G226" s="1568"/>
      <c r="H226" s="1716" t="s">
        <v>144</v>
      </c>
      <c r="I226" s="1718">
        <v>250</v>
      </c>
      <c r="J226" s="1188" t="s">
        <v>145</v>
      </c>
      <c r="K226" s="1568">
        <v>305</v>
      </c>
      <c r="L226" s="1527">
        <v>210</v>
      </c>
      <c r="M226" s="1528">
        <v>263</v>
      </c>
      <c r="N226" s="1567">
        <v>90</v>
      </c>
      <c r="O226" s="1188">
        <v>75</v>
      </c>
      <c r="P226" s="1568">
        <v>50</v>
      </c>
      <c r="Q226" s="1718">
        <v>60</v>
      </c>
      <c r="R226" s="1568">
        <v>75</v>
      </c>
      <c r="S226" s="1568">
        <v>30</v>
      </c>
      <c r="T226" s="1599" t="s">
        <v>1201</v>
      </c>
      <c r="U226" s="1569">
        <v>315</v>
      </c>
      <c r="V226" s="1570">
        <v>265</v>
      </c>
      <c r="W226" s="1574">
        <v>170</v>
      </c>
      <c r="X226" s="1778">
        <v>210</v>
      </c>
      <c r="Y226" s="1574">
        <v>265</v>
      </c>
      <c r="Z226" s="1568">
        <v>105</v>
      </c>
      <c r="AA226" s="1599" t="s">
        <v>1201</v>
      </c>
      <c r="AB226" s="525"/>
      <c r="AC226" s="525"/>
      <c r="AD226" s="525"/>
      <c r="AE226" s="526"/>
      <c r="AF226" s="1279"/>
      <c r="AG226" s="176"/>
      <c r="AH226" s="176"/>
      <c r="AI226" s="176"/>
      <c r="AJ226" s="473"/>
      <c r="AK226" s="472"/>
      <c r="AL226" s="472"/>
      <c r="AM226" s="2371" t="s">
        <v>377</v>
      </c>
      <c r="AN226" s="2286">
        <v>120</v>
      </c>
      <c r="AO226" s="2308" t="s">
        <v>1201</v>
      </c>
      <c r="AP226" s="2286">
        <v>120</v>
      </c>
      <c r="AQ226" s="2308" t="s">
        <v>1201</v>
      </c>
      <c r="AR226" s="2286">
        <v>120</v>
      </c>
      <c r="AS226" s="2308" t="s">
        <v>1201</v>
      </c>
      <c r="AT226" s="2287">
        <v>120</v>
      </c>
      <c r="AU226" s="2309" t="s">
        <v>1201</v>
      </c>
      <c r="AV226" s="2287">
        <v>120</v>
      </c>
      <c r="AW226" s="2309" t="s">
        <v>1201</v>
      </c>
      <c r="AX226" s="2403">
        <v>100</v>
      </c>
      <c r="AY226" s="2299" t="s">
        <v>1201</v>
      </c>
      <c r="AZ226" s="2298">
        <v>100</v>
      </c>
      <c r="BA226" s="2373" t="s">
        <v>1201</v>
      </c>
      <c r="BE226" s="2371" t="s">
        <v>377</v>
      </c>
      <c r="BF226" s="2404">
        <v>50</v>
      </c>
      <c r="BG226" s="2404">
        <v>50</v>
      </c>
      <c r="BH226" s="2404">
        <v>50</v>
      </c>
      <c r="BJ226" s="2371" t="s">
        <v>377</v>
      </c>
      <c r="BK226" s="2400">
        <v>0</v>
      </c>
      <c r="BL226" s="577">
        <v>0</v>
      </c>
      <c r="BM226" s="577">
        <v>0</v>
      </c>
      <c r="BN226" s="2406"/>
      <c r="BO226" s="2402"/>
      <c r="BP226" s="2244"/>
      <c r="BQ226" s="2244"/>
      <c r="BR226" s="2244"/>
      <c r="BS226" s="2461" t="s">
        <v>379</v>
      </c>
      <c r="BT226" s="2463" t="str">
        <f>IFERROR(INDEX(Liste_Ackerkulturen_Gemüse_DropDown[Ackerkulturen],_xlfn.AGGREGATE(15,6,(ROW(Liste_Ackerkulturen_Gemüse_DropDown[Ackerkulturen])-1)/(--(SEARCH(BU$2,Liste_Ackerkulturen_Gemüse_DropDown[Ackerkulturen])&gt;0)),ROW()-2),1),"")</f>
        <v>Kamille</v>
      </c>
      <c r="BU226" s="2463"/>
      <c r="BV226" s="2463" t="str">
        <f>IFERROR(INDEX(Liste_Ackerkulturen_Gemüse_DropDown[Ackerkulturen],_xlfn.AGGREGATE(15,6,(ROW(Liste_Ackerkulturen_Gemüse_DropDown[Ackerkulturen])-1)/(--(SEARCH(BW$2,Liste_Ackerkulturen_Gemüse_DropDown[Ackerkulturen])&gt;0)),ROW()-2),1),"")</f>
        <v>Kamille</v>
      </c>
      <c r="BW226" s="2463"/>
      <c r="BX226" s="2463" t="str">
        <f>IFERROR(INDEX(Liste_Ackerkulturen_Gemüse_DropDown[Ackerkulturen],_xlfn.AGGREGATE(15,6,(ROW(Liste_Ackerkulturen_Gemüse_DropDown[Ackerkulturen])-1)/(--(SEARCH(BY$2,Liste_Ackerkulturen_Gemüse_DropDown[Ackerkulturen])&gt;0)),ROW()-2),1),"")</f>
        <v>Kamille</v>
      </c>
      <c r="BY226" s="2463"/>
      <c r="BZ226" s="2463" t="str">
        <f>IFERROR(INDEX(Liste_Ackerkulturen_Gemüse_DropDown[Ackerkulturen],_xlfn.AGGREGATE(15,6,(ROW(Liste_Ackerkulturen_Gemüse_DropDown[Ackerkulturen])-1)/(--(SEARCH(CA$2,Liste_Ackerkulturen_Gemüse_DropDown[Ackerkulturen])&gt;0)),ROW()-2),1),"")</f>
        <v>Kamille</v>
      </c>
      <c r="CA226" s="2463"/>
      <c r="CB226" s="2463" t="str">
        <f>IFERROR(INDEX(Liste_Ackerkulturen_Gemüse_DropDown[Ackerkulturen],_xlfn.AGGREGATE(15,6,(ROW(Liste_Ackerkulturen_Gemüse_DropDown[Ackerkulturen])-1)/(--(SEARCH(CC$2,Liste_Ackerkulturen_Gemüse_DropDown[Ackerkulturen])&gt;0)),ROW()-2),1),"")</f>
        <v>Kamille</v>
      </c>
      <c r="CC226" s="2463"/>
      <c r="CD226" s="2464" t="str">
        <f>IFERROR(INDEX(Liste_Ackerkulturen_Gemüse_DropDown[Ackerkulturen],_xlfn.AGGREGATE(15,6,(ROW(Liste_Ackerkulturen_Gemüse_DropDown[Ackerkulturen])-1)/(--(SEARCH(CE$2,Liste_Ackerkulturen_Gemüse_DropDown[Ackerkulturen])&gt;0)),ROW()-2),1),"")</f>
        <v>Kamille</v>
      </c>
      <c r="CE226" s="2464"/>
      <c r="CF226" s="2464" t="str">
        <f>IFERROR(INDEX(Liste_Ackerkulturen_Gemüse_DropDown[Ackerkulturen],_xlfn.AGGREGATE(15,6,(ROW(Liste_Ackerkulturen_Gemüse_DropDown[Ackerkulturen])-1)/(--(SEARCH(CG$2,Liste_Ackerkulturen_Gemüse_DropDown[Ackerkulturen])&gt;0)),ROW()-2),1),"")</f>
        <v>Kamille</v>
      </c>
      <c r="CG226" s="2464"/>
      <c r="CH226" s="2464" t="str">
        <f>IFERROR(INDEX(Liste_Ackerkulturen_Gemüse_DropDown[Ackerkulturen],_xlfn.AGGREGATE(15,6,(ROW(Liste_Ackerkulturen_Gemüse_DropDown[Ackerkulturen])-1)/(--(SEARCH(CI$2,Liste_Ackerkulturen_Gemüse_DropDown[Ackerkulturen])&gt;0)),ROW()-2),1),"")</f>
        <v>Kamille</v>
      </c>
      <c r="CI226" s="2464"/>
      <c r="CJ226" s="2464" t="str">
        <f>IFERROR(INDEX(Liste_Ackerkulturen_Gemüse_DropDown[Ackerkulturen],_xlfn.AGGREGATE(15,6,(ROW(Liste_Ackerkulturen_Gemüse_DropDown[Ackerkulturen])-1)/(--(SEARCH(CK$2,Liste_Ackerkulturen_Gemüse_DropDown[Ackerkulturen])&gt;0)),ROW()-2),1),"")</f>
        <v>Kamille</v>
      </c>
      <c r="CK226" s="2464"/>
      <c r="CL226" s="2464" t="str">
        <f>IFERROR(INDEX(Liste_Ackerkulturen_Gemüse_DropDown[Ackerkulturen],_xlfn.AGGREGATE(15,6,(ROW(Liste_Ackerkulturen_Gemüse_DropDown[Ackerkulturen])-1)/(--(SEARCH(CM$2,Liste_Ackerkulturen_Gemüse_DropDown[Ackerkulturen])&gt;0)),ROW()-2),1),"")</f>
        <v>Kamille</v>
      </c>
      <c r="CM226" s="2464"/>
      <c r="CN226" s="2464" t="str">
        <f>IFERROR(INDEX(Liste_Ackerkulturen_Gemüse_DropDown[Ackerkulturen],_xlfn.AGGREGATE(15,6,(ROW(Liste_Ackerkulturen_Gemüse_DropDown[Ackerkulturen])-1)/(--(SEARCH(CO$2,Liste_Ackerkulturen_Gemüse_DropDown[Ackerkulturen])&gt;0)),ROW()-2),1),"")</f>
        <v>Kamille</v>
      </c>
      <c r="CO226" s="2464"/>
      <c r="CP226" s="2464" t="str">
        <f>IFERROR(INDEX(Liste_Ackerkulturen_Gemüse_DropDown[Ackerkulturen],_xlfn.AGGREGATE(15,6,(ROW(Liste_Ackerkulturen_Gemüse_DropDown[Ackerkulturen])-1)/(--(SEARCH(CQ$2,Liste_Ackerkulturen_Gemüse_DropDown[Ackerkulturen])&gt;0)),ROW()-2),1),"")</f>
        <v>Kamille</v>
      </c>
      <c r="CQ226" s="2464"/>
      <c r="CR226" s="2464" t="str">
        <f>IFERROR(INDEX(Liste_Ackerkulturen_Gemüse_DropDown[Ackerkulturen],_xlfn.AGGREGATE(15,6,(ROW(Liste_Ackerkulturen_Gemüse_DropDown[Ackerkulturen])-1)/(--(SEARCH(CS$2,Liste_Ackerkulturen_Gemüse_DropDown[Ackerkulturen])&gt;0)),ROW()-2),1),"")</f>
        <v>Kamille</v>
      </c>
      <c r="CS226" s="2464"/>
      <c r="DI226" s="1541"/>
      <c r="DJ226" s="1541"/>
      <c r="DK226" s="1541"/>
      <c r="DL226" s="1541"/>
      <c r="DM226" s="1541"/>
    </row>
    <row r="227" spans="1:117" s="470" customFormat="1" ht="21" customHeight="1">
      <c r="A227" s="465"/>
      <c r="B227" s="465"/>
      <c r="C227" s="1575" t="s">
        <v>202</v>
      </c>
      <c r="D227" s="1576"/>
      <c r="E227" s="1567" t="s">
        <v>66</v>
      </c>
      <c r="F227" s="1568">
        <v>180</v>
      </c>
      <c r="G227" s="1568"/>
      <c r="H227" s="1716" t="s">
        <v>67</v>
      </c>
      <c r="I227" s="1718">
        <v>210</v>
      </c>
      <c r="J227" s="1188" t="s">
        <v>151</v>
      </c>
      <c r="K227" s="1568">
        <v>250</v>
      </c>
      <c r="L227" s="1527">
        <v>150</v>
      </c>
      <c r="M227" s="1528">
        <v>188</v>
      </c>
      <c r="N227" s="1567">
        <v>55</v>
      </c>
      <c r="O227" s="1188">
        <v>45</v>
      </c>
      <c r="P227" s="1568">
        <v>30</v>
      </c>
      <c r="Q227" s="1718">
        <v>35</v>
      </c>
      <c r="R227" s="1568">
        <v>45</v>
      </c>
      <c r="S227" s="1568">
        <v>20</v>
      </c>
      <c r="T227" s="1599" t="s">
        <v>1201</v>
      </c>
      <c r="U227" s="1569">
        <v>210</v>
      </c>
      <c r="V227" s="1570">
        <v>175</v>
      </c>
      <c r="W227" s="1574">
        <v>110</v>
      </c>
      <c r="X227" s="1778">
        <v>140</v>
      </c>
      <c r="Y227" s="1574">
        <v>175</v>
      </c>
      <c r="Z227" s="1568">
        <v>70</v>
      </c>
      <c r="AA227" s="1599" t="s">
        <v>1201</v>
      </c>
      <c r="AB227" s="525"/>
      <c r="AC227" s="525"/>
      <c r="AD227" s="525"/>
      <c r="AE227" s="526"/>
      <c r="AF227" s="1279"/>
      <c r="AG227" s="176"/>
      <c r="AH227" s="176"/>
      <c r="AI227" s="176"/>
      <c r="AJ227" s="473"/>
      <c r="AK227" s="472"/>
      <c r="AL227" s="472"/>
      <c r="AM227" s="2371" t="s">
        <v>378</v>
      </c>
      <c r="AN227" s="2286">
        <v>50</v>
      </c>
      <c r="AO227" s="2308" t="s">
        <v>1201</v>
      </c>
      <c r="AP227" s="2286">
        <v>50</v>
      </c>
      <c r="AQ227" s="2308" t="s">
        <v>1201</v>
      </c>
      <c r="AR227" s="2286">
        <v>50</v>
      </c>
      <c r="AS227" s="2308" t="s">
        <v>1201</v>
      </c>
      <c r="AT227" s="2287">
        <v>50</v>
      </c>
      <c r="AU227" s="2309" t="s">
        <v>1201</v>
      </c>
      <c r="AV227" s="2287">
        <v>50</v>
      </c>
      <c r="AW227" s="2309" t="s">
        <v>1201</v>
      </c>
      <c r="AX227" s="2403">
        <v>40</v>
      </c>
      <c r="AY227" s="2299" t="s">
        <v>1201</v>
      </c>
      <c r="AZ227" s="2298">
        <v>40</v>
      </c>
      <c r="BA227" s="2373" t="s">
        <v>1201</v>
      </c>
      <c r="BE227" s="2371" t="s">
        <v>378</v>
      </c>
      <c r="BF227" s="2404">
        <v>50</v>
      </c>
      <c r="BG227" s="2404">
        <v>50</v>
      </c>
      <c r="BH227" s="2404">
        <v>50</v>
      </c>
      <c r="BJ227" s="2371" t="s">
        <v>378</v>
      </c>
      <c r="BK227" s="2400">
        <v>0</v>
      </c>
      <c r="BL227" s="577">
        <v>0</v>
      </c>
      <c r="BM227" s="577">
        <v>0</v>
      </c>
      <c r="BN227" s="2406"/>
      <c r="BO227" s="2402"/>
      <c r="BP227" s="2244"/>
      <c r="BQ227" s="2244"/>
      <c r="BR227" s="2244"/>
      <c r="BS227" s="2461" t="s">
        <v>380</v>
      </c>
      <c r="BT227" s="2463" t="str">
        <f>IFERROR(INDEX(Liste_Ackerkulturen_Gemüse_DropDown[Ackerkulturen],_xlfn.AGGREGATE(15,6,(ROW(Liste_Ackerkulturen_Gemüse_DropDown[Ackerkulturen])-1)/(--(SEARCH(BU$2,Liste_Ackerkulturen_Gemüse_DropDown[Ackerkulturen])&gt;0)),ROW()-2),1),"")</f>
        <v>Klatschmohn</v>
      </c>
      <c r="BU227" s="2463"/>
      <c r="BV227" s="2463" t="str">
        <f>IFERROR(INDEX(Liste_Ackerkulturen_Gemüse_DropDown[Ackerkulturen],_xlfn.AGGREGATE(15,6,(ROW(Liste_Ackerkulturen_Gemüse_DropDown[Ackerkulturen])-1)/(--(SEARCH(BW$2,Liste_Ackerkulturen_Gemüse_DropDown[Ackerkulturen])&gt;0)),ROW()-2),1),"")</f>
        <v>Klatschmohn</v>
      </c>
      <c r="BW227" s="2463"/>
      <c r="BX227" s="2463" t="str">
        <f>IFERROR(INDEX(Liste_Ackerkulturen_Gemüse_DropDown[Ackerkulturen],_xlfn.AGGREGATE(15,6,(ROW(Liste_Ackerkulturen_Gemüse_DropDown[Ackerkulturen])-1)/(--(SEARCH(BY$2,Liste_Ackerkulturen_Gemüse_DropDown[Ackerkulturen])&gt;0)),ROW()-2),1),"")</f>
        <v>Klatschmohn</v>
      </c>
      <c r="BY227" s="2463"/>
      <c r="BZ227" s="2463" t="str">
        <f>IFERROR(INDEX(Liste_Ackerkulturen_Gemüse_DropDown[Ackerkulturen],_xlfn.AGGREGATE(15,6,(ROW(Liste_Ackerkulturen_Gemüse_DropDown[Ackerkulturen])-1)/(--(SEARCH(CA$2,Liste_Ackerkulturen_Gemüse_DropDown[Ackerkulturen])&gt;0)),ROW()-2),1),"")</f>
        <v>Klatschmohn</v>
      </c>
      <c r="CA227" s="2463"/>
      <c r="CB227" s="2463" t="str">
        <f>IFERROR(INDEX(Liste_Ackerkulturen_Gemüse_DropDown[Ackerkulturen],_xlfn.AGGREGATE(15,6,(ROW(Liste_Ackerkulturen_Gemüse_DropDown[Ackerkulturen])-1)/(--(SEARCH(CC$2,Liste_Ackerkulturen_Gemüse_DropDown[Ackerkulturen])&gt;0)),ROW()-2),1),"")</f>
        <v>Klatschmohn</v>
      </c>
      <c r="CC227" s="2463"/>
      <c r="CD227" s="2464" t="str">
        <f>IFERROR(INDEX(Liste_Ackerkulturen_Gemüse_DropDown[Ackerkulturen],_xlfn.AGGREGATE(15,6,(ROW(Liste_Ackerkulturen_Gemüse_DropDown[Ackerkulturen])-1)/(--(SEARCH(CE$2,Liste_Ackerkulturen_Gemüse_DropDown[Ackerkulturen])&gt;0)),ROW()-2),1),"")</f>
        <v>Klatschmohn</v>
      </c>
      <c r="CE227" s="2464"/>
      <c r="CF227" s="2464" t="str">
        <f>IFERROR(INDEX(Liste_Ackerkulturen_Gemüse_DropDown[Ackerkulturen],_xlfn.AGGREGATE(15,6,(ROW(Liste_Ackerkulturen_Gemüse_DropDown[Ackerkulturen])-1)/(--(SEARCH(CG$2,Liste_Ackerkulturen_Gemüse_DropDown[Ackerkulturen])&gt;0)),ROW()-2),1),"")</f>
        <v>Klatschmohn</v>
      </c>
      <c r="CG227" s="2464"/>
      <c r="CH227" s="2464" t="str">
        <f>IFERROR(INDEX(Liste_Ackerkulturen_Gemüse_DropDown[Ackerkulturen],_xlfn.AGGREGATE(15,6,(ROW(Liste_Ackerkulturen_Gemüse_DropDown[Ackerkulturen])-1)/(--(SEARCH(CI$2,Liste_Ackerkulturen_Gemüse_DropDown[Ackerkulturen])&gt;0)),ROW()-2),1),"")</f>
        <v>Klatschmohn</v>
      </c>
      <c r="CI227" s="2464"/>
      <c r="CJ227" s="2464" t="str">
        <f>IFERROR(INDEX(Liste_Ackerkulturen_Gemüse_DropDown[Ackerkulturen],_xlfn.AGGREGATE(15,6,(ROW(Liste_Ackerkulturen_Gemüse_DropDown[Ackerkulturen])-1)/(--(SEARCH(CK$2,Liste_Ackerkulturen_Gemüse_DropDown[Ackerkulturen])&gt;0)),ROW()-2),1),"")</f>
        <v>Klatschmohn</v>
      </c>
      <c r="CK227" s="2464"/>
      <c r="CL227" s="2464" t="str">
        <f>IFERROR(INDEX(Liste_Ackerkulturen_Gemüse_DropDown[Ackerkulturen],_xlfn.AGGREGATE(15,6,(ROW(Liste_Ackerkulturen_Gemüse_DropDown[Ackerkulturen])-1)/(--(SEARCH(CM$2,Liste_Ackerkulturen_Gemüse_DropDown[Ackerkulturen])&gt;0)),ROW()-2),1),"")</f>
        <v>Klatschmohn</v>
      </c>
      <c r="CM227" s="2464"/>
      <c r="CN227" s="2464" t="str">
        <f>IFERROR(INDEX(Liste_Ackerkulturen_Gemüse_DropDown[Ackerkulturen],_xlfn.AGGREGATE(15,6,(ROW(Liste_Ackerkulturen_Gemüse_DropDown[Ackerkulturen])-1)/(--(SEARCH(CO$2,Liste_Ackerkulturen_Gemüse_DropDown[Ackerkulturen])&gt;0)),ROW()-2),1),"")</f>
        <v>Klatschmohn</v>
      </c>
      <c r="CO227" s="2464"/>
      <c r="CP227" s="2464" t="str">
        <f>IFERROR(INDEX(Liste_Ackerkulturen_Gemüse_DropDown[Ackerkulturen],_xlfn.AGGREGATE(15,6,(ROW(Liste_Ackerkulturen_Gemüse_DropDown[Ackerkulturen])-1)/(--(SEARCH(CQ$2,Liste_Ackerkulturen_Gemüse_DropDown[Ackerkulturen])&gt;0)),ROW()-2),1),"")</f>
        <v>Klatschmohn</v>
      </c>
      <c r="CQ227" s="2464"/>
      <c r="CR227" s="2464" t="str">
        <f>IFERROR(INDEX(Liste_Ackerkulturen_Gemüse_DropDown[Ackerkulturen],_xlfn.AGGREGATE(15,6,(ROW(Liste_Ackerkulturen_Gemüse_DropDown[Ackerkulturen])-1)/(--(SEARCH(CS$2,Liste_Ackerkulturen_Gemüse_DropDown[Ackerkulturen])&gt;0)),ROW()-2),1),"")</f>
        <v>Klatschmohn</v>
      </c>
      <c r="CS227" s="2464"/>
      <c r="DI227" s="1541"/>
      <c r="DJ227" s="1541"/>
      <c r="DK227" s="1541"/>
      <c r="DL227" s="1541"/>
      <c r="DM227" s="1541"/>
    </row>
    <row r="228" spans="1:117" s="470" customFormat="1" ht="21" customHeight="1">
      <c r="A228" s="465"/>
      <c r="B228" s="465"/>
      <c r="C228" s="1575" t="s">
        <v>203</v>
      </c>
      <c r="D228" s="1576"/>
      <c r="E228" s="1567" t="s">
        <v>66</v>
      </c>
      <c r="F228" s="1568">
        <v>140</v>
      </c>
      <c r="G228" s="1568"/>
      <c r="H228" s="1716" t="s">
        <v>67</v>
      </c>
      <c r="I228" s="1718">
        <v>160</v>
      </c>
      <c r="J228" s="1188" t="s">
        <v>151</v>
      </c>
      <c r="K228" s="1568">
        <v>185</v>
      </c>
      <c r="L228" s="1527">
        <v>100</v>
      </c>
      <c r="M228" s="1528">
        <v>125</v>
      </c>
      <c r="N228" s="1567">
        <v>45</v>
      </c>
      <c r="O228" s="1188">
        <v>40</v>
      </c>
      <c r="P228" s="1568">
        <v>25</v>
      </c>
      <c r="Q228" s="1718">
        <v>30</v>
      </c>
      <c r="R228" s="1568">
        <v>40</v>
      </c>
      <c r="S228" s="1568">
        <v>15</v>
      </c>
      <c r="T228" s="1599" t="s">
        <v>1201</v>
      </c>
      <c r="U228" s="1569">
        <v>210</v>
      </c>
      <c r="V228" s="1570">
        <v>175</v>
      </c>
      <c r="W228" s="1574">
        <v>110</v>
      </c>
      <c r="X228" s="1778">
        <v>140</v>
      </c>
      <c r="Y228" s="1574">
        <v>175</v>
      </c>
      <c r="Z228" s="1568">
        <v>70</v>
      </c>
      <c r="AA228" s="1599" t="s">
        <v>1201</v>
      </c>
      <c r="AB228" s="525"/>
      <c r="AC228" s="525"/>
      <c r="AD228" s="525"/>
      <c r="AE228" s="526"/>
      <c r="AF228" s="1279"/>
      <c r="AG228" s="176"/>
      <c r="AH228" s="176"/>
      <c r="AI228" s="176"/>
      <c r="AJ228" s="473"/>
      <c r="AK228" s="472"/>
      <c r="AL228" s="472"/>
      <c r="AM228" s="2371" t="s">
        <v>379</v>
      </c>
      <c r="AN228" s="2286">
        <v>80</v>
      </c>
      <c r="AO228" s="2308" t="s">
        <v>1201</v>
      </c>
      <c r="AP228" s="2286">
        <v>80</v>
      </c>
      <c r="AQ228" s="2308" t="s">
        <v>1201</v>
      </c>
      <c r="AR228" s="2286">
        <v>80</v>
      </c>
      <c r="AS228" s="2308" t="s">
        <v>1201</v>
      </c>
      <c r="AT228" s="2287">
        <v>80</v>
      </c>
      <c r="AU228" s="2309" t="s">
        <v>1201</v>
      </c>
      <c r="AV228" s="2287">
        <v>80</v>
      </c>
      <c r="AW228" s="2309" t="s">
        <v>1201</v>
      </c>
      <c r="AX228" s="2403">
        <v>70</v>
      </c>
      <c r="AY228" s="2299" t="s">
        <v>1201</v>
      </c>
      <c r="AZ228" s="2298">
        <v>70</v>
      </c>
      <c r="BA228" s="2373" t="s">
        <v>1201</v>
      </c>
      <c r="BE228" s="2371" t="s">
        <v>379</v>
      </c>
      <c r="BF228" s="2404">
        <v>50</v>
      </c>
      <c r="BG228" s="2404">
        <v>50</v>
      </c>
      <c r="BH228" s="2404">
        <v>50</v>
      </c>
      <c r="BJ228" s="2371" t="s">
        <v>379</v>
      </c>
      <c r="BK228" s="578">
        <v>100</v>
      </c>
      <c r="BL228" s="577">
        <v>100</v>
      </c>
      <c r="BM228" s="577">
        <v>100</v>
      </c>
      <c r="BN228" s="2407"/>
      <c r="BO228" s="2402"/>
      <c r="BP228" s="2244"/>
      <c r="BQ228" s="2244"/>
      <c r="BR228" s="2244"/>
      <c r="BS228" s="2461" t="s">
        <v>381</v>
      </c>
      <c r="BT228" s="2463" t="str">
        <f>IFERROR(INDEX(Liste_Ackerkulturen_Gemüse_DropDown[Ackerkulturen],_xlfn.AGGREGATE(15,6,(ROW(Liste_Ackerkulturen_Gemüse_DropDown[Ackerkulturen])-1)/(--(SEARCH(BU$2,Liste_Ackerkulturen_Gemüse_DropDown[Ackerkulturen])&gt;0)),ROW()-2),1),"")</f>
        <v>Königskerze</v>
      </c>
      <c r="BU228" s="2463"/>
      <c r="BV228" s="2463" t="str">
        <f>IFERROR(INDEX(Liste_Ackerkulturen_Gemüse_DropDown[Ackerkulturen],_xlfn.AGGREGATE(15,6,(ROW(Liste_Ackerkulturen_Gemüse_DropDown[Ackerkulturen])-1)/(--(SEARCH(BW$2,Liste_Ackerkulturen_Gemüse_DropDown[Ackerkulturen])&gt;0)),ROW()-2),1),"")</f>
        <v>Königskerze</v>
      </c>
      <c r="BW228" s="2463"/>
      <c r="BX228" s="2463" t="str">
        <f>IFERROR(INDEX(Liste_Ackerkulturen_Gemüse_DropDown[Ackerkulturen],_xlfn.AGGREGATE(15,6,(ROW(Liste_Ackerkulturen_Gemüse_DropDown[Ackerkulturen])-1)/(--(SEARCH(BY$2,Liste_Ackerkulturen_Gemüse_DropDown[Ackerkulturen])&gt;0)),ROW()-2),1),"")</f>
        <v>Königskerze</v>
      </c>
      <c r="BY228" s="2463"/>
      <c r="BZ228" s="2463" t="str">
        <f>IFERROR(INDEX(Liste_Ackerkulturen_Gemüse_DropDown[Ackerkulturen],_xlfn.AGGREGATE(15,6,(ROW(Liste_Ackerkulturen_Gemüse_DropDown[Ackerkulturen])-1)/(--(SEARCH(CA$2,Liste_Ackerkulturen_Gemüse_DropDown[Ackerkulturen])&gt;0)),ROW()-2),1),"")</f>
        <v>Königskerze</v>
      </c>
      <c r="CA228" s="2463"/>
      <c r="CB228" s="2463" t="str">
        <f>IFERROR(INDEX(Liste_Ackerkulturen_Gemüse_DropDown[Ackerkulturen],_xlfn.AGGREGATE(15,6,(ROW(Liste_Ackerkulturen_Gemüse_DropDown[Ackerkulturen])-1)/(--(SEARCH(CC$2,Liste_Ackerkulturen_Gemüse_DropDown[Ackerkulturen])&gt;0)),ROW()-2),1),"")</f>
        <v>Königskerze</v>
      </c>
      <c r="CC228" s="2463"/>
      <c r="CD228" s="2464" t="str">
        <f>IFERROR(INDEX(Liste_Ackerkulturen_Gemüse_DropDown[Ackerkulturen],_xlfn.AGGREGATE(15,6,(ROW(Liste_Ackerkulturen_Gemüse_DropDown[Ackerkulturen])-1)/(--(SEARCH(CE$2,Liste_Ackerkulturen_Gemüse_DropDown[Ackerkulturen])&gt;0)),ROW()-2),1),"")</f>
        <v>Königskerze</v>
      </c>
      <c r="CE228" s="2464"/>
      <c r="CF228" s="2464" t="str">
        <f>IFERROR(INDEX(Liste_Ackerkulturen_Gemüse_DropDown[Ackerkulturen],_xlfn.AGGREGATE(15,6,(ROW(Liste_Ackerkulturen_Gemüse_DropDown[Ackerkulturen])-1)/(--(SEARCH(CG$2,Liste_Ackerkulturen_Gemüse_DropDown[Ackerkulturen])&gt;0)),ROW()-2),1),"")</f>
        <v>Königskerze</v>
      </c>
      <c r="CG228" s="2464"/>
      <c r="CH228" s="2464" t="str">
        <f>IFERROR(INDEX(Liste_Ackerkulturen_Gemüse_DropDown[Ackerkulturen],_xlfn.AGGREGATE(15,6,(ROW(Liste_Ackerkulturen_Gemüse_DropDown[Ackerkulturen])-1)/(--(SEARCH(CI$2,Liste_Ackerkulturen_Gemüse_DropDown[Ackerkulturen])&gt;0)),ROW()-2),1),"")</f>
        <v>Königskerze</v>
      </c>
      <c r="CI228" s="2464"/>
      <c r="CJ228" s="2464" t="str">
        <f>IFERROR(INDEX(Liste_Ackerkulturen_Gemüse_DropDown[Ackerkulturen],_xlfn.AGGREGATE(15,6,(ROW(Liste_Ackerkulturen_Gemüse_DropDown[Ackerkulturen])-1)/(--(SEARCH(CK$2,Liste_Ackerkulturen_Gemüse_DropDown[Ackerkulturen])&gt;0)),ROW()-2),1),"")</f>
        <v>Königskerze</v>
      </c>
      <c r="CK228" s="2464"/>
      <c r="CL228" s="2464" t="str">
        <f>IFERROR(INDEX(Liste_Ackerkulturen_Gemüse_DropDown[Ackerkulturen],_xlfn.AGGREGATE(15,6,(ROW(Liste_Ackerkulturen_Gemüse_DropDown[Ackerkulturen])-1)/(--(SEARCH(CM$2,Liste_Ackerkulturen_Gemüse_DropDown[Ackerkulturen])&gt;0)),ROW()-2),1),"")</f>
        <v>Königskerze</v>
      </c>
      <c r="CM228" s="2464"/>
      <c r="CN228" s="2464" t="str">
        <f>IFERROR(INDEX(Liste_Ackerkulturen_Gemüse_DropDown[Ackerkulturen],_xlfn.AGGREGATE(15,6,(ROW(Liste_Ackerkulturen_Gemüse_DropDown[Ackerkulturen])-1)/(--(SEARCH(CO$2,Liste_Ackerkulturen_Gemüse_DropDown[Ackerkulturen])&gt;0)),ROW()-2),1),"")</f>
        <v>Königskerze</v>
      </c>
      <c r="CO228" s="2464"/>
      <c r="CP228" s="2464" t="str">
        <f>IFERROR(INDEX(Liste_Ackerkulturen_Gemüse_DropDown[Ackerkulturen],_xlfn.AGGREGATE(15,6,(ROW(Liste_Ackerkulturen_Gemüse_DropDown[Ackerkulturen])-1)/(--(SEARCH(CQ$2,Liste_Ackerkulturen_Gemüse_DropDown[Ackerkulturen])&gt;0)),ROW()-2),1),"")</f>
        <v>Königskerze</v>
      </c>
      <c r="CQ228" s="2464"/>
      <c r="CR228" s="2464" t="str">
        <f>IFERROR(INDEX(Liste_Ackerkulturen_Gemüse_DropDown[Ackerkulturen],_xlfn.AGGREGATE(15,6,(ROW(Liste_Ackerkulturen_Gemüse_DropDown[Ackerkulturen])-1)/(--(SEARCH(CS$2,Liste_Ackerkulturen_Gemüse_DropDown[Ackerkulturen])&gt;0)),ROW()-2),1),"")</f>
        <v>Königskerze</v>
      </c>
      <c r="CS228" s="2464"/>
      <c r="DI228" s="1541"/>
      <c r="DJ228" s="1541"/>
      <c r="DK228" s="1541"/>
      <c r="DL228" s="1541"/>
      <c r="DM228" s="1541"/>
    </row>
    <row r="229" spans="1:117" s="470" customFormat="1" ht="21" customHeight="1">
      <c r="A229" s="465"/>
      <c r="B229" s="465"/>
      <c r="C229" s="1575" t="s">
        <v>204</v>
      </c>
      <c r="D229" s="1576"/>
      <c r="E229" s="1567" t="s">
        <v>66</v>
      </c>
      <c r="F229" s="1568">
        <v>140</v>
      </c>
      <c r="G229" s="1568"/>
      <c r="H229" s="1716" t="s">
        <v>67</v>
      </c>
      <c r="I229" s="1718">
        <v>160</v>
      </c>
      <c r="J229" s="1188" t="s">
        <v>151</v>
      </c>
      <c r="K229" s="1568">
        <v>185</v>
      </c>
      <c r="L229" s="1527">
        <v>100</v>
      </c>
      <c r="M229" s="1528">
        <v>125</v>
      </c>
      <c r="N229" s="1567">
        <v>45</v>
      </c>
      <c r="O229" s="1188">
        <v>40</v>
      </c>
      <c r="P229" s="1568">
        <v>25</v>
      </c>
      <c r="Q229" s="1718">
        <v>30</v>
      </c>
      <c r="R229" s="1568">
        <v>40</v>
      </c>
      <c r="S229" s="1568">
        <v>15</v>
      </c>
      <c r="T229" s="1599" t="s">
        <v>1201</v>
      </c>
      <c r="U229" s="1569">
        <v>210</v>
      </c>
      <c r="V229" s="1570">
        <v>175</v>
      </c>
      <c r="W229" s="1574">
        <v>110</v>
      </c>
      <c r="X229" s="1778">
        <v>140</v>
      </c>
      <c r="Y229" s="1574">
        <v>175</v>
      </c>
      <c r="Z229" s="1568">
        <v>70</v>
      </c>
      <c r="AA229" s="1599" t="s">
        <v>1201</v>
      </c>
      <c r="AB229" s="525"/>
      <c r="AC229" s="525"/>
      <c r="AD229" s="525"/>
      <c r="AE229" s="526"/>
      <c r="AF229" s="1279"/>
      <c r="AG229" s="176"/>
      <c r="AH229" s="176"/>
      <c r="AI229" s="176"/>
      <c r="AJ229" s="473"/>
      <c r="AK229" s="472"/>
      <c r="AL229" s="472"/>
      <c r="AM229" s="2371" t="s">
        <v>380</v>
      </c>
      <c r="AN229" s="2286">
        <v>60</v>
      </c>
      <c r="AO229" s="2308" t="s">
        <v>1201</v>
      </c>
      <c r="AP229" s="2286">
        <v>60</v>
      </c>
      <c r="AQ229" s="2308" t="s">
        <v>1201</v>
      </c>
      <c r="AR229" s="2286">
        <v>60</v>
      </c>
      <c r="AS229" s="2308" t="s">
        <v>1201</v>
      </c>
      <c r="AT229" s="2287">
        <v>60</v>
      </c>
      <c r="AU229" s="2309" t="s">
        <v>1201</v>
      </c>
      <c r="AV229" s="2287">
        <v>60</v>
      </c>
      <c r="AW229" s="2309" t="s">
        <v>1201</v>
      </c>
      <c r="AX229" s="2403">
        <v>50</v>
      </c>
      <c r="AY229" s="2299" t="s">
        <v>1201</v>
      </c>
      <c r="AZ229" s="2298">
        <v>50</v>
      </c>
      <c r="BA229" s="2373" t="s">
        <v>1201</v>
      </c>
      <c r="BE229" s="2371" t="s">
        <v>380</v>
      </c>
      <c r="BF229" s="2404">
        <v>50</v>
      </c>
      <c r="BG229" s="2404">
        <v>50</v>
      </c>
      <c r="BH229" s="2404">
        <v>50</v>
      </c>
      <c r="BJ229" s="2371" t="s">
        <v>380</v>
      </c>
      <c r="BK229" s="578">
        <v>100</v>
      </c>
      <c r="BL229" s="577">
        <v>100</v>
      </c>
      <c r="BM229" s="577">
        <v>100</v>
      </c>
      <c r="BN229" s="2407"/>
      <c r="BO229" s="2402"/>
      <c r="BP229" s="2244"/>
      <c r="BQ229" s="2244"/>
      <c r="BR229" s="2244"/>
      <c r="BS229" s="2461" t="s">
        <v>382</v>
      </c>
      <c r="BT229" s="2463" t="str">
        <f>IFERROR(INDEX(Liste_Ackerkulturen_Gemüse_DropDown[Ackerkulturen],_xlfn.AGGREGATE(15,6,(ROW(Liste_Ackerkulturen_Gemüse_DropDown[Ackerkulturen])-1)/(--(SEARCH(BU$2,Liste_Ackerkulturen_Gemüse_DropDown[Ackerkulturen])&gt;0)),ROW()-2),1),"")</f>
        <v>Koriander</v>
      </c>
      <c r="BU229" s="2463"/>
      <c r="BV229" s="2463" t="str">
        <f>IFERROR(INDEX(Liste_Ackerkulturen_Gemüse_DropDown[Ackerkulturen],_xlfn.AGGREGATE(15,6,(ROW(Liste_Ackerkulturen_Gemüse_DropDown[Ackerkulturen])-1)/(--(SEARCH(BW$2,Liste_Ackerkulturen_Gemüse_DropDown[Ackerkulturen])&gt;0)),ROW()-2),1),"")</f>
        <v>Koriander</v>
      </c>
      <c r="BW229" s="2463"/>
      <c r="BX229" s="2463" t="str">
        <f>IFERROR(INDEX(Liste_Ackerkulturen_Gemüse_DropDown[Ackerkulturen],_xlfn.AGGREGATE(15,6,(ROW(Liste_Ackerkulturen_Gemüse_DropDown[Ackerkulturen])-1)/(--(SEARCH(BY$2,Liste_Ackerkulturen_Gemüse_DropDown[Ackerkulturen])&gt;0)),ROW()-2),1),"")</f>
        <v>Koriander</v>
      </c>
      <c r="BY229" s="2463"/>
      <c r="BZ229" s="2463" t="str">
        <f>IFERROR(INDEX(Liste_Ackerkulturen_Gemüse_DropDown[Ackerkulturen],_xlfn.AGGREGATE(15,6,(ROW(Liste_Ackerkulturen_Gemüse_DropDown[Ackerkulturen])-1)/(--(SEARCH(CA$2,Liste_Ackerkulturen_Gemüse_DropDown[Ackerkulturen])&gt;0)),ROW()-2),1),"")</f>
        <v>Koriander</v>
      </c>
      <c r="CA229" s="2463"/>
      <c r="CB229" s="2463" t="str">
        <f>IFERROR(INDEX(Liste_Ackerkulturen_Gemüse_DropDown[Ackerkulturen],_xlfn.AGGREGATE(15,6,(ROW(Liste_Ackerkulturen_Gemüse_DropDown[Ackerkulturen])-1)/(--(SEARCH(CC$2,Liste_Ackerkulturen_Gemüse_DropDown[Ackerkulturen])&gt;0)),ROW()-2),1),"")</f>
        <v>Koriander</v>
      </c>
      <c r="CC229" s="2463"/>
      <c r="CD229" s="2464" t="str">
        <f>IFERROR(INDEX(Liste_Ackerkulturen_Gemüse_DropDown[Ackerkulturen],_xlfn.AGGREGATE(15,6,(ROW(Liste_Ackerkulturen_Gemüse_DropDown[Ackerkulturen])-1)/(--(SEARCH(CE$2,Liste_Ackerkulturen_Gemüse_DropDown[Ackerkulturen])&gt;0)),ROW()-2),1),"")</f>
        <v>Koriander</v>
      </c>
      <c r="CE229" s="2464"/>
      <c r="CF229" s="2464" t="str">
        <f>IFERROR(INDEX(Liste_Ackerkulturen_Gemüse_DropDown[Ackerkulturen],_xlfn.AGGREGATE(15,6,(ROW(Liste_Ackerkulturen_Gemüse_DropDown[Ackerkulturen])-1)/(--(SEARCH(CG$2,Liste_Ackerkulturen_Gemüse_DropDown[Ackerkulturen])&gt;0)),ROW()-2),1),"")</f>
        <v>Koriander</v>
      </c>
      <c r="CG229" s="2464"/>
      <c r="CH229" s="2464" t="str">
        <f>IFERROR(INDEX(Liste_Ackerkulturen_Gemüse_DropDown[Ackerkulturen],_xlfn.AGGREGATE(15,6,(ROW(Liste_Ackerkulturen_Gemüse_DropDown[Ackerkulturen])-1)/(--(SEARCH(CI$2,Liste_Ackerkulturen_Gemüse_DropDown[Ackerkulturen])&gt;0)),ROW()-2),1),"")</f>
        <v>Koriander</v>
      </c>
      <c r="CI229" s="2464"/>
      <c r="CJ229" s="2464" t="str">
        <f>IFERROR(INDEX(Liste_Ackerkulturen_Gemüse_DropDown[Ackerkulturen],_xlfn.AGGREGATE(15,6,(ROW(Liste_Ackerkulturen_Gemüse_DropDown[Ackerkulturen])-1)/(--(SEARCH(CK$2,Liste_Ackerkulturen_Gemüse_DropDown[Ackerkulturen])&gt;0)),ROW()-2),1),"")</f>
        <v>Koriander</v>
      </c>
      <c r="CK229" s="2464"/>
      <c r="CL229" s="2464" t="str">
        <f>IFERROR(INDEX(Liste_Ackerkulturen_Gemüse_DropDown[Ackerkulturen],_xlfn.AGGREGATE(15,6,(ROW(Liste_Ackerkulturen_Gemüse_DropDown[Ackerkulturen])-1)/(--(SEARCH(CM$2,Liste_Ackerkulturen_Gemüse_DropDown[Ackerkulturen])&gt;0)),ROW()-2),1),"")</f>
        <v>Koriander</v>
      </c>
      <c r="CM229" s="2464"/>
      <c r="CN229" s="2464" t="str">
        <f>IFERROR(INDEX(Liste_Ackerkulturen_Gemüse_DropDown[Ackerkulturen],_xlfn.AGGREGATE(15,6,(ROW(Liste_Ackerkulturen_Gemüse_DropDown[Ackerkulturen])-1)/(--(SEARCH(CO$2,Liste_Ackerkulturen_Gemüse_DropDown[Ackerkulturen])&gt;0)),ROW()-2),1),"")</f>
        <v>Koriander</v>
      </c>
      <c r="CO229" s="2464"/>
      <c r="CP229" s="2464" t="str">
        <f>IFERROR(INDEX(Liste_Ackerkulturen_Gemüse_DropDown[Ackerkulturen],_xlfn.AGGREGATE(15,6,(ROW(Liste_Ackerkulturen_Gemüse_DropDown[Ackerkulturen])-1)/(--(SEARCH(CQ$2,Liste_Ackerkulturen_Gemüse_DropDown[Ackerkulturen])&gt;0)),ROW()-2),1),"")</f>
        <v>Koriander</v>
      </c>
      <c r="CQ229" s="2464"/>
      <c r="CR229" s="2464" t="str">
        <f>IFERROR(INDEX(Liste_Ackerkulturen_Gemüse_DropDown[Ackerkulturen],_xlfn.AGGREGATE(15,6,(ROW(Liste_Ackerkulturen_Gemüse_DropDown[Ackerkulturen])-1)/(--(SEARCH(CS$2,Liste_Ackerkulturen_Gemüse_DropDown[Ackerkulturen])&gt;0)),ROW()-2),1),"")</f>
        <v>Koriander</v>
      </c>
      <c r="CS229" s="2464"/>
      <c r="DI229" s="1541"/>
      <c r="DJ229" s="1541"/>
      <c r="DK229" s="1541"/>
      <c r="DL229" s="1541"/>
      <c r="DM229" s="1541"/>
    </row>
    <row r="230" spans="1:117" s="470" customFormat="1" ht="21" customHeight="1">
      <c r="A230" s="465"/>
      <c r="B230" s="465"/>
      <c r="C230" s="1575" t="s">
        <v>205</v>
      </c>
      <c r="D230" s="1576"/>
      <c r="E230" s="1567" t="s">
        <v>66</v>
      </c>
      <c r="F230" s="1568">
        <v>140</v>
      </c>
      <c r="G230" s="1568"/>
      <c r="H230" s="1716" t="s">
        <v>67</v>
      </c>
      <c r="I230" s="1718">
        <v>160</v>
      </c>
      <c r="J230" s="1188" t="s">
        <v>151</v>
      </c>
      <c r="K230" s="1568">
        <v>185</v>
      </c>
      <c r="L230" s="1527">
        <v>100</v>
      </c>
      <c r="M230" s="1528">
        <v>125</v>
      </c>
      <c r="N230" s="1567">
        <v>45</v>
      </c>
      <c r="O230" s="1188">
        <v>40</v>
      </c>
      <c r="P230" s="1568">
        <v>25</v>
      </c>
      <c r="Q230" s="1718">
        <v>30</v>
      </c>
      <c r="R230" s="1568">
        <v>40</v>
      </c>
      <c r="S230" s="1568">
        <v>15</v>
      </c>
      <c r="T230" s="1599" t="s">
        <v>1201</v>
      </c>
      <c r="U230" s="1569">
        <v>210</v>
      </c>
      <c r="V230" s="1570">
        <v>175</v>
      </c>
      <c r="W230" s="1574">
        <v>110</v>
      </c>
      <c r="X230" s="1778">
        <v>140</v>
      </c>
      <c r="Y230" s="1574">
        <v>175</v>
      </c>
      <c r="Z230" s="1568">
        <v>70</v>
      </c>
      <c r="AA230" s="1599" t="s">
        <v>1201</v>
      </c>
      <c r="AB230" s="525"/>
      <c r="AC230" s="525"/>
      <c r="AD230" s="525"/>
      <c r="AE230" s="526"/>
      <c r="AF230" s="1279"/>
      <c r="AG230" s="176"/>
      <c r="AH230" s="176"/>
      <c r="AI230" s="176"/>
      <c r="AJ230" s="473"/>
      <c r="AK230" s="472"/>
      <c r="AL230" s="472"/>
      <c r="AM230" s="2371" t="s">
        <v>381</v>
      </c>
      <c r="AN230" s="2286">
        <v>90</v>
      </c>
      <c r="AO230" s="2308" t="s">
        <v>1201</v>
      </c>
      <c r="AP230" s="2286">
        <v>90</v>
      </c>
      <c r="AQ230" s="2308" t="s">
        <v>1201</v>
      </c>
      <c r="AR230" s="2286">
        <v>90</v>
      </c>
      <c r="AS230" s="2308" t="s">
        <v>1201</v>
      </c>
      <c r="AT230" s="2287">
        <v>90</v>
      </c>
      <c r="AU230" s="2309" t="s">
        <v>1201</v>
      </c>
      <c r="AV230" s="2287">
        <v>90</v>
      </c>
      <c r="AW230" s="2309" t="s">
        <v>1201</v>
      </c>
      <c r="AX230" s="2403">
        <v>50</v>
      </c>
      <c r="AY230" s="2299" t="s">
        <v>1201</v>
      </c>
      <c r="AZ230" s="2298">
        <v>50</v>
      </c>
      <c r="BA230" s="2373" t="s">
        <v>1201</v>
      </c>
      <c r="BE230" s="2371" t="s">
        <v>381</v>
      </c>
      <c r="BF230" s="2404">
        <v>60</v>
      </c>
      <c r="BG230" s="2404">
        <v>60</v>
      </c>
      <c r="BH230" s="2404">
        <v>60</v>
      </c>
      <c r="BJ230" s="2371" t="s">
        <v>381</v>
      </c>
      <c r="BK230" s="578">
        <v>80</v>
      </c>
      <c r="BL230" s="577">
        <v>80</v>
      </c>
      <c r="BM230" s="577">
        <v>80</v>
      </c>
      <c r="BN230" s="2407"/>
      <c r="BO230" s="2402"/>
      <c r="BP230" s="2244"/>
      <c r="BQ230" s="2244"/>
      <c r="BR230" s="2244"/>
      <c r="BS230" s="2461" t="s">
        <v>383</v>
      </c>
      <c r="BT230" s="2463" t="str">
        <f>IFERROR(INDEX(Liste_Ackerkulturen_Gemüse_DropDown[Ackerkulturen],_xlfn.AGGREGATE(15,6,(ROW(Liste_Ackerkulturen_Gemüse_DropDown[Ackerkulturen])-1)/(--(SEARCH(BU$2,Liste_Ackerkulturen_Gemüse_DropDown[Ackerkulturen])&gt;0)),ROW()-2),1),"")</f>
        <v>Kornblume</v>
      </c>
      <c r="BU230" s="2463"/>
      <c r="BV230" s="2463" t="str">
        <f>IFERROR(INDEX(Liste_Ackerkulturen_Gemüse_DropDown[Ackerkulturen],_xlfn.AGGREGATE(15,6,(ROW(Liste_Ackerkulturen_Gemüse_DropDown[Ackerkulturen])-1)/(--(SEARCH(BW$2,Liste_Ackerkulturen_Gemüse_DropDown[Ackerkulturen])&gt;0)),ROW()-2),1),"")</f>
        <v>Kornblume</v>
      </c>
      <c r="BW230" s="2463"/>
      <c r="BX230" s="2463" t="str">
        <f>IFERROR(INDEX(Liste_Ackerkulturen_Gemüse_DropDown[Ackerkulturen],_xlfn.AGGREGATE(15,6,(ROW(Liste_Ackerkulturen_Gemüse_DropDown[Ackerkulturen])-1)/(--(SEARCH(BY$2,Liste_Ackerkulturen_Gemüse_DropDown[Ackerkulturen])&gt;0)),ROW()-2),1),"")</f>
        <v>Kornblume</v>
      </c>
      <c r="BY230" s="2463"/>
      <c r="BZ230" s="2463" t="str">
        <f>IFERROR(INDEX(Liste_Ackerkulturen_Gemüse_DropDown[Ackerkulturen],_xlfn.AGGREGATE(15,6,(ROW(Liste_Ackerkulturen_Gemüse_DropDown[Ackerkulturen])-1)/(--(SEARCH(CA$2,Liste_Ackerkulturen_Gemüse_DropDown[Ackerkulturen])&gt;0)),ROW()-2),1),"")</f>
        <v>Kornblume</v>
      </c>
      <c r="CA230" s="2463"/>
      <c r="CB230" s="2463" t="str">
        <f>IFERROR(INDEX(Liste_Ackerkulturen_Gemüse_DropDown[Ackerkulturen],_xlfn.AGGREGATE(15,6,(ROW(Liste_Ackerkulturen_Gemüse_DropDown[Ackerkulturen])-1)/(--(SEARCH(CC$2,Liste_Ackerkulturen_Gemüse_DropDown[Ackerkulturen])&gt;0)),ROW()-2),1),"")</f>
        <v>Kornblume</v>
      </c>
      <c r="CC230" s="2463"/>
      <c r="CD230" s="2464" t="str">
        <f>IFERROR(INDEX(Liste_Ackerkulturen_Gemüse_DropDown[Ackerkulturen],_xlfn.AGGREGATE(15,6,(ROW(Liste_Ackerkulturen_Gemüse_DropDown[Ackerkulturen])-1)/(--(SEARCH(CE$2,Liste_Ackerkulturen_Gemüse_DropDown[Ackerkulturen])&gt;0)),ROW()-2),1),"")</f>
        <v>Kornblume</v>
      </c>
      <c r="CE230" s="2464"/>
      <c r="CF230" s="2464" t="str">
        <f>IFERROR(INDEX(Liste_Ackerkulturen_Gemüse_DropDown[Ackerkulturen],_xlfn.AGGREGATE(15,6,(ROW(Liste_Ackerkulturen_Gemüse_DropDown[Ackerkulturen])-1)/(--(SEARCH(CG$2,Liste_Ackerkulturen_Gemüse_DropDown[Ackerkulturen])&gt;0)),ROW()-2),1),"")</f>
        <v>Kornblume</v>
      </c>
      <c r="CG230" s="2464"/>
      <c r="CH230" s="2464" t="str">
        <f>IFERROR(INDEX(Liste_Ackerkulturen_Gemüse_DropDown[Ackerkulturen],_xlfn.AGGREGATE(15,6,(ROW(Liste_Ackerkulturen_Gemüse_DropDown[Ackerkulturen])-1)/(--(SEARCH(CI$2,Liste_Ackerkulturen_Gemüse_DropDown[Ackerkulturen])&gt;0)),ROW()-2),1),"")</f>
        <v>Kornblume</v>
      </c>
      <c r="CI230" s="2464"/>
      <c r="CJ230" s="2464" t="str">
        <f>IFERROR(INDEX(Liste_Ackerkulturen_Gemüse_DropDown[Ackerkulturen],_xlfn.AGGREGATE(15,6,(ROW(Liste_Ackerkulturen_Gemüse_DropDown[Ackerkulturen])-1)/(--(SEARCH(CK$2,Liste_Ackerkulturen_Gemüse_DropDown[Ackerkulturen])&gt;0)),ROW()-2),1),"")</f>
        <v>Kornblume</v>
      </c>
      <c r="CK230" s="2464"/>
      <c r="CL230" s="2464" t="str">
        <f>IFERROR(INDEX(Liste_Ackerkulturen_Gemüse_DropDown[Ackerkulturen],_xlfn.AGGREGATE(15,6,(ROW(Liste_Ackerkulturen_Gemüse_DropDown[Ackerkulturen])-1)/(--(SEARCH(CM$2,Liste_Ackerkulturen_Gemüse_DropDown[Ackerkulturen])&gt;0)),ROW()-2),1),"")</f>
        <v>Kornblume</v>
      </c>
      <c r="CM230" s="2464"/>
      <c r="CN230" s="2464" t="str">
        <f>IFERROR(INDEX(Liste_Ackerkulturen_Gemüse_DropDown[Ackerkulturen],_xlfn.AGGREGATE(15,6,(ROW(Liste_Ackerkulturen_Gemüse_DropDown[Ackerkulturen])-1)/(--(SEARCH(CO$2,Liste_Ackerkulturen_Gemüse_DropDown[Ackerkulturen])&gt;0)),ROW()-2),1),"")</f>
        <v>Kornblume</v>
      </c>
      <c r="CO230" s="2464"/>
      <c r="CP230" s="2464" t="str">
        <f>IFERROR(INDEX(Liste_Ackerkulturen_Gemüse_DropDown[Ackerkulturen],_xlfn.AGGREGATE(15,6,(ROW(Liste_Ackerkulturen_Gemüse_DropDown[Ackerkulturen])-1)/(--(SEARCH(CQ$2,Liste_Ackerkulturen_Gemüse_DropDown[Ackerkulturen])&gt;0)),ROW()-2),1),"")</f>
        <v>Kornblume</v>
      </c>
      <c r="CQ230" s="2464"/>
      <c r="CR230" s="2464" t="str">
        <f>IFERROR(INDEX(Liste_Ackerkulturen_Gemüse_DropDown[Ackerkulturen],_xlfn.AGGREGATE(15,6,(ROW(Liste_Ackerkulturen_Gemüse_DropDown[Ackerkulturen])-1)/(--(SEARCH(CS$2,Liste_Ackerkulturen_Gemüse_DropDown[Ackerkulturen])&gt;0)),ROW()-2),1),"")</f>
        <v>Kornblume</v>
      </c>
      <c r="CS230" s="2464"/>
      <c r="DI230" s="1541"/>
      <c r="DJ230" s="1541"/>
      <c r="DK230" s="1541"/>
      <c r="DL230" s="1541"/>
      <c r="DM230" s="1541"/>
    </row>
    <row r="231" spans="1:117" s="470" customFormat="1" ht="21" customHeight="1">
      <c r="A231" s="465"/>
      <c r="B231" s="465"/>
      <c r="C231" s="1575" t="s">
        <v>206</v>
      </c>
      <c r="D231" s="1576"/>
      <c r="E231" s="1567" t="s">
        <v>66</v>
      </c>
      <c r="F231" s="1568">
        <v>220</v>
      </c>
      <c r="G231" s="1568"/>
      <c r="H231" s="1716" t="s">
        <v>67</v>
      </c>
      <c r="I231" s="1718">
        <v>260</v>
      </c>
      <c r="J231" s="1188" t="s">
        <v>151</v>
      </c>
      <c r="K231" s="1568">
        <v>310</v>
      </c>
      <c r="L231" s="1527">
        <v>200</v>
      </c>
      <c r="M231" s="1528">
        <v>250</v>
      </c>
      <c r="N231" s="1567">
        <v>60</v>
      </c>
      <c r="O231" s="1188">
        <v>50</v>
      </c>
      <c r="P231" s="1568">
        <v>30</v>
      </c>
      <c r="Q231" s="1718">
        <v>40</v>
      </c>
      <c r="R231" s="1568">
        <v>50</v>
      </c>
      <c r="S231" s="1568">
        <v>20</v>
      </c>
      <c r="T231" s="1599" t="s">
        <v>1201</v>
      </c>
      <c r="U231" s="1569">
        <v>220</v>
      </c>
      <c r="V231" s="1570">
        <v>180</v>
      </c>
      <c r="W231" s="1574">
        <v>115</v>
      </c>
      <c r="X231" s="1778">
        <v>145</v>
      </c>
      <c r="Y231" s="1574">
        <v>180</v>
      </c>
      <c r="Z231" s="1568">
        <v>72.5</v>
      </c>
      <c r="AA231" s="1599" t="s">
        <v>1201</v>
      </c>
      <c r="AB231" s="525"/>
      <c r="AC231" s="525"/>
      <c r="AD231" s="525"/>
      <c r="AE231" s="526"/>
      <c r="AF231" s="1279"/>
      <c r="AG231" s="176"/>
      <c r="AH231" s="176"/>
      <c r="AI231" s="176"/>
      <c r="AJ231" s="473"/>
      <c r="AK231" s="472"/>
      <c r="AL231" s="472"/>
      <c r="AM231" s="2371" t="s">
        <v>382</v>
      </c>
      <c r="AN231" s="2286">
        <v>60</v>
      </c>
      <c r="AO231" s="2308" t="s">
        <v>1201</v>
      </c>
      <c r="AP231" s="2286">
        <v>60</v>
      </c>
      <c r="AQ231" s="2308" t="s">
        <v>1201</v>
      </c>
      <c r="AR231" s="2286">
        <v>60</v>
      </c>
      <c r="AS231" s="2308" t="s">
        <v>1201</v>
      </c>
      <c r="AT231" s="2287">
        <v>60</v>
      </c>
      <c r="AU231" s="2309" t="s">
        <v>1201</v>
      </c>
      <c r="AV231" s="2287">
        <v>60</v>
      </c>
      <c r="AW231" s="2309" t="s">
        <v>1201</v>
      </c>
      <c r="AX231" s="2403">
        <v>50</v>
      </c>
      <c r="AY231" s="2299" t="s">
        <v>1201</v>
      </c>
      <c r="AZ231" s="2298">
        <v>50</v>
      </c>
      <c r="BA231" s="2373" t="s">
        <v>1201</v>
      </c>
      <c r="BE231" s="2371" t="s">
        <v>382</v>
      </c>
      <c r="BF231" s="2404">
        <v>50</v>
      </c>
      <c r="BG231" s="2404">
        <v>50</v>
      </c>
      <c r="BH231" s="2404">
        <v>50</v>
      </c>
      <c r="BJ231" s="2371" t="s">
        <v>382</v>
      </c>
      <c r="BK231" s="578">
        <v>100</v>
      </c>
      <c r="BL231" s="577">
        <v>100</v>
      </c>
      <c r="BM231" s="577">
        <v>100</v>
      </c>
      <c r="BN231" s="2407"/>
      <c r="BO231" s="2402"/>
      <c r="BP231" s="2244"/>
      <c r="BQ231" s="2244"/>
      <c r="BR231" s="2244"/>
      <c r="BS231" s="2461" t="s">
        <v>384</v>
      </c>
      <c r="BT231" s="2463" t="str">
        <f>IFERROR(INDEX(Liste_Ackerkulturen_Gemüse_DropDown[Ackerkulturen],_xlfn.AGGREGATE(15,6,(ROW(Liste_Ackerkulturen_Gemüse_DropDown[Ackerkulturen])-1)/(--(SEARCH(BU$2,Liste_Ackerkulturen_Gemüse_DropDown[Ackerkulturen])&gt;0)),ROW()-2),1),"")</f>
        <v>Lavendel</v>
      </c>
      <c r="BU231" s="2463"/>
      <c r="BV231" s="2463" t="str">
        <f>IFERROR(INDEX(Liste_Ackerkulturen_Gemüse_DropDown[Ackerkulturen],_xlfn.AGGREGATE(15,6,(ROW(Liste_Ackerkulturen_Gemüse_DropDown[Ackerkulturen])-1)/(--(SEARCH(BW$2,Liste_Ackerkulturen_Gemüse_DropDown[Ackerkulturen])&gt;0)),ROW()-2),1),"")</f>
        <v>Lavendel</v>
      </c>
      <c r="BW231" s="2463"/>
      <c r="BX231" s="2463" t="str">
        <f>IFERROR(INDEX(Liste_Ackerkulturen_Gemüse_DropDown[Ackerkulturen],_xlfn.AGGREGATE(15,6,(ROW(Liste_Ackerkulturen_Gemüse_DropDown[Ackerkulturen])-1)/(--(SEARCH(BY$2,Liste_Ackerkulturen_Gemüse_DropDown[Ackerkulturen])&gt;0)),ROW()-2),1),"")</f>
        <v>Lavendel</v>
      </c>
      <c r="BY231" s="2463"/>
      <c r="BZ231" s="2463" t="str">
        <f>IFERROR(INDEX(Liste_Ackerkulturen_Gemüse_DropDown[Ackerkulturen],_xlfn.AGGREGATE(15,6,(ROW(Liste_Ackerkulturen_Gemüse_DropDown[Ackerkulturen])-1)/(--(SEARCH(CA$2,Liste_Ackerkulturen_Gemüse_DropDown[Ackerkulturen])&gt;0)),ROW()-2),1),"")</f>
        <v>Lavendel</v>
      </c>
      <c r="CA231" s="2463"/>
      <c r="CB231" s="2463" t="str">
        <f>IFERROR(INDEX(Liste_Ackerkulturen_Gemüse_DropDown[Ackerkulturen],_xlfn.AGGREGATE(15,6,(ROW(Liste_Ackerkulturen_Gemüse_DropDown[Ackerkulturen])-1)/(--(SEARCH(CC$2,Liste_Ackerkulturen_Gemüse_DropDown[Ackerkulturen])&gt;0)),ROW()-2),1),"")</f>
        <v>Lavendel</v>
      </c>
      <c r="CC231" s="2463"/>
      <c r="CD231" s="2464" t="str">
        <f>IFERROR(INDEX(Liste_Ackerkulturen_Gemüse_DropDown[Ackerkulturen],_xlfn.AGGREGATE(15,6,(ROW(Liste_Ackerkulturen_Gemüse_DropDown[Ackerkulturen])-1)/(--(SEARCH(CE$2,Liste_Ackerkulturen_Gemüse_DropDown[Ackerkulturen])&gt;0)),ROW()-2),1),"")</f>
        <v>Lavendel</v>
      </c>
      <c r="CE231" s="2464"/>
      <c r="CF231" s="2464" t="str">
        <f>IFERROR(INDEX(Liste_Ackerkulturen_Gemüse_DropDown[Ackerkulturen],_xlfn.AGGREGATE(15,6,(ROW(Liste_Ackerkulturen_Gemüse_DropDown[Ackerkulturen])-1)/(--(SEARCH(CG$2,Liste_Ackerkulturen_Gemüse_DropDown[Ackerkulturen])&gt;0)),ROW()-2),1),"")</f>
        <v>Lavendel</v>
      </c>
      <c r="CG231" s="2464"/>
      <c r="CH231" s="2464" t="str">
        <f>IFERROR(INDEX(Liste_Ackerkulturen_Gemüse_DropDown[Ackerkulturen],_xlfn.AGGREGATE(15,6,(ROW(Liste_Ackerkulturen_Gemüse_DropDown[Ackerkulturen])-1)/(--(SEARCH(CI$2,Liste_Ackerkulturen_Gemüse_DropDown[Ackerkulturen])&gt;0)),ROW()-2),1),"")</f>
        <v>Lavendel</v>
      </c>
      <c r="CI231" s="2464"/>
      <c r="CJ231" s="2464" t="str">
        <f>IFERROR(INDEX(Liste_Ackerkulturen_Gemüse_DropDown[Ackerkulturen],_xlfn.AGGREGATE(15,6,(ROW(Liste_Ackerkulturen_Gemüse_DropDown[Ackerkulturen])-1)/(--(SEARCH(CK$2,Liste_Ackerkulturen_Gemüse_DropDown[Ackerkulturen])&gt;0)),ROW()-2),1),"")</f>
        <v>Lavendel</v>
      </c>
      <c r="CK231" s="2464"/>
      <c r="CL231" s="2464" t="str">
        <f>IFERROR(INDEX(Liste_Ackerkulturen_Gemüse_DropDown[Ackerkulturen],_xlfn.AGGREGATE(15,6,(ROW(Liste_Ackerkulturen_Gemüse_DropDown[Ackerkulturen])-1)/(--(SEARCH(CM$2,Liste_Ackerkulturen_Gemüse_DropDown[Ackerkulturen])&gt;0)),ROW()-2),1),"")</f>
        <v>Lavendel</v>
      </c>
      <c r="CM231" s="2464"/>
      <c r="CN231" s="2464" t="str">
        <f>IFERROR(INDEX(Liste_Ackerkulturen_Gemüse_DropDown[Ackerkulturen],_xlfn.AGGREGATE(15,6,(ROW(Liste_Ackerkulturen_Gemüse_DropDown[Ackerkulturen])-1)/(--(SEARCH(CO$2,Liste_Ackerkulturen_Gemüse_DropDown[Ackerkulturen])&gt;0)),ROW()-2),1),"")</f>
        <v>Lavendel</v>
      </c>
      <c r="CO231" s="2464"/>
      <c r="CP231" s="2464" t="str">
        <f>IFERROR(INDEX(Liste_Ackerkulturen_Gemüse_DropDown[Ackerkulturen],_xlfn.AGGREGATE(15,6,(ROW(Liste_Ackerkulturen_Gemüse_DropDown[Ackerkulturen])-1)/(--(SEARCH(CQ$2,Liste_Ackerkulturen_Gemüse_DropDown[Ackerkulturen])&gt;0)),ROW()-2),1),"")</f>
        <v>Lavendel</v>
      </c>
      <c r="CQ231" s="2464"/>
      <c r="CR231" s="2464" t="str">
        <f>IFERROR(INDEX(Liste_Ackerkulturen_Gemüse_DropDown[Ackerkulturen],_xlfn.AGGREGATE(15,6,(ROW(Liste_Ackerkulturen_Gemüse_DropDown[Ackerkulturen])-1)/(--(SEARCH(CS$2,Liste_Ackerkulturen_Gemüse_DropDown[Ackerkulturen])&gt;0)),ROW()-2),1),"")</f>
        <v>Lavendel</v>
      </c>
      <c r="CS231" s="2464"/>
      <c r="DI231" s="1541"/>
      <c r="DJ231" s="1541"/>
      <c r="DK231" s="1541"/>
      <c r="DL231" s="1541"/>
      <c r="DM231" s="1541"/>
    </row>
    <row r="232" spans="1:117" s="470" customFormat="1" ht="21" customHeight="1">
      <c r="A232" s="465"/>
      <c r="B232" s="465"/>
      <c r="C232" s="1575" t="s">
        <v>207</v>
      </c>
      <c r="D232" s="1576"/>
      <c r="E232" s="1567" t="s">
        <v>208</v>
      </c>
      <c r="F232" s="1568">
        <v>240</v>
      </c>
      <c r="G232" s="1568"/>
      <c r="H232" s="1716" t="s">
        <v>209</v>
      </c>
      <c r="I232" s="1718">
        <v>290</v>
      </c>
      <c r="J232" s="1188" t="s">
        <v>210</v>
      </c>
      <c r="K232" s="1568">
        <v>355</v>
      </c>
      <c r="L232" s="1590" t="s">
        <v>1082</v>
      </c>
      <c r="M232" s="1528"/>
      <c r="N232" s="1567">
        <v>90</v>
      </c>
      <c r="O232" s="1188">
        <v>75</v>
      </c>
      <c r="P232" s="1568">
        <v>50</v>
      </c>
      <c r="Q232" s="1718">
        <v>60</v>
      </c>
      <c r="R232" s="1568">
        <v>75</v>
      </c>
      <c r="S232" s="1568">
        <v>30</v>
      </c>
      <c r="T232" s="1599" t="s">
        <v>1201</v>
      </c>
      <c r="U232" s="1569">
        <v>375</v>
      </c>
      <c r="V232" s="1570">
        <v>315</v>
      </c>
      <c r="W232" s="1574">
        <v>200</v>
      </c>
      <c r="X232" s="1778">
        <v>250</v>
      </c>
      <c r="Y232" s="1574">
        <v>315</v>
      </c>
      <c r="Z232" s="1568">
        <v>125</v>
      </c>
      <c r="AA232" s="1599" t="s">
        <v>1201</v>
      </c>
      <c r="AB232" s="525"/>
      <c r="AC232" s="525"/>
      <c r="AD232" s="525"/>
      <c r="AE232" s="526"/>
      <c r="AF232" s="1279"/>
      <c r="AG232" s="176"/>
      <c r="AH232" s="176"/>
      <c r="AI232" s="176"/>
      <c r="AJ232" s="473"/>
      <c r="AK232" s="472"/>
      <c r="AL232" s="472"/>
      <c r="AM232" s="2371" t="s">
        <v>383</v>
      </c>
      <c r="AN232" s="2286">
        <v>70</v>
      </c>
      <c r="AO232" s="2308" t="s">
        <v>1201</v>
      </c>
      <c r="AP232" s="2286">
        <v>70</v>
      </c>
      <c r="AQ232" s="2308" t="s">
        <v>1201</v>
      </c>
      <c r="AR232" s="2286">
        <v>70</v>
      </c>
      <c r="AS232" s="2308" t="s">
        <v>1201</v>
      </c>
      <c r="AT232" s="2287">
        <v>70</v>
      </c>
      <c r="AU232" s="2309" t="s">
        <v>1201</v>
      </c>
      <c r="AV232" s="2287">
        <v>70</v>
      </c>
      <c r="AW232" s="2309" t="s">
        <v>1201</v>
      </c>
      <c r="AX232" s="2403">
        <v>60</v>
      </c>
      <c r="AY232" s="2299" t="s">
        <v>1201</v>
      </c>
      <c r="AZ232" s="2298">
        <v>60</v>
      </c>
      <c r="BA232" s="2373" t="s">
        <v>1201</v>
      </c>
      <c r="BE232" s="2371" t="s">
        <v>383</v>
      </c>
      <c r="BF232" s="2404">
        <v>50</v>
      </c>
      <c r="BG232" s="2404">
        <v>50</v>
      </c>
      <c r="BH232" s="2404">
        <v>50</v>
      </c>
      <c r="BJ232" s="2371" t="s">
        <v>383</v>
      </c>
      <c r="BK232" s="578">
        <v>60</v>
      </c>
      <c r="BL232" s="577">
        <v>60</v>
      </c>
      <c r="BM232" s="577">
        <v>60</v>
      </c>
      <c r="BN232" s="2407"/>
      <c r="BO232" s="2402"/>
      <c r="BP232" s="2244"/>
      <c r="BQ232" s="2244"/>
      <c r="BR232" s="2244"/>
      <c r="BS232" s="2461" t="s">
        <v>385</v>
      </c>
      <c r="BT232" s="2463" t="str">
        <f>IFERROR(INDEX(Liste_Ackerkulturen_Gemüse_DropDown[Ackerkulturen],_xlfn.AGGREGATE(15,6,(ROW(Liste_Ackerkulturen_Gemüse_DropDown[Ackerkulturen])-1)/(--(SEARCH(BU$2,Liste_Ackerkulturen_Gemüse_DropDown[Ackerkulturen])&gt;0)),ROW()-2),1),"")</f>
        <v>Liebstöckel</v>
      </c>
      <c r="BU232" s="2463"/>
      <c r="BV232" s="2463" t="str">
        <f>IFERROR(INDEX(Liste_Ackerkulturen_Gemüse_DropDown[Ackerkulturen],_xlfn.AGGREGATE(15,6,(ROW(Liste_Ackerkulturen_Gemüse_DropDown[Ackerkulturen])-1)/(--(SEARCH(BW$2,Liste_Ackerkulturen_Gemüse_DropDown[Ackerkulturen])&gt;0)),ROW()-2),1),"")</f>
        <v>Liebstöckel</v>
      </c>
      <c r="BW232" s="2463"/>
      <c r="BX232" s="2463" t="str">
        <f>IFERROR(INDEX(Liste_Ackerkulturen_Gemüse_DropDown[Ackerkulturen],_xlfn.AGGREGATE(15,6,(ROW(Liste_Ackerkulturen_Gemüse_DropDown[Ackerkulturen])-1)/(--(SEARCH(BY$2,Liste_Ackerkulturen_Gemüse_DropDown[Ackerkulturen])&gt;0)),ROW()-2),1),"")</f>
        <v>Liebstöckel</v>
      </c>
      <c r="BY232" s="2463"/>
      <c r="BZ232" s="2463" t="str">
        <f>IFERROR(INDEX(Liste_Ackerkulturen_Gemüse_DropDown[Ackerkulturen],_xlfn.AGGREGATE(15,6,(ROW(Liste_Ackerkulturen_Gemüse_DropDown[Ackerkulturen])-1)/(--(SEARCH(CA$2,Liste_Ackerkulturen_Gemüse_DropDown[Ackerkulturen])&gt;0)),ROW()-2),1),"")</f>
        <v>Liebstöckel</v>
      </c>
      <c r="CA232" s="2463"/>
      <c r="CB232" s="2463" t="str">
        <f>IFERROR(INDEX(Liste_Ackerkulturen_Gemüse_DropDown[Ackerkulturen],_xlfn.AGGREGATE(15,6,(ROW(Liste_Ackerkulturen_Gemüse_DropDown[Ackerkulturen])-1)/(--(SEARCH(CC$2,Liste_Ackerkulturen_Gemüse_DropDown[Ackerkulturen])&gt;0)),ROW()-2),1),"")</f>
        <v>Liebstöckel</v>
      </c>
      <c r="CC232" s="2463"/>
      <c r="CD232" s="2464" t="str">
        <f>IFERROR(INDEX(Liste_Ackerkulturen_Gemüse_DropDown[Ackerkulturen],_xlfn.AGGREGATE(15,6,(ROW(Liste_Ackerkulturen_Gemüse_DropDown[Ackerkulturen])-1)/(--(SEARCH(CE$2,Liste_Ackerkulturen_Gemüse_DropDown[Ackerkulturen])&gt;0)),ROW()-2),1),"")</f>
        <v>Liebstöckel</v>
      </c>
      <c r="CE232" s="2464"/>
      <c r="CF232" s="2464" t="str">
        <f>IFERROR(INDEX(Liste_Ackerkulturen_Gemüse_DropDown[Ackerkulturen],_xlfn.AGGREGATE(15,6,(ROW(Liste_Ackerkulturen_Gemüse_DropDown[Ackerkulturen])-1)/(--(SEARCH(CG$2,Liste_Ackerkulturen_Gemüse_DropDown[Ackerkulturen])&gt;0)),ROW()-2),1),"")</f>
        <v>Liebstöckel</v>
      </c>
      <c r="CG232" s="2464"/>
      <c r="CH232" s="2464" t="str">
        <f>IFERROR(INDEX(Liste_Ackerkulturen_Gemüse_DropDown[Ackerkulturen],_xlfn.AGGREGATE(15,6,(ROW(Liste_Ackerkulturen_Gemüse_DropDown[Ackerkulturen])-1)/(--(SEARCH(CI$2,Liste_Ackerkulturen_Gemüse_DropDown[Ackerkulturen])&gt;0)),ROW()-2),1),"")</f>
        <v>Liebstöckel</v>
      </c>
      <c r="CI232" s="2464"/>
      <c r="CJ232" s="2464" t="str">
        <f>IFERROR(INDEX(Liste_Ackerkulturen_Gemüse_DropDown[Ackerkulturen],_xlfn.AGGREGATE(15,6,(ROW(Liste_Ackerkulturen_Gemüse_DropDown[Ackerkulturen])-1)/(--(SEARCH(CK$2,Liste_Ackerkulturen_Gemüse_DropDown[Ackerkulturen])&gt;0)),ROW()-2),1),"")</f>
        <v>Liebstöckel</v>
      </c>
      <c r="CK232" s="2464"/>
      <c r="CL232" s="2464" t="str">
        <f>IFERROR(INDEX(Liste_Ackerkulturen_Gemüse_DropDown[Ackerkulturen],_xlfn.AGGREGATE(15,6,(ROW(Liste_Ackerkulturen_Gemüse_DropDown[Ackerkulturen])-1)/(--(SEARCH(CM$2,Liste_Ackerkulturen_Gemüse_DropDown[Ackerkulturen])&gt;0)),ROW()-2),1),"")</f>
        <v>Liebstöckel</v>
      </c>
      <c r="CM232" s="2464"/>
      <c r="CN232" s="2464" t="str">
        <f>IFERROR(INDEX(Liste_Ackerkulturen_Gemüse_DropDown[Ackerkulturen],_xlfn.AGGREGATE(15,6,(ROW(Liste_Ackerkulturen_Gemüse_DropDown[Ackerkulturen])-1)/(--(SEARCH(CO$2,Liste_Ackerkulturen_Gemüse_DropDown[Ackerkulturen])&gt;0)),ROW()-2),1),"")</f>
        <v>Liebstöckel</v>
      </c>
      <c r="CO232" s="2464"/>
      <c r="CP232" s="2464" t="str">
        <f>IFERROR(INDEX(Liste_Ackerkulturen_Gemüse_DropDown[Ackerkulturen],_xlfn.AGGREGATE(15,6,(ROW(Liste_Ackerkulturen_Gemüse_DropDown[Ackerkulturen])-1)/(--(SEARCH(CQ$2,Liste_Ackerkulturen_Gemüse_DropDown[Ackerkulturen])&gt;0)),ROW()-2),1),"")</f>
        <v>Liebstöckel</v>
      </c>
      <c r="CQ232" s="2464"/>
      <c r="CR232" s="2464" t="str">
        <f>IFERROR(INDEX(Liste_Ackerkulturen_Gemüse_DropDown[Ackerkulturen],_xlfn.AGGREGATE(15,6,(ROW(Liste_Ackerkulturen_Gemüse_DropDown[Ackerkulturen])-1)/(--(SEARCH(CS$2,Liste_Ackerkulturen_Gemüse_DropDown[Ackerkulturen])&gt;0)),ROW()-2),1),"")</f>
        <v>Liebstöckel</v>
      </c>
      <c r="CS232" s="2464"/>
      <c r="DI232" s="1541"/>
      <c r="DJ232" s="1541"/>
      <c r="DK232" s="1541"/>
      <c r="DL232" s="1541"/>
      <c r="DM232" s="1541"/>
    </row>
    <row r="233" spans="1:117" s="470" customFormat="1" ht="21" customHeight="1">
      <c r="A233" s="465"/>
      <c r="B233" s="465"/>
      <c r="C233" s="1575" t="s">
        <v>211</v>
      </c>
      <c r="D233" s="1576"/>
      <c r="E233" s="1567" t="s">
        <v>212</v>
      </c>
      <c r="F233" s="1568">
        <v>295</v>
      </c>
      <c r="G233" s="1568"/>
      <c r="H233" s="1716" t="s">
        <v>459</v>
      </c>
      <c r="I233" s="1718">
        <v>360</v>
      </c>
      <c r="J233" s="1188" t="s">
        <v>183</v>
      </c>
      <c r="K233" s="1568">
        <v>440</v>
      </c>
      <c r="L233" s="1527">
        <v>320</v>
      </c>
      <c r="M233" s="1528">
        <v>400</v>
      </c>
      <c r="N233" s="1567">
        <v>105</v>
      </c>
      <c r="O233" s="1188">
        <v>90</v>
      </c>
      <c r="P233" s="1568">
        <v>55</v>
      </c>
      <c r="Q233" s="1718">
        <v>70</v>
      </c>
      <c r="R233" s="1568">
        <v>90</v>
      </c>
      <c r="S233" s="1568">
        <v>35</v>
      </c>
      <c r="T233" s="1599" t="s">
        <v>1201</v>
      </c>
      <c r="U233" s="1569">
        <v>430</v>
      </c>
      <c r="V233" s="1570">
        <v>360</v>
      </c>
      <c r="W233" s="1574">
        <v>230</v>
      </c>
      <c r="X233" s="1778">
        <v>285</v>
      </c>
      <c r="Y233" s="1574">
        <v>355</v>
      </c>
      <c r="Z233" s="1568">
        <v>145</v>
      </c>
      <c r="AA233" s="1599" t="s">
        <v>1201</v>
      </c>
      <c r="AB233" s="525"/>
      <c r="AC233" s="525"/>
      <c r="AD233" s="525"/>
      <c r="AE233" s="526"/>
      <c r="AF233" s="1279"/>
      <c r="AG233" s="176"/>
      <c r="AH233" s="176"/>
      <c r="AI233" s="176"/>
      <c r="AJ233" s="473"/>
      <c r="AK233" s="472"/>
      <c r="AL233" s="472"/>
      <c r="AM233" s="2371" t="s">
        <v>384</v>
      </c>
      <c r="AN233" s="2286">
        <v>170</v>
      </c>
      <c r="AO233" s="2308" t="s">
        <v>1201</v>
      </c>
      <c r="AP233" s="2286">
        <v>170</v>
      </c>
      <c r="AQ233" s="2308" t="s">
        <v>1201</v>
      </c>
      <c r="AR233" s="2286">
        <v>170</v>
      </c>
      <c r="AS233" s="2308" t="s">
        <v>1201</v>
      </c>
      <c r="AT233" s="2287">
        <v>170</v>
      </c>
      <c r="AU233" s="2309" t="s">
        <v>1201</v>
      </c>
      <c r="AV233" s="2287">
        <v>170</v>
      </c>
      <c r="AW233" s="2309" t="s">
        <v>1201</v>
      </c>
      <c r="AX233" s="2403">
        <v>150</v>
      </c>
      <c r="AY233" s="2299" t="s">
        <v>1201</v>
      </c>
      <c r="AZ233" s="2298">
        <v>150</v>
      </c>
      <c r="BA233" s="2373" t="s">
        <v>1201</v>
      </c>
      <c r="BE233" s="2371" t="s">
        <v>384</v>
      </c>
      <c r="BF233" s="2404">
        <v>70</v>
      </c>
      <c r="BG233" s="2404">
        <v>70</v>
      </c>
      <c r="BH233" s="2404">
        <v>70</v>
      </c>
      <c r="BJ233" s="2371" t="s">
        <v>384</v>
      </c>
      <c r="BK233" s="578">
        <v>200</v>
      </c>
      <c r="BL233" s="577">
        <v>200</v>
      </c>
      <c r="BM233" s="577">
        <v>200</v>
      </c>
      <c r="BN233" s="2407"/>
      <c r="BO233" s="2402"/>
      <c r="BP233" s="2244"/>
      <c r="BQ233" s="2244"/>
      <c r="BR233" s="2244"/>
      <c r="BS233" s="2461" t="s">
        <v>386</v>
      </c>
      <c r="BT233" s="2463" t="str">
        <f>IFERROR(INDEX(Liste_Ackerkulturen_Gemüse_DropDown[Ackerkulturen],_xlfn.AGGREGATE(15,6,(ROW(Liste_Ackerkulturen_Gemüse_DropDown[Ackerkulturen])-1)/(--(SEARCH(BU$2,Liste_Ackerkulturen_Gemüse_DropDown[Ackerkulturen])&gt;0)),ROW()-2),1),"")</f>
        <v>Majoran</v>
      </c>
      <c r="BU233" s="2463"/>
      <c r="BV233" s="2463" t="str">
        <f>IFERROR(INDEX(Liste_Ackerkulturen_Gemüse_DropDown[Ackerkulturen],_xlfn.AGGREGATE(15,6,(ROW(Liste_Ackerkulturen_Gemüse_DropDown[Ackerkulturen])-1)/(--(SEARCH(BW$2,Liste_Ackerkulturen_Gemüse_DropDown[Ackerkulturen])&gt;0)),ROW()-2),1),"")</f>
        <v>Majoran</v>
      </c>
      <c r="BW233" s="2463"/>
      <c r="BX233" s="2463" t="str">
        <f>IFERROR(INDEX(Liste_Ackerkulturen_Gemüse_DropDown[Ackerkulturen],_xlfn.AGGREGATE(15,6,(ROW(Liste_Ackerkulturen_Gemüse_DropDown[Ackerkulturen])-1)/(--(SEARCH(BY$2,Liste_Ackerkulturen_Gemüse_DropDown[Ackerkulturen])&gt;0)),ROW()-2),1),"")</f>
        <v>Majoran</v>
      </c>
      <c r="BY233" s="2463"/>
      <c r="BZ233" s="2463" t="str">
        <f>IFERROR(INDEX(Liste_Ackerkulturen_Gemüse_DropDown[Ackerkulturen],_xlfn.AGGREGATE(15,6,(ROW(Liste_Ackerkulturen_Gemüse_DropDown[Ackerkulturen])-1)/(--(SEARCH(CA$2,Liste_Ackerkulturen_Gemüse_DropDown[Ackerkulturen])&gt;0)),ROW()-2),1),"")</f>
        <v>Majoran</v>
      </c>
      <c r="CA233" s="2463"/>
      <c r="CB233" s="2463" t="str">
        <f>IFERROR(INDEX(Liste_Ackerkulturen_Gemüse_DropDown[Ackerkulturen],_xlfn.AGGREGATE(15,6,(ROW(Liste_Ackerkulturen_Gemüse_DropDown[Ackerkulturen])-1)/(--(SEARCH(CC$2,Liste_Ackerkulturen_Gemüse_DropDown[Ackerkulturen])&gt;0)),ROW()-2),1),"")</f>
        <v>Majoran</v>
      </c>
      <c r="CC233" s="2463"/>
      <c r="CD233" s="2464" t="str">
        <f>IFERROR(INDEX(Liste_Ackerkulturen_Gemüse_DropDown[Ackerkulturen],_xlfn.AGGREGATE(15,6,(ROW(Liste_Ackerkulturen_Gemüse_DropDown[Ackerkulturen])-1)/(--(SEARCH(CE$2,Liste_Ackerkulturen_Gemüse_DropDown[Ackerkulturen])&gt;0)),ROW()-2),1),"")</f>
        <v>Majoran</v>
      </c>
      <c r="CE233" s="2464"/>
      <c r="CF233" s="2464" t="str">
        <f>IFERROR(INDEX(Liste_Ackerkulturen_Gemüse_DropDown[Ackerkulturen],_xlfn.AGGREGATE(15,6,(ROW(Liste_Ackerkulturen_Gemüse_DropDown[Ackerkulturen])-1)/(--(SEARCH(CG$2,Liste_Ackerkulturen_Gemüse_DropDown[Ackerkulturen])&gt;0)),ROW()-2),1),"")</f>
        <v>Majoran</v>
      </c>
      <c r="CG233" s="2464"/>
      <c r="CH233" s="2464" t="str">
        <f>IFERROR(INDEX(Liste_Ackerkulturen_Gemüse_DropDown[Ackerkulturen],_xlfn.AGGREGATE(15,6,(ROW(Liste_Ackerkulturen_Gemüse_DropDown[Ackerkulturen])-1)/(--(SEARCH(CI$2,Liste_Ackerkulturen_Gemüse_DropDown[Ackerkulturen])&gt;0)),ROW()-2),1),"")</f>
        <v>Majoran</v>
      </c>
      <c r="CI233" s="2464"/>
      <c r="CJ233" s="2464" t="str">
        <f>IFERROR(INDEX(Liste_Ackerkulturen_Gemüse_DropDown[Ackerkulturen],_xlfn.AGGREGATE(15,6,(ROW(Liste_Ackerkulturen_Gemüse_DropDown[Ackerkulturen])-1)/(--(SEARCH(CK$2,Liste_Ackerkulturen_Gemüse_DropDown[Ackerkulturen])&gt;0)),ROW()-2),1),"")</f>
        <v>Majoran</v>
      </c>
      <c r="CK233" s="2464"/>
      <c r="CL233" s="2464" t="str">
        <f>IFERROR(INDEX(Liste_Ackerkulturen_Gemüse_DropDown[Ackerkulturen],_xlfn.AGGREGATE(15,6,(ROW(Liste_Ackerkulturen_Gemüse_DropDown[Ackerkulturen])-1)/(--(SEARCH(CM$2,Liste_Ackerkulturen_Gemüse_DropDown[Ackerkulturen])&gt;0)),ROW()-2),1),"")</f>
        <v>Majoran</v>
      </c>
      <c r="CM233" s="2464"/>
      <c r="CN233" s="2464" t="str">
        <f>IFERROR(INDEX(Liste_Ackerkulturen_Gemüse_DropDown[Ackerkulturen],_xlfn.AGGREGATE(15,6,(ROW(Liste_Ackerkulturen_Gemüse_DropDown[Ackerkulturen])-1)/(--(SEARCH(CO$2,Liste_Ackerkulturen_Gemüse_DropDown[Ackerkulturen])&gt;0)),ROW()-2),1),"")</f>
        <v>Majoran</v>
      </c>
      <c r="CO233" s="2464"/>
      <c r="CP233" s="2464" t="str">
        <f>IFERROR(INDEX(Liste_Ackerkulturen_Gemüse_DropDown[Ackerkulturen],_xlfn.AGGREGATE(15,6,(ROW(Liste_Ackerkulturen_Gemüse_DropDown[Ackerkulturen])-1)/(--(SEARCH(CQ$2,Liste_Ackerkulturen_Gemüse_DropDown[Ackerkulturen])&gt;0)),ROW()-2),1),"")</f>
        <v>Majoran</v>
      </c>
      <c r="CQ233" s="2464"/>
      <c r="CR233" s="2464" t="str">
        <f>IFERROR(INDEX(Liste_Ackerkulturen_Gemüse_DropDown[Ackerkulturen],_xlfn.AGGREGATE(15,6,(ROW(Liste_Ackerkulturen_Gemüse_DropDown[Ackerkulturen])-1)/(--(SEARCH(CS$2,Liste_Ackerkulturen_Gemüse_DropDown[Ackerkulturen])&gt;0)),ROW()-2),1),"")</f>
        <v>Majoran</v>
      </c>
      <c r="CS233" s="2464"/>
      <c r="DI233" s="1541"/>
      <c r="DJ233" s="1541"/>
      <c r="DK233" s="1541"/>
      <c r="DL233" s="1541"/>
      <c r="DM233" s="1541"/>
    </row>
    <row r="234" spans="1:117" s="470" customFormat="1" ht="21" customHeight="1">
      <c r="A234" s="465"/>
      <c r="B234" s="465"/>
      <c r="C234" s="1575" t="s">
        <v>213</v>
      </c>
      <c r="D234" s="1576"/>
      <c r="E234" s="1567" t="s">
        <v>214</v>
      </c>
      <c r="F234" s="1568">
        <v>310</v>
      </c>
      <c r="G234" s="1568"/>
      <c r="H234" s="1716" t="s">
        <v>215</v>
      </c>
      <c r="I234" s="1718">
        <v>380</v>
      </c>
      <c r="J234" s="1188" t="s">
        <v>216</v>
      </c>
      <c r="K234" s="1568">
        <v>465</v>
      </c>
      <c r="L234" s="1527">
        <v>320</v>
      </c>
      <c r="M234" s="1528">
        <v>400</v>
      </c>
      <c r="N234" s="1567">
        <v>120</v>
      </c>
      <c r="O234" s="1188">
        <v>100</v>
      </c>
      <c r="P234" s="1568">
        <v>65</v>
      </c>
      <c r="Q234" s="1718">
        <v>80</v>
      </c>
      <c r="R234" s="1568">
        <v>100</v>
      </c>
      <c r="S234" s="1568">
        <v>40</v>
      </c>
      <c r="T234" s="1599" t="s">
        <v>1201</v>
      </c>
      <c r="U234" s="1569">
        <v>465</v>
      </c>
      <c r="V234" s="1570">
        <v>390</v>
      </c>
      <c r="W234" s="1574">
        <v>250</v>
      </c>
      <c r="X234" s="1778">
        <v>310</v>
      </c>
      <c r="Y234" s="1574">
        <v>390</v>
      </c>
      <c r="Z234" s="1568">
        <v>155</v>
      </c>
      <c r="AA234" s="1599" t="s">
        <v>1201</v>
      </c>
      <c r="AB234" s="525"/>
      <c r="AC234" s="525"/>
      <c r="AD234" s="525"/>
      <c r="AE234" s="526"/>
      <c r="AF234" s="1279"/>
      <c r="AG234" s="176"/>
      <c r="AH234" s="176"/>
      <c r="AI234" s="176"/>
      <c r="AJ234" s="473"/>
      <c r="AK234" s="472"/>
      <c r="AL234" s="472"/>
      <c r="AM234" s="2371" t="s">
        <v>385</v>
      </c>
      <c r="AN234" s="2286">
        <v>150</v>
      </c>
      <c r="AO234" s="2308" t="s">
        <v>1201</v>
      </c>
      <c r="AP234" s="2286">
        <v>150</v>
      </c>
      <c r="AQ234" s="2308" t="s">
        <v>1201</v>
      </c>
      <c r="AR234" s="2286">
        <v>150</v>
      </c>
      <c r="AS234" s="2308" t="s">
        <v>1201</v>
      </c>
      <c r="AT234" s="2287">
        <v>150</v>
      </c>
      <c r="AU234" s="2309" t="s">
        <v>1201</v>
      </c>
      <c r="AV234" s="2287">
        <v>150</v>
      </c>
      <c r="AW234" s="2309" t="s">
        <v>1201</v>
      </c>
      <c r="AX234" s="2403">
        <v>90</v>
      </c>
      <c r="AY234" s="2299" t="s">
        <v>1201</v>
      </c>
      <c r="AZ234" s="2298">
        <v>123</v>
      </c>
      <c r="BA234" s="2373" t="s">
        <v>1201</v>
      </c>
      <c r="BE234" s="2371" t="s">
        <v>385</v>
      </c>
      <c r="BF234" s="2404">
        <v>50</v>
      </c>
      <c r="BG234" s="2404">
        <v>50</v>
      </c>
      <c r="BH234" s="2404">
        <v>50</v>
      </c>
      <c r="BJ234" s="2371" t="s">
        <v>385</v>
      </c>
      <c r="BK234" s="578">
        <v>90</v>
      </c>
      <c r="BL234" s="577">
        <v>90</v>
      </c>
      <c r="BM234" s="577">
        <v>90</v>
      </c>
      <c r="BN234" s="2407"/>
      <c r="BO234" s="2402"/>
      <c r="BP234" s="2244"/>
      <c r="BQ234" s="2244"/>
      <c r="BR234" s="2244"/>
      <c r="BS234" s="2461" t="s">
        <v>387</v>
      </c>
      <c r="BT234" s="2463" t="str">
        <f>IFERROR(INDEX(Liste_Ackerkulturen_Gemüse_DropDown[Ackerkulturen],_xlfn.AGGREGATE(15,6,(ROW(Liste_Ackerkulturen_Gemüse_DropDown[Ackerkulturen])-1)/(--(SEARCH(BU$2,Liste_Ackerkulturen_Gemüse_DropDown[Ackerkulturen])&gt;0)),ROW()-2),1),"")</f>
        <v xml:space="preserve">Malve (incl. Stockmalve) </v>
      </c>
      <c r="BU234" s="2463"/>
      <c r="BV234" s="2463" t="str">
        <f>IFERROR(INDEX(Liste_Ackerkulturen_Gemüse_DropDown[Ackerkulturen],_xlfn.AGGREGATE(15,6,(ROW(Liste_Ackerkulturen_Gemüse_DropDown[Ackerkulturen])-1)/(--(SEARCH(BW$2,Liste_Ackerkulturen_Gemüse_DropDown[Ackerkulturen])&gt;0)),ROW()-2),1),"")</f>
        <v xml:space="preserve">Malve (incl. Stockmalve) </v>
      </c>
      <c r="BW234" s="2463"/>
      <c r="BX234" s="2463" t="str">
        <f>IFERROR(INDEX(Liste_Ackerkulturen_Gemüse_DropDown[Ackerkulturen],_xlfn.AGGREGATE(15,6,(ROW(Liste_Ackerkulturen_Gemüse_DropDown[Ackerkulturen])-1)/(--(SEARCH(BY$2,Liste_Ackerkulturen_Gemüse_DropDown[Ackerkulturen])&gt;0)),ROW()-2),1),"")</f>
        <v xml:space="preserve">Malve (incl. Stockmalve) </v>
      </c>
      <c r="BY234" s="2463"/>
      <c r="BZ234" s="2463" t="str">
        <f>IFERROR(INDEX(Liste_Ackerkulturen_Gemüse_DropDown[Ackerkulturen],_xlfn.AGGREGATE(15,6,(ROW(Liste_Ackerkulturen_Gemüse_DropDown[Ackerkulturen])-1)/(--(SEARCH(CA$2,Liste_Ackerkulturen_Gemüse_DropDown[Ackerkulturen])&gt;0)),ROW()-2),1),"")</f>
        <v xml:space="preserve">Malve (incl. Stockmalve) </v>
      </c>
      <c r="CA234" s="2463"/>
      <c r="CB234" s="2463" t="str">
        <f>IFERROR(INDEX(Liste_Ackerkulturen_Gemüse_DropDown[Ackerkulturen],_xlfn.AGGREGATE(15,6,(ROW(Liste_Ackerkulturen_Gemüse_DropDown[Ackerkulturen])-1)/(--(SEARCH(CC$2,Liste_Ackerkulturen_Gemüse_DropDown[Ackerkulturen])&gt;0)),ROW()-2),1),"")</f>
        <v xml:space="preserve">Malve (incl. Stockmalve) </v>
      </c>
      <c r="CC234" s="2463"/>
      <c r="CD234" s="2464" t="str">
        <f>IFERROR(INDEX(Liste_Ackerkulturen_Gemüse_DropDown[Ackerkulturen],_xlfn.AGGREGATE(15,6,(ROW(Liste_Ackerkulturen_Gemüse_DropDown[Ackerkulturen])-1)/(--(SEARCH(CE$2,Liste_Ackerkulturen_Gemüse_DropDown[Ackerkulturen])&gt;0)),ROW()-2),1),"")</f>
        <v xml:space="preserve">Malve (incl. Stockmalve) </v>
      </c>
      <c r="CE234" s="2464"/>
      <c r="CF234" s="2464" t="str">
        <f>IFERROR(INDEX(Liste_Ackerkulturen_Gemüse_DropDown[Ackerkulturen],_xlfn.AGGREGATE(15,6,(ROW(Liste_Ackerkulturen_Gemüse_DropDown[Ackerkulturen])-1)/(--(SEARCH(CG$2,Liste_Ackerkulturen_Gemüse_DropDown[Ackerkulturen])&gt;0)),ROW()-2),1),"")</f>
        <v xml:space="preserve">Malve (incl. Stockmalve) </v>
      </c>
      <c r="CG234" s="2464"/>
      <c r="CH234" s="2464" t="str">
        <f>IFERROR(INDEX(Liste_Ackerkulturen_Gemüse_DropDown[Ackerkulturen],_xlfn.AGGREGATE(15,6,(ROW(Liste_Ackerkulturen_Gemüse_DropDown[Ackerkulturen])-1)/(--(SEARCH(CI$2,Liste_Ackerkulturen_Gemüse_DropDown[Ackerkulturen])&gt;0)),ROW()-2),1),"")</f>
        <v xml:space="preserve">Malve (incl. Stockmalve) </v>
      </c>
      <c r="CI234" s="2464"/>
      <c r="CJ234" s="2464" t="str">
        <f>IFERROR(INDEX(Liste_Ackerkulturen_Gemüse_DropDown[Ackerkulturen],_xlfn.AGGREGATE(15,6,(ROW(Liste_Ackerkulturen_Gemüse_DropDown[Ackerkulturen])-1)/(--(SEARCH(CK$2,Liste_Ackerkulturen_Gemüse_DropDown[Ackerkulturen])&gt;0)),ROW()-2),1),"")</f>
        <v xml:space="preserve">Malve (incl. Stockmalve) </v>
      </c>
      <c r="CK234" s="2464"/>
      <c r="CL234" s="2464" t="str">
        <f>IFERROR(INDEX(Liste_Ackerkulturen_Gemüse_DropDown[Ackerkulturen],_xlfn.AGGREGATE(15,6,(ROW(Liste_Ackerkulturen_Gemüse_DropDown[Ackerkulturen])-1)/(--(SEARCH(CM$2,Liste_Ackerkulturen_Gemüse_DropDown[Ackerkulturen])&gt;0)),ROW()-2),1),"")</f>
        <v xml:space="preserve">Malve (incl. Stockmalve) </v>
      </c>
      <c r="CM234" s="2464"/>
      <c r="CN234" s="2464" t="str">
        <f>IFERROR(INDEX(Liste_Ackerkulturen_Gemüse_DropDown[Ackerkulturen],_xlfn.AGGREGATE(15,6,(ROW(Liste_Ackerkulturen_Gemüse_DropDown[Ackerkulturen])-1)/(--(SEARCH(CO$2,Liste_Ackerkulturen_Gemüse_DropDown[Ackerkulturen])&gt;0)),ROW()-2),1),"")</f>
        <v xml:space="preserve">Malve (incl. Stockmalve) </v>
      </c>
      <c r="CO234" s="2464"/>
      <c r="CP234" s="2464" t="str">
        <f>IFERROR(INDEX(Liste_Ackerkulturen_Gemüse_DropDown[Ackerkulturen],_xlfn.AGGREGATE(15,6,(ROW(Liste_Ackerkulturen_Gemüse_DropDown[Ackerkulturen])-1)/(--(SEARCH(CQ$2,Liste_Ackerkulturen_Gemüse_DropDown[Ackerkulturen])&gt;0)),ROW()-2),1),"")</f>
        <v xml:space="preserve">Malve (incl. Stockmalve) </v>
      </c>
      <c r="CQ234" s="2464"/>
      <c r="CR234" s="2464" t="str">
        <f>IFERROR(INDEX(Liste_Ackerkulturen_Gemüse_DropDown[Ackerkulturen],_xlfn.AGGREGATE(15,6,(ROW(Liste_Ackerkulturen_Gemüse_DropDown[Ackerkulturen])-1)/(--(SEARCH(CS$2,Liste_Ackerkulturen_Gemüse_DropDown[Ackerkulturen])&gt;0)),ROW()-2),1),"")</f>
        <v xml:space="preserve">Malve (incl. Stockmalve) </v>
      </c>
      <c r="CS234" s="2464"/>
      <c r="DI234" s="1541"/>
      <c r="DJ234" s="1541"/>
      <c r="DK234" s="1541"/>
      <c r="DL234" s="1541"/>
      <c r="DM234" s="1541"/>
    </row>
    <row r="235" spans="1:117" s="470" customFormat="1" ht="21" customHeight="1">
      <c r="A235" s="465"/>
      <c r="B235" s="465"/>
      <c r="C235" s="1575" t="s">
        <v>217</v>
      </c>
      <c r="D235" s="1576"/>
      <c r="E235" s="1567" t="s">
        <v>208</v>
      </c>
      <c r="F235" s="1568">
        <v>250</v>
      </c>
      <c r="G235" s="1568"/>
      <c r="H235" s="1716" t="s">
        <v>209</v>
      </c>
      <c r="I235" s="1718">
        <v>305</v>
      </c>
      <c r="J235" s="1188" t="s">
        <v>210</v>
      </c>
      <c r="K235" s="1568">
        <v>370</v>
      </c>
      <c r="L235" s="1527">
        <v>265</v>
      </c>
      <c r="M235" s="1528">
        <v>331</v>
      </c>
      <c r="N235" s="1567">
        <v>105</v>
      </c>
      <c r="O235" s="1188">
        <v>90</v>
      </c>
      <c r="P235" s="1568">
        <v>55</v>
      </c>
      <c r="Q235" s="1718">
        <v>70</v>
      </c>
      <c r="R235" s="1568">
        <v>90</v>
      </c>
      <c r="S235" s="1568">
        <v>35</v>
      </c>
      <c r="T235" s="1599" t="s">
        <v>1201</v>
      </c>
      <c r="U235" s="1569">
        <v>460</v>
      </c>
      <c r="V235" s="1570">
        <v>360</v>
      </c>
      <c r="W235" s="1574">
        <v>230</v>
      </c>
      <c r="X235" s="1778">
        <v>285</v>
      </c>
      <c r="Y235" s="1574">
        <v>355</v>
      </c>
      <c r="Z235" s="1568">
        <v>145</v>
      </c>
      <c r="AA235" s="1599" t="s">
        <v>1201</v>
      </c>
      <c r="AB235" s="525"/>
      <c r="AC235" s="525"/>
      <c r="AD235" s="525"/>
      <c r="AE235" s="526"/>
      <c r="AF235" s="1279"/>
      <c r="AG235" s="176"/>
      <c r="AH235" s="176"/>
      <c r="AI235" s="176"/>
      <c r="AJ235" s="473"/>
      <c r="AK235" s="472"/>
      <c r="AL235" s="472"/>
      <c r="AM235" s="2371" t="s">
        <v>386</v>
      </c>
      <c r="AN235" s="2286">
        <v>150</v>
      </c>
      <c r="AO235" s="2308" t="s">
        <v>1201</v>
      </c>
      <c r="AP235" s="2286">
        <v>150</v>
      </c>
      <c r="AQ235" s="2308" t="s">
        <v>1201</v>
      </c>
      <c r="AR235" s="2286">
        <v>150</v>
      </c>
      <c r="AS235" s="2308" t="s">
        <v>1201</v>
      </c>
      <c r="AT235" s="2287">
        <v>150</v>
      </c>
      <c r="AU235" s="2309" t="s">
        <v>1201</v>
      </c>
      <c r="AV235" s="2287">
        <v>150</v>
      </c>
      <c r="AW235" s="2309" t="s">
        <v>1201</v>
      </c>
      <c r="AX235" s="2403">
        <v>140</v>
      </c>
      <c r="AY235" s="2299" t="s">
        <v>1201</v>
      </c>
      <c r="AZ235" s="2298">
        <v>140</v>
      </c>
      <c r="BA235" s="2373" t="s">
        <v>1201</v>
      </c>
      <c r="BE235" s="2371" t="s">
        <v>386</v>
      </c>
      <c r="BF235" s="2404">
        <v>80</v>
      </c>
      <c r="BG235" s="2404">
        <v>80</v>
      </c>
      <c r="BH235" s="2404">
        <v>80</v>
      </c>
      <c r="BJ235" s="2371" t="s">
        <v>386</v>
      </c>
      <c r="BK235" s="578">
        <v>100</v>
      </c>
      <c r="BL235" s="577">
        <v>100</v>
      </c>
      <c r="BM235" s="577">
        <v>100</v>
      </c>
      <c r="BN235" s="2407"/>
      <c r="BO235" s="2402"/>
      <c r="BP235" s="2244"/>
      <c r="BQ235" s="2244"/>
      <c r="BR235" s="2244"/>
      <c r="BS235" s="2461" t="s">
        <v>388</v>
      </c>
      <c r="BT235" s="2463" t="str">
        <f>IFERROR(INDEX(Liste_Ackerkulturen_Gemüse_DropDown[Ackerkulturen],_xlfn.AGGREGATE(15,6,(ROW(Liste_Ackerkulturen_Gemüse_DropDown[Ackerkulturen])-1)/(--(SEARCH(BU$2,Liste_Ackerkulturen_Gemüse_DropDown[Ackerkulturen])&gt;0)),ROW()-2),1),"")</f>
        <v>Maralwurzel</v>
      </c>
      <c r="BU235" s="2463"/>
      <c r="BV235" s="2463" t="str">
        <f>IFERROR(INDEX(Liste_Ackerkulturen_Gemüse_DropDown[Ackerkulturen],_xlfn.AGGREGATE(15,6,(ROW(Liste_Ackerkulturen_Gemüse_DropDown[Ackerkulturen])-1)/(--(SEARCH(BW$2,Liste_Ackerkulturen_Gemüse_DropDown[Ackerkulturen])&gt;0)),ROW()-2),1),"")</f>
        <v>Maralwurzel</v>
      </c>
      <c r="BW235" s="2463"/>
      <c r="BX235" s="2463" t="str">
        <f>IFERROR(INDEX(Liste_Ackerkulturen_Gemüse_DropDown[Ackerkulturen],_xlfn.AGGREGATE(15,6,(ROW(Liste_Ackerkulturen_Gemüse_DropDown[Ackerkulturen])-1)/(--(SEARCH(BY$2,Liste_Ackerkulturen_Gemüse_DropDown[Ackerkulturen])&gt;0)),ROW()-2),1),"")</f>
        <v>Maralwurzel</v>
      </c>
      <c r="BY235" s="2463"/>
      <c r="BZ235" s="2463" t="str">
        <f>IFERROR(INDEX(Liste_Ackerkulturen_Gemüse_DropDown[Ackerkulturen],_xlfn.AGGREGATE(15,6,(ROW(Liste_Ackerkulturen_Gemüse_DropDown[Ackerkulturen])-1)/(--(SEARCH(CA$2,Liste_Ackerkulturen_Gemüse_DropDown[Ackerkulturen])&gt;0)),ROW()-2),1),"")</f>
        <v>Maralwurzel</v>
      </c>
      <c r="CA235" s="2463"/>
      <c r="CB235" s="2463" t="str">
        <f>IFERROR(INDEX(Liste_Ackerkulturen_Gemüse_DropDown[Ackerkulturen],_xlfn.AGGREGATE(15,6,(ROW(Liste_Ackerkulturen_Gemüse_DropDown[Ackerkulturen])-1)/(--(SEARCH(CC$2,Liste_Ackerkulturen_Gemüse_DropDown[Ackerkulturen])&gt;0)),ROW()-2),1),"")</f>
        <v>Maralwurzel</v>
      </c>
      <c r="CC235" s="2463"/>
      <c r="CD235" s="2464" t="str">
        <f>IFERROR(INDEX(Liste_Ackerkulturen_Gemüse_DropDown[Ackerkulturen],_xlfn.AGGREGATE(15,6,(ROW(Liste_Ackerkulturen_Gemüse_DropDown[Ackerkulturen])-1)/(--(SEARCH(CE$2,Liste_Ackerkulturen_Gemüse_DropDown[Ackerkulturen])&gt;0)),ROW()-2),1),"")</f>
        <v>Maralwurzel</v>
      </c>
      <c r="CE235" s="2464"/>
      <c r="CF235" s="2464" t="str">
        <f>IFERROR(INDEX(Liste_Ackerkulturen_Gemüse_DropDown[Ackerkulturen],_xlfn.AGGREGATE(15,6,(ROW(Liste_Ackerkulturen_Gemüse_DropDown[Ackerkulturen])-1)/(--(SEARCH(CG$2,Liste_Ackerkulturen_Gemüse_DropDown[Ackerkulturen])&gt;0)),ROW()-2),1),"")</f>
        <v>Maralwurzel</v>
      </c>
      <c r="CG235" s="2464"/>
      <c r="CH235" s="2464" t="str">
        <f>IFERROR(INDEX(Liste_Ackerkulturen_Gemüse_DropDown[Ackerkulturen],_xlfn.AGGREGATE(15,6,(ROW(Liste_Ackerkulturen_Gemüse_DropDown[Ackerkulturen])-1)/(--(SEARCH(CI$2,Liste_Ackerkulturen_Gemüse_DropDown[Ackerkulturen])&gt;0)),ROW()-2),1),"")</f>
        <v>Maralwurzel</v>
      </c>
      <c r="CI235" s="2464"/>
      <c r="CJ235" s="2464" t="str">
        <f>IFERROR(INDEX(Liste_Ackerkulturen_Gemüse_DropDown[Ackerkulturen],_xlfn.AGGREGATE(15,6,(ROW(Liste_Ackerkulturen_Gemüse_DropDown[Ackerkulturen])-1)/(--(SEARCH(CK$2,Liste_Ackerkulturen_Gemüse_DropDown[Ackerkulturen])&gt;0)),ROW()-2),1),"")</f>
        <v>Maralwurzel</v>
      </c>
      <c r="CK235" s="2464"/>
      <c r="CL235" s="2464" t="str">
        <f>IFERROR(INDEX(Liste_Ackerkulturen_Gemüse_DropDown[Ackerkulturen],_xlfn.AGGREGATE(15,6,(ROW(Liste_Ackerkulturen_Gemüse_DropDown[Ackerkulturen])-1)/(--(SEARCH(CM$2,Liste_Ackerkulturen_Gemüse_DropDown[Ackerkulturen])&gt;0)),ROW()-2),1),"")</f>
        <v>Maralwurzel</v>
      </c>
      <c r="CM235" s="2464"/>
      <c r="CN235" s="2464" t="str">
        <f>IFERROR(INDEX(Liste_Ackerkulturen_Gemüse_DropDown[Ackerkulturen],_xlfn.AGGREGATE(15,6,(ROW(Liste_Ackerkulturen_Gemüse_DropDown[Ackerkulturen])-1)/(--(SEARCH(CO$2,Liste_Ackerkulturen_Gemüse_DropDown[Ackerkulturen])&gt;0)),ROW()-2),1),"")</f>
        <v>Maralwurzel</v>
      </c>
      <c r="CO235" s="2464"/>
      <c r="CP235" s="2464" t="str">
        <f>IFERROR(INDEX(Liste_Ackerkulturen_Gemüse_DropDown[Ackerkulturen],_xlfn.AGGREGATE(15,6,(ROW(Liste_Ackerkulturen_Gemüse_DropDown[Ackerkulturen])-1)/(--(SEARCH(CQ$2,Liste_Ackerkulturen_Gemüse_DropDown[Ackerkulturen])&gt;0)),ROW()-2),1),"")</f>
        <v>Maralwurzel</v>
      </c>
      <c r="CQ235" s="2464"/>
      <c r="CR235" s="2464" t="str">
        <f>IFERROR(INDEX(Liste_Ackerkulturen_Gemüse_DropDown[Ackerkulturen],_xlfn.AGGREGATE(15,6,(ROW(Liste_Ackerkulturen_Gemüse_DropDown[Ackerkulturen])-1)/(--(SEARCH(CS$2,Liste_Ackerkulturen_Gemüse_DropDown[Ackerkulturen])&gt;0)),ROW()-2),1),"")</f>
        <v>Maralwurzel</v>
      </c>
      <c r="CS235" s="2464"/>
      <c r="DI235" s="1541"/>
      <c r="DJ235" s="1541"/>
      <c r="DK235" s="1541"/>
      <c r="DL235" s="1541"/>
      <c r="DM235" s="1541"/>
    </row>
    <row r="236" spans="1:117" s="470" customFormat="1" ht="21" customHeight="1">
      <c r="A236" s="465"/>
      <c r="B236" s="465"/>
      <c r="C236" s="1575" t="s">
        <v>218</v>
      </c>
      <c r="D236" s="1576"/>
      <c r="E236" s="1567" t="s">
        <v>170</v>
      </c>
      <c r="F236" s="1568">
        <v>220</v>
      </c>
      <c r="G236" s="1568"/>
      <c r="H236" s="1716" t="s">
        <v>467</v>
      </c>
      <c r="I236" s="1718">
        <v>260</v>
      </c>
      <c r="J236" s="1188" t="s">
        <v>69</v>
      </c>
      <c r="K236" s="1568">
        <v>310</v>
      </c>
      <c r="L236" s="1590" t="s">
        <v>1082</v>
      </c>
      <c r="M236" s="1528"/>
      <c r="N236" s="1567">
        <v>75</v>
      </c>
      <c r="O236" s="1188">
        <v>65</v>
      </c>
      <c r="P236" s="1568">
        <v>40</v>
      </c>
      <c r="Q236" s="1718">
        <v>50</v>
      </c>
      <c r="R236" s="1568">
        <v>65</v>
      </c>
      <c r="S236" s="1568">
        <v>25</v>
      </c>
      <c r="T236" s="1599" t="s">
        <v>1201</v>
      </c>
      <c r="U236" s="1569">
        <v>285</v>
      </c>
      <c r="V236" s="1570">
        <v>240</v>
      </c>
      <c r="W236" s="1574">
        <v>150</v>
      </c>
      <c r="X236" s="1778">
        <v>190</v>
      </c>
      <c r="Y236" s="1574">
        <v>240</v>
      </c>
      <c r="Z236" s="1568">
        <v>95</v>
      </c>
      <c r="AA236" s="1599" t="s">
        <v>1201</v>
      </c>
      <c r="AB236" s="525"/>
      <c r="AC236" s="525"/>
      <c r="AD236" s="525"/>
      <c r="AE236" s="526"/>
      <c r="AF236" s="1279"/>
      <c r="AG236" s="176"/>
      <c r="AH236" s="176"/>
      <c r="AI236" s="176"/>
      <c r="AJ236" s="473"/>
      <c r="AK236" s="472"/>
      <c r="AL236" s="472"/>
      <c r="AM236" s="2371" t="s">
        <v>387</v>
      </c>
      <c r="AN236" s="2286">
        <v>100</v>
      </c>
      <c r="AO236" s="2308" t="s">
        <v>1201</v>
      </c>
      <c r="AP236" s="2286">
        <v>100</v>
      </c>
      <c r="AQ236" s="2308" t="s">
        <v>1201</v>
      </c>
      <c r="AR236" s="2286">
        <v>100</v>
      </c>
      <c r="AS236" s="2308" t="s">
        <v>1201</v>
      </c>
      <c r="AT236" s="2287">
        <v>100</v>
      </c>
      <c r="AU236" s="2309" t="s">
        <v>1201</v>
      </c>
      <c r="AV236" s="2287">
        <v>100</v>
      </c>
      <c r="AW236" s="2309" t="s">
        <v>1201</v>
      </c>
      <c r="AX236" s="2403">
        <v>100</v>
      </c>
      <c r="AY236" s="2299" t="s">
        <v>1201</v>
      </c>
      <c r="AZ236" s="2298">
        <v>100</v>
      </c>
      <c r="BA236" s="2373" t="s">
        <v>1201</v>
      </c>
      <c r="BE236" s="2371" t="s">
        <v>387</v>
      </c>
      <c r="BF236" s="2404">
        <v>40</v>
      </c>
      <c r="BG236" s="2404">
        <v>40</v>
      </c>
      <c r="BH236" s="2404">
        <v>40</v>
      </c>
      <c r="BJ236" s="2371" t="s">
        <v>387</v>
      </c>
      <c r="BK236" s="578">
        <v>85</v>
      </c>
      <c r="BL236" s="577">
        <v>85</v>
      </c>
      <c r="BM236" s="577">
        <v>85</v>
      </c>
      <c r="BN236" s="2407"/>
      <c r="BO236" s="2402"/>
      <c r="BP236" s="2244"/>
      <c r="BQ236" s="2244"/>
      <c r="BR236" s="2244"/>
      <c r="BS236" s="2461" t="s">
        <v>389</v>
      </c>
      <c r="BT236" s="2463" t="str">
        <f>IFERROR(INDEX(Liste_Ackerkulturen_Gemüse_DropDown[Ackerkulturen],_xlfn.AGGREGATE(15,6,(ROW(Liste_Ackerkulturen_Gemüse_DropDown[Ackerkulturen])-1)/(--(SEARCH(BU$2,Liste_Ackerkulturen_Gemüse_DropDown[Ackerkulturen])&gt;0)),ROW()-2),1),"")</f>
        <v>Minze</v>
      </c>
      <c r="BU236" s="2463"/>
      <c r="BV236" s="2463" t="str">
        <f>IFERROR(INDEX(Liste_Ackerkulturen_Gemüse_DropDown[Ackerkulturen],_xlfn.AGGREGATE(15,6,(ROW(Liste_Ackerkulturen_Gemüse_DropDown[Ackerkulturen])-1)/(--(SEARCH(BW$2,Liste_Ackerkulturen_Gemüse_DropDown[Ackerkulturen])&gt;0)),ROW()-2),1),"")</f>
        <v>Minze</v>
      </c>
      <c r="BW236" s="2463"/>
      <c r="BX236" s="2463" t="str">
        <f>IFERROR(INDEX(Liste_Ackerkulturen_Gemüse_DropDown[Ackerkulturen],_xlfn.AGGREGATE(15,6,(ROW(Liste_Ackerkulturen_Gemüse_DropDown[Ackerkulturen])-1)/(--(SEARCH(BY$2,Liste_Ackerkulturen_Gemüse_DropDown[Ackerkulturen])&gt;0)),ROW()-2),1),"")</f>
        <v>Minze</v>
      </c>
      <c r="BY236" s="2463"/>
      <c r="BZ236" s="2463" t="str">
        <f>IFERROR(INDEX(Liste_Ackerkulturen_Gemüse_DropDown[Ackerkulturen],_xlfn.AGGREGATE(15,6,(ROW(Liste_Ackerkulturen_Gemüse_DropDown[Ackerkulturen])-1)/(--(SEARCH(CA$2,Liste_Ackerkulturen_Gemüse_DropDown[Ackerkulturen])&gt;0)),ROW()-2),1),"")</f>
        <v>Minze</v>
      </c>
      <c r="CA236" s="2463"/>
      <c r="CB236" s="2463" t="str">
        <f>IFERROR(INDEX(Liste_Ackerkulturen_Gemüse_DropDown[Ackerkulturen],_xlfn.AGGREGATE(15,6,(ROW(Liste_Ackerkulturen_Gemüse_DropDown[Ackerkulturen])-1)/(--(SEARCH(CC$2,Liste_Ackerkulturen_Gemüse_DropDown[Ackerkulturen])&gt;0)),ROW()-2),1),"")</f>
        <v>Minze</v>
      </c>
      <c r="CC236" s="2463"/>
      <c r="CD236" s="2464" t="str">
        <f>IFERROR(INDEX(Liste_Ackerkulturen_Gemüse_DropDown[Ackerkulturen],_xlfn.AGGREGATE(15,6,(ROW(Liste_Ackerkulturen_Gemüse_DropDown[Ackerkulturen])-1)/(--(SEARCH(CE$2,Liste_Ackerkulturen_Gemüse_DropDown[Ackerkulturen])&gt;0)),ROW()-2),1),"")</f>
        <v>Minze</v>
      </c>
      <c r="CE236" s="2464"/>
      <c r="CF236" s="2464" t="str">
        <f>IFERROR(INDEX(Liste_Ackerkulturen_Gemüse_DropDown[Ackerkulturen],_xlfn.AGGREGATE(15,6,(ROW(Liste_Ackerkulturen_Gemüse_DropDown[Ackerkulturen])-1)/(--(SEARCH(CG$2,Liste_Ackerkulturen_Gemüse_DropDown[Ackerkulturen])&gt;0)),ROW()-2),1),"")</f>
        <v>Minze</v>
      </c>
      <c r="CG236" s="2464"/>
      <c r="CH236" s="2464" t="str">
        <f>IFERROR(INDEX(Liste_Ackerkulturen_Gemüse_DropDown[Ackerkulturen],_xlfn.AGGREGATE(15,6,(ROW(Liste_Ackerkulturen_Gemüse_DropDown[Ackerkulturen])-1)/(--(SEARCH(CI$2,Liste_Ackerkulturen_Gemüse_DropDown[Ackerkulturen])&gt;0)),ROW()-2),1),"")</f>
        <v>Minze</v>
      </c>
      <c r="CI236" s="2464"/>
      <c r="CJ236" s="2464" t="str">
        <f>IFERROR(INDEX(Liste_Ackerkulturen_Gemüse_DropDown[Ackerkulturen],_xlfn.AGGREGATE(15,6,(ROW(Liste_Ackerkulturen_Gemüse_DropDown[Ackerkulturen])-1)/(--(SEARCH(CK$2,Liste_Ackerkulturen_Gemüse_DropDown[Ackerkulturen])&gt;0)),ROW()-2),1),"")</f>
        <v>Minze</v>
      </c>
      <c r="CK236" s="2464"/>
      <c r="CL236" s="2464" t="str">
        <f>IFERROR(INDEX(Liste_Ackerkulturen_Gemüse_DropDown[Ackerkulturen],_xlfn.AGGREGATE(15,6,(ROW(Liste_Ackerkulturen_Gemüse_DropDown[Ackerkulturen])-1)/(--(SEARCH(CM$2,Liste_Ackerkulturen_Gemüse_DropDown[Ackerkulturen])&gt;0)),ROW()-2),1),"")</f>
        <v>Minze</v>
      </c>
      <c r="CM236" s="2464"/>
      <c r="CN236" s="2464" t="str">
        <f>IFERROR(INDEX(Liste_Ackerkulturen_Gemüse_DropDown[Ackerkulturen],_xlfn.AGGREGATE(15,6,(ROW(Liste_Ackerkulturen_Gemüse_DropDown[Ackerkulturen])-1)/(--(SEARCH(CO$2,Liste_Ackerkulturen_Gemüse_DropDown[Ackerkulturen])&gt;0)),ROW()-2),1),"")</f>
        <v>Minze</v>
      </c>
      <c r="CO236" s="2464"/>
      <c r="CP236" s="2464" t="str">
        <f>IFERROR(INDEX(Liste_Ackerkulturen_Gemüse_DropDown[Ackerkulturen],_xlfn.AGGREGATE(15,6,(ROW(Liste_Ackerkulturen_Gemüse_DropDown[Ackerkulturen])-1)/(--(SEARCH(CQ$2,Liste_Ackerkulturen_Gemüse_DropDown[Ackerkulturen])&gt;0)),ROW()-2),1),"")</f>
        <v>Minze</v>
      </c>
      <c r="CQ236" s="2464"/>
      <c r="CR236" s="2464" t="str">
        <f>IFERROR(INDEX(Liste_Ackerkulturen_Gemüse_DropDown[Ackerkulturen],_xlfn.AGGREGATE(15,6,(ROW(Liste_Ackerkulturen_Gemüse_DropDown[Ackerkulturen])-1)/(--(SEARCH(CS$2,Liste_Ackerkulturen_Gemüse_DropDown[Ackerkulturen])&gt;0)),ROW()-2),1),"")</f>
        <v>Minze</v>
      </c>
      <c r="CS236" s="2464"/>
      <c r="DI236" s="1541"/>
      <c r="DJ236" s="1541"/>
      <c r="DK236" s="1541"/>
      <c r="DL236" s="1541"/>
      <c r="DM236" s="1541"/>
    </row>
    <row r="237" spans="1:117" s="470" customFormat="1" ht="21" customHeight="1">
      <c r="A237" s="465"/>
      <c r="B237" s="465"/>
      <c r="C237" s="1575" t="s">
        <v>219</v>
      </c>
      <c r="D237" s="1576"/>
      <c r="E237" s="1567" t="s">
        <v>132</v>
      </c>
      <c r="F237" s="1568">
        <v>200</v>
      </c>
      <c r="G237" s="1568"/>
      <c r="H237" s="1716" t="s">
        <v>220</v>
      </c>
      <c r="I237" s="1718">
        <v>240</v>
      </c>
      <c r="J237" s="1188" t="s">
        <v>1991</v>
      </c>
      <c r="K237" s="1568">
        <v>290</v>
      </c>
      <c r="L237" s="1527">
        <v>200</v>
      </c>
      <c r="M237" s="1528">
        <v>250</v>
      </c>
      <c r="N237" s="1567">
        <v>90</v>
      </c>
      <c r="O237" s="1188">
        <v>75</v>
      </c>
      <c r="P237" s="1568">
        <v>50</v>
      </c>
      <c r="Q237" s="1718">
        <v>60</v>
      </c>
      <c r="R237" s="1568">
        <v>75</v>
      </c>
      <c r="S237" s="1568">
        <v>30</v>
      </c>
      <c r="T237" s="1599" t="s">
        <v>1201</v>
      </c>
      <c r="U237" s="1569">
        <v>270</v>
      </c>
      <c r="V237" s="1570">
        <v>225</v>
      </c>
      <c r="W237" s="1574">
        <v>145</v>
      </c>
      <c r="X237" s="1778">
        <v>180</v>
      </c>
      <c r="Y237" s="1574">
        <v>225</v>
      </c>
      <c r="Z237" s="1568">
        <v>90</v>
      </c>
      <c r="AA237" s="1599" t="s">
        <v>1201</v>
      </c>
      <c r="AB237" s="525"/>
      <c r="AC237" s="525"/>
      <c r="AD237" s="525"/>
      <c r="AE237" s="526"/>
      <c r="AF237" s="1279"/>
      <c r="AG237" s="176"/>
      <c r="AH237" s="176"/>
      <c r="AI237" s="176"/>
      <c r="AJ237" s="473"/>
      <c r="AK237" s="472"/>
      <c r="AL237" s="472"/>
      <c r="AM237" s="2371" t="s">
        <v>388</v>
      </c>
      <c r="AN237" s="2286">
        <v>150</v>
      </c>
      <c r="AO237" s="2308" t="s">
        <v>1201</v>
      </c>
      <c r="AP237" s="2286">
        <v>150</v>
      </c>
      <c r="AQ237" s="2308" t="s">
        <v>1201</v>
      </c>
      <c r="AR237" s="2286">
        <v>150</v>
      </c>
      <c r="AS237" s="2308" t="s">
        <v>1201</v>
      </c>
      <c r="AT237" s="2287">
        <v>150</v>
      </c>
      <c r="AU237" s="2309" t="s">
        <v>1201</v>
      </c>
      <c r="AV237" s="2287">
        <v>150</v>
      </c>
      <c r="AW237" s="2309" t="s">
        <v>1201</v>
      </c>
      <c r="AX237" s="2403">
        <v>120</v>
      </c>
      <c r="AY237" s="2299" t="s">
        <v>1201</v>
      </c>
      <c r="AZ237" s="2298">
        <v>120</v>
      </c>
      <c r="BA237" s="2373" t="s">
        <v>1201</v>
      </c>
      <c r="BE237" s="2371" t="s">
        <v>388</v>
      </c>
      <c r="BF237" s="2404">
        <v>55</v>
      </c>
      <c r="BG237" s="2404">
        <v>55</v>
      </c>
      <c r="BH237" s="2404">
        <v>55</v>
      </c>
      <c r="BJ237" s="2371" t="s">
        <v>388</v>
      </c>
      <c r="BK237" s="578">
        <v>240</v>
      </c>
      <c r="BL237" s="577">
        <v>240</v>
      </c>
      <c r="BM237" s="577">
        <v>240</v>
      </c>
      <c r="BN237" s="2407"/>
      <c r="BO237" s="2402"/>
      <c r="BP237" s="2244"/>
      <c r="BQ237" s="2244"/>
      <c r="BR237" s="2244"/>
      <c r="BS237" s="2461" t="s">
        <v>390</v>
      </c>
      <c r="BT237" s="2463" t="str">
        <f>IFERROR(INDEX(Liste_Ackerkulturen_Gemüse_DropDown[Ackerkulturen],_xlfn.AGGREGATE(15,6,(ROW(Liste_Ackerkulturen_Gemüse_DropDown[Ackerkulturen])-1)/(--(SEARCH(BU$2,Liste_Ackerkulturen_Gemüse_DropDown[Ackerkulturen])&gt;0)),ROW()-2),1),"")</f>
        <v>Mutterkraut</v>
      </c>
      <c r="BU237" s="2463"/>
      <c r="BV237" s="2463" t="str">
        <f>IFERROR(INDEX(Liste_Ackerkulturen_Gemüse_DropDown[Ackerkulturen],_xlfn.AGGREGATE(15,6,(ROW(Liste_Ackerkulturen_Gemüse_DropDown[Ackerkulturen])-1)/(--(SEARCH(BW$2,Liste_Ackerkulturen_Gemüse_DropDown[Ackerkulturen])&gt;0)),ROW()-2),1),"")</f>
        <v>Mutterkraut</v>
      </c>
      <c r="BW237" s="2463"/>
      <c r="BX237" s="2463" t="str">
        <f>IFERROR(INDEX(Liste_Ackerkulturen_Gemüse_DropDown[Ackerkulturen],_xlfn.AGGREGATE(15,6,(ROW(Liste_Ackerkulturen_Gemüse_DropDown[Ackerkulturen])-1)/(--(SEARCH(BY$2,Liste_Ackerkulturen_Gemüse_DropDown[Ackerkulturen])&gt;0)),ROW()-2),1),"")</f>
        <v>Mutterkraut</v>
      </c>
      <c r="BY237" s="2463"/>
      <c r="BZ237" s="2463" t="str">
        <f>IFERROR(INDEX(Liste_Ackerkulturen_Gemüse_DropDown[Ackerkulturen],_xlfn.AGGREGATE(15,6,(ROW(Liste_Ackerkulturen_Gemüse_DropDown[Ackerkulturen])-1)/(--(SEARCH(CA$2,Liste_Ackerkulturen_Gemüse_DropDown[Ackerkulturen])&gt;0)),ROW()-2),1),"")</f>
        <v>Mutterkraut</v>
      </c>
      <c r="CA237" s="2463"/>
      <c r="CB237" s="2463" t="str">
        <f>IFERROR(INDEX(Liste_Ackerkulturen_Gemüse_DropDown[Ackerkulturen],_xlfn.AGGREGATE(15,6,(ROW(Liste_Ackerkulturen_Gemüse_DropDown[Ackerkulturen])-1)/(--(SEARCH(CC$2,Liste_Ackerkulturen_Gemüse_DropDown[Ackerkulturen])&gt;0)),ROW()-2),1),"")</f>
        <v>Mutterkraut</v>
      </c>
      <c r="CC237" s="2463"/>
      <c r="CD237" s="2464" t="str">
        <f>IFERROR(INDEX(Liste_Ackerkulturen_Gemüse_DropDown[Ackerkulturen],_xlfn.AGGREGATE(15,6,(ROW(Liste_Ackerkulturen_Gemüse_DropDown[Ackerkulturen])-1)/(--(SEARCH(CE$2,Liste_Ackerkulturen_Gemüse_DropDown[Ackerkulturen])&gt;0)),ROW()-2),1),"")</f>
        <v>Mutterkraut</v>
      </c>
      <c r="CE237" s="2464"/>
      <c r="CF237" s="2464" t="str">
        <f>IFERROR(INDEX(Liste_Ackerkulturen_Gemüse_DropDown[Ackerkulturen],_xlfn.AGGREGATE(15,6,(ROW(Liste_Ackerkulturen_Gemüse_DropDown[Ackerkulturen])-1)/(--(SEARCH(CG$2,Liste_Ackerkulturen_Gemüse_DropDown[Ackerkulturen])&gt;0)),ROW()-2),1),"")</f>
        <v>Mutterkraut</v>
      </c>
      <c r="CG237" s="2464"/>
      <c r="CH237" s="2464" t="str">
        <f>IFERROR(INDEX(Liste_Ackerkulturen_Gemüse_DropDown[Ackerkulturen],_xlfn.AGGREGATE(15,6,(ROW(Liste_Ackerkulturen_Gemüse_DropDown[Ackerkulturen])-1)/(--(SEARCH(CI$2,Liste_Ackerkulturen_Gemüse_DropDown[Ackerkulturen])&gt;0)),ROW()-2),1),"")</f>
        <v>Mutterkraut</v>
      </c>
      <c r="CI237" s="2464"/>
      <c r="CJ237" s="2464" t="str">
        <f>IFERROR(INDEX(Liste_Ackerkulturen_Gemüse_DropDown[Ackerkulturen],_xlfn.AGGREGATE(15,6,(ROW(Liste_Ackerkulturen_Gemüse_DropDown[Ackerkulturen])-1)/(--(SEARCH(CK$2,Liste_Ackerkulturen_Gemüse_DropDown[Ackerkulturen])&gt;0)),ROW()-2),1),"")</f>
        <v>Mutterkraut</v>
      </c>
      <c r="CK237" s="2464"/>
      <c r="CL237" s="2464" t="str">
        <f>IFERROR(INDEX(Liste_Ackerkulturen_Gemüse_DropDown[Ackerkulturen],_xlfn.AGGREGATE(15,6,(ROW(Liste_Ackerkulturen_Gemüse_DropDown[Ackerkulturen])-1)/(--(SEARCH(CM$2,Liste_Ackerkulturen_Gemüse_DropDown[Ackerkulturen])&gt;0)),ROW()-2),1),"")</f>
        <v>Mutterkraut</v>
      </c>
      <c r="CM237" s="2464"/>
      <c r="CN237" s="2464" t="str">
        <f>IFERROR(INDEX(Liste_Ackerkulturen_Gemüse_DropDown[Ackerkulturen],_xlfn.AGGREGATE(15,6,(ROW(Liste_Ackerkulturen_Gemüse_DropDown[Ackerkulturen])-1)/(--(SEARCH(CO$2,Liste_Ackerkulturen_Gemüse_DropDown[Ackerkulturen])&gt;0)),ROW()-2),1),"")</f>
        <v>Mutterkraut</v>
      </c>
      <c r="CO237" s="2464"/>
      <c r="CP237" s="2464" t="str">
        <f>IFERROR(INDEX(Liste_Ackerkulturen_Gemüse_DropDown[Ackerkulturen],_xlfn.AGGREGATE(15,6,(ROW(Liste_Ackerkulturen_Gemüse_DropDown[Ackerkulturen])-1)/(--(SEARCH(CQ$2,Liste_Ackerkulturen_Gemüse_DropDown[Ackerkulturen])&gt;0)),ROW()-2),1),"")</f>
        <v>Mutterkraut</v>
      </c>
      <c r="CQ237" s="2464"/>
      <c r="CR237" s="2464" t="str">
        <f>IFERROR(INDEX(Liste_Ackerkulturen_Gemüse_DropDown[Ackerkulturen],_xlfn.AGGREGATE(15,6,(ROW(Liste_Ackerkulturen_Gemüse_DropDown[Ackerkulturen])-1)/(--(SEARCH(CS$2,Liste_Ackerkulturen_Gemüse_DropDown[Ackerkulturen])&gt;0)),ROW()-2),1),"")</f>
        <v>Mutterkraut</v>
      </c>
      <c r="CS237" s="2464"/>
      <c r="DI237" s="1541"/>
      <c r="DJ237" s="1541"/>
      <c r="DK237" s="1541"/>
      <c r="DL237" s="1541"/>
      <c r="DM237" s="1541"/>
    </row>
    <row r="238" spans="1:117" s="470" customFormat="1" ht="21" customHeight="1">
      <c r="A238" s="465"/>
      <c r="B238" s="465"/>
      <c r="C238" s="1575" t="s">
        <v>221</v>
      </c>
      <c r="D238" s="1576"/>
      <c r="E238" s="1567" t="s">
        <v>66</v>
      </c>
      <c r="F238" s="1568">
        <v>120</v>
      </c>
      <c r="G238" s="1568"/>
      <c r="H238" s="1716" t="s">
        <v>1058</v>
      </c>
      <c r="I238" s="1718">
        <v>140</v>
      </c>
      <c r="J238" s="1188" t="s">
        <v>55</v>
      </c>
      <c r="K238" s="1568">
        <v>165</v>
      </c>
      <c r="L238" s="1527">
        <v>100</v>
      </c>
      <c r="M238" s="1528">
        <v>125</v>
      </c>
      <c r="N238" s="1567">
        <v>45</v>
      </c>
      <c r="O238" s="1188">
        <v>40</v>
      </c>
      <c r="P238" s="1568">
        <v>25</v>
      </c>
      <c r="Q238" s="1718">
        <v>30</v>
      </c>
      <c r="R238" s="1568">
        <v>40</v>
      </c>
      <c r="S238" s="1568">
        <v>15</v>
      </c>
      <c r="T238" s="1599" t="s">
        <v>1201</v>
      </c>
      <c r="U238" s="1569">
        <v>210</v>
      </c>
      <c r="V238" s="1570">
        <v>175</v>
      </c>
      <c r="W238" s="1574">
        <v>110</v>
      </c>
      <c r="X238" s="1778">
        <v>140</v>
      </c>
      <c r="Y238" s="1574">
        <v>175</v>
      </c>
      <c r="Z238" s="1568">
        <v>70</v>
      </c>
      <c r="AA238" s="1599" t="s">
        <v>1201</v>
      </c>
      <c r="AB238" s="525"/>
      <c r="AC238" s="525"/>
      <c r="AD238" s="525"/>
      <c r="AE238" s="526"/>
      <c r="AF238" s="1279"/>
      <c r="AG238" s="176"/>
      <c r="AH238" s="176"/>
      <c r="AI238" s="176"/>
      <c r="AJ238" s="473"/>
      <c r="AK238" s="472"/>
      <c r="AL238" s="472"/>
      <c r="AM238" s="2371" t="s">
        <v>389</v>
      </c>
      <c r="AN238" s="2286">
        <v>60</v>
      </c>
      <c r="AO238" s="2308" t="s">
        <v>1201</v>
      </c>
      <c r="AP238" s="2286">
        <v>60</v>
      </c>
      <c r="AQ238" s="2308" t="s">
        <v>1201</v>
      </c>
      <c r="AR238" s="2286">
        <v>60</v>
      </c>
      <c r="AS238" s="2308" t="s">
        <v>1201</v>
      </c>
      <c r="AT238" s="2287">
        <v>60</v>
      </c>
      <c r="AU238" s="2309" t="s">
        <v>1201</v>
      </c>
      <c r="AV238" s="2287">
        <v>60</v>
      </c>
      <c r="AW238" s="2309" t="s">
        <v>1201</v>
      </c>
      <c r="AX238" s="2403">
        <v>50</v>
      </c>
      <c r="AY238" s="2299" t="s">
        <v>1201</v>
      </c>
      <c r="AZ238" s="2298">
        <v>50</v>
      </c>
      <c r="BA238" s="2373" t="s">
        <v>1201</v>
      </c>
      <c r="BE238" s="2371" t="s">
        <v>389</v>
      </c>
      <c r="BF238" s="2404">
        <v>0</v>
      </c>
      <c r="BG238" s="2404">
        <v>0</v>
      </c>
      <c r="BH238" s="2404"/>
      <c r="BJ238" s="2371" t="s">
        <v>389</v>
      </c>
      <c r="BK238" s="2400">
        <v>0</v>
      </c>
      <c r="BL238" s="577">
        <v>0</v>
      </c>
      <c r="BM238" s="577">
        <v>0</v>
      </c>
      <c r="BN238" s="2406"/>
      <c r="BO238" s="2402"/>
      <c r="BP238" s="2244"/>
      <c r="BQ238" s="2244"/>
      <c r="BR238" s="2244"/>
      <c r="BS238" s="2461" t="s">
        <v>391</v>
      </c>
      <c r="BT238" s="2463" t="str">
        <f>IFERROR(INDEX(Liste_Ackerkulturen_Gemüse_DropDown[Ackerkulturen],_xlfn.AGGREGATE(15,6,(ROW(Liste_Ackerkulturen_Gemüse_DropDown[Ackerkulturen])-1)/(--(SEARCH(BU$2,Liste_Ackerkulturen_Gemüse_DropDown[Ackerkulturen])&gt;0)),ROW()-2),1),"")</f>
        <v>Nachtkerze</v>
      </c>
      <c r="BU238" s="2463"/>
      <c r="BV238" s="2463" t="str">
        <f>IFERROR(INDEX(Liste_Ackerkulturen_Gemüse_DropDown[Ackerkulturen],_xlfn.AGGREGATE(15,6,(ROW(Liste_Ackerkulturen_Gemüse_DropDown[Ackerkulturen])-1)/(--(SEARCH(BW$2,Liste_Ackerkulturen_Gemüse_DropDown[Ackerkulturen])&gt;0)),ROW()-2),1),"")</f>
        <v>Nachtkerze</v>
      </c>
      <c r="BW238" s="2463"/>
      <c r="BX238" s="2463" t="str">
        <f>IFERROR(INDEX(Liste_Ackerkulturen_Gemüse_DropDown[Ackerkulturen],_xlfn.AGGREGATE(15,6,(ROW(Liste_Ackerkulturen_Gemüse_DropDown[Ackerkulturen])-1)/(--(SEARCH(BY$2,Liste_Ackerkulturen_Gemüse_DropDown[Ackerkulturen])&gt;0)),ROW()-2),1),"")</f>
        <v>Nachtkerze</v>
      </c>
      <c r="BY238" s="2463"/>
      <c r="BZ238" s="2463" t="str">
        <f>IFERROR(INDEX(Liste_Ackerkulturen_Gemüse_DropDown[Ackerkulturen],_xlfn.AGGREGATE(15,6,(ROW(Liste_Ackerkulturen_Gemüse_DropDown[Ackerkulturen])-1)/(--(SEARCH(CA$2,Liste_Ackerkulturen_Gemüse_DropDown[Ackerkulturen])&gt;0)),ROW()-2),1),"")</f>
        <v>Nachtkerze</v>
      </c>
      <c r="CA238" s="2463"/>
      <c r="CB238" s="2463" t="str">
        <f>IFERROR(INDEX(Liste_Ackerkulturen_Gemüse_DropDown[Ackerkulturen],_xlfn.AGGREGATE(15,6,(ROW(Liste_Ackerkulturen_Gemüse_DropDown[Ackerkulturen])-1)/(--(SEARCH(CC$2,Liste_Ackerkulturen_Gemüse_DropDown[Ackerkulturen])&gt;0)),ROW()-2),1),"")</f>
        <v>Nachtkerze</v>
      </c>
      <c r="CC238" s="2463"/>
      <c r="CD238" s="2464" t="str">
        <f>IFERROR(INDEX(Liste_Ackerkulturen_Gemüse_DropDown[Ackerkulturen],_xlfn.AGGREGATE(15,6,(ROW(Liste_Ackerkulturen_Gemüse_DropDown[Ackerkulturen])-1)/(--(SEARCH(CE$2,Liste_Ackerkulturen_Gemüse_DropDown[Ackerkulturen])&gt;0)),ROW()-2),1),"")</f>
        <v>Nachtkerze</v>
      </c>
      <c r="CE238" s="2464"/>
      <c r="CF238" s="2464" t="str">
        <f>IFERROR(INDEX(Liste_Ackerkulturen_Gemüse_DropDown[Ackerkulturen],_xlfn.AGGREGATE(15,6,(ROW(Liste_Ackerkulturen_Gemüse_DropDown[Ackerkulturen])-1)/(--(SEARCH(CG$2,Liste_Ackerkulturen_Gemüse_DropDown[Ackerkulturen])&gt;0)),ROW()-2),1),"")</f>
        <v>Nachtkerze</v>
      </c>
      <c r="CG238" s="2464"/>
      <c r="CH238" s="2464" t="str">
        <f>IFERROR(INDEX(Liste_Ackerkulturen_Gemüse_DropDown[Ackerkulturen],_xlfn.AGGREGATE(15,6,(ROW(Liste_Ackerkulturen_Gemüse_DropDown[Ackerkulturen])-1)/(--(SEARCH(CI$2,Liste_Ackerkulturen_Gemüse_DropDown[Ackerkulturen])&gt;0)),ROW()-2),1),"")</f>
        <v>Nachtkerze</v>
      </c>
      <c r="CI238" s="2464"/>
      <c r="CJ238" s="2464" t="str">
        <f>IFERROR(INDEX(Liste_Ackerkulturen_Gemüse_DropDown[Ackerkulturen],_xlfn.AGGREGATE(15,6,(ROW(Liste_Ackerkulturen_Gemüse_DropDown[Ackerkulturen])-1)/(--(SEARCH(CK$2,Liste_Ackerkulturen_Gemüse_DropDown[Ackerkulturen])&gt;0)),ROW()-2),1),"")</f>
        <v>Nachtkerze</v>
      </c>
      <c r="CK238" s="2464"/>
      <c r="CL238" s="2464" t="str">
        <f>IFERROR(INDEX(Liste_Ackerkulturen_Gemüse_DropDown[Ackerkulturen],_xlfn.AGGREGATE(15,6,(ROW(Liste_Ackerkulturen_Gemüse_DropDown[Ackerkulturen])-1)/(--(SEARCH(CM$2,Liste_Ackerkulturen_Gemüse_DropDown[Ackerkulturen])&gt;0)),ROW()-2),1),"")</f>
        <v>Nachtkerze</v>
      </c>
      <c r="CM238" s="2464"/>
      <c r="CN238" s="2464" t="str">
        <f>IFERROR(INDEX(Liste_Ackerkulturen_Gemüse_DropDown[Ackerkulturen],_xlfn.AGGREGATE(15,6,(ROW(Liste_Ackerkulturen_Gemüse_DropDown[Ackerkulturen])-1)/(--(SEARCH(CO$2,Liste_Ackerkulturen_Gemüse_DropDown[Ackerkulturen])&gt;0)),ROW()-2),1),"")</f>
        <v>Nachtkerze</v>
      </c>
      <c r="CO238" s="2464"/>
      <c r="CP238" s="2464" t="str">
        <f>IFERROR(INDEX(Liste_Ackerkulturen_Gemüse_DropDown[Ackerkulturen],_xlfn.AGGREGATE(15,6,(ROW(Liste_Ackerkulturen_Gemüse_DropDown[Ackerkulturen])-1)/(--(SEARCH(CQ$2,Liste_Ackerkulturen_Gemüse_DropDown[Ackerkulturen])&gt;0)),ROW()-2),1),"")</f>
        <v>Nachtkerze</v>
      </c>
      <c r="CQ238" s="2464"/>
      <c r="CR238" s="2464" t="str">
        <f>IFERROR(INDEX(Liste_Ackerkulturen_Gemüse_DropDown[Ackerkulturen],_xlfn.AGGREGATE(15,6,(ROW(Liste_Ackerkulturen_Gemüse_DropDown[Ackerkulturen])-1)/(--(SEARCH(CS$2,Liste_Ackerkulturen_Gemüse_DropDown[Ackerkulturen])&gt;0)),ROW()-2),1),"")</f>
        <v>Nachtkerze</v>
      </c>
      <c r="CS238" s="2464"/>
      <c r="DI238" s="1541"/>
      <c r="DJ238" s="1541"/>
      <c r="DK238" s="1541"/>
      <c r="DL238" s="1541"/>
      <c r="DM238" s="1541"/>
    </row>
    <row r="239" spans="1:117" s="470" customFormat="1" ht="21" customHeight="1">
      <c r="A239" s="465"/>
      <c r="B239" s="465"/>
      <c r="C239" s="1575" t="s">
        <v>222</v>
      </c>
      <c r="D239" s="1576"/>
      <c r="E239" s="1567" t="s">
        <v>66</v>
      </c>
      <c r="F239" s="1568">
        <v>120</v>
      </c>
      <c r="G239" s="1568"/>
      <c r="H239" s="1716" t="s">
        <v>1058</v>
      </c>
      <c r="I239" s="1718">
        <v>140</v>
      </c>
      <c r="J239" s="1188" t="s">
        <v>55</v>
      </c>
      <c r="K239" s="1568">
        <v>165</v>
      </c>
      <c r="L239" s="1527">
        <v>100</v>
      </c>
      <c r="M239" s="1528">
        <v>125</v>
      </c>
      <c r="N239" s="1567">
        <v>45</v>
      </c>
      <c r="O239" s="1188">
        <v>40</v>
      </c>
      <c r="P239" s="1568">
        <v>25</v>
      </c>
      <c r="Q239" s="1718">
        <v>30</v>
      </c>
      <c r="R239" s="1568">
        <v>40</v>
      </c>
      <c r="S239" s="1568">
        <v>15</v>
      </c>
      <c r="T239" s="1599" t="s">
        <v>1201</v>
      </c>
      <c r="U239" s="1569">
        <v>210</v>
      </c>
      <c r="V239" s="1570">
        <v>175</v>
      </c>
      <c r="W239" s="1574">
        <v>110</v>
      </c>
      <c r="X239" s="1778">
        <v>140</v>
      </c>
      <c r="Y239" s="1574">
        <v>175</v>
      </c>
      <c r="Z239" s="1568">
        <v>70</v>
      </c>
      <c r="AA239" s="1599" t="s">
        <v>1201</v>
      </c>
      <c r="AB239" s="525"/>
      <c r="AC239" s="525"/>
      <c r="AD239" s="525"/>
      <c r="AE239" s="526"/>
      <c r="AF239" s="1279"/>
      <c r="AG239" s="176"/>
      <c r="AH239" s="176"/>
      <c r="AI239" s="176"/>
      <c r="AJ239" s="473"/>
      <c r="AK239" s="472"/>
      <c r="AL239" s="472"/>
      <c r="AM239" s="2371" t="s">
        <v>390</v>
      </c>
      <c r="AN239" s="2286">
        <v>90</v>
      </c>
      <c r="AO239" s="2308" t="s">
        <v>1201</v>
      </c>
      <c r="AP239" s="2286">
        <v>90</v>
      </c>
      <c r="AQ239" s="2308" t="s">
        <v>1201</v>
      </c>
      <c r="AR239" s="2286">
        <v>90</v>
      </c>
      <c r="AS239" s="2308" t="s">
        <v>1201</v>
      </c>
      <c r="AT239" s="2287">
        <v>90</v>
      </c>
      <c r="AU239" s="2309" t="s">
        <v>1201</v>
      </c>
      <c r="AV239" s="2287">
        <v>90</v>
      </c>
      <c r="AW239" s="2309" t="s">
        <v>1201</v>
      </c>
      <c r="AX239" s="2403">
        <v>80</v>
      </c>
      <c r="AY239" s="2299" t="s">
        <v>1201</v>
      </c>
      <c r="AZ239" s="2298">
        <v>80</v>
      </c>
      <c r="BA239" s="2373" t="s">
        <v>1201</v>
      </c>
      <c r="BE239" s="2371" t="s">
        <v>390</v>
      </c>
      <c r="BF239" s="2404">
        <v>0</v>
      </c>
      <c r="BG239" s="2404">
        <v>0</v>
      </c>
      <c r="BH239" s="2404">
        <v>0</v>
      </c>
      <c r="BJ239" s="2371" t="s">
        <v>390</v>
      </c>
      <c r="BK239" s="2400">
        <v>0</v>
      </c>
      <c r="BL239" s="577">
        <v>0</v>
      </c>
      <c r="BM239" s="577">
        <v>0</v>
      </c>
      <c r="BN239" s="2406"/>
      <c r="BO239" s="2402"/>
      <c r="BP239" s="2244"/>
      <c r="BQ239" s="2244"/>
      <c r="BR239" s="2244"/>
      <c r="BS239" s="2461" t="s">
        <v>392</v>
      </c>
      <c r="BT239" s="2463" t="str">
        <f>IFERROR(INDEX(Liste_Ackerkulturen_Gemüse_DropDown[Ackerkulturen],_xlfn.AGGREGATE(15,6,(ROW(Liste_Ackerkulturen_Gemüse_DropDown[Ackerkulturen])-1)/(--(SEARCH(BU$2,Liste_Ackerkulturen_Gemüse_DropDown[Ackerkulturen])&gt;0)),ROW()-2),1),"")</f>
        <v>Oregano</v>
      </c>
      <c r="BU239" s="2463"/>
      <c r="BV239" s="2463" t="str">
        <f>IFERROR(INDEX(Liste_Ackerkulturen_Gemüse_DropDown[Ackerkulturen],_xlfn.AGGREGATE(15,6,(ROW(Liste_Ackerkulturen_Gemüse_DropDown[Ackerkulturen])-1)/(--(SEARCH(BW$2,Liste_Ackerkulturen_Gemüse_DropDown[Ackerkulturen])&gt;0)),ROW()-2),1),"")</f>
        <v>Oregano</v>
      </c>
      <c r="BW239" s="2463"/>
      <c r="BX239" s="2463" t="str">
        <f>IFERROR(INDEX(Liste_Ackerkulturen_Gemüse_DropDown[Ackerkulturen],_xlfn.AGGREGATE(15,6,(ROW(Liste_Ackerkulturen_Gemüse_DropDown[Ackerkulturen])-1)/(--(SEARCH(BY$2,Liste_Ackerkulturen_Gemüse_DropDown[Ackerkulturen])&gt;0)),ROW()-2),1),"")</f>
        <v>Oregano</v>
      </c>
      <c r="BY239" s="2463"/>
      <c r="BZ239" s="2463" t="str">
        <f>IFERROR(INDEX(Liste_Ackerkulturen_Gemüse_DropDown[Ackerkulturen],_xlfn.AGGREGATE(15,6,(ROW(Liste_Ackerkulturen_Gemüse_DropDown[Ackerkulturen])-1)/(--(SEARCH(CA$2,Liste_Ackerkulturen_Gemüse_DropDown[Ackerkulturen])&gt;0)),ROW()-2),1),"")</f>
        <v>Oregano</v>
      </c>
      <c r="CA239" s="2463"/>
      <c r="CB239" s="2463" t="str">
        <f>IFERROR(INDEX(Liste_Ackerkulturen_Gemüse_DropDown[Ackerkulturen],_xlfn.AGGREGATE(15,6,(ROW(Liste_Ackerkulturen_Gemüse_DropDown[Ackerkulturen])-1)/(--(SEARCH(CC$2,Liste_Ackerkulturen_Gemüse_DropDown[Ackerkulturen])&gt;0)),ROW()-2),1),"")</f>
        <v>Oregano</v>
      </c>
      <c r="CC239" s="2463"/>
      <c r="CD239" s="2464" t="str">
        <f>IFERROR(INDEX(Liste_Ackerkulturen_Gemüse_DropDown[Ackerkulturen],_xlfn.AGGREGATE(15,6,(ROW(Liste_Ackerkulturen_Gemüse_DropDown[Ackerkulturen])-1)/(--(SEARCH(CE$2,Liste_Ackerkulturen_Gemüse_DropDown[Ackerkulturen])&gt;0)),ROW()-2),1),"")</f>
        <v>Oregano</v>
      </c>
      <c r="CE239" s="2464"/>
      <c r="CF239" s="2464" t="str">
        <f>IFERROR(INDEX(Liste_Ackerkulturen_Gemüse_DropDown[Ackerkulturen],_xlfn.AGGREGATE(15,6,(ROW(Liste_Ackerkulturen_Gemüse_DropDown[Ackerkulturen])-1)/(--(SEARCH(CG$2,Liste_Ackerkulturen_Gemüse_DropDown[Ackerkulturen])&gt;0)),ROW()-2),1),"")</f>
        <v>Oregano</v>
      </c>
      <c r="CG239" s="2464"/>
      <c r="CH239" s="2464" t="str">
        <f>IFERROR(INDEX(Liste_Ackerkulturen_Gemüse_DropDown[Ackerkulturen],_xlfn.AGGREGATE(15,6,(ROW(Liste_Ackerkulturen_Gemüse_DropDown[Ackerkulturen])-1)/(--(SEARCH(CI$2,Liste_Ackerkulturen_Gemüse_DropDown[Ackerkulturen])&gt;0)),ROW()-2),1),"")</f>
        <v>Oregano</v>
      </c>
      <c r="CI239" s="2464"/>
      <c r="CJ239" s="2464" t="str">
        <f>IFERROR(INDEX(Liste_Ackerkulturen_Gemüse_DropDown[Ackerkulturen],_xlfn.AGGREGATE(15,6,(ROW(Liste_Ackerkulturen_Gemüse_DropDown[Ackerkulturen])-1)/(--(SEARCH(CK$2,Liste_Ackerkulturen_Gemüse_DropDown[Ackerkulturen])&gt;0)),ROW()-2),1),"")</f>
        <v>Oregano</v>
      </c>
      <c r="CK239" s="2464"/>
      <c r="CL239" s="2464" t="str">
        <f>IFERROR(INDEX(Liste_Ackerkulturen_Gemüse_DropDown[Ackerkulturen],_xlfn.AGGREGATE(15,6,(ROW(Liste_Ackerkulturen_Gemüse_DropDown[Ackerkulturen])-1)/(--(SEARCH(CM$2,Liste_Ackerkulturen_Gemüse_DropDown[Ackerkulturen])&gt;0)),ROW()-2),1),"")</f>
        <v>Oregano</v>
      </c>
      <c r="CM239" s="2464"/>
      <c r="CN239" s="2464" t="str">
        <f>IFERROR(INDEX(Liste_Ackerkulturen_Gemüse_DropDown[Ackerkulturen],_xlfn.AGGREGATE(15,6,(ROW(Liste_Ackerkulturen_Gemüse_DropDown[Ackerkulturen])-1)/(--(SEARCH(CO$2,Liste_Ackerkulturen_Gemüse_DropDown[Ackerkulturen])&gt;0)),ROW()-2),1),"")</f>
        <v>Oregano</v>
      </c>
      <c r="CO239" s="2464"/>
      <c r="CP239" s="2464" t="str">
        <f>IFERROR(INDEX(Liste_Ackerkulturen_Gemüse_DropDown[Ackerkulturen],_xlfn.AGGREGATE(15,6,(ROW(Liste_Ackerkulturen_Gemüse_DropDown[Ackerkulturen])-1)/(--(SEARCH(CQ$2,Liste_Ackerkulturen_Gemüse_DropDown[Ackerkulturen])&gt;0)),ROW()-2),1),"")</f>
        <v>Oregano</v>
      </c>
      <c r="CQ239" s="2464"/>
      <c r="CR239" s="2464" t="str">
        <f>IFERROR(INDEX(Liste_Ackerkulturen_Gemüse_DropDown[Ackerkulturen],_xlfn.AGGREGATE(15,6,(ROW(Liste_Ackerkulturen_Gemüse_DropDown[Ackerkulturen])-1)/(--(SEARCH(CS$2,Liste_Ackerkulturen_Gemüse_DropDown[Ackerkulturen])&gt;0)),ROW()-2),1),"")</f>
        <v>Oregano</v>
      </c>
      <c r="CS239" s="2464"/>
      <c r="DI239" s="1541"/>
      <c r="DJ239" s="1541"/>
      <c r="DK239" s="1541"/>
      <c r="DL239" s="1541"/>
      <c r="DM239" s="1541"/>
    </row>
    <row r="240" spans="1:117" s="470" customFormat="1" ht="21" customHeight="1">
      <c r="A240" s="465"/>
      <c r="B240" s="465"/>
      <c r="C240" s="1575" t="s">
        <v>223</v>
      </c>
      <c r="D240" s="1576"/>
      <c r="E240" s="1567" t="s">
        <v>139</v>
      </c>
      <c r="F240" s="1568">
        <v>140</v>
      </c>
      <c r="G240" s="1568"/>
      <c r="H240" s="1716" t="s">
        <v>54</v>
      </c>
      <c r="I240" s="1718">
        <v>160</v>
      </c>
      <c r="J240" s="1188" t="s">
        <v>224</v>
      </c>
      <c r="K240" s="1568">
        <v>185</v>
      </c>
      <c r="L240" s="1527">
        <v>100</v>
      </c>
      <c r="M240" s="1528">
        <v>125</v>
      </c>
      <c r="N240" s="1567">
        <v>45</v>
      </c>
      <c r="O240" s="1188">
        <v>40</v>
      </c>
      <c r="P240" s="1568">
        <v>25</v>
      </c>
      <c r="Q240" s="1718">
        <v>30</v>
      </c>
      <c r="R240" s="1568">
        <v>40</v>
      </c>
      <c r="S240" s="1568">
        <v>15</v>
      </c>
      <c r="T240" s="1599" t="s">
        <v>1201</v>
      </c>
      <c r="U240" s="1569">
        <v>210</v>
      </c>
      <c r="V240" s="1570">
        <v>175</v>
      </c>
      <c r="W240" s="1574">
        <v>110</v>
      </c>
      <c r="X240" s="1778">
        <v>140</v>
      </c>
      <c r="Y240" s="1574">
        <v>175</v>
      </c>
      <c r="Z240" s="1568">
        <v>70</v>
      </c>
      <c r="AA240" s="1599" t="s">
        <v>1201</v>
      </c>
      <c r="AB240" s="525"/>
      <c r="AC240" s="525"/>
      <c r="AD240" s="525"/>
      <c r="AE240" s="526"/>
      <c r="AF240" s="1279"/>
      <c r="AG240" s="176"/>
      <c r="AH240" s="176"/>
      <c r="AI240" s="176"/>
      <c r="AJ240" s="473"/>
      <c r="AK240" s="472"/>
      <c r="AL240" s="472"/>
      <c r="AM240" s="2371" t="s">
        <v>391</v>
      </c>
      <c r="AN240" s="2286">
        <v>100</v>
      </c>
      <c r="AO240" s="2308" t="s">
        <v>1201</v>
      </c>
      <c r="AP240" s="2286">
        <v>100</v>
      </c>
      <c r="AQ240" s="2308" t="s">
        <v>1201</v>
      </c>
      <c r="AR240" s="2286">
        <v>100</v>
      </c>
      <c r="AS240" s="2308" t="s">
        <v>1201</v>
      </c>
      <c r="AT240" s="2287">
        <v>100</v>
      </c>
      <c r="AU240" s="2309" t="s">
        <v>1201</v>
      </c>
      <c r="AV240" s="2287">
        <v>100</v>
      </c>
      <c r="AW240" s="2309" t="s">
        <v>1201</v>
      </c>
      <c r="AX240" s="2403">
        <v>90</v>
      </c>
      <c r="AY240" s="2299" t="s">
        <v>1201</v>
      </c>
      <c r="AZ240" s="2298">
        <v>90</v>
      </c>
      <c r="BA240" s="2373" t="s">
        <v>1201</v>
      </c>
      <c r="BE240" s="2371" t="s">
        <v>391</v>
      </c>
      <c r="BF240" s="2404">
        <v>60</v>
      </c>
      <c r="BG240" s="2404">
        <v>60</v>
      </c>
      <c r="BH240" s="2404">
        <v>60</v>
      </c>
      <c r="BJ240" s="2371" t="s">
        <v>391</v>
      </c>
      <c r="BK240" s="578">
        <v>100</v>
      </c>
      <c r="BL240" s="577">
        <v>100</v>
      </c>
      <c r="BM240" s="577">
        <v>100</v>
      </c>
      <c r="BN240" s="2407"/>
      <c r="BO240" s="2402"/>
      <c r="BP240" s="2244"/>
      <c r="BQ240" s="2244"/>
      <c r="BR240" s="2244"/>
      <c r="BS240" s="2461" t="s">
        <v>393</v>
      </c>
      <c r="BT240" s="2463" t="str">
        <f>IFERROR(INDEX(Liste_Ackerkulturen_Gemüse_DropDown[Ackerkulturen],_xlfn.AGGREGATE(15,6,(ROW(Liste_Ackerkulturen_Gemüse_DropDown[Ackerkulturen])-1)/(--(SEARCH(BU$2,Liste_Ackerkulturen_Gemüse_DropDown[Ackerkulturen])&gt;0)),ROW()-2),1),"")</f>
        <v>Rainfarn</v>
      </c>
      <c r="BU240" s="2463"/>
      <c r="BV240" s="2463" t="str">
        <f>IFERROR(INDEX(Liste_Ackerkulturen_Gemüse_DropDown[Ackerkulturen],_xlfn.AGGREGATE(15,6,(ROW(Liste_Ackerkulturen_Gemüse_DropDown[Ackerkulturen])-1)/(--(SEARCH(BW$2,Liste_Ackerkulturen_Gemüse_DropDown[Ackerkulturen])&gt;0)),ROW()-2),1),"")</f>
        <v>Rainfarn</v>
      </c>
      <c r="BW240" s="2463"/>
      <c r="BX240" s="2463" t="str">
        <f>IFERROR(INDEX(Liste_Ackerkulturen_Gemüse_DropDown[Ackerkulturen],_xlfn.AGGREGATE(15,6,(ROW(Liste_Ackerkulturen_Gemüse_DropDown[Ackerkulturen])-1)/(--(SEARCH(BY$2,Liste_Ackerkulturen_Gemüse_DropDown[Ackerkulturen])&gt;0)),ROW()-2),1),"")</f>
        <v>Rainfarn</v>
      </c>
      <c r="BY240" s="2463"/>
      <c r="BZ240" s="2463" t="str">
        <f>IFERROR(INDEX(Liste_Ackerkulturen_Gemüse_DropDown[Ackerkulturen],_xlfn.AGGREGATE(15,6,(ROW(Liste_Ackerkulturen_Gemüse_DropDown[Ackerkulturen])-1)/(--(SEARCH(CA$2,Liste_Ackerkulturen_Gemüse_DropDown[Ackerkulturen])&gt;0)),ROW()-2),1),"")</f>
        <v>Rainfarn</v>
      </c>
      <c r="CA240" s="2463"/>
      <c r="CB240" s="2463" t="str">
        <f>IFERROR(INDEX(Liste_Ackerkulturen_Gemüse_DropDown[Ackerkulturen],_xlfn.AGGREGATE(15,6,(ROW(Liste_Ackerkulturen_Gemüse_DropDown[Ackerkulturen])-1)/(--(SEARCH(CC$2,Liste_Ackerkulturen_Gemüse_DropDown[Ackerkulturen])&gt;0)),ROW()-2),1),"")</f>
        <v>Rainfarn</v>
      </c>
      <c r="CC240" s="2463"/>
      <c r="CD240" s="2464" t="str">
        <f>IFERROR(INDEX(Liste_Ackerkulturen_Gemüse_DropDown[Ackerkulturen],_xlfn.AGGREGATE(15,6,(ROW(Liste_Ackerkulturen_Gemüse_DropDown[Ackerkulturen])-1)/(--(SEARCH(CE$2,Liste_Ackerkulturen_Gemüse_DropDown[Ackerkulturen])&gt;0)),ROW()-2),1),"")</f>
        <v>Rainfarn</v>
      </c>
      <c r="CE240" s="2464"/>
      <c r="CF240" s="2464" t="str">
        <f>IFERROR(INDEX(Liste_Ackerkulturen_Gemüse_DropDown[Ackerkulturen],_xlfn.AGGREGATE(15,6,(ROW(Liste_Ackerkulturen_Gemüse_DropDown[Ackerkulturen])-1)/(--(SEARCH(CG$2,Liste_Ackerkulturen_Gemüse_DropDown[Ackerkulturen])&gt;0)),ROW()-2),1),"")</f>
        <v>Rainfarn</v>
      </c>
      <c r="CG240" s="2464"/>
      <c r="CH240" s="2464" t="str">
        <f>IFERROR(INDEX(Liste_Ackerkulturen_Gemüse_DropDown[Ackerkulturen],_xlfn.AGGREGATE(15,6,(ROW(Liste_Ackerkulturen_Gemüse_DropDown[Ackerkulturen])-1)/(--(SEARCH(CI$2,Liste_Ackerkulturen_Gemüse_DropDown[Ackerkulturen])&gt;0)),ROW()-2),1),"")</f>
        <v>Rainfarn</v>
      </c>
      <c r="CI240" s="2464"/>
      <c r="CJ240" s="2464" t="str">
        <f>IFERROR(INDEX(Liste_Ackerkulturen_Gemüse_DropDown[Ackerkulturen],_xlfn.AGGREGATE(15,6,(ROW(Liste_Ackerkulturen_Gemüse_DropDown[Ackerkulturen])-1)/(--(SEARCH(CK$2,Liste_Ackerkulturen_Gemüse_DropDown[Ackerkulturen])&gt;0)),ROW()-2),1),"")</f>
        <v>Rainfarn</v>
      </c>
      <c r="CK240" s="2464"/>
      <c r="CL240" s="2464" t="str">
        <f>IFERROR(INDEX(Liste_Ackerkulturen_Gemüse_DropDown[Ackerkulturen],_xlfn.AGGREGATE(15,6,(ROW(Liste_Ackerkulturen_Gemüse_DropDown[Ackerkulturen])-1)/(--(SEARCH(CM$2,Liste_Ackerkulturen_Gemüse_DropDown[Ackerkulturen])&gt;0)),ROW()-2),1),"")</f>
        <v>Rainfarn</v>
      </c>
      <c r="CM240" s="2464"/>
      <c r="CN240" s="2464" t="str">
        <f>IFERROR(INDEX(Liste_Ackerkulturen_Gemüse_DropDown[Ackerkulturen],_xlfn.AGGREGATE(15,6,(ROW(Liste_Ackerkulturen_Gemüse_DropDown[Ackerkulturen])-1)/(--(SEARCH(CO$2,Liste_Ackerkulturen_Gemüse_DropDown[Ackerkulturen])&gt;0)),ROW()-2),1),"")</f>
        <v>Rainfarn</v>
      </c>
      <c r="CO240" s="2464"/>
      <c r="CP240" s="2464" t="str">
        <f>IFERROR(INDEX(Liste_Ackerkulturen_Gemüse_DropDown[Ackerkulturen],_xlfn.AGGREGATE(15,6,(ROW(Liste_Ackerkulturen_Gemüse_DropDown[Ackerkulturen])-1)/(--(SEARCH(CQ$2,Liste_Ackerkulturen_Gemüse_DropDown[Ackerkulturen])&gt;0)),ROW()-2),1),"")</f>
        <v>Rainfarn</v>
      </c>
      <c r="CQ240" s="2464"/>
      <c r="CR240" s="2464" t="str">
        <f>IFERROR(INDEX(Liste_Ackerkulturen_Gemüse_DropDown[Ackerkulturen],_xlfn.AGGREGATE(15,6,(ROW(Liste_Ackerkulturen_Gemüse_DropDown[Ackerkulturen])-1)/(--(SEARCH(CS$2,Liste_Ackerkulturen_Gemüse_DropDown[Ackerkulturen])&gt;0)),ROW()-2),1),"")</f>
        <v>Rainfarn</v>
      </c>
      <c r="CS240" s="2464"/>
      <c r="DI240" s="1541"/>
      <c r="DJ240" s="1541"/>
      <c r="DK240" s="1541"/>
      <c r="DL240" s="1541"/>
      <c r="DM240" s="1541"/>
    </row>
    <row r="241" spans="1:117" s="470" customFormat="1" ht="21" customHeight="1">
      <c r="A241" s="465"/>
      <c r="B241" s="465"/>
      <c r="C241" s="1575" t="s">
        <v>225</v>
      </c>
      <c r="D241" s="1576"/>
      <c r="E241" s="1567" t="s">
        <v>462</v>
      </c>
      <c r="F241" s="1568">
        <v>150</v>
      </c>
      <c r="G241" s="1568"/>
      <c r="H241" s="1716" t="s">
        <v>463</v>
      </c>
      <c r="I241" s="1718">
        <v>180</v>
      </c>
      <c r="J241" s="1188" t="s">
        <v>464</v>
      </c>
      <c r="K241" s="1568">
        <v>215</v>
      </c>
      <c r="L241" s="1527">
        <v>140</v>
      </c>
      <c r="M241" s="1528">
        <v>175</v>
      </c>
      <c r="N241" s="1567">
        <v>60</v>
      </c>
      <c r="O241" s="1188">
        <v>50</v>
      </c>
      <c r="P241" s="1568">
        <v>30</v>
      </c>
      <c r="Q241" s="1718">
        <v>40</v>
      </c>
      <c r="R241" s="1568">
        <v>50</v>
      </c>
      <c r="S241" s="1568">
        <v>20</v>
      </c>
      <c r="T241" s="1599" t="s">
        <v>1201</v>
      </c>
      <c r="U241" s="1569">
        <v>270</v>
      </c>
      <c r="V241" s="1570">
        <v>225</v>
      </c>
      <c r="W241" s="1574">
        <v>145</v>
      </c>
      <c r="X241" s="1778">
        <v>180</v>
      </c>
      <c r="Y241" s="1574">
        <v>225</v>
      </c>
      <c r="Z241" s="1568">
        <v>90</v>
      </c>
      <c r="AA241" s="1599" t="s">
        <v>1201</v>
      </c>
      <c r="AB241" s="525"/>
      <c r="AC241" s="525"/>
      <c r="AD241" s="525"/>
      <c r="AE241" s="526"/>
      <c r="AF241" s="1279"/>
      <c r="AG241" s="176"/>
      <c r="AH241" s="176"/>
      <c r="AI241" s="176"/>
      <c r="AJ241" s="473"/>
      <c r="AK241" s="472"/>
      <c r="AL241" s="472"/>
      <c r="AM241" s="2371" t="s">
        <v>392</v>
      </c>
      <c r="AN241" s="2286">
        <v>60</v>
      </c>
      <c r="AO241" s="2308" t="s">
        <v>1201</v>
      </c>
      <c r="AP241" s="2286">
        <v>60</v>
      </c>
      <c r="AQ241" s="2308" t="s">
        <v>1201</v>
      </c>
      <c r="AR241" s="2286">
        <v>60</v>
      </c>
      <c r="AS241" s="2308" t="s">
        <v>1201</v>
      </c>
      <c r="AT241" s="2287">
        <v>60</v>
      </c>
      <c r="AU241" s="2309" t="s">
        <v>1201</v>
      </c>
      <c r="AV241" s="2287">
        <v>60</v>
      </c>
      <c r="AW241" s="2309" t="s">
        <v>1201</v>
      </c>
      <c r="AX241" s="2403">
        <v>50</v>
      </c>
      <c r="AY241" s="2299" t="s">
        <v>1201</v>
      </c>
      <c r="AZ241" s="2298">
        <v>50</v>
      </c>
      <c r="BA241" s="2373" t="s">
        <v>1201</v>
      </c>
      <c r="BE241" s="2371" t="s">
        <v>392</v>
      </c>
      <c r="BF241" s="2404">
        <v>40</v>
      </c>
      <c r="BG241" s="2404">
        <v>40</v>
      </c>
      <c r="BH241" s="2404">
        <v>40</v>
      </c>
      <c r="BJ241" s="2371" t="s">
        <v>392</v>
      </c>
      <c r="BK241" s="578">
        <v>300</v>
      </c>
      <c r="BL241" s="577">
        <v>300</v>
      </c>
      <c r="BM241" s="577">
        <v>300</v>
      </c>
      <c r="BN241" s="2407"/>
      <c r="BO241" s="2402"/>
      <c r="BP241" s="2244"/>
      <c r="BQ241" s="2244"/>
      <c r="BR241" s="2244"/>
      <c r="BS241" s="2461" t="s">
        <v>394</v>
      </c>
      <c r="BT241" s="2463" t="str">
        <f>IFERROR(INDEX(Liste_Ackerkulturen_Gemüse_DropDown[Ackerkulturen],_xlfn.AGGREGATE(15,6,(ROW(Liste_Ackerkulturen_Gemüse_DropDown[Ackerkulturen])-1)/(--(SEARCH(BU$2,Liste_Ackerkulturen_Gemüse_DropDown[Ackerkulturen])&gt;0)),ROW()-2),1),"")</f>
        <v>Ringelblume</v>
      </c>
      <c r="BU241" s="2463"/>
      <c r="BV241" s="2463" t="str">
        <f>IFERROR(INDEX(Liste_Ackerkulturen_Gemüse_DropDown[Ackerkulturen],_xlfn.AGGREGATE(15,6,(ROW(Liste_Ackerkulturen_Gemüse_DropDown[Ackerkulturen])-1)/(--(SEARCH(BW$2,Liste_Ackerkulturen_Gemüse_DropDown[Ackerkulturen])&gt;0)),ROW()-2),1),"")</f>
        <v>Ringelblume</v>
      </c>
      <c r="BW241" s="2463"/>
      <c r="BX241" s="2463" t="str">
        <f>IFERROR(INDEX(Liste_Ackerkulturen_Gemüse_DropDown[Ackerkulturen],_xlfn.AGGREGATE(15,6,(ROW(Liste_Ackerkulturen_Gemüse_DropDown[Ackerkulturen])-1)/(--(SEARCH(BY$2,Liste_Ackerkulturen_Gemüse_DropDown[Ackerkulturen])&gt;0)),ROW()-2),1),"")</f>
        <v>Ringelblume</v>
      </c>
      <c r="BY241" s="2463"/>
      <c r="BZ241" s="2463" t="str">
        <f>IFERROR(INDEX(Liste_Ackerkulturen_Gemüse_DropDown[Ackerkulturen],_xlfn.AGGREGATE(15,6,(ROW(Liste_Ackerkulturen_Gemüse_DropDown[Ackerkulturen])-1)/(--(SEARCH(CA$2,Liste_Ackerkulturen_Gemüse_DropDown[Ackerkulturen])&gt;0)),ROW()-2),1),"")</f>
        <v>Ringelblume</v>
      </c>
      <c r="CA241" s="2463"/>
      <c r="CB241" s="2463" t="str">
        <f>IFERROR(INDEX(Liste_Ackerkulturen_Gemüse_DropDown[Ackerkulturen],_xlfn.AGGREGATE(15,6,(ROW(Liste_Ackerkulturen_Gemüse_DropDown[Ackerkulturen])-1)/(--(SEARCH(CC$2,Liste_Ackerkulturen_Gemüse_DropDown[Ackerkulturen])&gt;0)),ROW()-2),1),"")</f>
        <v>Ringelblume</v>
      </c>
      <c r="CC241" s="2463"/>
      <c r="CD241" s="2464" t="str">
        <f>IFERROR(INDEX(Liste_Ackerkulturen_Gemüse_DropDown[Ackerkulturen],_xlfn.AGGREGATE(15,6,(ROW(Liste_Ackerkulturen_Gemüse_DropDown[Ackerkulturen])-1)/(--(SEARCH(CE$2,Liste_Ackerkulturen_Gemüse_DropDown[Ackerkulturen])&gt;0)),ROW()-2),1),"")</f>
        <v>Ringelblume</v>
      </c>
      <c r="CE241" s="2464"/>
      <c r="CF241" s="2464" t="str">
        <f>IFERROR(INDEX(Liste_Ackerkulturen_Gemüse_DropDown[Ackerkulturen],_xlfn.AGGREGATE(15,6,(ROW(Liste_Ackerkulturen_Gemüse_DropDown[Ackerkulturen])-1)/(--(SEARCH(CG$2,Liste_Ackerkulturen_Gemüse_DropDown[Ackerkulturen])&gt;0)),ROW()-2),1),"")</f>
        <v>Ringelblume</v>
      </c>
      <c r="CG241" s="2464"/>
      <c r="CH241" s="2464" t="str">
        <f>IFERROR(INDEX(Liste_Ackerkulturen_Gemüse_DropDown[Ackerkulturen],_xlfn.AGGREGATE(15,6,(ROW(Liste_Ackerkulturen_Gemüse_DropDown[Ackerkulturen])-1)/(--(SEARCH(CI$2,Liste_Ackerkulturen_Gemüse_DropDown[Ackerkulturen])&gt;0)),ROW()-2),1),"")</f>
        <v>Ringelblume</v>
      </c>
      <c r="CI241" s="2464"/>
      <c r="CJ241" s="2464" t="str">
        <f>IFERROR(INDEX(Liste_Ackerkulturen_Gemüse_DropDown[Ackerkulturen],_xlfn.AGGREGATE(15,6,(ROW(Liste_Ackerkulturen_Gemüse_DropDown[Ackerkulturen])-1)/(--(SEARCH(CK$2,Liste_Ackerkulturen_Gemüse_DropDown[Ackerkulturen])&gt;0)),ROW()-2),1),"")</f>
        <v>Ringelblume</v>
      </c>
      <c r="CK241" s="2464"/>
      <c r="CL241" s="2464" t="str">
        <f>IFERROR(INDEX(Liste_Ackerkulturen_Gemüse_DropDown[Ackerkulturen],_xlfn.AGGREGATE(15,6,(ROW(Liste_Ackerkulturen_Gemüse_DropDown[Ackerkulturen])-1)/(--(SEARCH(CM$2,Liste_Ackerkulturen_Gemüse_DropDown[Ackerkulturen])&gt;0)),ROW()-2),1),"")</f>
        <v>Ringelblume</v>
      </c>
      <c r="CM241" s="2464"/>
      <c r="CN241" s="2464" t="str">
        <f>IFERROR(INDEX(Liste_Ackerkulturen_Gemüse_DropDown[Ackerkulturen],_xlfn.AGGREGATE(15,6,(ROW(Liste_Ackerkulturen_Gemüse_DropDown[Ackerkulturen])-1)/(--(SEARCH(CO$2,Liste_Ackerkulturen_Gemüse_DropDown[Ackerkulturen])&gt;0)),ROW()-2),1),"")</f>
        <v>Ringelblume</v>
      </c>
      <c r="CO241" s="2464"/>
      <c r="CP241" s="2464" t="str">
        <f>IFERROR(INDEX(Liste_Ackerkulturen_Gemüse_DropDown[Ackerkulturen],_xlfn.AGGREGATE(15,6,(ROW(Liste_Ackerkulturen_Gemüse_DropDown[Ackerkulturen])-1)/(--(SEARCH(CQ$2,Liste_Ackerkulturen_Gemüse_DropDown[Ackerkulturen])&gt;0)),ROW()-2),1),"")</f>
        <v>Ringelblume</v>
      </c>
      <c r="CQ241" s="2464"/>
      <c r="CR241" s="2464" t="str">
        <f>IFERROR(INDEX(Liste_Ackerkulturen_Gemüse_DropDown[Ackerkulturen],_xlfn.AGGREGATE(15,6,(ROW(Liste_Ackerkulturen_Gemüse_DropDown[Ackerkulturen])-1)/(--(SEARCH(CS$2,Liste_Ackerkulturen_Gemüse_DropDown[Ackerkulturen])&gt;0)),ROW()-2),1),"")</f>
        <v>Ringelblume</v>
      </c>
      <c r="CS241" s="2464"/>
      <c r="DI241" s="1541"/>
      <c r="DJ241" s="1541"/>
      <c r="DK241" s="1541"/>
      <c r="DL241" s="1541"/>
      <c r="DM241" s="1541"/>
    </row>
    <row r="242" spans="1:117" s="470" customFormat="1" ht="21" customHeight="1">
      <c r="A242" s="465"/>
      <c r="B242" s="465"/>
      <c r="C242" s="1575" t="s">
        <v>226</v>
      </c>
      <c r="D242" s="1576"/>
      <c r="E242" s="1567" t="s">
        <v>465</v>
      </c>
      <c r="F242" s="1568">
        <v>190</v>
      </c>
      <c r="G242" s="1568"/>
      <c r="H242" s="1716" t="s">
        <v>227</v>
      </c>
      <c r="I242" s="1718">
        <v>230</v>
      </c>
      <c r="J242" s="1188" t="s">
        <v>168</v>
      </c>
      <c r="K242" s="1568">
        <v>280</v>
      </c>
      <c r="L242" s="1527">
        <v>300</v>
      </c>
      <c r="M242" s="1528">
        <v>375</v>
      </c>
      <c r="N242" s="1567">
        <v>45</v>
      </c>
      <c r="O242" s="1188">
        <v>40</v>
      </c>
      <c r="P242" s="1568">
        <v>25</v>
      </c>
      <c r="Q242" s="1718">
        <v>30</v>
      </c>
      <c r="R242" s="1568">
        <v>40</v>
      </c>
      <c r="S242" s="1568">
        <v>15</v>
      </c>
      <c r="T242" s="1599" t="s">
        <v>1201</v>
      </c>
      <c r="U242" s="1569">
        <v>300</v>
      </c>
      <c r="V242" s="1570">
        <v>250</v>
      </c>
      <c r="W242" s="1574">
        <v>160</v>
      </c>
      <c r="X242" s="1778">
        <v>200</v>
      </c>
      <c r="Y242" s="1574">
        <v>250</v>
      </c>
      <c r="Z242" s="1568">
        <v>100</v>
      </c>
      <c r="AA242" s="1599" t="s">
        <v>1201</v>
      </c>
      <c r="AB242" s="525"/>
      <c r="AC242" s="525"/>
      <c r="AD242" s="525"/>
      <c r="AE242" s="526"/>
      <c r="AF242" s="1279"/>
      <c r="AG242" s="176"/>
      <c r="AH242" s="176"/>
      <c r="AI242" s="176"/>
      <c r="AJ242" s="473"/>
      <c r="AK242" s="472"/>
      <c r="AL242" s="472"/>
      <c r="AM242" s="2371" t="s">
        <v>393</v>
      </c>
      <c r="AN242" s="2286">
        <v>100</v>
      </c>
      <c r="AO242" s="2308" t="s">
        <v>1201</v>
      </c>
      <c r="AP242" s="2286">
        <v>100</v>
      </c>
      <c r="AQ242" s="2308" t="s">
        <v>1201</v>
      </c>
      <c r="AR242" s="2286">
        <v>100</v>
      </c>
      <c r="AS242" s="2308" t="s">
        <v>1201</v>
      </c>
      <c r="AT242" s="2287">
        <v>100</v>
      </c>
      <c r="AU242" s="2309" t="s">
        <v>1201</v>
      </c>
      <c r="AV242" s="2287">
        <v>100</v>
      </c>
      <c r="AW242" s="2309" t="s">
        <v>1201</v>
      </c>
      <c r="AX242" s="2403">
        <v>90</v>
      </c>
      <c r="AY242" s="2299" t="s">
        <v>1201</v>
      </c>
      <c r="AZ242" s="2298">
        <v>90</v>
      </c>
      <c r="BA242" s="2373" t="s">
        <v>1201</v>
      </c>
      <c r="BE242" s="2371" t="s">
        <v>393</v>
      </c>
      <c r="BF242" s="2404">
        <v>50</v>
      </c>
      <c r="BG242" s="2404">
        <v>50</v>
      </c>
      <c r="BH242" s="2404">
        <v>50</v>
      </c>
      <c r="BJ242" s="2371" t="s">
        <v>393</v>
      </c>
      <c r="BK242" s="578">
        <v>140</v>
      </c>
      <c r="BL242" s="577">
        <v>140</v>
      </c>
      <c r="BM242" s="577">
        <v>140</v>
      </c>
      <c r="BN242" s="2407"/>
      <c r="BO242" s="2402"/>
      <c r="BP242" s="2244"/>
      <c r="BQ242" s="2244"/>
      <c r="BR242" s="2244"/>
      <c r="BS242" s="2461" t="s">
        <v>395</v>
      </c>
      <c r="BT242" s="2463" t="str">
        <f>IFERROR(INDEX(Liste_Ackerkulturen_Gemüse_DropDown[Ackerkulturen],_xlfn.AGGREGATE(15,6,(ROW(Liste_Ackerkulturen_Gemüse_DropDown[Ackerkulturen])-1)/(--(SEARCH(BU$2,Liste_Ackerkulturen_Gemüse_DropDown[Ackerkulturen])&gt;0)),ROW()-2),1),"")</f>
        <v>Saflor</v>
      </c>
      <c r="BU242" s="2463"/>
      <c r="BV242" s="2463" t="str">
        <f>IFERROR(INDEX(Liste_Ackerkulturen_Gemüse_DropDown[Ackerkulturen],_xlfn.AGGREGATE(15,6,(ROW(Liste_Ackerkulturen_Gemüse_DropDown[Ackerkulturen])-1)/(--(SEARCH(BW$2,Liste_Ackerkulturen_Gemüse_DropDown[Ackerkulturen])&gt;0)),ROW()-2),1),"")</f>
        <v>Saflor</v>
      </c>
      <c r="BW242" s="2463"/>
      <c r="BX242" s="2463" t="str">
        <f>IFERROR(INDEX(Liste_Ackerkulturen_Gemüse_DropDown[Ackerkulturen],_xlfn.AGGREGATE(15,6,(ROW(Liste_Ackerkulturen_Gemüse_DropDown[Ackerkulturen])-1)/(--(SEARCH(BY$2,Liste_Ackerkulturen_Gemüse_DropDown[Ackerkulturen])&gt;0)),ROW()-2),1),"")</f>
        <v>Saflor</v>
      </c>
      <c r="BY242" s="2463"/>
      <c r="BZ242" s="2463" t="str">
        <f>IFERROR(INDEX(Liste_Ackerkulturen_Gemüse_DropDown[Ackerkulturen],_xlfn.AGGREGATE(15,6,(ROW(Liste_Ackerkulturen_Gemüse_DropDown[Ackerkulturen])-1)/(--(SEARCH(CA$2,Liste_Ackerkulturen_Gemüse_DropDown[Ackerkulturen])&gt;0)),ROW()-2),1),"")</f>
        <v>Saflor</v>
      </c>
      <c r="CA242" s="2463"/>
      <c r="CB242" s="2463" t="str">
        <f>IFERROR(INDEX(Liste_Ackerkulturen_Gemüse_DropDown[Ackerkulturen],_xlfn.AGGREGATE(15,6,(ROW(Liste_Ackerkulturen_Gemüse_DropDown[Ackerkulturen])-1)/(--(SEARCH(CC$2,Liste_Ackerkulturen_Gemüse_DropDown[Ackerkulturen])&gt;0)),ROW()-2),1),"")</f>
        <v>Saflor</v>
      </c>
      <c r="CC242" s="2463"/>
      <c r="CD242" s="2464" t="str">
        <f>IFERROR(INDEX(Liste_Ackerkulturen_Gemüse_DropDown[Ackerkulturen],_xlfn.AGGREGATE(15,6,(ROW(Liste_Ackerkulturen_Gemüse_DropDown[Ackerkulturen])-1)/(--(SEARCH(CE$2,Liste_Ackerkulturen_Gemüse_DropDown[Ackerkulturen])&gt;0)),ROW()-2),1),"")</f>
        <v>Saflor</v>
      </c>
      <c r="CE242" s="2464"/>
      <c r="CF242" s="2464" t="str">
        <f>IFERROR(INDEX(Liste_Ackerkulturen_Gemüse_DropDown[Ackerkulturen],_xlfn.AGGREGATE(15,6,(ROW(Liste_Ackerkulturen_Gemüse_DropDown[Ackerkulturen])-1)/(--(SEARCH(CG$2,Liste_Ackerkulturen_Gemüse_DropDown[Ackerkulturen])&gt;0)),ROW()-2),1),"")</f>
        <v>Saflor</v>
      </c>
      <c r="CG242" s="2464"/>
      <c r="CH242" s="2464" t="str">
        <f>IFERROR(INDEX(Liste_Ackerkulturen_Gemüse_DropDown[Ackerkulturen],_xlfn.AGGREGATE(15,6,(ROW(Liste_Ackerkulturen_Gemüse_DropDown[Ackerkulturen])-1)/(--(SEARCH(CI$2,Liste_Ackerkulturen_Gemüse_DropDown[Ackerkulturen])&gt;0)),ROW()-2),1),"")</f>
        <v>Saflor</v>
      </c>
      <c r="CI242" s="2464"/>
      <c r="CJ242" s="2464" t="str">
        <f>IFERROR(INDEX(Liste_Ackerkulturen_Gemüse_DropDown[Ackerkulturen],_xlfn.AGGREGATE(15,6,(ROW(Liste_Ackerkulturen_Gemüse_DropDown[Ackerkulturen])-1)/(--(SEARCH(CK$2,Liste_Ackerkulturen_Gemüse_DropDown[Ackerkulturen])&gt;0)),ROW()-2),1),"")</f>
        <v>Saflor</v>
      </c>
      <c r="CK242" s="2464"/>
      <c r="CL242" s="2464" t="str">
        <f>IFERROR(INDEX(Liste_Ackerkulturen_Gemüse_DropDown[Ackerkulturen],_xlfn.AGGREGATE(15,6,(ROW(Liste_Ackerkulturen_Gemüse_DropDown[Ackerkulturen])-1)/(--(SEARCH(CM$2,Liste_Ackerkulturen_Gemüse_DropDown[Ackerkulturen])&gt;0)),ROW()-2),1),"")</f>
        <v>Saflor</v>
      </c>
      <c r="CM242" s="2464"/>
      <c r="CN242" s="2464" t="str">
        <f>IFERROR(INDEX(Liste_Ackerkulturen_Gemüse_DropDown[Ackerkulturen],_xlfn.AGGREGATE(15,6,(ROW(Liste_Ackerkulturen_Gemüse_DropDown[Ackerkulturen])-1)/(--(SEARCH(CO$2,Liste_Ackerkulturen_Gemüse_DropDown[Ackerkulturen])&gt;0)),ROW()-2),1),"")</f>
        <v>Saflor</v>
      </c>
      <c r="CO242" s="2464"/>
      <c r="CP242" s="2464" t="str">
        <f>IFERROR(INDEX(Liste_Ackerkulturen_Gemüse_DropDown[Ackerkulturen],_xlfn.AGGREGATE(15,6,(ROW(Liste_Ackerkulturen_Gemüse_DropDown[Ackerkulturen])-1)/(--(SEARCH(CQ$2,Liste_Ackerkulturen_Gemüse_DropDown[Ackerkulturen])&gt;0)),ROW()-2),1),"")</f>
        <v>Saflor</v>
      </c>
      <c r="CQ242" s="2464"/>
      <c r="CR242" s="2464" t="str">
        <f>IFERROR(INDEX(Liste_Ackerkulturen_Gemüse_DropDown[Ackerkulturen],_xlfn.AGGREGATE(15,6,(ROW(Liste_Ackerkulturen_Gemüse_DropDown[Ackerkulturen])-1)/(--(SEARCH(CS$2,Liste_Ackerkulturen_Gemüse_DropDown[Ackerkulturen])&gt;0)),ROW()-2),1),"")</f>
        <v>Saflor</v>
      </c>
      <c r="CS242" s="2464"/>
      <c r="DI242" s="1541"/>
      <c r="DJ242" s="1541"/>
      <c r="DK242" s="1541"/>
      <c r="DL242" s="1541"/>
      <c r="DM242" s="1541"/>
    </row>
    <row r="243" spans="1:117" s="470" customFormat="1" ht="21" customHeight="1">
      <c r="A243" s="465"/>
      <c r="B243" s="465"/>
      <c r="C243" s="1575" t="s">
        <v>228</v>
      </c>
      <c r="D243" s="1576"/>
      <c r="E243" s="1567" t="s">
        <v>229</v>
      </c>
      <c r="F243" s="1568">
        <v>210</v>
      </c>
      <c r="G243" s="1568"/>
      <c r="H243" s="1716" t="s">
        <v>230</v>
      </c>
      <c r="I243" s="1718">
        <v>250</v>
      </c>
      <c r="J243" s="1188" t="s">
        <v>457</v>
      </c>
      <c r="K243" s="1568">
        <v>300</v>
      </c>
      <c r="L243" s="1527">
        <v>300</v>
      </c>
      <c r="M243" s="1528">
        <v>375</v>
      </c>
      <c r="N243" s="1567">
        <v>75</v>
      </c>
      <c r="O243" s="1188">
        <v>65</v>
      </c>
      <c r="P243" s="1568">
        <v>40</v>
      </c>
      <c r="Q243" s="1718">
        <v>50</v>
      </c>
      <c r="R243" s="1568">
        <v>65</v>
      </c>
      <c r="S243" s="1568">
        <v>25</v>
      </c>
      <c r="T243" s="1599" t="s">
        <v>1201</v>
      </c>
      <c r="U243" s="1569">
        <v>360</v>
      </c>
      <c r="V243" s="1570">
        <v>300</v>
      </c>
      <c r="W243" s="1574">
        <v>190</v>
      </c>
      <c r="X243" s="1778">
        <v>240</v>
      </c>
      <c r="Y243" s="1574">
        <v>300</v>
      </c>
      <c r="Z243" s="1568">
        <v>120</v>
      </c>
      <c r="AA243" s="1599" t="s">
        <v>1201</v>
      </c>
      <c r="AB243" s="525"/>
      <c r="AC243" s="525"/>
      <c r="AD243" s="525"/>
      <c r="AE243" s="526"/>
      <c r="AF243" s="1279"/>
      <c r="AG243" s="176"/>
      <c r="AH243" s="176"/>
      <c r="AI243" s="176"/>
      <c r="AJ243" s="473"/>
      <c r="AK243" s="472"/>
      <c r="AL243" s="472"/>
      <c r="AM243" s="2371" t="s">
        <v>394</v>
      </c>
      <c r="AN243" s="2286">
        <v>70</v>
      </c>
      <c r="AO243" s="2308" t="s">
        <v>1201</v>
      </c>
      <c r="AP243" s="2286">
        <v>70</v>
      </c>
      <c r="AQ243" s="2308" t="s">
        <v>1201</v>
      </c>
      <c r="AR243" s="2286">
        <v>70</v>
      </c>
      <c r="AS243" s="2308" t="s">
        <v>1201</v>
      </c>
      <c r="AT243" s="2287">
        <v>70</v>
      </c>
      <c r="AU243" s="2309" t="s">
        <v>1201</v>
      </c>
      <c r="AV243" s="2287">
        <v>70</v>
      </c>
      <c r="AW243" s="2309" t="s">
        <v>1201</v>
      </c>
      <c r="AX243" s="2403">
        <v>40</v>
      </c>
      <c r="AY243" s="2299" t="s">
        <v>1201</v>
      </c>
      <c r="AZ243" s="2298">
        <v>40</v>
      </c>
      <c r="BA243" s="2373" t="s">
        <v>1201</v>
      </c>
      <c r="BE243" s="2371" t="s">
        <v>394</v>
      </c>
      <c r="BF243" s="2404">
        <v>50</v>
      </c>
      <c r="BG243" s="2404">
        <v>50</v>
      </c>
      <c r="BH243" s="2404">
        <v>50</v>
      </c>
      <c r="BJ243" s="2371" t="s">
        <v>394</v>
      </c>
      <c r="BK243" s="578">
        <v>90</v>
      </c>
      <c r="BL243" s="577">
        <v>90</v>
      </c>
      <c r="BM243" s="577">
        <v>90</v>
      </c>
      <c r="BN243" s="2407"/>
      <c r="BO243" s="2402"/>
      <c r="BP243" s="2244"/>
      <c r="BQ243" s="2244"/>
      <c r="BR243" s="2244"/>
      <c r="BS243" s="2461" t="s">
        <v>396</v>
      </c>
      <c r="BT243" s="2463" t="str">
        <f>IFERROR(INDEX(Liste_Ackerkulturen_Gemüse_DropDown[Ackerkulturen],_xlfn.AGGREGATE(15,6,(ROW(Liste_Ackerkulturen_Gemüse_DropDown[Ackerkulturen])-1)/(--(SEARCH(BU$2,Liste_Ackerkulturen_Gemüse_DropDown[Ackerkulturen])&gt;0)),ROW()-2),1),"")</f>
        <v>Salbei</v>
      </c>
      <c r="BU243" s="2463"/>
      <c r="BV243" s="2463" t="str">
        <f>IFERROR(INDEX(Liste_Ackerkulturen_Gemüse_DropDown[Ackerkulturen],_xlfn.AGGREGATE(15,6,(ROW(Liste_Ackerkulturen_Gemüse_DropDown[Ackerkulturen])-1)/(--(SEARCH(BW$2,Liste_Ackerkulturen_Gemüse_DropDown[Ackerkulturen])&gt;0)),ROW()-2),1),"")</f>
        <v>Salbei</v>
      </c>
      <c r="BW243" s="2463"/>
      <c r="BX243" s="2463" t="str">
        <f>IFERROR(INDEX(Liste_Ackerkulturen_Gemüse_DropDown[Ackerkulturen],_xlfn.AGGREGATE(15,6,(ROW(Liste_Ackerkulturen_Gemüse_DropDown[Ackerkulturen])-1)/(--(SEARCH(BY$2,Liste_Ackerkulturen_Gemüse_DropDown[Ackerkulturen])&gt;0)),ROW()-2),1),"")</f>
        <v>Salbei</v>
      </c>
      <c r="BY243" s="2463"/>
      <c r="BZ243" s="2463" t="str">
        <f>IFERROR(INDEX(Liste_Ackerkulturen_Gemüse_DropDown[Ackerkulturen],_xlfn.AGGREGATE(15,6,(ROW(Liste_Ackerkulturen_Gemüse_DropDown[Ackerkulturen])-1)/(--(SEARCH(CA$2,Liste_Ackerkulturen_Gemüse_DropDown[Ackerkulturen])&gt;0)),ROW()-2),1),"")</f>
        <v>Salbei</v>
      </c>
      <c r="CA243" s="2463"/>
      <c r="CB243" s="2463" t="str">
        <f>IFERROR(INDEX(Liste_Ackerkulturen_Gemüse_DropDown[Ackerkulturen],_xlfn.AGGREGATE(15,6,(ROW(Liste_Ackerkulturen_Gemüse_DropDown[Ackerkulturen])-1)/(--(SEARCH(CC$2,Liste_Ackerkulturen_Gemüse_DropDown[Ackerkulturen])&gt;0)),ROW()-2),1),"")</f>
        <v>Salbei</v>
      </c>
      <c r="CC243" s="2463"/>
      <c r="CD243" s="2464" t="str">
        <f>IFERROR(INDEX(Liste_Ackerkulturen_Gemüse_DropDown[Ackerkulturen],_xlfn.AGGREGATE(15,6,(ROW(Liste_Ackerkulturen_Gemüse_DropDown[Ackerkulturen])-1)/(--(SEARCH(CE$2,Liste_Ackerkulturen_Gemüse_DropDown[Ackerkulturen])&gt;0)),ROW()-2),1),"")</f>
        <v>Salbei</v>
      </c>
      <c r="CE243" s="2464"/>
      <c r="CF243" s="2464" t="str">
        <f>IFERROR(INDEX(Liste_Ackerkulturen_Gemüse_DropDown[Ackerkulturen],_xlfn.AGGREGATE(15,6,(ROW(Liste_Ackerkulturen_Gemüse_DropDown[Ackerkulturen])-1)/(--(SEARCH(CG$2,Liste_Ackerkulturen_Gemüse_DropDown[Ackerkulturen])&gt;0)),ROW()-2),1),"")</f>
        <v>Salbei</v>
      </c>
      <c r="CG243" s="2464"/>
      <c r="CH243" s="2464" t="str">
        <f>IFERROR(INDEX(Liste_Ackerkulturen_Gemüse_DropDown[Ackerkulturen],_xlfn.AGGREGATE(15,6,(ROW(Liste_Ackerkulturen_Gemüse_DropDown[Ackerkulturen])-1)/(--(SEARCH(CI$2,Liste_Ackerkulturen_Gemüse_DropDown[Ackerkulturen])&gt;0)),ROW()-2),1),"")</f>
        <v>Salbei</v>
      </c>
      <c r="CI243" s="2464"/>
      <c r="CJ243" s="2464" t="str">
        <f>IFERROR(INDEX(Liste_Ackerkulturen_Gemüse_DropDown[Ackerkulturen],_xlfn.AGGREGATE(15,6,(ROW(Liste_Ackerkulturen_Gemüse_DropDown[Ackerkulturen])-1)/(--(SEARCH(CK$2,Liste_Ackerkulturen_Gemüse_DropDown[Ackerkulturen])&gt;0)),ROW()-2),1),"")</f>
        <v>Salbei</v>
      </c>
      <c r="CK243" s="2464"/>
      <c r="CL243" s="2464" t="str">
        <f>IFERROR(INDEX(Liste_Ackerkulturen_Gemüse_DropDown[Ackerkulturen],_xlfn.AGGREGATE(15,6,(ROW(Liste_Ackerkulturen_Gemüse_DropDown[Ackerkulturen])-1)/(--(SEARCH(CM$2,Liste_Ackerkulturen_Gemüse_DropDown[Ackerkulturen])&gt;0)),ROW()-2),1),"")</f>
        <v>Salbei</v>
      </c>
      <c r="CM243" s="2464"/>
      <c r="CN243" s="2464" t="str">
        <f>IFERROR(INDEX(Liste_Ackerkulturen_Gemüse_DropDown[Ackerkulturen],_xlfn.AGGREGATE(15,6,(ROW(Liste_Ackerkulturen_Gemüse_DropDown[Ackerkulturen])-1)/(--(SEARCH(CO$2,Liste_Ackerkulturen_Gemüse_DropDown[Ackerkulturen])&gt;0)),ROW()-2),1),"")</f>
        <v>Salbei</v>
      </c>
      <c r="CO243" s="2464"/>
      <c r="CP243" s="2464" t="str">
        <f>IFERROR(INDEX(Liste_Ackerkulturen_Gemüse_DropDown[Ackerkulturen],_xlfn.AGGREGATE(15,6,(ROW(Liste_Ackerkulturen_Gemüse_DropDown[Ackerkulturen])-1)/(--(SEARCH(CQ$2,Liste_Ackerkulturen_Gemüse_DropDown[Ackerkulturen])&gt;0)),ROW()-2),1),"")</f>
        <v>Salbei</v>
      </c>
      <c r="CQ243" s="2464"/>
      <c r="CR243" s="2464" t="str">
        <f>IFERROR(INDEX(Liste_Ackerkulturen_Gemüse_DropDown[Ackerkulturen],_xlfn.AGGREGATE(15,6,(ROW(Liste_Ackerkulturen_Gemüse_DropDown[Ackerkulturen])-1)/(--(SEARCH(CS$2,Liste_Ackerkulturen_Gemüse_DropDown[Ackerkulturen])&gt;0)),ROW()-2),1),"")</f>
        <v>Salbei</v>
      </c>
      <c r="CS243" s="2464"/>
      <c r="DI243" s="1541"/>
      <c r="DJ243" s="1541"/>
      <c r="DK243" s="1541"/>
      <c r="DL243" s="1541"/>
      <c r="DM243" s="1541"/>
    </row>
    <row r="244" spans="1:117" s="470" customFormat="1" ht="21" customHeight="1">
      <c r="A244" s="465"/>
      <c r="B244" s="465"/>
      <c r="C244" s="1575" t="s">
        <v>231</v>
      </c>
      <c r="D244" s="1576"/>
      <c r="E244" s="1567" t="s">
        <v>462</v>
      </c>
      <c r="F244" s="1568">
        <v>155</v>
      </c>
      <c r="G244" s="1568"/>
      <c r="H244" s="1716" t="s">
        <v>1057</v>
      </c>
      <c r="I244" s="1718">
        <v>185</v>
      </c>
      <c r="J244" s="1188" t="s">
        <v>224</v>
      </c>
      <c r="K244" s="1568">
        <v>220</v>
      </c>
      <c r="L244" s="1527">
        <v>145</v>
      </c>
      <c r="M244" s="1528">
        <v>181</v>
      </c>
      <c r="N244" s="1567">
        <v>75</v>
      </c>
      <c r="O244" s="1188">
        <v>65</v>
      </c>
      <c r="P244" s="1568">
        <v>40</v>
      </c>
      <c r="Q244" s="1718">
        <v>50</v>
      </c>
      <c r="R244" s="1568">
        <v>65</v>
      </c>
      <c r="S244" s="1568">
        <v>25</v>
      </c>
      <c r="T244" s="1599" t="s">
        <v>1201</v>
      </c>
      <c r="U244" s="1569">
        <v>315</v>
      </c>
      <c r="V244" s="1570">
        <v>265</v>
      </c>
      <c r="W244" s="1574">
        <v>170</v>
      </c>
      <c r="X244" s="1778">
        <v>210</v>
      </c>
      <c r="Y244" s="1574">
        <v>265</v>
      </c>
      <c r="Z244" s="1568">
        <v>105</v>
      </c>
      <c r="AA244" s="1599" t="s">
        <v>1201</v>
      </c>
      <c r="AB244" s="525"/>
      <c r="AC244" s="525"/>
      <c r="AD244" s="525"/>
      <c r="AE244" s="526"/>
      <c r="AF244" s="1279"/>
      <c r="AG244" s="176"/>
      <c r="AH244" s="176"/>
      <c r="AI244" s="176"/>
      <c r="AJ244" s="473"/>
      <c r="AK244" s="472"/>
      <c r="AL244" s="472"/>
      <c r="AM244" s="2371" t="s">
        <v>395</v>
      </c>
      <c r="AN244" s="2286">
        <v>150</v>
      </c>
      <c r="AO244" s="2308" t="s">
        <v>1201</v>
      </c>
      <c r="AP244" s="2286">
        <v>150</v>
      </c>
      <c r="AQ244" s="2308" t="s">
        <v>1201</v>
      </c>
      <c r="AR244" s="2286">
        <v>150</v>
      </c>
      <c r="AS244" s="2308" t="s">
        <v>1201</v>
      </c>
      <c r="AT244" s="2287">
        <v>150</v>
      </c>
      <c r="AU244" s="2309" t="s">
        <v>1201</v>
      </c>
      <c r="AV244" s="2287">
        <v>150</v>
      </c>
      <c r="AW244" s="2309" t="s">
        <v>1201</v>
      </c>
      <c r="AX244" s="2403">
        <v>120</v>
      </c>
      <c r="AY244" s="2299" t="s">
        <v>1201</v>
      </c>
      <c r="AZ244" s="2298">
        <v>120</v>
      </c>
      <c r="BA244" s="2373" t="s">
        <v>1201</v>
      </c>
      <c r="BE244" s="2371" t="s">
        <v>395</v>
      </c>
      <c r="BF244" s="2404">
        <v>30</v>
      </c>
      <c r="BG244" s="2404">
        <v>30</v>
      </c>
      <c r="BH244" s="2404">
        <v>30</v>
      </c>
      <c r="BJ244" s="2371" t="s">
        <v>395</v>
      </c>
      <c r="BK244" s="578">
        <v>140</v>
      </c>
      <c r="BL244" s="577">
        <v>140</v>
      </c>
      <c r="BM244" s="577">
        <v>140</v>
      </c>
      <c r="BN244" s="2407"/>
      <c r="BO244" s="2402"/>
      <c r="BP244" s="2244"/>
      <c r="BQ244" s="2244"/>
      <c r="BR244" s="2244"/>
      <c r="BS244" s="2461" t="s">
        <v>397</v>
      </c>
      <c r="BT244" s="2463" t="str">
        <f>IFERROR(INDEX(Liste_Ackerkulturen_Gemüse_DropDown[Ackerkulturen],_xlfn.AGGREGATE(15,6,(ROW(Liste_Ackerkulturen_Gemüse_DropDown[Ackerkulturen])-1)/(--(SEARCH(BU$2,Liste_Ackerkulturen_Gemüse_DropDown[Ackerkulturen])&gt;0)),ROW()-2),1),"")</f>
        <v>Schabzigerklee</v>
      </c>
      <c r="BU244" s="2463"/>
      <c r="BV244" s="2463" t="str">
        <f>IFERROR(INDEX(Liste_Ackerkulturen_Gemüse_DropDown[Ackerkulturen],_xlfn.AGGREGATE(15,6,(ROW(Liste_Ackerkulturen_Gemüse_DropDown[Ackerkulturen])-1)/(--(SEARCH(BW$2,Liste_Ackerkulturen_Gemüse_DropDown[Ackerkulturen])&gt;0)),ROW()-2),1),"")</f>
        <v>Schabzigerklee</v>
      </c>
      <c r="BW244" s="2463"/>
      <c r="BX244" s="2463" t="str">
        <f>IFERROR(INDEX(Liste_Ackerkulturen_Gemüse_DropDown[Ackerkulturen],_xlfn.AGGREGATE(15,6,(ROW(Liste_Ackerkulturen_Gemüse_DropDown[Ackerkulturen])-1)/(--(SEARCH(BY$2,Liste_Ackerkulturen_Gemüse_DropDown[Ackerkulturen])&gt;0)),ROW()-2),1),"")</f>
        <v>Schabzigerklee</v>
      </c>
      <c r="BY244" s="2463"/>
      <c r="BZ244" s="2463" t="str">
        <f>IFERROR(INDEX(Liste_Ackerkulturen_Gemüse_DropDown[Ackerkulturen],_xlfn.AGGREGATE(15,6,(ROW(Liste_Ackerkulturen_Gemüse_DropDown[Ackerkulturen])-1)/(--(SEARCH(CA$2,Liste_Ackerkulturen_Gemüse_DropDown[Ackerkulturen])&gt;0)),ROW()-2),1),"")</f>
        <v>Schabzigerklee</v>
      </c>
      <c r="CA244" s="2463"/>
      <c r="CB244" s="2463" t="str">
        <f>IFERROR(INDEX(Liste_Ackerkulturen_Gemüse_DropDown[Ackerkulturen],_xlfn.AGGREGATE(15,6,(ROW(Liste_Ackerkulturen_Gemüse_DropDown[Ackerkulturen])-1)/(--(SEARCH(CC$2,Liste_Ackerkulturen_Gemüse_DropDown[Ackerkulturen])&gt;0)),ROW()-2),1),"")</f>
        <v>Schabzigerklee</v>
      </c>
      <c r="CC244" s="2463"/>
      <c r="CD244" s="2464" t="str">
        <f>IFERROR(INDEX(Liste_Ackerkulturen_Gemüse_DropDown[Ackerkulturen],_xlfn.AGGREGATE(15,6,(ROW(Liste_Ackerkulturen_Gemüse_DropDown[Ackerkulturen])-1)/(--(SEARCH(CE$2,Liste_Ackerkulturen_Gemüse_DropDown[Ackerkulturen])&gt;0)),ROW()-2),1),"")</f>
        <v>Schabzigerklee</v>
      </c>
      <c r="CE244" s="2464"/>
      <c r="CF244" s="2464" t="str">
        <f>IFERROR(INDEX(Liste_Ackerkulturen_Gemüse_DropDown[Ackerkulturen],_xlfn.AGGREGATE(15,6,(ROW(Liste_Ackerkulturen_Gemüse_DropDown[Ackerkulturen])-1)/(--(SEARCH(CG$2,Liste_Ackerkulturen_Gemüse_DropDown[Ackerkulturen])&gt;0)),ROW()-2),1),"")</f>
        <v>Schabzigerklee</v>
      </c>
      <c r="CG244" s="2464"/>
      <c r="CH244" s="2464" t="str">
        <f>IFERROR(INDEX(Liste_Ackerkulturen_Gemüse_DropDown[Ackerkulturen],_xlfn.AGGREGATE(15,6,(ROW(Liste_Ackerkulturen_Gemüse_DropDown[Ackerkulturen])-1)/(--(SEARCH(CI$2,Liste_Ackerkulturen_Gemüse_DropDown[Ackerkulturen])&gt;0)),ROW()-2),1),"")</f>
        <v>Schabzigerklee</v>
      </c>
      <c r="CI244" s="2464"/>
      <c r="CJ244" s="2464" t="str">
        <f>IFERROR(INDEX(Liste_Ackerkulturen_Gemüse_DropDown[Ackerkulturen],_xlfn.AGGREGATE(15,6,(ROW(Liste_Ackerkulturen_Gemüse_DropDown[Ackerkulturen])-1)/(--(SEARCH(CK$2,Liste_Ackerkulturen_Gemüse_DropDown[Ackerkulturen])&gt;0)),ROW()-2),1),"")</f>
        <v>Schabzigerklee</v>
      </c>
      <c r="CK244" s="2464"/>
      <c r="CL244" s="2464" t="str">
        <f>IFERROR(INDEX(Liste_Ackerkulturen_Gemüse_DropDown[Ackerkulturen],_xlfn.AGGREGATE(15,6,(ROW(Liste_Ackerkulturen_Gemüse_DropDown[Ackerkulturen])-1)/(--(SEARCH(CM$2,Liste_Ackerkulturen_Gemüse_DropDown[Ackerkulturen])&gt;0)),ROW()-2),1),"")</f>
        <v>Schabzigerklee</v>
      </c>
      <c r="CM244" s="2464"/>
      <c r="CN244" s="2464" t="str">
        <f>IFERROR(INDEX(Liste_Ackerkulturen_Gemüse_DropDown[Ackerkulturen],_xlfn.AGGREGATE(15,6,(ROW(Liste_Ackerkulturen_Gemüse_DropDown[Ackerkulturen])-1)/(--(SEARCH(CO$2,Liste_Ackerkulturen_Gemüse_DropDown[Ackerkulturen])&gt;0)),ROW()-2),1),"")</f>
        <v>Schabzigerklee</v>
      </c>
      <c r="CO244" s="2464"/>
      <c r="CP244" s="2464" t="str">
        <f>IFERROR(INDEX(Liste_Ackerkulturen_Gemüse_DropDown[Ackerkulturen],_xlfn.AGGREGATE(15,6,(ROW(Liste_Ackerkulturen_Gemüse_DropDown[Ackerkulturen])-1)/(--(SEARCH(CQ$2,Liste_Ackerkulturen_Gemüse_DropDown[Ackerkulturen])&gt;0)),ROW()-2),1),"")</f>
        <v>Schabzigerklee</v>
      </c>
      <c r="CQ244" s="2464"/>
      <c r="CR244" s="2464" t="str">
        <f>IFERROR(INDEX(Liste_Ackerkulturen_Gemüse_DropDown[Ackerkulturen],_xlfn.AGGREGATE(15,6,(ROW(Liste_Ackerkulturen_Gemüse_DropDown[Ackerkulturen])-1)/(--(SEARCH(CS$2,Liste_Ackerkulturen_Gemüse_DropDown[Ackerkulturen])&gt;0)),ROW()-2),1),"")</f>
        <v>Schabzigerklee</v>
      </c>
      <c r="CS244" s="2464"/>
      <c r="DI244" s="1541"/>
      <c r="DJ244" s="1541"/>
      <c r="DK244" s="1541"/>
      <c r="DL244" s="1541"/>
      <c r="DM244" s="1541"/>
    </row>
    <row r="245" spans="1:117" s="470" customFormat="1" ht="21" customHeight="1">
      <c r="A245" s="465"/>
      <c r="B245" s="465"/>
      <c r="C245" s="1575" t="s">
        <v>232</v>
      </c>
      <c r="D245" s="1576"/>
      <c r="E245" s="1567" t="s">
        <v>1983</v>
      </c>
      <c r="F245" s="1568">
        <v>240</v>
      </c>
      <c r="G245" s="1568"/>
      <c r="H245" s="1716" t="s">
        <v>233</v>
      </c>
      <c r="I245" s="1718">
        <v>290</v>
      </c>
      <c r="J245" s="1188" t="s">
        <v>173</v>
      </c>
      <c r="K245" s="1568">
        <v>355</v>
      </c>
      <c r="L245" s="1527">
        <v>250</v>
      </c>
      <c r="M245" s="1528">
        <v>313</v>
      </c>
      <c r="N245" s="1567">
        <v>75</v>
      </c>
      <c r="O245" s="1188">
        <v>65</v>
      </c>
      <c r="P245" s="1568">
        <v>40</v>
      </c>
      <c r="Q245" s="1718">
        <v>50</v>
      </c>
      <c r="R245" s="1568">
        <v>65</v>
      </c>
      <c r="S245" s="1568">
        <v>25</v>
      </c>
      <c r="T245" s="1599" t="s">
        <v>1201</v>
      </c>
      <c r="U245" s="1569">
        <v>330</v>
      </c>
      <c r="V245" s="1570">
        <v>275</v>
      </c>
      <c r="W245" s="1574">
        <v>175</v>
      </c>
      <c r="X245" s="1778">
        <v>220</v>
      </c>
      <c r="Y245" s="1574">
        <v>275</v>
      </c>
      <c r="Z245" s="1568">
        <v>110</v>
      </c>
      <c r="AA245" s="1599" t="s">
        <v>1201</v>
      </c>
      <c r="AB245" s="525"/>
      <c r="AC245" s="525"/>
      <c r="AD245" s="525"/>
      <c r="AE245" s="526"/>
      <c r="AF245" s="1279"/>
      <c r="AG245" s="176"/>
      <c r="AH245" s="176"/>
      <c r="AI245" s="176"/>
      <c r="AJ245" s="473"/>
      <c r="AK245" s="472"/>
      <c r="AL245" s="472"/>
      <c r="AM245" s="2371" t="s">
        <v>396</v>
      </c>
      <c r="AN245" s="2286">
        <v>120</v>
      </c>
      <c r="AO245" s="2308" t="s">
        <v>1201</v>
      </c>
      <c r="AP245" s="2286">
        <v>120</v>
      </c>
      <c r="AQ245" s="2308" t="s">
        <v>1201</v>
      </c>
      <c r="AR245" s="2286">
        <v>120</v>
      </c>
      <c r="AS245" s="2308" t="s">
        <v>1201</v>
      </c>
      <c r="AT245" s="2287">
        <v>120</v>
      </c>
      <c r="AU245" s="2309" t="s">
        <v>1201</v>
      </c>
      <c r="AV245" s="2287">
        <v>120</v>
      </c>
      <c r="AW245" s="2309" t="s">
        <v>1201</v>
      </c>
      <c r="AX245" s="2403">
        <v>110</v>
      </c>
      <c r="AY245" s="2299" t="s">
        <v>1201</v>
      </c>
      <c r="AZ245" s="2298">
        <v>110</v>
      </c>
      <c r="BA245" s="2373" t="s">
        <v>1201</v>
      </c>
      <c r="BE245" s="2371" t="s">
        <v>396</v>
      </c>
      <c r="BF245" s="2404">
        <v>30</v>
      </c>
      <c r="BG245" s="2404">
        <v>30</v>
      </c>
      <c r="BH245" s="2404">
        <v>30</v>
      </c>
      <c r="BJ245" s="2371" t="s">
        <v>396</v>
      </c>
      <c r="BK245" s="578">
        <v>200</v>
      </c>
      <c r="BL245" s="577">
        <v>200</v>
      </c>
      <c r="BM245" s="577">
        <v>200</v>
      </c>
      <c r="BN245" s="2407"/>
      <c r="BO245" s="2402"/>
      <c r="BP245" s="2244"/>
      <c r="BQ245" s="2244"/>
      <c r="BR245" s="2244"/>
      <c r="BS245" s="2461" t="s">
        <v>398</v>
      </c>
      <c r="BT245" s="2463" t="str">
        <f>IFERROR(INDEX(Liste_Ackerkulturen_Gemüse_DropDown[Ackerkulturen],_xlfn.AGGREGATE(15,6,(ROW(Liste_Ackerkulturen_Gemüse_DropDown[Ackerkulturen])-1)/(--(SEARCH(BU$2,Liste_Ackerkulturen_Gemüse_DropDown[Ackerkulturen])&gt;0)),ROW()-2),1),"")</f>
        <v>Schafgarbe</v>
      </c>
      <c r="BU245" s="2463"/>
      <c r="BV245" s="2463" t="str">
        <f>IFERROR(INDEX(Liste_Ackerkulturen_Gemüse_DropDown[Ackerkulturen],_xlfn.AGGREGATE(15,6,(ROW(Liste_Ackerkulturen_Gemüse_DropDown[Ackerkulturen])-1)/(--(SEARCH(BW$2,Liste_Ackerkulturen_Gemüse_DropDown[Ackerkulturen])&gt;0)),ROW()-2),1),"")</f>
        <v>Schafgarbe</v>
      </c>
      <c r="BW245" s="2463"/>
      <c r="BX245" s="2463" t="str">
        <f>IFERROR(INDEX(Liste_Ackerkulturen_Gemüse_DropDown[Ackerkulturen],_xlfn.AGGREGATE(15,6,(ROW(Liste_Ackerkulturen_Gemüse_DropDown[Ackerkulturen])-1)/(--(SEARCH(BY$2,Liste_Ackerkulturen_Gemüse_DropDown[Ackerkulturen])&gt;0)),ROW()-2),1),"")</f>
        <v>Schafgarbe</v>
      </c>
      <c r="BY245" s="2463"/>
      <c r="BZ245" s="2463" t="str">
        <f>IFERROR(INDEX(Liste_Ackerkulturen_Gemüse_DropDown[Ackerkulturen],_xlfn.AGGREGATE(15,6,(ROW(Liste_Ackerkulturen_Gemüse_DropDown[Ackerkulturen])-1)/(--(SEARCH(CA$2,Liste_Ackerkulturen_Gemüse_DropDown[Ackerkulturen])&gt;0)),ROW()-2),1),"")</f>
        <v>Schafgarbe</v>
      </c>
      <c r="CA245" s="2463"/>
      <c r="CB245" s="2463" t="str">
        <f>IFERROR(INDEX(Liste_Ackerkulturen_Gemüse_DropDown[Ackerkulturen],_xlfn.AGGREGATE(15,6,(ROW(Liste_Ackerkulturen_Gemüse_DropDown[Ackerkulturen])-1)/(--(SEARCH(CC$2,Liste_Ackerkulturen_Gemüse_DropDown[Ackerkulturen])&gt;0)),ROW()-2),1),"")</f>
        <v>Schafgarbe</v>
      </c>
      <c r="CC245" s="2463"/>
      <c r="CD245" s="2464" t="str">
        <f>IFERROR(INDEX(Liste_Ackerkulturen_Gemüse_DropDown[Ackerkulturen],_xlfn.AGGREGATE(15,6,(ROW(Liste_Ackerkulturen_Gemüse_DropDown[Ackerkulturen])-1)/(--(SEARCH(CE$2,Liste_Ackerkulturen_Gemüse_DropDown[Ackerkulturen])&gt;0)),ROW()-2),1),"")</f>
        <v>Schafgarbe</v>
      </c>
      <c r="CE245" s="2464"/>
      <c r="CF245" s="2464" t="str">
        <f>IFERROR(INDEX(Liste_Ackerkulturen_Gemüse_DropDown[Ackerkulturen],_xlfn.AGGREGATE(15,6,(ROW(Liste_Ackerkulturen_Gemüse_DropDown[Ackerkulturen])-1)/(--(SEARCH(CG$2,Liste_Ackerkulturen_Gemüse_DropDown[Ackerkulturen])&gt;0)),ROW()-2),1),"")</f>
        <v>Schafgarbe</v>
      </c>
      <c r="CG245" s="2464"/>
      <c r="CH245" s="2464" t="str">
        <f>IFERROR(INDEX(Liste_Ackerkulturen_Gemüse_DropDown[Ackerkulturen],_xlfn.AGGREGATE(15,6,(ROW(Liste_Ackerkulturen_Gemüse_DropDown[Ackerkulturen])-1)/(--(SEARCH(CI$2,Liste_Ackerkulturen_Gemüse_DropDown[Ackerkulturen])&gt;0)),ROW()-2),1),"")</f>
        <v>Schafgarbe</v>
      </c>
      <c r="CI245" s="2464"/>
      <c r="CJ245" s="2464" t="str">
        <f>IFERROR(INDEX(Liste_Ackerkulturen_Gemüse_DropDown[Ackerkulturen],_xlfn.AGGREGATE(15,6,(ROW(Liste_Ackerkulturen_Gemüse_DropDown[Ackerkulturen])-1)/(--(SEARCH(CK$2,Liste_Ackerkulturen_Gemüse_DropDown[Ackerkulturen])&gt;0)),ROW()-2),1),"")</f>
        <v>Schafgarbe</v>
      </c>
      <c r="CK245" s="2464"/>
      <c r="CL245" s="2464" t="str">
        <f>IFERROR(INDEX(Liste_Ackerkulturen_Gemüse_DropDown[Ackerkulturen],_xlfn.AGGREGATE(15,6,(ROW(Liste_Ackerkulturen_Gemüse_DropDown[Ackerkulturen])-1)/(--(SEARCH(CM$2,Liste_Ackerkulturen_Gemüse_DropDown[Ackerkulturen])&gt;0)),ROW()-2),1),"")</f>
        <v>Schafgarbe</v>
      </c>
      <c r="CM245" s="2464"/>
      <c r="CN245" s="2464" t="str">
        <f>IFERROR(INDEX(Liste_Ackerkulturen_Gemüse_DropDown[Ackerkulturen],_xlfn.AGGREGATE(15,6,(ROW(Liste_Ackerkulturen_Gemüse_DropDown[Ackerkulturen])-1)/(--(SEARCH(CO$2,Liste_Ackerkulturen_Gemüse_DropDown[Ackerkulturen])&gt;0)),ROW()-2),1),"")</f>
        <v>Schafgarbe</v>
      </c>
      <c r="CO245" s="2464"/>
      <c r="CP245" s="2464" t="str">
        <f>IFERROR(INDEX(Liste_Ackerkulturen_Gemüse_DropDown[Ackerkulturen],_xlfn.AGGREGATE(15,6,(ROW(Liste_Ackerkulturen_Gemüse_DropDown[Ackerkulturen])-1)/(--(SEARCH(CQ$2,Liste_Ackerkulturen_Gemüse_DropDown[Ackerkulturen])&gt;0)),ROW()-2),1),"")</f>
        <v>Schafgarbe</v>
      </c>
      <c r="CQ245" s="2464"/>
      <c r="CR245" s="2464" t="str">
        <f>IFERROR(INDEX(Liste_Ackerkulturen_Gemüse_DropDown[Ackerkulturen],_xlfn.AGGREGATE(15,6,(ROW(Liste_Ackerkulturen_Gemüse_DropDown[Ackerkulturen])-1)/(--(SEARCH(CS$2,Liste_Ackerkulturen_Gemüse_DropDown[Ackerkulturen])&gt;0)),ROW()-2),1),"")</f>
        <v>Schafgarbe</v>
      </c>
      <c r="CS245" s="2464"/>
      <c r="DI245" s="1541"/>
      <c r="DJ245" s="1541"/>
      <c r="DK245" s="1541"/>
      <c r="DL245" s="1541"/>
      <c r="DM245" s="1541"/>
    </row>
    <row r="246" spans="1:117" s="470" customFormat="1" ht="21" customHeight="1">
      <c r="A246" s="465"/>
      <c r="B246" s="465"/>
      <c r="C246" s="1575" t="s">
        <v>234</v>
      </c>
      <c r="D246" s="1576"/>
      <c r="E246" s="1567" t="s">
        <v>1983</v>
      </c>
      <c r="F246" s="1568">
        <v>145</v>
      </c>
      <c r="G246" s="1568"/>
      <c r="H246" s="1716" t="s">
        <v>1984</v>
      </c>
      <c r="I246" s="1718">
        <v>170</v>
      </c>
      <c r="J246" s="1188" t="s">
        <v>168</v>
      </c>
      <c r="K246" s="1568">
        <v>205</v>
      </c>
      <c r="L246" s="1527">
        <v>130</v>
      </c>
      <c r="M246" s="1528">
        <v>163</v>
      </c>
      <c r="N246" s="1567">
        <v>45</v>
      </c>
      <c r="O246" s="1188">
        <v>40</v>
      </c>
      <c r="P246" s="1568">
        <v>25</v>
      </c>
      <c r="Q246" s="1718">
        <v>30</v>
      </c>
      <c r="R246" s="1568">
        <v>40</v>
      </c>
      <c r="S246" s="1568">
        <v>15</v>
      </c>
      <c r="T246" s="1599" t="s">
        <v>1201</v>
      </c>
      <c r="U246" s="1569">
        <v>285</v>
      </c>
      <c r="V246" s="1570">
        <v>240</v>
      </c>
      <c r="W246" s="1574">
        <v>150</v>
      </c>
      <c r="X246" s="1778">
        <v>190</v>
      </c>
      <c r="Y246" s="1574">
        <v>240</v>
      </c>
      <c r="Z246" s="1568">
        <v>95</v>
      </c>
      <c r="AA246" s="1599" t="s">
        <v>1201</v>
      </c>
      <c r="AB246" s="525"/>
      <c r="AC246" s="525"/>
      <c r="AD246" s="525"/>
      <c r="AE246" s="526"/>
      <c r="AF246" s="1279"/>
      <c r="AG246" s="176"/>
      <c r="AH246" s="176"/>
      <c r="AI246" s="176"/>
      <c r="AJ246" s="473"/>
      <c r="AK246" s="472"/>
      <c r="AL246" s="472"/>
      <c r="AM246" s="2371" t="s">
        <v>397</v>
      </c>
      <c r="AN246" s="2286">
        <v>160</v>
      </c>
      <c r="AO246" s="2308" t="s">
        <v>1201</v>
      </c>
      <c r="AP246" s="2286">
        <v>160</v>
      </c>
      <c r="AQ246" s="2308" t="s">
        <v>1201</v>
      </c>
      <c r="AR246" s="2286">
        <v>160</v>
      </c>
      <c r="AS246" s="2308" t="s">
        <v>1201</v>
      </c>
      <c r="AT246" s="2287">
        <v>160</v>
      </c>
      <c r="AU246" s="2309" t="s">
        <v>1201</v>
      </c>
      <c r="AV246" s="2287">
        <v>160</v>
      </c>
      <c r="AW246" s="2309" t="s">
        <v>1201</v>
      </c>
      <c r="AX246" s="2403">
        <v>120</v>
      </c>
      <c r="AY246" s="2299" t="s">
        <v>1201</v>
      </c>
      <c r="AZ246" s="2298">
        <v>120</v>
      </c>
      <c r="BA246" s="2373" t="s">
        <v>1201</v>
      </c>
      <c r="BE246" s="2371" t="s">
        <v>397</v>
      </c>
      <c r="BF246" s="2404">
        <v>60</v>
      </c>
      <c r="BG246" s="2404">
        <v>60</v>
      </c>
      <c r="BH246" s="2404">
        <v>60</v>
      </c>
      <c r="BJ246" s="2371" t="s">
        <v>397</v>
      </c>
      <c r="BK246" s="578">
        <v>100</v>
      </c>
      <c r="BL246" s="577">
        <v>100</v>
      </c>
      <c r="BM246" s="577">
        <v>100</v>
      </c>
      <c r="BN246" s="2407"/>
      <c r="BO246" s="2402"/>
      <c r="BP246" s="2244"/>
      <c r="BQ246" s="2244"/>
      <c r="BR246" s="2244"/>
      <c r="BS246" s="2461" t="s">
        <v>399</v>
      </c>
      <c r="BT246" s="2463" t="str">
        <f>IFERROR(INDEX(Liste_Ackerkulturen_Gemüse_DropDown[Ackerkulturen],_xlfn.AGGREGATE(15,6,(ROW(Liste_Ackerkulturen_Gemüse_DropDown[Ackerkulturen])-1)/(--(SEARCH(BU$2,Liste_Ackerkulturen_Gemüse_DropDown[Ackerkulturen])&gt;0)),ROW()-2),1),"")</f>
        <v>Schisandra</v>
      </c>
      <c r="BU246" s="2463"/>
      <c r="BV246" s="2463" t="str">
        <f>IFERROR(INDEX(Liste_Ackerkulturen_Gemüse_DropDown[Ackerkulturen],_xlfn.AGGREGATE(15,6,(ROW(Liste_Ackerkulturen_Gemüse_DropDown[Ackerkulturen])-1)/(--(SEARCH(BW$2,Liste_Ackerkulturen_Gemüse_DropDown[Ackerkulturen])&gt;0)),ROW()-2),1),"")</f>
        <v>Schisandra</v>
      </c>
      <c r="BW246" s="2463"/>
      <c r="BX246" s="2463" t="str">
        <f>IFERROR(INDEX(Liste_Ackerkulturen_Gemüse_DropDown[Ackerkulturen],_xlfn.AGGREGATE(15,6,(ROW(Liste_Ackerkulturen_Gemüse_DropDown[Ackerkulturen])-1)/(--(SEARCH(BY$2,Liste_Ackerkulturen_Gemüse_DropDown[Ackerkulturen])&gt;0)),ROW()-2),1),"")</f>
        <v>Schisandra</v>
      </c>
      <c r="BY246" s="2463"/>
      <c r="BZ246" s="2463" t="str">
        <f>IFERROR(INDEX(Liste_Ackerkulturen_Gemüse_DropDown[Ackerkulturen],_xlfn.AGGREGATE(15,6,(ROW(Liste_Ackerkulturen_Gemüse_DropDown[Ackerkulturen])-1)/(--(SEARCH(CA$2,Liste_Ackerkulturen_Gemüse_DropDown[Ackerkulturen])&gt;0)),ROW()-2),1),"")</f>
        <v>Schisandra</v>
      </c>
      <c r="CA246" s="2463"/>
      <c r="CB246" s="2463" t="str">
        <f>IFERROR(INDEX(Liste_Ackerkulturen_Gemüse_DropDown[Ackerkulturen],_xlfn.AGGREGATE(15,6,(ROW(Liste_Ackerkulturen_Gemüse_DropDown[Ackerkulturen])-1)/(--(SEARCH(CC$2,Liste_Ackerkulturen_Gemüse_DropDown[Ackerkulturen])&gt;0)),ROW()-2),1),"")</f>
        <v>Schisandra</v>
      </c>
      <c r="CC246" s="2463"/>
      <c r="CD246" s="2464" t="str">
        <f>IFERROR(INDEX(Liste_Ackerkulturen_Gemüse_DropDown[Ackerkulturen],_xlfn.AGGREGATE(15,6,(ROW(Liste_Ackerkulturen_Gemüse_DropDown[Ackerkulturen])-1)/(--(SEARCH(CE$2,Liste_Ackerkulturen_Gemüse_DropDown[Ackerkulturen])&gt;0)),ROW()-2),1),"")</f>
        <v>Schisandra</v>
      </c>
      <c r="CE246" s="2464"/>
      <c r="CF246" s="2464" t="str">
        <f>IFERROR(INDEX(Liste_Ackerkulturen_Gemüse_DropDown[Ackerkulturen],_xlfn.AGGREGATE(15,6,(ROW(Liste_Ackerkulturen_Gemüse_DropDown[Ackerkulturen])-1)/(--(SEARCH(CG$2,Liste_Ackerkulturen_Gemüse_DropDown[Ackerkulturen])&gt;0)),ROW()-2),1),"")</f>
        <v>Schisandra</v>
      </c>
      <c r="CG246" s="2464"/>
      <c r="CH246" s="2464" t="str">
        <f>IFERROR(INDEX(Liste_Ackerkulturen_Gemüse_DropDown[Ackerkulturen],_xlfn.AGGREGATE(15,6,(ROW(Liste_Ackerkulturen_Gemüse_DropDown[Ackerkulturen])-1)/(--(SEARCH(CI$2,Liste_Ackerkulturen_Gemüse_DropDown[Ackerkulturen])&gt;0)),ROW()-2),1),"")</f>
        <v>Schisandra</v>
      </c>
      <c r="CI246" s="2464"/>
      <c r="CJ246" s="2464" t="str">
        <f>IFERROR(INDEX(Liste_Ackerkulturen_Gemüse_DropDown[Ackerkulturen],_xlfn.AGGREGATE(15,6,(ROW(Liste_Ackerkulturen_Gemüse_DropDown[Ackerkulturen])-1)/(--(SEARCH(CK$2,Liste_Ackerkulturen_Gemüse_DropDown[Ackerkulturen])&gt;0)),ROW()-2),1),"")</f>
        <v>Schisandra</v>
      </c>
      <c r="CK246" s="2464"/>
      <c r="CL246" s="2464" t="str">
        <f>IFERROR(INDEX(Liste_Ackerkulturen_Gemüse_DropDown[Ackerkulturen],_xlfn.AGGREGATE(15,6,(ROW(Liste_Ackerkulturen_Gemüse_DropDown[Ackerkulturen])-1)/(--(SEARCH(CM$2,Liste_Ackerkulturen_Gemüse_DropDown[Ackerkulturen])&gt;0)),ROW()-2),1),"")</f>
        <v>Schisandra</v>
      </c>
      <c r="CM246" s="2464"/>
      <c r="CN246" s="2464" t="str">
        <f>IFERROR(INDEX(Liste_Ackerkulturen_Gemüse_DropDown[Ackerkulturen],_xlfn.AGGREGATE(15,6,(ROW(Liste_Ackerkulturen_Gemüse_DropDown[Ackerkulturen])-1)/(--(SEARCH(CO$2,Liste_Ackerkulturen_Gemüse_DropDown[Ackerkulturen])&gt;0)),ROW()-2),1),"")</f>
        <v>Schisandra</v>
      </c>
      <c r="CO246" s="2464"/>
      <c r="CP246" s="2464" t="str">
        <f>IFERROR(INDEX(Liste_Ackerkulturen_Gemüse_DropDown[Ackerkulturen],_xlfn.AGGREGATE(15,6,(ROW(Liste_Ackerkulturen_Gemüse_DropDown[Ackerkulturen])-1)/(--(SEARCH(CQ$2,Liste_Ackerkulturen_Gemüse_DropDown[Ackerkulturen])&gt;0)),ROW()-2),1),"")</f>
        <v>Schisandra</v>
      </c>
      <c r="CQ246" s="2464"/>
      <c r="CR246" s="2464" t="str">
        <f>IFERROR(INDEX(Liste_Ackerkulturen_Gemüse_DropDown[Ackerkulturen],_xlfn.AGGREGATE(15,6,(ROW(Liste_Ackerkulturen_Gemüse_DropDown[Ackerkulturen])-1)/(--(SEARCH(CS$2,Liste_Ackerkulturen_Gemüse_DropDown[Ackerkulturen])&gt;0)),ROW()-2),1),"")</f>
        <v>Schisandra</v>
      </c>
      <c r="CS246" s="2464"/>
      <c r="DI246" s="1541"/>
      <c r="DJ246" s="1541"/>
      <c r="DK246" s="1541"/>
      <c r="DL246" s="1541"/>
      <c r="DM246" s="1541"/>
    </row>
    <row r="247" spans="1:117" s="470" customFormat="1" ht="21" customHeight="1">
      <c r="A247" s="465"/>
      <c r="B247" s="465"/>
      <c r="C247" s="1575" t="s">
        <v>235</v>
      </c>
      <c r="D247" s="1576"/>
      <c r="E247" s="1567" t="s">
        <v>66</v>
      </c>
      <c r="F247" s="1568">
        <v>145</v>
      </c>
      <c r="G247" s="1568"/>
      <c r="H247" s="1716" t="s">
        <v>67</v>
      </c>
      <c r="I247" s="1718">
        <v>170</v>
      </c>
      <c r="J247" s="1188" t="s">
        <v>151</v>
      </c>
      <c r="K247" s="1568">
        <v>205</v>
      </c>
      <c r="L247" s="1527">
        <v>130</v>
      </c>
      <c r="M247" s="1528">
        <v>163</v>
      </c>
      <c r="N247" s="1567">
        <v>45</v>
      </c>
      <c r="O247" s="1188">
        <v>40</v>
      </c>
      <c r="P247" s="1568">
        <v>25</v>
      </c>
      <c r="Q247" s="1718">
        <v>30</v>
      </c>
      <c r="R247" s="1568">
        <v>40</v>
      </c>
      <c r="S247" s="1568">
        <v>15</v>
      </c>
      <c r="T247" s="1599" t="s">
        <v>1201</v>
      </c>
      <c r="U247" s="1569">
        <v>285</v>
      </c>
      <c r="V247" s="1570">
        <v>240</v>
      </c>
      <c r="W247" s="1574">
        <v>150</v>
      </c>
      <c r="X247" s="1778">
        <v>190</v>
      </c>
      <c r="Y247" s="1574">
        <v>240</v>
      </c>
      <c r="Z247" s="1568">
        <v>95</v>
      </c>
      <c r="AA247" s="1599" t="s">
        <v>1201</v>
      </c>
      <c r="AB247" s="525"/>
      <c r="AC247" s="525"/>
      <c r="AD247" s="525"/>
      <c r="AE247" s="526"/>
      <c r="AF247" s="1279"/>
      <c r="AG247" s="176"/>
      <c r="AH247" s="176"/>
      <c r="AI247" s="176"/>
      <c r="AJ247" s="473"/>
      <c r="AK247" s="472"/>
      <c r="AL247" s="472"/>
      <c r="AM247" s="2371" t="s">
        <v>398</v>
      </c>
      <c r="AN247" s="2286">
        <v>130</v>
      </c>
      <c r="AO247" s="2308" t="s">
        <v>1201</v>
      </c>
      <c r="AP247" s="2286">
        <v>130</v>
      </c>
      <c r="AQ247" s="2308" t="s">
        <v>1201</v>
      </c>
      <c r="AR247" s="2286">
        <v>130</v>
      </c>
      <c r="AS247" s="2308" t="s">
        <v>1201</v>
      </c>
      <c r="AT247" s="2287">
        <v>130</v>
      </c>
      <c r="AU247" s="2309" t="s">
        <v>1201</v>
      </c>
      <c r="AV247" s="2287">
        <v>130</v>
      </c>
      <c r="AW247" s="2309" t="s">
        <v>1201</v>
      </c>
      <c r="AX247" s="2403">
        <v>110</v>
      </c>
      <c r="AY247" s="2299" t="s">
        <v>1201</v>
      </c>
      <c r="AZ247" s="2298">
        <v>110</v>
      </c>
      <c r="BA247" s="2373" t="s">
        <v>1201</v>
      </c>
      <c r="BE247" s="2371" t="s">
        <v>398</v>
      </c>
      <c r="BF247" s="2404">
        <v>20</v>
      </c>
      <c r="BG247" s="2404">
        <v>20</v>
      </c>
      <c r="BH247" s="2404">
        <v>20</v>
      </c>
      <c r="BJ247" s="2371" t="s">
        <v>398</v>
      </c>
      <c r="BK247" s="578">
        <v>20</v>
      </c>
      <c r="BL247" s="577">
        <v>20</v>
      </c>
      <c r="BM247" s="577">
        <v>20</v>
      </c>
      <c r="BN247" s="2407"/>
      <c r="BO247" s="2402"/>
      <c r="BP247" s="2244"/>
      <c r="BQ247" s="2244"/>
      <c r="BR247" s="2244"/>
      <c r="BS247" s="2461" t="s">
        <v>400</v>
      </c>
      <c r="BT247" s="2463" t="str">
        <f>IFERROR(INDEX(Liste_Ackerkulturen_Gemüse_DropDown[Ackerkulturen],_xlfn.AGGREGATE(15,6,(ROW(Liste_Ackerkulturen_Gemüse_DropDown[Ackerkulturen])-1)/(--(SEARCH(BU$2,Liste_Ackerkulturen_Gemüse_DropDown[Ackerkulturen])&gt;0)),ROW()-2),1),"")</f>
        <v>Schlüsselblume</v>
      </c>
      <c r="BU247" s="2463"/>
      <c r="BV247" s="2463" t="str">
        <f>IFERROR(INDEX(Liste_Ackerkulturen_Gemüse_DropDown[Ackerkulturen],_xlfn.AGGREGATE(15,6,(ROW(Liste_Ackerkulturen_Gemüse_DropDown[Ackerkulturen])-1)/(--(SEARCH(BW$2,Liste_Ackerkulturen_Gemüse_DropDown[Ackerkulturen])&gt;0)),ROW()-2),1),"")</f>
        <v>Schlüsselblume</v>
      </c>
      <c r="BW247" s="2463"/>
      <c r="BX247" s="2463" t="str">
        <f>IFERROR(INDEX(Liste_Ackerkulturen_Gemüse_DropDown[Ackerkulturen],_xlfn.AGGREGATE(15,6,(ROW(Liste_Ackerkulturen_Gemüse_DropDown[Ackerkulturen])-1)/(--(SEARCH(BY$2,Liste_Ackerkulturen_Gemüse_DropDown[Ackerkulturen])&gt;0)),ROW()-2),1),"")</f>
        <v>Schlüsselblume</v>
      </c>
      <c r="BY247" s="2463"/>
      <c r="BZ247" s="2463" t="str">
        <f>IFERROR(INDEX(Liste_Ackerkulturen_Gemüse_DropDown[Ackerkulturen],_xlfn.AGGREGATE(15,6,(ROW(Liste_Ackerkulturen_Gemüse_DropDown[Ackerkulturen])-1)/(--(SEARCH(CA$2,Liste_Ackerkulturen_Gemüse_DropDown[Ackerkulturen])&gt;0)),ROW()-2),1),"")</f>
        <v>Schlüsselblume</v>
      </c>
      <c r="CA247" s="2463"/>
      <c r="CB247" s="2463" t="str">
        <f>IFERROR(INDEX(Liste_Ackerkulturen_Gemüse_DropDown[Ackerkulturen],_xlfn.AGGREGATE(15,6,(ROW(Liste_Ackerkulturen_Gemüse_DropDown[Ackerkulturen])-1)/(--(SEARCH(CC$2,Liste_Ackerkulturen_Gemüse_DropDown[Ackerkulturen])&gt;0)),ROW()-2),1),"")</f>
        <v>Schlüsselblume</v>
      </c>
      <c r="CC247" s="2463"/>
      <c r="CD247" s="2464" t="str">
        <f>IFERROR(INDEX(Liste_Ackerkulturen_Gemüse_DropDown[Ackerkulturen],_xlfn.AGGREGATE(15,6,(ROW(Liste_Ackerkulturen_Gemüse_DropDown[Ackerkulturen])-1)/(--(SEARCH(CE$2,Liste_Ackerkulturen_Gemüse_DropDown[Ackerkulturen])&gt;0)),ROW()-2),1),"")</f>
        <v>Schlüsselblume</v>
      </c>
      <c r="CE247" s="2464"/>
      <c r="CF247" s="2464" t="str">
        <f>IFERROR(INDEX(Liste_Ackerkulturen_Gemüse_DropDown[Ackerkulturen],_xlfn.AGGREGATE(15,6,(ROW(Liste_Ackerkulturen_Gemüse_DropDown[Ackerkulturen])-1)/(--(SEARCH(CG$2,Liste_Ackerkulturen_Gemüse_DropDown[Ackerkulturen])&gt;0)),ROW()-2),1),"")</f>
        <v>Schlüsselblume</v>
      </c>
      <c r="CG247" s="2464"/>
      <c r="CH247" s="2464" t="str">
        <f>IFERROR(INDEX(Liste_Ackerkulturen_Gemüse_DropDown[Ackerkulturen],_xlfn.AGGREGATE(15,6,(ROW(Liste_Ackerkulturen_Gemüse_DropDown[Ackerkulturen])-1)/(--(SEARCH(CI$2,Liste_Ackerkulturen_Gemüse_DropDown[Ackerkulturen])&gt;0)),ROW()-2),1),"")</f>
        <v>Schlüsselblume</v>
      </c>
      <c r="CI247" s="2464"/>
      <c r="CJ247" s="2464" t="str">
        <f>IFERROR(INDEX(Liste_Ackerkulturen_Gemüse_DropDown[Ackerkulturen],_xlfn.AGGREGATE(15,6,(ROW(Liste_Ackerkulturen_Gemüse_DropDown[Ackerkulturen])-1)/(--(SEARCH(CK$2,Liste_Ackerkulturen_Gemüse_DropDown[Ackerkulturen])&gt;0)),ROW()-2),1),"")</f>
        <v>Schlüsselblume</v>
      </c>
      <c r="CK247" s="2464"/>
      <c r="CL247" s="2464" t="str">
        <f>IFERROR(INDEX(Liste_Ackerkulturen_Gemüse_DropDown[Ackerkulturen],_xlfn.AGGREGATE(15,6,(ROW(Liste_Ackerkulturen_Gemüse_DropDown[Ackerkulturen])-1)/(--(SEARCH(CM$2,Liste_Ackerkulturen_Gemüse_DropDown[Ackerkulturen])&gt;0)),ROW()-2),1),"")</f>
        <v>Schlüsselblume</v>
      </c>
      <c r="CM247" s="2464"/>
      <c r="CN247" s="2464" t="str">
        <f>IFERROR(INDEX(Liste_Ackerkulturen_Gemüse_DropDown[Ackerkulturen],_xlfn.AGGREGATE(15,6,(ROW(Liste_Ackerkulturen_Gemüse_DropDown[Ackerkulturen])-1)/(--(SEARCH(CO$2,Liste_Ackerkulturen_Gemüse_DropDown[Ackerkulturen])&gt;0)),ROW()-2),1),"")</f>
        <v>Schlüsselblume</v>
      </c>
      <c r="CO247" s="2464"/>
      <c r="CP247" s="2464" t="str">
        <f>IFERROR(INDEX(Liste_Ackerkulturen_Gemüse_DropDown[Ackerkulturen],_xlfn.AGGREGATE(15,6,(ROW(Liste_Ackerkulturen_Gemüse_DropDown[Ackerkulturen])-1)/(--(SEARCH(CQ$2,Liste_Ackerkulturen_Gemüse_DropDown[Ackerkulturen])&gt;0)),ROW()-2),1),"")</f>
        <v>Schlüsselblume</v>
      </c>
      <c r="CQ247" s="2464"/>
      <c r="CR247" s="2464" t="str">
        <f>IFERROR(INDEX(Liste_Ackerkulturen_Gemüse_DropDown[Ackerkulturen],_xlfn.AGGREGATE(15,6,(ROW(Liste_Ackerkulturen_Gemüse_DropDown[Ackerkulturen])-1)/(--(SEARCH(CS$2,Liste_Ackerkulturen_Gemüse_DropDown[Ackerkulturen])&gt;0)),ROW()-2),1),"")</f>
        <v>Schlüsselblume</v>
      </c>
      <c r="CS247" s="2464"/>
      <c r="DI247" s="1541"/>
      <c r="DJ247" s="1541"/>
      <c r="DK247" s="1541"/>
      <c r="DL247" s="1541"/>
      <c r="DM247" s="1541"/>
    </row>
    <row r="248" spans="1:117" s="470" customFormat="1" ht="21" customHeight="1">
      <c r="A248" s="465"/>
      <c r="B248" s="465"/>
      <c r="C248" s="1575" t="s">
        <v>236</v>
      </c>
      <c r="D248" s="1576"/>
      <c r="E248" s="1567" t="s">
        <v>465</v>
      </c>
      <c r="F248" s="1568">
        <v>190</v>
      </c>
      <c r="G248" s="1568"/>
      <c r="H248" s="1716" t="s">
        <v>158</v>
      </c>
      <c r="I248" s="1718">
        <v>220</v>
      </c>
      <c r="J248" s="1188" t="s">
        <v>159</v>
      </c>
      <c r="K248" s="1568">
        <v>260</v>
      </c>
      <c r="L248" s="1527">
        <v>190</v>
      </c>
      <c r="M248" s="1528">
        <v>238</v>
      </c>
      <c r="N248" s="1567">
        <v>45</v>
      </c>
      <c r="O248" s="1188">
        <v>40</v>
      </c>
      <c r="P248" s="1568">
        <v>25</v>
      </c>
      <c r="Q248" s="1718">
        <v>30</v>
      </c>
      <c r="R248" s="1568">
        <v>40</v>
      </c>
      <c r="S248" s="1568">
        <v>15</v>
      </c>
      <c r="T248" s="1599" t="s">
        <v>1201</v>
      </c>
      <c r="U248" s="1569">
        <v>195</v>
      </c>
      <c r="V248" s="1570">
        <v>165</v>
      </c>
      <c r="W248" s="1574">
        <v>105</v>
      </c>
      <c r="X248" s="1778">
        <v>130</v>
      </c>
      <c r="Y248" s="1574">
        <v>165</v>
      </c>
      <c r="Z248" s="1568">
        <v>65</v>
      </c>
      <c r="AA248" s="1599" t="s">
        <v>1201</v>
      </c>
      <c r="AB248" s="525"/>
      <c r="AC248" s="525"/>
      <c r="AD248" s="525"/>
      <c r="AE248" s="526"/>
      <c r="AF248" s="1279"/>
      <c r="AG248" s="176"/>
      <c r="AH248" s="176"/>
      <c r="AI248" s="176"/>
      <c r="AJ248" s="473"/>
      <c r="AK248" s="472"/>
      <c r="AL248" s="472"/>
      <c r="AM248" s="2371" t="s">
        <v>399</v>
      </c>
      <c r="AN248" s="2286">
        <v>100</v>
      </c>
      <c r="AO248" s="2308" t="s">
        <v>1201</v>
      </c>
      <c r="AP248" s="2286">
        <v>100</v>
      </c>
      <c r="AQ248" s="2308" t="s">
        <v>1201</v>
      </c>
      <c r="AR248" s="2286">
        <v>100</v>
      </c>
      <c r="AS248" s="2308" t="s">
        <v>1201</v>
      </c>
      <c r="AT248" s="2287">
        <v>100</v>
      </c>
      <c r="AU248" s="2309" t="s">
        <v>1201</v>
      </c>
      <c r="AV248" s="2287">
        <v>100</v>
      </c>
      <c r="AW248" s="2309" t="s">
        <v>1201</v>
      </c>
      <c r="AX248" s="2403">
        <v>80</v>
      </c>
      <c r="AY248" s="2299" t="s">
        <v>1201</v>
      </c>
      <c r="AZ248" s="2298">
        <v>80</v>
      </c>
      <c r="BA248" s="2373" t="s">
        <v>1201</v>
      </c>
      <c r="BE248" s="2371" t="s">
        <v>399</v>
      </c>
      <c r="BF248" s="2409">
        <v>0</v>
      </c>
      <c r="BG248" s="2409">
        <v>0</v>
      </c>
      <c r="BH248" s="2409">
        <v>0</v>
      </c>
      <c r="BJ248" s="2371" t="s">
        <v>399</v>
      </c>
      <c r="BK248" s="2400">
        <v>0</v>
      </c>
      <c r="BL248" s="577">
        <v>0</v>
      </c>
      <c r="BM248" s="577">
        <v>0</v>
      </c>
      <c r="BN248" s="2406"/>
      <c r="BO248" s="2402"/>
      <c r="BP248" s="2244"/>
      <c r="BQ248" s="2244"/>
      <c r="BR248" s="2244"/>
      <c r="BS248" s="2461" t="s">
        <v>401</v>
      </c>
      <c r="BT248" s="2463" t="str">
        <f>IFERROR(INDEX(Liste_Ackerkulturen_Gemüse_DropDown[Ackerkulturen],_xlfn.AGGREGATE(15,6,(ROW(Liste_Ackerkulturen_Gemüse_DropDown[Ackerkulturen])-1)/(--(SEARCH(BU$2,Liste_Ackerkulturen_Gemüse_DropDown[Ackerkulturen])&gt;0)),ROW()-2),1),"")</f>
        <v>Schöllkraut</v>
      </c>
      <c r="BU248" s="2463"/>
      <c r="BV248" s="2463" t="str">
        <f>IFERROR(INDEX(Liste_Ackerkulturen_Gemüse_DropDown[Ackerkulturen],_xlfn.AGGREGATE(15,6,(ROW(Liste_Ackerkulturen_Gemüse_DropDown[Ackerkulturen])-1)/(--(SEARCH(BW$2,Liste_Ackerkulturen_Gemüse_DropDown[Ackerkulturen])&gt;0)),ROW()-2),1),"")</f>
        <v>Schöllkraut</v>
      </c>
      <c r="BW248" s="2463"/>
      <c r="BX248" s="2463" t="str">
        <f>IFERROR(INDEX(Liste_Ackerkulturen_Gemüse_DropDown[Ackerkulturen],_xlfn.AGGREGATE(15,6,(ROW(Liste_Ackerkulturen_Gemüse_DropDown[Ackerkulturen])-1)/(--(SEARCH(BY$2,Liste_Ackerkulturen_Gemüse_DropDown[Ackerkulturen])&gt;0)),ROW()-2),1),"")</f>
        <v>Schöllkraut</v>
      </c>
      <c r="BY248" s="2463"/>
      <c r="BZ248" s="2463" t="str">
        <f>IFERROR(INDEX(Liste_Ackerkulturen_Gemüse_DropDown[Ackerkulturen],_xlfn.AGGREGATE(15,6,(ROW(Liste_Ackerkulturen_Gemüse_DropDown[Ackerkulturen])-1)/(--(SEARCH(CA$2,Liste_Ackerkulturen_Gemüse_DropDown[Ackerkulturen])&gt;0)),ROW()-2),1),"")</f>
        <v>Schöllkraut</v>
      </c>
      <c r="CA248" s="2463"/>
      <c r="CB248" s="2463" t="str">
        <f>IFERROR(INDEX(Liste_Ackerkulturen_Gemüse_DropDown[Ackerkulturen],_xlfn.AGGREGATE(15,6,(ROW(Liste_Ackerkulturen_Gemüse_DropDown[Ackerkulturen])-1)/(--(SEARCH(CC$2,Liste_Ackerkulturen_Gemüse_DropDown[Ackerkulturen])&gt;0)),ROW()-2),1),"")</f>
        <v>Schöllkraut</v>
      </c>
      <c r="CC248" s="2463"/>
      <c r="CD248" s="2464" t="str">
        <f>IFERROR(INDEX(Liste_Ackerkulturen_Gemüse_DropDown[Ackerkulturen],_xlfn.AGGREGATE(15,6,(ROW(Liste_Ackerkulturen_Gemüse_DropDown[Ackerkulturen])-1)/(--(SEARCH(CE$2,Liste_Ackerkulturen_Gemüse_DropDown[Ackerkulturen])&gt;0)),ROW()-2),1),"")</f>
        <v>Schöllkraut</v>
      </c>
      <c r="CE248" s="2464"/>
      <c r="CF248" s="2464" t="str">
        <f>IFERROR(INDEX(Liste_Ackerkulturen_Gemüse_DropDown[Ackerkulturen],_xlfn.AGGREGATE(15,6,(ROW(Liste_Ackerkulturen_Gemüse_DropDown[Ackerkulturen])-1)/(--(SEARCH(CG$2,Liste_Ackerkulturen_Gemüse_DropDown[Ackerkulturen])&gt;0)),ROW()-2),1),"")</f>
        <v>Schöllkraut</v>
      </c>
      <c r="CG248" s="2464"/>
      <c r="CH248" s="2464" t="str">
        <f>IFERROR(INDEX(Liste_Ackerkulturen_Gemüse_DropDown[Ackerkulturen],_xlfn.AGGREGATE(15,6,(ROW(Liste_Ackerkulturen_Gemüse_DropDown[Ackerkulturen])-1)/(--(SEARCH(CI$2,Liste_Ackerkulturen_Gemüse_DropDown[Ackerkulturen])&gt;0)),ROW()-2),1),"")</f>
        <v>Schöllkraut</v>
      </c>
      <c r="CI248" s="2464"/>
      <c r="CJ248" s="2464" t="str">
        <f>IFERROR(INDEX(Liste_Ackerkulturen_Gemüse_DropDown[Ackerkulturen],_xlfn.AGGREGATE(15,6,(ROW(Liste_Ackerkulturen_Gemüse_DropDown[Ackerkulturen])-1)/(--(SEARCH(CK$2,Liste_Ackerkulturen_Gemüse_DropDown[Ackerkulturen])&gt;0)),ROW()-2),1),"")</f>
        <v>Schöllkraut</v>
      </c>
      <c r="CK248" s="2464"/>
      <c r="CL248" s="2464" t="str">
        <f>IFERROR(INDEX(Liste_Ackerkulturen_Gemüse_DropDown[Ackerkulturen],_xlfn.AGGREGATE(15,6,(ROW(Liste_Ackerkulturen_Gemüse_DropDown[Ackerkulturen])-1)/(--(SEARCH(CM$2,Liste_Ackerkulturen_Gemüse_DropDown[Ackerkulturen])&gt;0)),ROW()-2),1),"")</f>
        <v>Schöllkraut</v>
      </c>
      <c r="CM248" s="2464"/>
      <c r="CN248" s="2464" t="str">
        <f>IFERROR(INDEX(Liste_Ackerkulturen_Gemüse_DropDown[Ackerkulturen],_xlfn.AGGREGATE(15,6,(ROW(Liste_Ackerkulturen_Gemüse_DropDown[Ackerkulturen])-1)/(--(SEARCH(CO$2,Liste_Ackerkulturen_Gemüse_DropDown[Ackerkulturen])&gt;0)),ROW()-2),1),"")</f>
        <v>Schöllkraut</v>
      </c>
      <c r="CO248" s="2464"/>
      <c r="CP248" s="2464" t="str">
        <f>IFERROR(INDEX(Liste_Ackerkulturen_Gemüse_DropDown[Ackerkulturen],_xlfn.AGGREGATE(15,6,(ROW(Liste_Ackerkulturen_Gemüse_DropDown[Ackerkulturen])-1)/(--(SEARCH(CQ$2,Liste_Ackerkulturen_Gemüse_DropDown[Ackerkulturen])&gt;0)),ROW()-2),1),"")</f>
        <v>Schöllkraut</v>
      </c>
      <c r="CQ248" s="2464"/>
      <c r="CR248" s="2464" t="str">
        <f>IFERROR(INDEX(Liste_Ackerkulturen_Gemüse_DropDown[Ackerkulturen],_xlfn.AGGREGATE(15,6,(ROW(Liste_Ackerkulturen_Gemüse_DropDown[Ackerkulturen])-1)/(--(SEARCH(CS$2,Liste_Ackerkulturen_Gemüse_DropDown[Ackerkulturen])&gt;0)),ROW()-2),1),"")</f>
        <v>Schöllkraut</v>
      </c>
      <c r="CS248" s="2464"/>
      <c r="DI248" s="1541"/>
      <c r="DJ248" s="1541"/>
      <c r="DK248" s="1541"/>
      <c r="DL248" s="1541"/>
      <c r="DM248" s="1541"/>
    </row>
    <row r="249" spans="1:117" s="470" customFormat="1" ht="21" customHeight="1">
      <c r="A249" s="465"/>
      <c r="B249" s="465"/>
      <c r="C249" s="1575" t="s">
        <v>237</v>
      </c>
      <c r="D249" s="1576"/>
      <c r="E249" s="1567" t="s">
        <v>199</v>
      </c>
      <c r="F249" s="1568">
        <v>190</v>
      </c>
      <c r="G249" s="1568"/>
      <c r="H249" s="1716" t="s">
        <v>68</v>
      </c>
      <c r="I249" s="1718">
        <v>220</v>
      </c>
      <c r="J249" s="1188" t="s">
        <v>141</v>
      </c>
      <c r="K249" s="1568">
        <v>260</v>
      </c>
      <c r="L249" s="1527">
        <v>190</v>
      </c>
      <c r="M249" s="1528">
        <v>238</v>
      </c>
      <c r="N249" s="1567">
        <v>75</v>
      </c>
      <c r="O249" s="1188">
        <v>65</v>
      </c>
      <c r="P249" s="1568">
        <v>40</v>
      </c>
      <c r="Q249" s="1718">
        <v>50</v>
      </c>
      <c r="R249" s="1568">
        <v>65</v>
      </c>
      <c r="S249" s="1568">
        <v>25</v>
      </c>
      <c r="T249" s="1599" t="s">
        <v>1201</v>
      </c>
      <c r="U249" s="1569">
        <v>270</v>
      </c>
      <c r="V249" s="1570">
        <v>225</v>
      </c>
      <c r="W249" s="1574">
        <v>145</v>
      </c>
      <c r="X249" s="1778">
        <v>180</v>
      </c>
      <c r="Y249" s="1574">
        <v>225</v>
      </c>
      <c r="Z249" s="1568">
        <v>90</v>
      </c>
      <c r="AA249" s="1599" t="s">
        <v>1201</v>
      </c>
      <c r="AB249" s="525"/>
      <c r="AC249" s="525"/>
      <c r="AD249" s="525"/>
      <c r="AE249" s="526"/>
      <c r="AF249" s="1279"/>
      <c r="AG249" s="176"/>
      <c r="AH249" s="176"/>
      <c r="AI249" s="176"/>
      <c r="AJ249" s="473"/>
      <c r="AK249" s="472"/>
      <c r="AL249" s="472"/>
      <c r="AM249" s="2371" t="s">
        <v>400</v>
      </c>
      <c r="AN249" s="2286">
        <v>80</v>
      </c>
      <c r="AO249" s="2308" t="s">
        <v>1201</v>
      </c>
      <c r="AP249" s="2286">
        <v>80</v>
      </c>
      <c r="AQ249" s="2308" t="s">
        <v>1201</v>
      </c>
      <c r="AR249" s="2286">
        <v>80</v>
      </c>
      <c r="AS249" s="2308" t="s">
        <v>1201</v>
      </c>
      <c r="AT249" s="2287">
        <v>80</v>
      </c>
      <c r="AU249" s="2309" t="s">
        <v>1201</v>
      </c>
      <c r="AV249" s="2287">
        <v>80</v>
      </c>
      <c r="AW249" s="2309" t="s">
        <v>1201</v>
      </c>
      <c r="AX249" s="2403">
        <v>70</v>
      </c>
      <c r="AY249" s="2299" t="s">
        <v>1201</v>
      </c>
      <c r="AZ249" s="2298">
        <v>70</v>
      </c>
      <c r="BA249" s="2373" t="s">
        <v>1201</v>
      </c>
      <c r="BE249" s="2371" t="s">
        <v>400</v>
      </c>
      <c r="BF249" s="2409">
        <v>0</v>
      </c>
      <c r="BG249" s="2409">
        <v>0</v>
      </c>
      <c r="BH249" s="2409">
        <v>0</v>
      </c>
      <c r="BJ249" s="2371" t="s">
        <v>400</v>
      </c>
      <c r="BK249" s="2400">
        <v>0</v>
      </c>
      <c r="BL249" s="577">
        <v>0</v>
      </c>
      <c r="BM249" s="577">
        <v>0</v>
      </c>
      <c r="BN249" s="2406"/>
      <c r="BO249" s="2402"/>
      <c r="BP249" s="2244"/>
      <c r="BQ249" s="2244"/>
      <c r="BR249" s="2244"/>
      <c r="BS249" s="2461" t="s">
        <v>402</v>
      </c>
      <c r="BT249" s="2463" t="str">
        <f>IFERROR(INDEX(Liste_Ackerkulturen_Gemüse_DropDown[Ackerkulturen],_xlfn.AGGREGATE(15,6,(ROW(Liste_Ackerkulturen_Gemüse_DropDown[Ackerkulturen])-1)/(--(SEARCH(BU$2,Liste_Ackerkulturen_Gemüse_DropDown[Ackerkulturen])&gt;0)),ROW()-2),1),"")</f>
        <v>Schwarzkümmel</v>
      </c>
      <c r="BU249" s="2463"/>
      <c r="BV249" s="2463" t="str">
        <f>IFERROR(INDEX(Liste_Ackerkulturen_Gemüse_DropDown[Ackerkulturen],_xlfn.AGGREGATE(15,6,(ROW(Liste_Ackerkulturen_Gemüse_DropDown[Ackerkulturen])-1)/(--(SEARCH(BW$2,Liste_Ackerkulturen_Gemüse_DropDown[Ackerkulturen])&gt;0)),ROW()-2),1),"")</f>
        <v>Schwarzkümmel</v>
      </c>
      <c r="BW249" s="2463"/>
      <c r="BX249" s="2463" t="str">
        <f>IFERROR(INDEX(Liste_Ackerkulturen_Gemüse_DropDown[Ackerkulturen],_xlfn.AGGREGATE(15,6,(ROW(Liste_Ackerkulturen_Gemüse_DropDown[Ackerkulturen])-1)/(--(SEARCH(BY$2,Liste_Ackerkulturen_Gemüse_DropDown[Ackerkulturen])&gt;0)),ROW()-2),1),"")</f>
        <v>Schwarzkümmel</v>
      </c>
      <c r="BY249" s="2463"/>
      <c r="BZ249" s="2463" t="str">
        <f>IFERROR(INDEX(Liste_Ackerkulturen_Gemüse_DropDown[Ackerkulturen],_xlfn.AGGREGATE(15,6,(ROW(Liste_Ackerkulturen_Gemüse_DropDown[Ackerkulturen])-1)/(--(SEARCH(CA$2,Liste_Ackerkulturen_Gemüse_DropDown[Ackerkulturen])&gt;0)),ROW()-2),1),"")</f>
        <v>Schwarzkümmel</v>
      </c>
      <c r="CA249" s="2463"/>
      <c r="CB249" s="2463" t="str">
        <f>IFERROR(INDEX(Liste_Ackerkulturen_Gemüse_DropDown[Ackerkulturen],_xlfn.AGGREGATE(15,6,(ROW(Liste_Ackerkulturen_Gemüse_DropDown[Ackerkulturen])-1)/(--(SEARCH(CC$2,Liste_Ackerkulturen_Gemüse_DropDown[Ackerkulturen])&gt;0)),ROW()-2),1),"")</f>
        <v>Schwarzkümmel</v>
      </c>
      <c r="CC249" s="2463"/>
      <c r="CD249" s="2464" t="str">
        <f>IFERROR(INDEX(Liste_Ackerkulturen_Gemüse_DropDown[Ackerkulturen],_xlfn.AGGREGATE(15,6,(ROW(Liste_Ackerkulturen_Gemüse_DropDown[Ackerkulturen])-1)/(--(SEARCH(CE$2,Liste_Ackerkulturen_Gemüse_DropDown[Ackerkulturen])&gt;0)),ROW()-2),1),"")</f>
        <v>Schwarzkümmel</v>
      </c>
      <c r="CE249" s="2464"/>
      <c r="CF249" s="2464" t="str">
        <f>IFERROR(INDEX(Liste_Ackerkulturen_Gemüse_DropDown[Ackerkulturen],_xlfn.AGGREGATE(15,6,(ROW(Liste_Ackerkulturen_Gemüse_DropDown[Ackerkulturen])-1)/(--(SEARCH(CG$2,Liste_Ackerkulturen_Gemüse_DropDown[Ackerkulturen])&gt;0)),ROW()-2),1),"")</f>
        <v>Schwarzkümmel</v>
      </c>
      <c r="CG249" s="2464"/>
      <c r="CH249" s="2464" t="str">
        <f>IFERROR(INDEX(Liste_Ackerkulturen_Gemüse_DropDown[Ackerkulturen],_xlfn.AGGREGATE(15,6,(ROW(Liste_Ackerkulturen_Gemüse_DropDown[Ackerkulturen])-1)/(--(SEARCH(CI$2,Liste_Ackerkulturen_Gemüse_DropDown[Ackerkulturen])&gt;0)),ROW()-2),1),"")</f>
        <v>Schwarzkümmel</v>
      </c>
      <c r="CI249" s="2464"/>
      <c r="CJ249" s="2464" t="str">
        <f>IFERROR(INDEX(Liste_Ackerkulturen_Gemüse_DropDown[Ackerkulturen],_xlfn.AGGREGATE(15,6,(ROW(Liste_Ackerkulturen_Gemüse_DropDown[Ackerkulturen])-1)/(--(SEARCH(CK$2,Liste_Ackerkulturen_Gemüse_DropDown[Ackerkulturen])&gt;0)),ROW()-2),1),"")</f>
        <v>Schwarzkümmel</v>
      </c>
      <c r="CK249" s="2464"/>
      <c r="CL249" s="2464" t="str">
        <f>IFERROR(INDEX(Liste_Ackerkulturen_Gemüse_DropDown[Ackerkulturen],_xlfn.AGGREGATE(15,6,(ROW(Liste_Ackerkulturen_Gemüse_DropDown[Ackerkulturen])-1)/(--(SEARCH(CM$2,Liste_Ackerkulturen_Gemüse_DropDown[Ackerkulturen])&gt;0)),ROW()-2),1),"")</f>
        <v>Schwarzkümmel</v>
      </c>
      <c r="CM249" s="2464"/>
      <c r="CN249" s="2464" t="str">
        <f>IFERROR(INDEX(Liste_Ackerkulturen_Gemüse_DropDown[Ackerkulturen],_xlfn.AGGREGATE(15,6,(ROW(Liste_Ackerkulturen_Gemüse_DropDown[Ackerkulturen])-1)/(--(SEARCH(CO$2,Liste_Ackerkulturen_Gemüse_DropDown[Ackerkulturen])&gt;0)),ROW()-2),1),"")</f>
        <v>Schwarzkümmel</v>
      </c>
      <c r="CO249" s="2464"/>
      <c r="CP249" s="2464" t="str">
        <f>IFERROR(INDEX(Liste_Ackerkulturen_Gemüse_DropDown[Ackerkulturen],_xlfn.AGGREGATE(15,6,(ROW(Liste_Ackerkulturen_Gemüse_DropDown[Ackerkulturen])-1)/(--(SEARCH(CQ$2,Liste_Ackerkulturen_Gemüse_DropDown[Ackerkulturen])&gt;0)),ROW()-2),1),"")</f>
        <v>Schwarzkümmel</v>
      </c>
      <c r="CQ249" s="2464"/>
      <c r="CR249" s="2464" t="str">
        <f>IFERROR(INDEX(Liste_Ackerkulturen_Gemüse_DropDown[Ackerkulturen],_xlfn.AGGREGATE(15,6,(ROW(Liste_Ackerkulturen_Gemüse_DropDown[Ackerkulturen])-1)/(--(SEARCH(CS$2,Liste_Ackerkulturen_Gemüse_DropDown[Ackerkulturen])&gt;0)),ROW()-2),1),"")</f>
        <v>Schwarzkümmel</v>
      </c>
      <c r="CS249" s="2464"/>
      <c r="DI249" s="1541"/>
      <c r="DJ249" s="1541"/>
      <c r="DK249" s="1541"/>
      <c r="DL249" s="1541"/>
      <c r="DM249" s="1541"/>
    </row>
    <row r="250" spans="1:117" s="470" customFormat="1" ht="21" customHeight="1">
      <c r="A250" s="465"/>
      <c r="B250" s="465"/>
      <c r="C250" s="1575" t="s">
        <v>238</v>
      </c>
      <c r="D250" s="1576"/>
      <c r="E250" s="1567" t="s">
        <v>465</v>
      </c>
      <c r="F250" s="1568">
        <v>210</v>
      </c>
      <c r="G250" s="1568"/>
      <c r="H250" s="1716" t="s">
        <v>466</v>
      </c>
      <c r="I250" s="1718">
        <v>250</v>
      </c>
      <c r="J250" s="1188" t="s">
        <v>141</v>
      </c>
      <c r="K250" s="1568">
        <v>300</v>
      </c>
      <c r="L250" s="1527">
        <v>190</v>
      </c>
      <c r="M250" s="1528">
        <v>238</v>
      </c>
      <c r="N250" s="1567">
        <v>60</v>
      </c>
      <c r="O250" s="1188">
        <v>50</v>
      </c>
      <c r="P250" s="1568">
        <v>30</v>
      </c>
      <c r="Q250" s="1718">
        <v>40</v>
      </c>
      <c r="R250" s="1568">
        <v>50</v>
      </c>
      <c r="S250" s="1568">
        <v>20</v>
      </c>
      <c r="T250" s="1599" t="s">
        <v>1201</v>
      </c>
      <c r="U250" s="1569">
        <v>225</v>
      </c>
      <c r="V250" s="1570">
        <v>190</v>
      </c>
      <c r="W250" s="1574">
        <v>120</v>
      </c>
      <c r="X250" s="1778">
        <v>150</v>
      </c>
      <c r="Y250" s="1574">
        <v>190</v>
      </c>
      <c r="Z250" s="1568">
        <v>75</v>
      </c>
      <c r="AA250" s="1599" t="s">
        <v>1201</v>
      </c>
      <c r="AB250" s="525"/>
      <c r="AC250" s="525"/>
      <c r="AD250" s="525"/>
      <c r="AE250" s="526"/>
      <c r="AF250" s="1279"/>
      <c r="AG250" s="176"/>
      <c r="AH250" s="176"/>
      <c r="AI250" s="176"/>
      <c r="AJ250" s="473"/>
      <c r="AK250" s="472"/>
      <c r="AL250" s="472"/>
      <c r="AM250" s="2371" t="s">
        <v>401</v>
      </c>
      <c r="AN250" s="2286">
        <v>80</v>
      </c>
      <c r="AO250" s="2308" t="s">
        <v>1201</v>
      </c>
      <c r="AP250" s="2286">
        <v>80</v>
      </c>
      <c r="AQ250" s="2308" t="s">
        <v>1201</v>
      </c>
      <c r="AR250" s="2286">
        <v>80</v>
      </c>
      <c r="AS250" s="2308" t="s">
        <v>1201</v>
      </c>
      <c r="AT250" s="2287">
        <v>80</v>
      </c>
      <c r="AU250" s="2309" t="s">
        <v>1201</v>
      </c>
      <c r="AV250" s="2287">
        <v>80</v>
      </c>
      <c r="AW250" s="2309" t="s">
        <v>1201</v>
      </c>
      <c r="AX250" s="2403">
        <v>60</v>
      </c>
      <c r="AY250" s="2299" t="s">
        <v>1201</v>
      </c>
      <c r="AZ250" s="2298">
        <v>60</v>
      </c>
      <c r="BA250" s="2373" t="s">
        <v>1201</v>
      </c>
      <c r="BE250" s="2371" t="s">
        <v>401</v>
      </c>
      <c r="BF250" s="2404">
        <v>50</v>
      </c>
      <c r="BG250" s="2404">
        <v>50</v>
      </c>
      <c r="BH250" s="2404">
        <v>50</v>
      </c>
      <c r="BJ250" s="2371" t="s">
        <v>401</v>
      </c>
      <c r="BK250" s="2400">
        <v>0</v>
      </c>
      <c r="BL250" s="577">
        <v>0</v>
      </c>
      <c r="BM250" s="577">
        <v>0</v>
      </c>
      <c r="BN250" s="2407"/>
      <c r="BO250" s="2402"/>
      <c r="BP250" s="2244"/>
      <c r="BQ250" s="2244"/>
      <c r="BR250" s="2244"/>
      <c r="BS250" s="2461" t="s">
        <v>403</v>
      </c>
      <c r="BT250" s="2463" t="str">
        <f>IFERROR(INDEX(Liste_Ackerkulturen_Gemüse_DropDown[Ackerkulturen],_xlfn.AGGREGATE(15,6,(ROW(Liste_Ackerkulturen_Gemüse_DropDown[Ackerkulturen])-1)/(--(SEARCH(BU$2,Liste_Ackerkulturen_Gemüse_DropDown[Ackerkulturen])&gt;0)),ROW()-2),1),"")</f>
        <v>Sonnenhut</v>
      </c>
      <c r="BU250" s="2463"/>
      <c r="BV250" s="2463" t="str">
        <f>IFERROR(INDEX(Liste_Ackerkulturen_Gemüse_DropDown[Ackerkulturen],_xlfn.AGGREGATE(15,6,(ROW(Liste_Ackerkulturen_Gemüse_DropDown[Ackerkulturen])-1)/(--(SEARCH(BW$2,Liste_Ackerkulturen_Gemüse_DropDown[Ackerkulturen])&gt;0)),ROW()-2),1),"")</f>
        <v>Sonnenhut</v>
      </c>
      <c r="BW250" s="2463"/>
      <c r="BX250" s="2463" t="str">
        <f>IFERROR(INDEX(Liste_Ackerkulturen_Gemüse_DropDown[Ackerkulturen],_xlfn.AGGREGATE(15,6,(ROW(Liste_Ackerkulturen_Gemüse_DropDown[Ackerkulturen])-1)/(--(SEARCH(BY$2,Liste_Ackerkulturen_Gemüse_DropDown[Ackerkulturen])&gt;0)),ROW()-2),1),"")</f>
        <v>Sonnenhut</v>
      </c>
      <c r="BY250" s="2463"/>
      <c r="BZ250" s="2463" t="str">
        <f>IFERROR(INDEX(Liste_Ackerkulturen_Gemüse_DropDown[Ackerkulturen],_xlfn.AGGREGATE(15,6,(ROW(Liste_Ackerkulturen_Gemüse_DropDown[Ackerkulturen])-1)/(--(SEARCH(CA$2,Liste_Ackerkulturen_Gemüse_DropDown[Ackerkulturen])&gt;0)),ROW()-2),1),"")</f>
        <v>Sonnenhut</v>
      </c>
      <c r="CA250" s="2463"/>
      <c r="CB250" s="2463" t="str">
        <f>IFERROR(INDEX(Liste_Ackerkulturen_Gemüse_DropDown[Ackerkulturen],_xlfn.AGGREGATE(15,6,(ROW(Liste_Ackerkulturen_Gemüse_DropDown[Ackerkulturen])-1)/(--(SEARCH(CC$2,Liste_Ackerkulturen_Gemüse_DropDown[Ackerkulturen])&gt;0)),ROW()-2),1),"")</f>
        <v>Sonnenhut</v>
      </c>
      <c r="CC250" s="2463"/>
      <c r="CD250" s="2464" t="str">
        <f>IFERROR(INDEX(Liste_Ackerkulturen_Gemüse_DropDown[Ackerkulturen],_xlfn.AGGREGATE(15,6,(ROW(Liste_Ackerkulturen_Gemüse_DropDown[Ackerkulturen])-1)/(--(SEARCH(CE$2,Liste_Ackerkulturen_Gemüse_DropDown[Ackerkulturen])&gt;0)),ROW()-2),1),"")</f>
        <v>Sonnenhut</v>
      </c>
      <c r="CE250" s="2464"/>
      <c r="CF250" s="2464" t="str">
        <f>IFERROR(INDEX(Liste_Ackerkulturen_Gemüse_DropDown[Ackerkulturen],_xlfn.AGGREGATE(15,6,(ROW(Liste_Ackerkulturen_Gemüse_DropDown[Ackerkulturen])-1)/(--(SEARCH(CG$2,Liste_Ackerkulturen_Gemüse_DropDown[Ackerkulturen])&gt;0)),ROW()-2),1),"")</f>
        <v>Sonnenhut</v>
      </c>
      <c r="CG250" s="2464"/>
      <c r="CH250" s="2464" t="str">
        <f>IFERROR(INDEX(Liste_Ackerkulturen_Gemüse_DropDown[Ackerkulturen],_xlfn.AGGREGATE(15,6,(ROW(Liste_Ackerkulturen_Gemüse_DropDown[Ackerkulturen])-1)/(--(SEARCH(CI$2,Liste_Ackerkulturen_Gemüse_DropDown[Ackerkulturen])&gt;0)),ROW()-2),1),"")</f>
        <v>Sonnenhut</v>
      </c>
      <c r="CI250" s="2464"/>
      <c r="CJ250" s="2464" t="str">
        <f>IFERROR(INDEX(Liste_Ackerkulturen_Gemüse_DropDown[Ackerkulturen],_xlfn.AGGREGATE(15,6,(ROW(Liste_Ackerkulturen_Gemüse_DropDown[Ackerkulturen])-1)/(--(SEARCH(CK$2,Liste_Ackerkulturen_Gemüse_DropDown[Ackerkulturen])&gt;0)),ROW()-2),1),"")</f>
        <v>Sonnenhut</v>
      </c>
      <c r="CK250" s="2464"/>
      <c r="CL250" s="2464" t="str">
        <f>IFERROR(INDEX(Liste_Ackerkulturen_Gemüse_DropDown[Ackerkulturen],_xlfn.AGGREGATE(15,6,(ROW(Liste_Ackerkulturen_Gemüse_DropDown[Ackerkulturen])-1)/(--(SEARCH(CM$2,Liste_Ackerkulturen_Gemüse_DropDown[Ackerkulturen])&gt;0)),ROW()-2),1),"")</f>
        <v>Sonnenhut</v>
      </c>
      <c r="CM250" s="2464"/>
      <c r="CN250" s="2464" t="str">
        <f>IFERROR(INDEX(Liste_Ackerkulturen_Gemüse_DropDown[Ackerkulturen],_xlfn.AGGREGATE(15,6,(ROW(Liste_Ackerkulturen_Gemüse_DropDown[Ackerkulturen])-1)/(--(SEARCH(CO$2,Liste_Ackerkulturen_Gemüse_DropDown[Ackerkulturen])&gt;0)),ROW()-2),1),"")</f>
        <v>Sonnenhut</v>
      </c>
      <c r="CO250" s="2464"/>
      <c r="CP250" s="2464" t="str">
        <f>IFERROR(INDEX(Liste_Ackerkulturen_Gemüse_DropDown[Ackerkulturen],_xlfn.AGGREGATE(15,6,(ROW(Liste_Ackerkulturen_Gemüse_DropDown[Ackerkulturen])-1)/(--(SEARCH(CQ$2,Liste_Ackerkulturen_Gemüse_DropDown[Ackerkulturen])&gt;0)),ROW()-2),1),"")</f>
        <v>Sonnenhut</v>
      </c>
      <c r="CQ250" s="2464"/>
      <c r="CR250" s="2464" t="str">
        <f>IFERROR(INDEX(Liste_Ackerkulturen_Gemüse_DropDown[Ackerkulturen],_xlfn.AGGREGATE(15,6,(ROW(Liste_Ackerkulturen_Gemüse_DropDown[Ackerkulturen])-1)/(--(SEARCH(CS$2,Liste_Ackerkulturen_Gemüse_DropDown[Ackerkulturen])&gt;0)),ROW()-2),1),"")</f>
        <v>Sonnenhut</v>
      </c>
      <c r="CS250" s="2464"/>
      <c r="DI250" s="1541"/>
      <c r="DJ250" s="1541"/>
      <c r="DK250" s="1541"/>
      <c r="DL250" s="1541"/>
      <c r="DM250" s="1541"/>
    </row>
    <row r="251" spans="1:117" s="470" customFormat="1" ht="21" customHeight="1">
      <c r="A251" s="465"/>
      <c r="B251" s="465"/>
      <c r="C251" s="1575" t="s">
        <v>239</v>
      </c>
      <c r="D251" s="1576"/>
      <c r="E251" s="1567" t="s">
        <v>66</v>
      </c>
      <c r="F251" s="1568">
        <v>120</v>
      </c>
      <c r="G251" s="1568"/>
      <c r="H251" s="1716" t="s">
        <v>67</v>
      </c>
      <c r="I251" s="1718">
        <v>140</v>
      </c>
      <c r="J251" s="1188" t="s">
        <v>151</v>
      </c>
      <c r="K251" s="1568">
        <v>165</v>
      </c>
      <c r="L251" s="1527">
        <v>100</v>
      </c>
      <c r="M251" s="1528">
        <v>125</v>
      </c>
      <c r="N251" s="1567">
        <v>45</v>
      </c>
      <c r="O251" s="1188">
        <v>40</v>
      </c>
      <c r="P251" s="1568">
        <v>25</v>
      </c>
      <c r="Q251" s="1718">
        <v>30</v>
      </c>
      <c r="R251" s="1568">
        <v>40</v>
      </c>
      <c r="S251" s="1568">
        <v>15</v>
      </c>
      <c r="T251" s="1599" t="s">
        <v>1201</v>
      </c>
      <c r="U251" s="1569">
        <v>210</v>
      </c>
      <c r="V251" s="1570">
        <v>175</v>
      </c>
      <c r="W251" s="1574">
        <v>110</v>
      </c>
      <c r="X251" s="1778">
        <v>140</v>
      </c>
      <c r="Y251" s="1574">
        <v>175</v>
      </c>
      <c r="Z251" s="1568">
        <v>70</v>
      </c>
      <c r="AA251" s="1599" t="s">
        <v>1201</v>
      </c>
      <c r="AB251" s="525"/>
      <c r="AC251" s="525"/>
      <c r="AD251" s="525"/>
      <c r="AE251" s="526"/>
      <c r="AF251" s="1279"/>
      <c r="AG251" s="176"/>
      <c r="AH251" s="176"/>
      <c r="AI251" s="176"/>
      <c r="AJ251" s="473"/>
      <c r="AK251" s="472"/>
      <c r="AL251" s="472"/>
      <c r="AM251" s="2371" t="s">
        <v>402</v>
      </c>
      <c r="AN251" s="2286">
        <v>120</v>
      </c>
      <c r="AO251" s="2308" t="s">
        <v>1201</v>
      </c>
      <c r="AP251" s="2286">
        <v>120</v>
      </c>
      <c r="AQ251" s="2308" t="s">
        <v>1201</v>
      </c>
      <c r="AR251" s="2286">
        <v>120</v>
      </c>
      <c r="AS251" s="2308" t="s">
        <v>1201</v>
      </c>
      <c r="AT251" s="2287">
        <v>120</v>
      </c>
      <c r="AU251" s="2309" t="s">
        <v>1201</v>
      </c>
      <c r="AV251" s="2287">
        <v>120</v>
      </c>
      <c r="AW251" s="2309" t="s">
        <v>1201</v>
      </c>
      <c r="AX251" s="2403">
        <v>110</v>
      </c>
      <c r="AY251" s="2299" t="s">
        <v>1201</v>
      </c>
      <c r="AZ251" s="2298">
        <v>110</v>
      </c>
      <c r="BA251" s="2373" t="s">
        <v>1201</v>
      </c>
      <c r="BE251" s="2371" t="s">
        <v>402</v>
      </c>
      <c r="BF251" s="2404">
        <v>60</v>
      </c>
      <c r="BG251" s="2404">
        <v>60</v>
      </c>
      <c r="BH251" s="2404">
        <v>60</v>
      </c>
      <c r="BJ251" s="2371" t="s">
        <v>402</v>
      </c>
      <c r="BK251" s="578">
        <v>150</v>
      </c>
      <c r="BL251" s="577">
        <v>150</v>
      </c>
      <c r="BM251" s="577">
        <v>150</v>
      </c>
      <c r="BN251" s="2407"/>
      <c r="BO251" s="2402"/>
      <c r="BP251" s="2244"/>
      <c r="BQ251" s="2244"/>
      <c r="BR251" s="2244"/>
      <c r="BS251" s="2461" t="s">
        <v>404</v>
      </c>
      <c r="BT251" s="2463" t="str">
        <f>IFERROR(INDEX(Liste_Ackerkulturen_Gemüse_DropDown[Ackerkulturen],_xlfn.AGGREGATE(15,6,(ROW(Liste_Ackerkulturen_Gemüse_DropDown[Ackerkulturen])-1)/(--(SEARCH(BU$2,Liste_Ackerkulturen_Gemüse_DropDown[Ackerkulturen])&gt;0)),ROW()-2),1),"")</f>
        <v>Spitzwegerich</v>
      </c>
      <c r="BU251" s="2463"/>
      <c r="BV251" s="2463" t="str">
        <f>IFERROR(INDEX(Liste_Ackerkulturen_Gemüse_DropDown[Ackerkulturen],_xlfn.AGGREGATE(15,6,(ROW(Liste_Ackerkulturen_Gemüse_DropDown[Ackerkulturen])-1)/(--(SEARCH(BW$2,Liste_Ackerkulturen_Gemüse_DropDown[Ackerkulturen])&gt;0)),ROW()-2),1),"")</f>
        <v>Spitzwegerich</v>
      </c>
      <c r="BW251" s="2463"/>
      <c r="BX251" s="2463" t="str">
        <f>IFERROR(INDEX(Liste_Ackerkulturen_Gemüse_DropDown[Ackerkulturen],_xlfn.AGGREGATE(15,6,(ROW(Liste_Ackerkulturen_Gemüse_DropDown[Ackerkulturen])-1)/(--(SEARCH(BY$2,Liste_Ackerkulturen_Gemüse_DropDown[Ackerkulturen])&gt;0)),ROW()-2),1),"")</f>
        <v>Spitzwegerich</v>
      </c>
      <c r="BY251" s="2463"/>
      <c r="BZ251" s="2463" t="str">
        <f>IFERROR(INDEX(Liste_Ackerkulturen_Gemüse_DropDown[Ackerkulturen],_xlfn.AGGREGATE(15,6,(ROW(Liste_Ackerkulturen_Gemüse_DropDown[Ackerkulturen])-1)/(--(SEARCH(CA$2,Liste_Ackerkulturen_Gemüse_DropDown[Ackerkulturen])&gt;0)),ROW()-2),1),"")</f>
        <v>Spitzwegerich</v>
      </c>
      <c r="CA251" s="2463"/>
      <c r="CB251" s="2463" t="str">
        <f>IFERROR(INDEX(Liste_Ackerkulturen_Gemüse_DropDown[Ackerkulturen],_xlfn.AGGREGATE(15,6,(ROW(Liste_Ackerkulturen_Gemüse_DropDown[Ackerkulturen])-1)/(--(SEARCH(CC$2,Liste_Ackerkulturen_Gemüse_DropDown[Ackerkulturen])&gt;0)),ROW()-2),1),"")</f>
        <v>Spitzwegerich</v>
      </c>
      <c r="CC251" s="2463"/>
      <c r="CD251" s="2464" t="str">
        <f>IFERROR(INDEX(Liste_Ackerkulturen_Gemüse_DropDown[Ackerkulturen],_xlfn.AGGREGATE(15,6,(ROW(Liste_Ackerkulturen_Gemüse_DropDown[Ackerkulturen])-1)/(--(SEARCH(CE$2,Liste_Ackerkulturen_Gemüse_DropDown[Ackerkulturen])&gt;0)),ROW()-2),1),"")</f>
        <v>Spitzwegerich</v>
      </c>
      <c r="CE251" s="2464"/>
      <c r="CF251" s="2464" t="str">
        <f>IFERROR(INDEX(Liste_Ackerkulturen_Gemüse_DropDown[Ackerkulturen],_xlfn.AGGREGATE(15,6,(ROW(Liste_Ackerkulturen_Gemüse_DropDown[Ackerkulturen])-1)/(--(SEARCH(CG$2,Liste_Ackerkulturen_Gemüse_DropDown[Ackerkulturen])&gt;0)),ROW()-2),1),"")</f>
        <v>Spitzwegerich</v>
      </c>
      <c r="CG251" s="2464"/>
      <c r="CH251" s="2464" t="str">
        <f>IFERROR(INDEX(Liste_Ackerkulturen_Gemüse_DropDown[Ackerkulturen],_xlfn.AGGREGATE(15,6,(ROW(Liste_Ackerkulturen_Gemüse_DropDown[Ackerkulturen])-1)/(--(SEARCH(CI$2,Liste_Ackerkulturen_Gemüse_DropDown[Ackerkulturen])&gt;0)),ROW()-2),1),"")</f>
        <v>Spitzwegerich</v>
      </c>
      <c r="CI251" s="2464"/>
      <c r="CJ251" s="2464" t="str">
        <f>IFERROR(INDEX(Liste_Ackerkulturen_Gemüse_DropDown[Ackerkulturen],_xlfn.AGGREGATE(15,6,(ROW(Liste_Ackerkulturen_Gemüse_DropDown[Ackerkulturen])-1)/(--(SEARCH(CK$2,Liste_Ackerkulturen_Gemüse_DropDown[Ackerkulturen])&gt;0)),ROW()-2),1),"")</f>
        <v>Spitzwegerich</v>
      </c>
      <c r="CK251" s="2464"/>
      <c r="CL251" s="2464" t="str">
        <f>IFERROR(INDEX(Liste_Ackerkulturen_Gemüse_DropDown[Ackerkulturen],_xlfn.AGGREGATE(15,6,(ROW(Liste_Ackerkulturen_Gemüse_DropDown[Ackerkulturen])-1)/(--(SEARCH(CM$2,Liste_Ackerkulturen_Gemüse_DropDown[Ackerkulturen])&gt;0)),ROW()-2),1),"")</f>
        <v>Spitzwegerich</v>
      </c>
      <c r="CM251" s="2464"/>
      <c r="CN251" s="2464" t="str">
        <f>IFERROR(INDEX(Liste_Ackerkulturen_Gemüse_DropDown[Ackerkulturen],_xlfn.AGGREGATE(15,6,(ROW(Liste_Ackerkulturen_Gemüse_DropDown[Ackerkulturen])-1)/(--(SEARCH(CO$2,Liste_Ackerkulturen_Gemüse_DropDown[Ackerkulturen])&gt;0)),ROW()-2),1),"")</f>
        <v>Spitzwegerich</v>
      </c>
      <c r="CO251" s="2464"/>
      <c r="CP251" s="2464" t="str">
        <f>IFERROR(INDEX(Liste_Ackerkulturen_Gemüse_DropDown[Ackerkulturen],_xlfn.AGGREGATE(15,6,(ROW(Liste_Ackerkulturen_Gemüse_DropDown[Ackerkulturen])-1)/(--(SEARCH(CQ$2,Liste_Ackerkulturen_Gemüse_DropDown[Ackerkulturen])&gt;0)),ROW()-2),1),"")</f>
        <v>Spitzwegerich</v>
      </c>
      <c r="CQ251" s="2464"/>
      <c r="CR251" s="2464" t="str">
        <f>IFERROR(INDEX(Liste_Ackerkulturen_Gemüse_DropDown[Ackerkulturen],_xlfn.AGGREGATE(15,6,(ROW(Liste_Ackerkulturen_Gemüse_DropDown[Ackerkulturen])-1)/(--(SEARCH(CS$2,Liste_Ackerkulturen_Gemüse_DropDown[Ackerkulturen])&gt;0)),ROW()-2),1),"")</f>
        <v>Spitzwegerich</v>
      </c>
      <c r="CS251" s="2464"/>
      <c r="DI251" s="1541"/>
      <c r="DJ251" s="1541"/>
      <c r="DK251" s="1541"/>
      <c r="DL251" s="1541"/>
      <c r="DM251" s="1541"/>
    </row>
    <row r="252" spans="1:117" s="470" customFormat="1" ht="21" customHeight="1">
      <c r="A252" s="465"/>
      <c r="B252" s="465"/>
      <c r="C252" s="1575" t="s">
        <v>240</v>
      </c>
      <c r="D252" s="1576"/>
      <c r="E252" s="1567" t="s">
        <v>462</v>
      </c>
      <c r="F252" s="1568">
        <v>105</v>
      </c>
      <c r="G252" s="1568"/>
      <c r="H252" s="1716" t="s">
        <v>1057</v>
      </c>
      <c r="I252" s="1718">
        <v>120</v>
      </c>
      <c r="J252" s="1188" t="s">
        <v>224</v>
      </c>
      <c r="K252" s="1568">
        <v>140</v>
      </c>
      <c r="L252" s="1527">
        <v>80</v>
      </c>
      <c r="M252" s="1528">
        <v>100</v>
      </c>
      <c r="N252" s="1567">
        <v>30</v>
      </c>
      <c r="O252" s="1188">
        <v>25</v>
      </c>
      <c r="P252" s="1568">
        <v>15</v>
      </c>
      <c r="Q252" s="1718">
        <v>20</v>
      </c>
      <c r="R252" s="1568">
        <v>25</v>
      </c>
      <c r="S252" s="1568">
        <v>10</v>
      </c>
      <c r="T252" s="1599" t="s">
        <v>1201</v>
      </c>
      <c r="U252" s="1569">
        <v>150</v>
      </c>
      <c r="V252" s="1570">
        <v>125</v>
      </c>
      <c r="W252" s="1574">
        <v>80</v>
      </c>
      <c r="X252" s="1778">
        <v>100</v>
      </c>
      <c r="Y252" s="1574">
        <v>125</v>
      </c>
      <c r="Z252" s="1568">
        <v>50</v>
      </c>
      <c r="AA252" s="1599" t="s">
        <v>1201</v>
      </c>
      <c r="AB252" s="525"/>
      <c r="AC252" s="525"/>
      <c r="AD252" s="525"/>
      <c r="AE252" s="526"/>
      <c r="AF252" s="1279"/>
      <c r="AG252" s="176"/>
      <c r="AH252" s="176"/>
      <c r="AI252" s="176"/>
      <c r="AJ252" s="473"/>
      <c r="AK252" s="472"/>
      <c r="AL252" s="472"/>
      <c r="AM252" s="2371" t="s">
        <v>403</v>
      </c>
      <c r="AN252" s="2286">
        <v>120</v>
      </c>
      <c r="AO252" s="2308" t="s">
        <v>1201</v>
      </c>
      <c r="AP252" s="2286">
        <v>120</v>
      </c>
      <c r="AQ252" s="2308" t="s">
        <v>1201</v>
      </c>
      <c r="AR252" s="2286">
        <v>120</v>
      </c>
      <c r="AS252" s="2308" t="s">
        <v>1201</v>
      </c>
      <c r="AT252" s="2287">
        <v>120</v>
      </c>
      <c r="AU252" s="2309" t="s">
        <v>1201</v>
      </c>
      <c r="AV252" s="2287">
        <v>120</v>
      </c>
      <c r="AW252" s="2309" t="s">
        <v>1201</v>
      </c>
      <c r="AX252" s="2403">
        <v>80</v>
      </c>
      <c r="AY252" s="2299" t="s">
        <v>1201</v>
      </c>
      <c r="AZ252" s="2298">
        <v>80</v>
      </c>
      <c r="BA252" s="2373" t="s">
        <v>1201</v>
      </c>
      <c r="BE252" s="2371" t="s">
        <v>403</v>
      </c>
      <c r="BF252" s="2404">
        <v>50</v>
      </c>
      <c r="BG252" s="2404">
        <v>50</v>
      </c>
      <c r="BH252" s="2404">
        <v>50</v>
      </c>
      <c r="BJ252" s="2371" t="s">
        <v>403</v>
      </c>
      <c r="BK252" s="578">
        <v>90</v>
      </c>
      <c r="BL252" s="577">
        <v>90</v>
      </c>
      <c r="BM252" s="577">
        <v>90</v>
      </c>
      <c r="BN252" s="2407"/>
      <c r="BO252" s="2402"/>
      <c r="BP252" s="2244"/>
      <c r="BQ252" s="2244"/>
      <c r="BR252" s="2244"/>
      <c r="BS252" s="2461" t="s">
        <v>405</v>
      </c>
      <c r="BT252" s="2463" t="str">
        <f>IFERROR(INDEX(Liste_Ackerkulturen_Gemüse_DropDown[Ackerkulturen],_xlfn.AGGREGATE(15,6,(ROW(Liste_Ackerkulturen_Gemüse_DropDown[Ackerkulturen])-1)/(--(SEARCH(BU$2,Liste_Ackerkulturen_Gemüse_DropDown[Ackerkulturen])&gt;0)),ROW()-2),1),"")</f>
        <v>Stechapfel</v>
      </c>
      <c r="BU252" s="2463"/>
      <c r="BV252" s="2463" t="str">
        <f>IFERROR(INDEX(Liste_Ackerkulturen_Gemüse_DropDown[Ackerkulturen],_xlfn.AGGREGATE(15,6,(ROW(Liste_Ackerkulturen_Gemüse_DropDown[Ackerkulturen])-1)/(--(SEARCH(BW$2,Liste_Ackerkulturen_Gemüse_DropDown[Ackerkulturen])&gt;0)),ROW()-2),1),"")</f>
        <v>Stechapfel</v>
      </c>
      <c r="BW252" s="2463"/>
      <c r="BX252" s="2463" t="str">
        <f>IFERROR(INDEX(Liste_Ackerkulturen_Gemüse_DropDown[Ackerkulturen],_xlfn.AGGREGATE(15,6,(ROW(Liste_Ackerkulturen_Gemüse_DropDown[Ackerkulturen])-1)/(--(SEARCH(BY$2,Liste_Ackerkulturen_Gemüse_DropDown[Ackerkulturen])&gt;0)),ROW()-2),1),"")</f>
        <v>Stechapfel</v>
      </c>
      <c r="BY252" s="2463"/>
      <c r="BZ252" s="2463" t="str">
        <f>IFERROR(INDEX(Liste_Ackerkulturen_Gemüse_DropDown[Ackerkulturen],_xlfn.AGGREGATE(15,6,(ROW(Liste_Ackerkulturen_Gemüse_DropDown[Ackerkulturen])-1)/(--(SEARCH(CA$2,Liste_Ackerkulturen_Gemüse_DropDown[Ackerkulturen])&gt;0)),ROW()-2),1),"")</f>
        <v>Stechapfel</v>
      </c>
      <c r="CA252" s="2463"/>
      <c r="CB252" s="2463" t="str">
        <f>IFERROR(INDEX(Liste_Ackerkulturen_Gemüse_DropDown[Ackerkulturen],_xlfn.AGGREGATE(15,6,(ROW(Liste_Ackerkulturen_Gemüse_DropDown[Ackerkulturen])-1)/(--(SEARCH(CC$2,Liste_Ackerkulturen_Gemüse_DropDown[Ackerkulturen])&gt;0)),ROW()-2),1),"")</f>
        <v>Stechapfel</v>
      </c>
      <c r="CC252" s="2463"/>
      <c r="CD252" s="2464" t="str">
        <f>IFERROR(INDEX(Liste_Ackerkulturen_Gemüse_DropDown[Ackerkulturen],_xlfn.AGGREGATE(15,6,(ROW(Liste_Ackerkulturen_Gemüse_DropDown[Ackerkulturen])-1)/(--(SEARCH(CE$2,Liste_Ackerkulturen_Gemüse_DropDown[Ackerkulturen])&gt;0)),ROW()-2),1),"")</f>
        <v>Stechapfel</v>
      </c>
      <c r="CE252" s="2464"/>
      <c r="CF252" s="2464" t="str">
        <f>IFERROR(INDEX(Liste_Ackerkulturen_Gemüse_DropDown[Ackerkulturen],_xlfn.AGGREGATE(15,6,(ROW(Liste_Ackerkulturen_Gemüse_DropDown[Ackerkulturen])-1)/(--(SEARCH(CG$2,Liste_Ackerkulturen_Gemüse_DropDown[Ackerkulturen])&gt;0)),ROW()-2),1),"")</f>
        <v>Stechapfel</v>
      </c>
      <c r="CG252" s="2464"/>
      <c r="CH252" s="2464" t="str">
        <f>IFERROR(INDEX(Liste_Ackerkulturen_Gemüse_DropDown[Ackerkulturen],_xlfn.AGGREGATE(15,6,(ROW(Liste_Ackerkulturen_Gemüse_DropDown[Ackerkulturen])-1)/(--(SEARCH(CI$2,Liste_Ackerkulturen_Gemüse_DropDown[Ackerkulturen])&gt;0)),ROW()-2),1),"")</f>
        <v>Stechapfel</v>
      </c>
      <c r="CI252" s="2464"/>
      <c r="CJ252" s="2464" t="str">
        <f>IFERROR(INDEX(Liste_Ackerkulturen_Gemüse_DropDown[Ackerkulturen],_xlfn.AGGREGATE(15,6,(ROW(Liste_Ackerkulturen_Gemüse_DropDown[Ackerkulturen])-1)/(--(SEARCH(CK$2,Liste_Ackerkulturen_Gemüse_DropDown[Ackerkulturen])&gt;0)),ROW()-2),1),"")</f>
        <v>Stechapfel</v>
      </c>
      <c r="CK252" s="2464"/>
      <c r="CL252" s="2464" t="str">
        <f>IFERROR(INDEX(Liste_Ackerkulturen_Gemüse_DropDown[Ackerkulturen],_xlfn.AGGREGATE(15,6,(ROW(Liste_Ackerkulturen_Gemüse_DropDown[Ackerkulturen])-1)/(--(SEARCH(CM$2,Liste_Ackerkulturen_Gemüse_DropDown[Ackerkulturen])&gt;0)),ROW()-2),1),"")</f>
        <v>Stechapfel</v>
      </c>
      <c r="CM252" s="2464"/>
      <c r="CN252" s="2464" t="str">
        <f>IFERROR(INDEX(Liste_Ackerkulturen_Gemüse_DropDown[Ackerkulturen],_xlfn.AGGREGATE(15,6,(ROW(Liste_Ackerkulturen_Gemüse_DropDown[Ackerkulturen])-1)/(--(SEARCH(CO$2,Liste_Ackerkulturen_Gemüse_DropDown[Ackerkulturen])&gt;0)),ROW()-2),1),"")</f>
        <v>Stechapfel</v>
      </c>
      <c r="CO252" s="2464"/>
      <c r="CP252" s="2464" t="str">
        <f>IFERROR(INDEX(Liste_Ackerkulturen_Gemüse_DropDown[Ackerkulturen],_xlfn.AGGREGATE(15,6,(ROW(Liste_Ackerkulturen_Gemüse_DropDown[Ackerkulturen])-1)/(--(SEARCH(CQ$2,Liste_Ackerkulturen_Gemüse_DropDown[Ackerkulturen])&gt;0)),ROW()-2),1),"")</f>
        <v>Stechapfel</v>
      </c>
      <c r="CQ252" s="2464"/>
      <c r="CR252" s="2464" t="str">
        <f>IFERROR(INDEX(Liste_Ackerkulturen_Gemüse_DropDown[Ackerkulturen],_xlfn.AGGREGATE(15,6,(ROW(Liste_Ackerkulturen_Gemüse_DropDown[Ackerkulturen])-1)/(--(SEARCH(CS$2,Liste_Ackerkulturen_Gemüse_DropDown[Ackerkulturen])&gt;0)),ROW()-2),1),"")</f>
        <v>Stechapfel</v>
      </c>
      <c r="CS252" s="2464"/>
      <c r="DI252" s="1541"/>
      <c r="DJ252" s="1541"/>
      <c r="DK252" s="1541"/>
      <c r="DL252" s="1541"/>
      <c r="DM252" s="1541"/>
    </row>
    <row r="253" spans="1:117" s="470" customFormat="1" ht="21" customHeight="1">
      <c r="A253" s="465"/>
      <c r="B253" s="465"/>
      <c r="C253" s="1575" t="s">
        <v>241</v>
      </c>
      <c r="D253" s="1576"/>
      <c r="E253" s="1567" t="s">
        <v>462</v>
      </c>
      <c r="F253" s="1568">
        <v>105</v>
      </c>
      <c r="G253" s="1568"/>
      <c r="H253" s="1716" t="s">
        <v>463</v>
      </c>
      <c r="I253" s="1718">
        <v>120</v>
      </c>
      <c r="J253" s="1188" t="s">
        <v>464</v>
      </c>
      <c r="K253" s="1568">
        <v>140</v>
      </c>
      <c r="L253" s="1527">
        <v>80</v>
      </c>
      <c r="M253" s="1528">
        <v>100</v>
      </c>
      <c r="N253" s="1567">
        <v>30</v>
      </c>
      <c r="O253" s="1188">
        <v>25</v>
      </c>
      <c r="P253" s="1568">
        <v>15</v>
      </c>
      <c r="Q253" s="1718">
        <v>20</v>
      </c>
      <c r="R253" s="1568">
        <v>25</v>
      </c>
      <c r="S253" s="1568">
        <v>10</v>
      </c>
      <c r="T253" s="1599" t="s">
        <v>1201</v>
      </c>
      <c r="U253" s="1569">
        <v>150</v>
      </c>
      <c r="V253" s="1570">
        <v>125</v>
      </c>
      <c r="W253" s="1574">
        <v>80</v>
      </c>
      <c r="X253" s="1778">
        <v>100</v>
      </c>
      <c r="Y253" s="1574">
        <v>125</v>
      </c>
      <c r="Z253" s="1568">
        <v>50</v>
      </c>
      <c r="AA253" s="1599" t="s">
        <v>1201</v>
      </c>
      <c r="AB253" s="525"/>
      <c r="AC253" s="525"/>
      <c r="AD253" s="525"/>
      <c r="AE253" s="526"/>
      <c r="AF253" s="1279"/>
      <c r="AG253" s="176"/>
      <c r="AH253" s="176"/>
      <c r="AI253" s="176"/>
      <c r="AJ253" s="473"/>
      <c r="AK253" s="472"/>
      <c r="AL253" s="472"/>
      <c r="AM253" s="2371" t="s">
        <v>404</v>
      </c>
      <c r="AN253" s="2286">
        <v>120</v>
      </c>
      <c r="AO253" s="2308" t="s">
        <v>1201</v>
      </c>
      <c r="AP253" s="2286">
        <v>120</v>
      </c>
      <c r="AQ253" s="2308" t="s">
        <v>1201</v>
      </c>
      <c r="AR253" s="2286">
        <v>120</v>
      </c>
      <c r="AS253" s="2308" t="s">
        <v>1201</v>
      </c>
      <c r="AT253" s="2287">
        <v>120</v>
      </c>
      <c r="AU253" s="2309" t="s">
        <v>1201</v>
      </c>
      <c r="AV253" s="2287">
        <v>120</v>
      </c>
      <c r="AW253" s="2309" t="s">
        <v>1201</v>
      </c>
      <c r="AX253" s="2403">
        <v>100</v>
      </c>
      <c r="AY253" s="2299" t="s">
        <v>1201</v>
      </c>
      <c r="AZ253" s="2298">
        <v>100</v>
      </c>
      <c r="BA253" s="2373" t="s">
        <v>1201</v>
      </c>
      <c r="BE253" s="2371" t="s">
        <v>404</v>
      </c>
      <c r="BF253" s="2404">
        <v>55</v>
      </c>
      <c r="BG253" s="2404">
        <v>55</v>
      </c>
      <c r="BH253" s="2404">
        <v>55</v>
      </c>
      <c r="BJ253" s="2371" t="s">
        <v>404</v>
      </c>
      <c r="BK253" s="578">
        <v>150</v>
      </c>
      <c r="BL253" s="577">
        <v>150</v>
      </c>
      <c r="BM253" s="577">
        <v>150</v>
      </c>
      <c r="BN253" s="2407"/>
      <c r="BO253" s="2402"/>
      <c r="BP253" s="2244"/>
      <c r="BQ253" s="2244"/>
      <c r="BR253" s="2244"/>
      <c r="BS253" s="2461" t="s">
        <v>406</v>
      </c>
      <c r="BT253" s="2463" t="str">
        <f>IFERROR(INDEX(Liste_Ackerkulturen_Gemüse_DropDown[Ackerkulturen],_xlfn.AGGREGATE(15,6,(ROW(Liste_Ackerkulturen_Gemüse_DropDown[Ackerkulturen])-1)/(--(SEARCH(BU$2,Liste_Ackerkulturen_Gemüse_DropDown[Ackerkulturen])&gt;0)),ROW()-2),1),"")</f>
        <v>Steinklee</v>
      </c>
      <c r="BU253" s="2463"/>
      <c r="BV253" s="2463" t="str">
        <f>IFERROR(INDEX(Liste_Ackerkulturen_Gemüse_DropDown[Ackerkulturen],_xlfn.AGGREGATE(15,6,(ROW(Liste_Ackerkulturen_Gemüse_DropDown[Ackerkulturen])-1)/(--(SEARCH(BW$2,Liste_Ackerkulturen_Gemüse_DropDown[Ackerkulturen])&gt;0)),ROW()-2),1),"")</f>
        <v>Steinklee</v>
      </c>
      <c r="BW253" s="2463"/>
      <c r="BX253" s="2463" t="str">
        <f>IFERROR(INDEX(Liste_Ackerkulturen_Gemüse_DropDown[Ackerkulturen],_xlfn.AGGREGATE(15,6,(ROW(Liste_Ackerkulturen_Gemüse_DropDown[Ackerkulturen])-1)/(--(SEARCH(BY$2,Liste_Ackerkulturen_Gemüse_DropDown[Ackerkulturen])&gt;0)),ROW()-2),1),"")</f>
        <v>Steinklee</v>
      </c>
      <c r="BY253" s="2463"/>
      <c r="BZ253" s="2463" t="str">
        <f>IFERROR(INDEX(Liste_Ackerkulturen_Gemüse_DropDown[Ackerkulturen],_xlfn.AGGREGATE(15,6,(ROW(Liste_Ackerkulturen_Gemüse_DropDown[Ackerkulturen])-1)/(--(SEARCH(CA$2,Liste_Ackerkulturen_Gemüse_DropDown[Ackerkulturen])&gt;0)),ROW()-2),1),"")</f>
        <v>Steinklee</v>
      </c>
      <c r="CA253" s="2463"/>
      <c r="CB253" s="2463" t="str">
        <f>IFERROR(INDEX(Liste_Ackerkulturen_Gemüse_DropDown[Ackerkulturen],_xlfn.AGGREGATE(15,6,(ROW(Liste_Ackerkulturen_Gemüse_DropDown[Ackerkulturen])-1)/(--(SEARCH(CC$2,Liste_Ackerkulturen_Gemüse_DropDown[Ackerkulturen])&gt;0)),ROW()-2),1),"")</f>
        <v>Steinklee</v>
      </c>
      <c r="CC253" s="2463"/>
      <c r="CD253" s="2464" t="str">
        <f>IFERROR(INDEX(Liste_Ackerkulturen_Gemüse_DropDown[Ackerkulturen],_xlfn.AGGREGATE(15,6,(ROW(Liste_Ackerkulturen_Gemüse_DropDown[Ackerkulturen])-1)/(--(SEARCH(CE$2,Liste_Ackerkulturen_Gemüse_DropDown[Ackerkulturen])&gt;0)),ROW()-2),1),"")</f>
        <v>Steinklee</v>
      </c>
      <c r="CE253" s="2464"/>
      <c r="CF253" s="2464" t="str">
        <f>IFERROR(INDEX(Liste_Ackerkulturen_Gemüse_DropDown[Ackerkulturen],_xlfn.AGGREGATE(15,6,(ROW(Liste_Ackerkulturen_Gemüse_DropDown[Ackerkulturen])-1)/(--(SEARCH(CG$2,Liste_Ackerkulturen_Gemüse_DropDown[Ackerkulturen])&gt;0)),ROW()-2),1),"")</f>
        <v>Steinklee</v>
      </c>
      <c r="CG253" s="2464"/>
      <c r="CH253" s="2464" t="str">
        <f>IFERROR(INDEX(Liste_Ackerkulturen_Gemüse_DropDown[Ackerkulturen],_xlfn.AGGREGATE(15,6,(ROW(Liste_Ackerkulturen_Gemüse_DropDown[Ackerkulturen])-1)/(--(SEARCH(CI$2,Liste_Ackerkulturen_Gemüse_DropDown[Ackerkulturen])&gt;0)),ROW()-2),1),"")</f>
        <v>Steinklee</v>
      </c>
      <c r="CI253" s="2464"/>
      <c r="CJ253" s="2464" t="str">
        <f>IFERROR(INDEX(Liste_Ackerkulturen_Gemüse_DropDown[Ackerkulturen],_xlfn.AGGREGATE(15,6,(ROW(Liste_Ackerkulturen_Gemüse_DropDown[Ackerkulturen])-1)/(--(SEARCH(CK$2,Liste_Ackerkulturen_Gemüse_DropDown[Ackerkulturen])&gt;0)),ROW()-2),1),"")</f>
        <v>Steinklee</v>
      </c>
      <c r="CK253" s="2464"/>
      <c r="CL253" s="2464" t="str">
        <f>IFERROR(INDEX(Liste_Ackerkulturen_Gemüse_DropDown[Ackerkulturen],_xlfn.AGGREGATE(15,6,(ROW(Liste_Ackerkulturen_Gemüse_DropDown[Ackerkulturen])-1)/(--(SEARCH(CM$2,Liste_Ackerkulturen_Gemüse_DropDown[Ackerkulturen])&gt;0)),ROW()-2),1),"")</f>
        <v>Steinklee</v>
      </c>
      <c r="CM253" s="2464"/>
      <c r="CN253" s="2464" t="str">
        <f>IFERROR(INDEX(Liste_Ackerkulturen_Gemüse_DropDown[Ackerkulturen],_xlfn.AGGREGATE(15,6,(ROW(Liste_Ackerkulturen_Gemüse_DropDown[Ackerkulturen])-1)/(--(SEARCH(CO$2,Liste_Ackerkulturen_Gemüse_DropDown[Ackerkulturen])&gt;0)),ROW()-2),1),"")</f>
        <v>Steinklee</v>
      </c>
      <c r="CO253" s="2464"/>
      <c r="CP253" s="2464" t="str">
        <f>IFERROR(INDEX(Liste_Ackerkulturen_Gemüse_DropDown[Ackerkulturen],_xlfn.AGGREGATE(15,6,(ROW(Liste_Ackerkulturen_Gemüse_DropDown[Ackerkulturen])-1)/(--(SEARCH(CQ$2,Liste_Ackerkulturen_Gemüse_DropDown[Ackerkulturen])&gt;0)),ROW()-2),1),"")</f>
        <v>Steinklee</v>
      </c>
      <c r="CQ253" s="2464"/>
      <c r="CR253" s="2464" t="str">
        <f>IFERROR(INDEX(Liste_Ackerkulturen_Gemüse_DropDown[Ackerkulturen],_xlfn.AGGREGATE(15,6,(ROW(Liste_Ackerkulturen_Gemüse_DropDown[Ackerkulturen])-1)/(--(SEARCH(CS$2,Liste_Ackerkulturen_Gemüse_DropDown[Ackerkulturen])&gt;0)),ROW()-2),1),"")</f>
        <v>Steinklee</v>
      </c>
      <c r="CS253" s="2464"/>
      <c r="DI253" s="1541"/>
      <c r="DJ253" s="1541"/>
      <c r="DK253" s="1541"/>
      <c r="DL253" s="1541"/>
      <c r="DM253" s="1541"/>
    </row>
    <row r="254" spans="1:117" s="470" customFormat="1" ht="21" customHeight="1">
      <c r="A254" s="465"/>
      <c r="B254" s="465"/>
      <c r="C254" s="1575" t="s">
        <v>242</v>
      </c>
      <c r="D254" s="1576"/>
      <c r="E254" s="1567" t="s">
        <v>462</v>
      </c>
      <c r="F254" s="1568">
        <v>105</v>
      </c>
      <c r="G254" s="1568"/>
      <c r="H254" s="1716" t="s">
        <v>463</v>
      </c>
      <c r="I254" s="1718">
        <v>120</v>
      </c>
      <c r="J254" s="1188" t="s">
        <v>464</v>
      </c>
      <c r="K254" s="1568">
        <v>140</v>
      </c>
      <c r="L254" s="1527">
        <v>80</v>
      </c>
      <c r="M254" s="1528">
        <v>100</v>
      </c>
      <c r="N254" s="1567">
        <v>30</v>
      </c>
      <c r="O254" s="1188">
        <v>25</v>
      </c>
      <c r="P254" s="1568">
        <v>15</v>
      </c>
      <c r="Q254" s="1718">
        <v>20</v>
      </c>
      <c r="R254" s="1568">
        <v>25</v>
      </c>
      <c r="S254" s="1568">
        <v>10</v>
      </c>
      <c r="T254" s="1599" t="s">
        <v>1201</v>
      </c>
      <c r="U254" s="1569">
        <v>150</v>
      </c>
      <c r="V254" s="1570">
        <v>125</v>
      </c>
      <c r="W254" s="1574">
        <v>80</v>
      </c>
      <c r="X254" s="1778">
        <v>100</v>
      </c>
      <c r="Y254" s="1574">
        <v>125</v>
      </c>
      <c r="Z254" s="1568">
        <v>50</v>
      </c>
      <c r="AA254" s="1599" t="s">
        <v>1201</v>
      </c>
      <c r="AB254" s="525"/>
      <c r="AC254" s="525"/>
      <c r="AD254" s="525"/>
      <c r="AE254" s="526"/>
      <c r="AF254" s="1279"/>
      <c r="AG254" s="176"/>
      <c r="AH254" s="176"/>
      <c r="AI254" s="176"/>
      <c r="AJ254" s="473"/>
      <c r="AK254" s="472"/>
      <c r="AL254" s="472"/>
      <c r="AM254" s="2371" t="s">
        <v>405</v>
      </c>
      <c r="AN254" s="2286">
        <v>0</v>
      </c>
      <c r="AO254" s="2308" t="s">
        <v>1201</v>
      </c>
      <c r="AP254" s="2286">
        <v>0</v>
      </c>
      <c r="AQ254" s="2308" t="s">
        <v>1201</v>
      </c>
      <c r="AR254" s="2286">
        <v>0</v>
      </c>
      <c r="AS254" s="2308" t="s">
        <v>1201</v>
      </c>
      <c r="AT254" s="2287">
        <v>0</v>
      </c>
      <c r="AU254" s="2309" t="s">
        <v>1201</v>
      </c>
      <c r="AV254" s="2287">
        <v>0</v>
      </c>
      <c r="AW254" s="2309" t="s">
        <v>1201</v>
      </c>
      <c r="AX254" s="2403">
        <v>0</v>
      </c>
      <c r="AY254" s="2299" t="s">
        <v>1201</v>
      </c>
      <c r="AZ254" s="2298">
        <v>0</v>
      </c>
      <c r="BA254" s="2373" t="s">
        <v>1201</v>
      </c>
      <c r="BE254" s="2371" t="s">
        <v>405</v>
      </c>
      <c r="BF254" s="2404">
        <v>50</v>
      </c>
      <c r="BG254" s="2404">
        <v>50</v>
      </c>
      <c r="BH254" s="2404">
        <v>50</v>
      </c>
      <c r="BJ254" s="2371" t="s">
        <v>405</v>
      </c>
      <c r="BK254" s="578">
        <v>200</v>
      </c>
      <c r="BL254" s="577">
        <v>200</v>
      </c>
      <c r="BM254" s="577">
        <v>200</v>
      </c>
      <c r="BN254" s="2407"/>
      <c r="BO254" s="2402"/>
      <c r="BP254" s="2244"/>
      <c r="BQ254" s="2244"/>
      <c r="BR254" s="2244"/>
      <c r="BS254" s="2461" t="s">
        <v>407</v>
      </c>
      <c r="BT254" s="2463" t="str">
        <f>IFERROR(INDEX(Liste_Ackerkulturen_Gemüse_DropDown[Ackerkulturen],_xlfn.AGGREGATE(15,6,(ROW(Liste_Ackerkulturen_Gemüse_DropDown[Ackerkulturen])-1)/(--(SEARCH(BU$2,Liste_Ackerkulturen_Gemüse_DropDown[Ackerkulturen])&gt;0)),ROW()-2),1),"")</f>
        <v>Studentenblume</v>
      </c>
      <c r="BU254" s="2463"/>
      <c r="BV254" s="2463" t="str">
        <f>IFERROR(INDEX(Liste_Ackerkulturen_Gemüse_DropDown[Ackerkulturen],_xlfn.AGGREGATE(15,6,(ROW(Liste_Ackerkulturen_Gemüse_DropDown[Ackerkulturen])-1)/(--(SEARCH(BW$2,Liste_Ackerkulturen_Gemüse_DropDown[Ackerkulturen])&gt;0)),ROW()-2),1),"")</f>
        <v>Studentenblume</v>
      </c>
      <c r="BW254" s="2463"/>
      <c r="BX254" s="2463" t="str">
        <f>IFERROR(INDEX(Liste_Ackerkulturen_Gemüse_DropDown[Ackerkulturen],_xlfn.AGGREGATE(15,6,(ROW(Liste_Ackerkulturen_Gemüse_DropDown[Ackerkulturen])-1)/(--(SEARCH(BY$2,Liste_Ackerkulturen_Gemüse_DropDown[Ackerkulturen])&gt;0)),ROW()-2),1),"")</f>
        <v>Studentenblume</v>
      </c>
      <c r="BY254" s="2463"/>
      <c r="BZ254" s="2463" t="str">
        <f>IFERROR(INDEX(Liste_Ackerkulturen_Gemüse_DropDown[Ackerkulturen],_xlfn.AGGREGATE(15,6,(ROW(Liste_Ackerkulturen_Gemüse_DropDown[Ackerkulturen])-1)/(--(SEARCH(CA$2,Liste_Ackerkulturen_Gemüse_DropDown[Ackerkulturen])&gt;0)),ROW()-2),1),"")</f>
        <v>Studentenblume</v>
      </c>
      <c r="CA254" s="2463"/>
      <c r="CB254" s="2463" t="str">
        <f>IFERROR(INDEX(Liste_Ackerkulturen_Gemüse_DropDown[Ackerkulturen],_xlfn.AGGREGATE(15,6,(ROW(Liste_Ackerkulturen_Gemüse_DropDown[Ackerkulturen])-1)/(--(SEARCH(CC$2,Liste_Ackerkulturen_Gemüse_DropDown[Ackerkulturen])&gt;0)),ROW()-2),1),"")</f>
        <v>Studentenblume</v>
      </c>
      <c r="CC254" s="2463"/>
      <c r="CD254" s="2464" t="str">
        <f>IFERROR(INDEX(Liste_Ackerkulturen_Gemüse_DropDown[Ackerkulturen],_xlfn.AGGREGATE(15,6,(ROW(Liste_Ackerkulturen_Gemüse_DropDown[Ackerkulturen])-1)/(--(SEARCH(CE$2,Liste_Ackerkulturen_Gemüse_DropDown[Ackerkulturen])&gt;0)),ROW()-2),1),"")</f>
        <v>Studentenblume</v>
      </c>
      <c r="CE254" s="2464"/>
      <c r="CF254" s="2464" t="str">
        <f>IFERROR(INDEX(Liste_Ackerkulturen_Gemüse_DropDown[Ackerkulturen],_xlfn.AGGREGATE(15,6,(ROW(Liste_Ackerkulturen_Gemüse_DropDown[Ackerkulturen])-1)/(--(SEARCH(CG$2,Liste_Ackerkulturen_Gemüse_DropDown[Ackerkulturen])&gt;0)),ROW()-2),1),"")</f>
        <v>Studentenblume</v>
      </c>
      <c r="CG254" s="2464"/>
      <c r="CH254" s="2464" t="str">
        <f>IFERROR(INDEX(Liste_Ackerkulturen_Gemüse_DropDown[Ackerkulturen],_xlfn.AGGREGATE(15,6,(ROW(Liste_Ackerkulturen_Gemüse_DropDown[Ackerkulturen])-1)/(--(SEARCH(CI$2,Liste_Ackerkulturen_Gemüse_DropDown[Ackerkulturen])&gt;0)),ROW()-2),1),"")</f>
        <v>Studentenblume</v>
      </c>
      <c r="CI254" s="2464"/>
      <c r="CJ254" s="2464" t="str">
        <f>IFERROR(INDEX(Liste_Ackerkulturen_Gemüse_DropDown[Ackerkulturen],_xlfn.AGGREGATE(15,6,(ROW(Liste_Ackerkulturen_Gemüse_DropDown[Ackerkulturen])-1)/(--(SEARCH(CK$2,Liste_Ackerkulturen_Gemüse_DropDown[Ackerkulturen])&gt;0)),ROW()-2),1),"")</f>
        <v>Studentenblume</v>
      </c>
      <c r="CK254" s="2464"/>
      <c r="CL254" s="2464" t="str">
        <f>IFERROR(INDEX(Liste_Ackerkulturen_Gemüse_DropDown[Ackerkulturen],_xlfn.AGGREGATE(15,6,(ROW(Liste_Ackerkulturen_Gemüse_DropDown[Ackerkulturen])-1)/(--(SEARCH(CM$2,Liste_Ackerkulturen_Gemüse_DropDown[Ackerkulturen])&gt;0)),ROW()-2),1),"")</f>
        <v>Studentenblume</v>
      </c>
      <c r="CM254" s="2464"/>
      <c r="CN254" s="2464" t="str">
        <f>IFERROR(INDEX(Liste_Ackerkulturen_Gemüse_DropDown[Ackerkulturen],_xlfn.AGGREGATE(15,6,(ROW(Liste_Ackerkulturen_Gemüse_DropDown[Ackerkulturen])-1)/(--(SEARCH(CO$2,Liste_Ackerkulturen_Gemüse_DropDown[Ackerkulturen])&gt;0)),ROW()-2),1),"")</f>
        <v>Studentenblume</v>
      </c>
      <c r="CO254" s="2464"/>
      <c r="CP254" s="2464" t="str">
        <f>IFERROR(INDEX(Liste_Ackerkulturen_Gemüse_DropDown[Ackerkulturen],_xlfn.AGGREGATE(15,6,(ROW(Liste_Ackerkulturen_Gemüse_DropDown[Ackerkulturen])-1)/(--(SEARCH(CQ$2,Liste_Ackerkulturen_Gemüse_DropDown[Ackerkulturen])&gt;0)),ROW()-2),1),"")</f>
        <v>Studentenblume</v>
      </c>
      <c r="CQ254" s="2464"/>
      <c r="CR254" s="2464" t="str">
        <f>IFERROR(INDEX(Liste_Ackerkulturen_Gemüse_DropDown[Ackerkulturen],_xlfn.AGGREGATE(15,6,(ROW(Liste_Ackerkulturen_Gemüse_DropDown[Ackerkulturen])-1)/(--(SEARCH(CS$2,Liste_Ackerkulturen_Gemüse_DropDown[Ackerkulturen])&gt;0)),ROW()-2),1),"")</f>
        <v>Studentenblume</v>
      </c>
      <c r="CS254" s="2464"/>
      <c r="DI254" s="1541"/>
      <c r="DJ254" s="1541"/>
      <c r="DK254" s="1541"/>
      <c r="DL254" s="1541"/>
      <c r="DM254" s="1541"/>
    </row>
    <row r="255" spans="1:117" s="470" customFormat="1" ht="21" customHeight="1">
      <c r="A255" s="465"/>
      <c r="B255" s="465"/>
      <c r="C255" s="1575" t="s">
        <v>243</v>
      </c>
      <c r="D255" s="1576"/>
      <c r="E255" s="1567" t="s">
        <v>66</v>
      </c>
      <c r="F255" s="1568">
        <v>135</v>
      </c>
      <c r="G255" s="1568"/>
      <c r="H255" s="1716" t="s">
        <v>67</v>
      </c>
      <c r="I255" s="1718">
        <v>160</v>
      </c>
      <c r="J255" s="1188" t="s">
        <v>151</v>
      </c>
      <c r="K255" s="1568">
        <v>190</v>
      </c>
      <c r="L255" s="1527">
        <v>120</v>
      </c>
      <c r="M255" s="1528">
        <v>150</v>
      </c>
      <c r="N255" s="1567">
        <v>60</v>
      </c>
      <c r="O255" s="1188">
        <v>50</v>
      </c>
      <c r="P255" s="1568">
        <v>30</v>
      </c>
      <c r="Q255" s="1718">
        <v>40</v>
      </c>
      <c r="R255" s="1568">
        <v>50</v>
      </c>
      <c r="S255" s="1568">
        <v>20</v>
      </c>
      <c r="T255" s="1599" t="s">
        <v>1201</v>
      </c>
      <c r="U255" s="1569">
        <v>300</v>
      </c>
      <c r="V255" s="1570">
        <v>250</v>
      </c>
      <c r="W255" s="1574">
        <v>160</v>
      </c>
      <c r="X255" s="1778">
        <v>200</v>
      </c>
      <c r="Y255" s="1574">
        <v>250</v>
      </c>
      <c r="Z255" s="1568">
        <v>100</v>
      </c>
      <c r="AA255" s="1599" t="s">
        <v>1201</v>
      </c>
      <c r="AB255" s="525"/>
      <c r="AC255" s="525"/>
      <c r="AD255" s="525"/>
      <c r="AE255" s="526"/>
      <c r="AF255" s="1279"/>
      <c r="AG255" s="176"/>
      <c r="AH255" s="176"/>
      <c r="AI255" s="176"/>
      <c r="AJ255" s="473"/>
      <c r="AK255" s="472"/>
      <c r="AL255" s="472"/>
      <c r="AM255" s="2371" t="s">
        <v>406</v>
      </c>
      <c r="AN255" s="2286">
        <v>120</v>
      </c>
      <c r="AO255" s="2308" t="s">
        <v>1201</v>
      </c>
      <c r="AP255" s="2286">
        <v>120</v>
      </c>
      <c r="AQ255" s="2308" t="s">
        <v>1201</v>
      </c>
      <c r="AR255" s="2286">
        <v>120</v>
      </c>
      <c r="AS255" s="2308" t="s">
        <v>1201</v>
      </c>
      <c r="AT255" s="2287">
        <v>120</v>
      </c>
      <c r="AU255" s="2309" t="s">
        <v>1201</v>
      </c>
      <c r="AV255" s="2287">
        <v>120</v>
      </c>
      <c r="AW255" s="2309" t="s">
        <v>1201</v>
      </c>
      <c r="AX255" s="2403">
        <v>110</v>
      </c>
      <c r="AY255" s="2299" t="s">
        <v>1201</v>
      </c>
      <c r="AZ255" s="2298">
        <v>110</v>
      </c>
      <c r="BA255" s="2373" t="s">
        <v>1201</v>
      </c>
      <c r="BE255" s="2371" t="s">
        <v>406</v>
      </c>
      <c r="BF255" s="2404">
        <v>60</v>
      </c>
      <c r="BG255" s="2404">
        <v>60</v>
      </c>
      <c r="BH255" s="2404">
        <v>60</v>
      </c>
      <c r="BJ255" s="2371" t="s">
        <v>406</v>
      </c>
      <c r="BK255" s="578">
        <v>180</v>
      </c>
      <c r="BL255" s="577">
        <v>180</v>
      </c>
      <c r="BM255" s="577">
        <v>180</v>
      </c>
      <c r="BN255" s="2407"/>
      <c r="BO255" s="2402"/>
      <c r="BP255" s="2244"/>
      <c r="BQ255" s="2244"/>
      <c r="BR255" s="2244"/>
      <c r="BS255" s="2461" t="s">
        <v>408</v>
      </c>
      <c r="BT255" s="2463" t="str">
        <f>IFERROR(INDEX(Liste_Ackerkulturen_Gemüse_DropDown[Ackerkulturen],_xlfn.AGGREGATE(15,6,(ROW(Liste_Ackerkulturen_Gemüse_DropDown[Ackerkulturen])-1)/(--(SEARCH(BU$2,Liste_Ackerkulturen_Gemüse_DropDown[Ackerkulturen])&gt;0)),ROW()-2),1),"")</f>
        <v>Thymian</v>
      </c>
      <c r="BU255" s="2463"/>
      <c r="BV255" s="2463" t="str">
        <f>IFERROR(INDEX(Liste_Ackerkulturen_Gemüse_DropDown[Ackerkulturen],_xlfn.AGGREGATE(15,6,(ROW(Liste_Ackerkulturen_Gemüse_DropDown[Ackerkulturen])-1)/(--(SEARCH(BW$2,Liste_Ackerkulturen_Gemüse_DropDown[Ackerkulturen])&gt;0)),ROW()-2),1),"")</f>
        <v>Thymian</v>
      </c>
      <c r="BW255" s="2463"/>
      <c r="BX255" s="2463" t="str">
        <f>IFERROR(INDEX(Liste_Ackerkulturen_Gemüse_DropDown[Ackerkulturen],_xlfn.AGGREGATE(15,6,(ROW(Liste_Ackerkulturen_Gemüse_DropDown[Ackerkulturen])-1)/(--(SEARCH(BY$2,Liste_Ackerkulturen_Gemüse_DropDown[Ackerkulturen])&gt;0)),ROW()-2),1),"")</f>
        <v>Thymian</v>
      </c>
      <c r="BY255" s="2463"/>
      <c r="BZ255" s="2463" t="str">
        <f>IFERROR(INDEX(Liste_Ackerkulturen_Gemüse_DropDown[Ackerkulturen],_xlfn.AGGREGATE(15,6,(ROW(Liste_Ackerkulturen_Gemüse_DropDown[Ackerkulturen])-1)/(--(SEARCH(CA$2,Liste_Ackerkulturen_Gemüse_DropDown[Ackerkulturen])&gt;0)),ROW()-2),1),"")</f>
        <v>Thymian</v>
      </c>
      <c r="CA255" s="2463"/>
      <c r="CB255" s="2463" t="str">
        <f>IFERROR(INDEX(Liste_Ackerkulturen_Gemüse_DropDown[Ackerkulturen],_xlfn.AGGREGATE(15,6,(ROW(Liste_Ackerkulturen_Gemüse_DropDown[Ackerkulturen])-1)/(--(SEARCH(CC$2,Liste_Ackerkulturen_Gemüse_DropDown[Ackerkulturen])&gt;0)),ROW()-2),1),"")</f>
        <v>Thymian</v>
      </c>
      <c r="CC255" s="2463"/>
      <c r="CD255" s="2464" t="str">
        <f>IFERROR(INDEX(Liste_Ackerkulturen_Gemüse_DropDown[Ackerkulturen],_xlfn.AGGREGATE(15,6,(ROW(Liste_Ackerkulturen_Gemüse_DropDown[Ackerkulturen])-1)/(--(SEARCH(CE$2,Liste_Ackerkulturen_Gemüse_DropDown[Ackerkulturen])&gt;0)),ROW()-2),1),"")</f>
        <v>Thymian</v>
      </c>
      <c r="CE255" s="2464"/>
      <c r="CF255" s="2464" t="str">
        <f>IFERROR(INDEX(Liste_Ackerkulturen_Gemüse_DropDown[Ackerkulturen],_xlfn.AGGREGATE(15,6,(ROW(Liste_Ackerkulturen_Gemüse_DropDown[Ackerkulturen])-1)/(--(SEARCH(CG$2,Liste_Ackerkulturen_Gemüse_DropDown[Ackerkulturen])&gt;0)),ROW()-2),1),"")</f>
        <v>Thymian</v>
      </c>
      <c r="CG255" s="2464"/>
      <c r="CH255" s="2464" t="str">
        <f>IFERROR(INDEX(Liste_Ackerkulturen_Gemüse_DropDown[Ackerkulturen],_xlfn.AGGREGATE(15,6,(ROW(Liste_Ackerkulturen_Gemüse_DropDown[Ackerkulturen])-1)/(--(SEARCH(CI$2,Liste_Ackerkulturen_Gemüse_DropDown[Ackerkulturen])&gt;0)),ROW()-2),1),"")</f>
        <v>Thymian</v>
      </c>
      <c r="CI255" s="2464"/>
      <c r="CJ255" s="2464" t="str">
        <f>IFERROR(INDEX(Liste_Ackerkulturen_Gemüse_DropDown[Ackerkulturen],_xlfn.AGGREGATE(15,6,(ROW(Liste_Ackerkulturen_Gemüse_DropDown[Ackerkulturen])-1)/(--(SEARCH(CK$2,Liste_Ackerkulturen_Gemüse_DropDown[Ackerkulturen])&gt;0)),ROW()-2),1),"")</f>
        <v>Thymian</v>
      </c>
      <c r="CK255" s="2464"/>
      <c r="CL255" s="2464" t="str">
        <f>IFERROR(INDEX(Liste_Ackerkulturen_Gemüse_DropDown[Ackerkulturen],_xlfn.AGGREGATE(15,6,(ROW(Liste_Ackerkulturen_Gemüse_DropDown[Ackerkulturen])-1)/(--(SEARCH(CM$2,Liste_Ackerkulturen_Gemüse_DropDown[Ackerkulturen])&gt;0)),ROW()-2),1),"")</f>
        <v>Thymian</v>
      </c>
      <c r="CM255" s="2464"/>
      <c r="CN255" s="2464" t="str">
        <f>IFERROR(INDEX(Liste_Ackerkulturen_Gemüse_DropDown[Ackerkulturen],_xlfn.AGGREGATE(15,6,(ROW(Liste_Ackerkulturen_Gemüse_DropDown[Ackerkulturen])-1)/(--(SEARCH(CO$2,Liste_Ackerkulturen_Gemüse_DropDown[Ackerkulturen])&gt;0)),ROW()-2),1),"")</f>
        <v>Thymian</v>
      </c>
      <c r="CO255" s="2464"/>
      <c r="CP255" s="2464" t="str">
        <f>IFERROR(INDEX(Liste_Ackerkulturen_Gemüse_DropDown[Ackerkulturen],_xlfn.AGGREGATE(15,6,(ROW(Liste_Ackerkulturen_Gemüse_DropDown[Ackerkulturen])-1)/(--(SEARCH(CQ$2,Liste_Ackerkulturen_Gemüse_DropDown[Ackerkulturen])&gt;0)),ROW()-2),1),"")</f>
        <v>Thymian</v>
      </c>
      <c r="CQ255" s="2464"/>
      <c r="CR255" s="2464" t="str">
        <f>IFERROR(INDEX(Liste_Ackerkulturen_Gemüse_DropDown[Ackerkulturen],_xlfn.AGGREGATE(15,6,(ROW(Liste_Ackerkulturen_Gemüse_DropDown[Ackerkulturen])-1)/(--(SEARCH(CS$2,Liste_Ackerkulturen_Gemüse_DropDown[Ackerkulturen])&gt;0)),ROW()-2),1),"")</f>
        <v>Thymian</v>
      </c>
      <c r="CS255" s="2464"/>
      <c r="DI255" s="1541"/>
      <c r="DJ255" s="1541"/>
      <c r="DK255" s="1541"/>
      <c r="DL255" s="1541"/>
      <c r="DM255" s="1541"/>
    </row>
    <row r="256" spans="1:117" s="470" customFormat="1" ht="21" customHeight="1">
      <c r="A256" s="465"/>
      <c r="B256" s="465"/>
      <c r="C256" s="1575" t="s">
        <v>244</v>
      </c>
      <c r="D256" s="1576"/>
      <c r="E256" s="1567" t="s">
        <v>465</v>
      </c>
      <c r="F256" s="1568">
        <v>150</v>
      </c>
      <c r="G256" s="1568"/>
      <c r="H256" s="1716" t="s">
        <v>245</v>
      </c>
      <c r="I256" s="1718">
        <v>180</v>
      </c>
      <c r="J256" s="1188" t="s">
        <v>168</v>
      </c>
      <c r="K256" s="1568">
        <v>215</v>
      </c>
      <c r="L256" s="1527">
        <v>120</v>
      </c>
      <c r="M256" s="1528">
        <v>150</v>
      </c>
      <c r="N256" s="1567">
        <v>60</v>
      </c>
      <c r="O256" s="1188">
        <v>50</v>
      </c>
      <c r="P256" s="1568">
        <v>30</v>
      </c>
      <c r="Q256" s="1718">
        <v>40</v>
      </c>
      <c r="R256" s="1568">
        <v>50</v>
      </c>
      <c r="S256" s="1568">
        <v>20</v>
      </c>
      <c r="T256" s="1599" t="s">
        <v>1201</v>
      </c>
      <c r="U256" s="1569">
        <v>300</v>
      </c>
      <c r="V256" s="1570">
        <v>250</v>
      </c>
      <c r="W256" s="1574">
        <v>160</v>
      </c>
      <c r="X256" s="1778">
        <v>200</v>
      </c>
      <c r="Y256" s="1574">
        <v>250</v>
      </c>
      <c r="Z256" s="1568">
        <v>100</v>
      </c>
      <c r="AA256" s="1599" t="s">
        <v>1201</v>
      </c>
      <c r="AB256" s="525"/>
      <c r="AC256" s="525"/>
      <c r="AD256" s="525"/>
      <c r="AE256" s="526"/>
      <c r="AF256" s="1279"/>
      <c r="AG256" s="176"/>
      <c r="AH256" s="176"/>
      <c r="AI256" s="176"/>
      <c r="AJ256" s="473"/>
      <c r="AK256" s="472"/>
      <c r="AL256" s="472"/>
      <c r="AM256" s="2371" t="s">
        <v>407</v>
      </c>
      <c r="AN256" s="2286">
        <v>70</v>
      </c>
      <c r="AO256" s="2308" t="s">
        <v>1201</v>
      </c>
      <c r="AP256" s="2286">
        <v>70</v>
      </c>
      <c r="AQ256" s="2308" t="s">
        <v>1201</v>
      </c>
      <c r="AR256" s="2286">
        <v>70</v>
      </c>
      <c r="AS256" s="2308" t="s">
        <v>1201</v>
      </c>
      <c r="AT256" s="2287">
        <v>70</v>
      </c>
      <c r="AU256" s="2309" t="s">
        <v>1201</v>
      </c>
      <c r="AV256" s="2287">
        <v>70</v>
      </c>
      <c r="AW256" s="2309" t="s">
        <v>1201</v>
      </c>
      <c r="AX256" s="2403">
        <v>60</v>
      </c>
      <c r="AY256" s="2299" t="s">
        <v>1201</v>
      </c>
      <c r="AZ256" s="2298">
        <v>60</v>
      </c>
      <c r="BA256" s="2373" t="s">
        <v>1201</v>
      </c>
      <c r="BE256" s="2371" t="s">
        <v>407</v>
      </c>
      <c r="BF256" s="2404">
        <v>30</v>
      </c>
      <c r="BG256" s="2404">
        <v>30</v>
      </c>
      <c r="BH256" s="2404">
        <v>30</v>
      </c>
      <c r="BJ256" s="2371" t="s">
        <v>407</v>
      </c>
      <c r="BK256" s="578">
        <v>100</v>
      </c>
      <c r="BL256" s="577">
        <v>100</v>
      </c>
      <c r="BM256" s="577">
        <v>100</v>
      </c>
      <c r="BN256" s="2407"/>
      <c r="BO256" s="2402"/>
      <c r="BP256" s="2244"/>
      <c r="BQ256" s="2244"/>
      <c r="BR256" s="2244"/>
      <c r="BS256" s="2461" t="s">
        <v>409</v>
      </c>
      <c r="BT256" s="2463" t="str">
        <f>IFERROR(INDEX(Liste_Ackerkulturen_Gemüse_DropDown[Ackerkulturen],_xlfn.AGGREGATE(15,6,(ROW(Liste_Ackerkulturen_Gemüse_DropDown[Ackerkulturen])-1)/(--(SEARCH(BU$2,Liste_Ackerkulturen_Gemüse_DropDown[Ackerkulturen])&gt;0)),ROW()-2),1),"")</f>
        <v>Timothe</v>
      </c>
      <c r="BU256" s="2463"/>
      <c r="BV256" s="2463" t="str">
        <f>IFERROR(INDEX(Liste_Ackerkulturen_Gemüse_DropDown[Ackerkulturen],_xlfn.AGGREGATE(15,6,(ROW(Liste_Ackerkulturen_Gemüse_DropDown[Ackerkulturen])-1)/(--(SEARCH(BW$2,Liste_Ackerkulturen_Gemüse_DropDown[Ackerkulturen])&gt;0)),ROW()-2),1),"")</f>
        <v>Timothe</v>
      </c>
      <c r="BW256" s="2463"/>
      <c r="BX256" s="2463" t="str">
        <f>IFERROR(INDEX(Liste_Ackerkulturen_Gemüse_DropDown[Ackerkulturen],_xlfn.AGGREGATE(15,6,(ROW(Liste_Ackerkulturen_Gemüse_DropDown[Ackerkulturen])-1)/(--(SEARCH(BY$2,Liste_Ackerkulturen_Gemüse_DropDown[Ackerkulturen])&gt;0)),ROW()-2),1),"")</f>
        <v>Timothe</v>
      </c>
      <c r="BY256" s="2463"/>
      <c r="BZ256" s="2463" t="str">
        <f>IFERROR(INDEX(Liste_Ackerkulturen_Gemüse_DropDown[Ackerkulturen],_xlfn.AGGREGATE(15,6,(ROW(Liste_Ackerkulturen_Gemüse_DropDown[Ackerkulturen])-1)/(--(SEARCH(CA$2,Liste_Ackerkulturen_Gemüse_DropDown[Ackerkulturen])&gt;0)),ROW()-2),1),"")</f>
        <v>Timothe</v>
      </c>
      <c r="CA256" s="2463"/>
      <c r="CB256" s="2463" t="str">
        <f>IFERROR(INDEX(Liste_Ackerkulturen_Gemüse_DropDown[Ackerkulturen],_xlfn.AGGREGATE(15,6,(ROW(Liste_Ackerkulturen_Gemüse_DropDown[Ackerkulturen])-1)/(--(SEARCH(CC$2,Liste_Ackerkulturen_Gemüse_DropDown[Ackerkulturen])&gt;0)),ROW()-2),1),"")</f>
        <v>Timothe</v>
      </c>
      <c r="CC256" s="2463"/>
      <c r="CD256" s="2464" t="str">
        <f>IFERROR(INDEX(Liste_Ackerkulturen_Gemüse_DropDown[Ackerkulturen],_xlfn.AGGREGATE(15,6,(ROW(Liste_Ackerkulturen_Gemüse_DropDown[Ackerkulturen])-1)/(--(SEARCH(CE$2,Liste_Ackerkulturen_Gemüse_DropDown[Ackerkulturen])&gt;0)),ROW()-2),1),"")</f>
        <v>Timothe</v>
      </c>
      <c r="CE256" s="2464"/>
      <c r="CF256" s="2464" t="str">
        <f>IFERROR(INDEX(Liste_Ackerkulturen_Gemüse_DropDown[Ackerkulturen],_xlfn.AGGREGATE(15,6,(ROW(Liste_Ackerkulturen_Gemüse_DropDown[Ackerkulturen])-1)/(--(SEARCH(CG$2,Liste_Ackerkulturen_Gemüse_DropDown[Ackerkulturen])&gt;0)),ROW()-2),1),"")</f>
        <v>Timothe</v>
      </c>
      <c r="CG256" s="2464"/>
      <c r="CH256" s="2464" t="str">
        <f>IFERROR(INDEX(Liste_Ackerkulturen_Gemüse_DropDown[Ackerkulturen],_xlfn.AGGREGATE(15,6,(ROW(Liste_Ackerkulturen_Gemüse_DropDown[Ackerkulturen])-1)/(--(SEARCH(CI$2,Liste_Ackerkulturen_Gemüse_DropDown[Ackerkulturen])&gt;0)),ROW()-2),1),"")</f>
        <v>Timothe</v>
      </c>
      <c r="CI256" s="2464"/>
      <c r="CJ256" s="2464" t="str">
        <f>IFERROR(INDEX(Liste_Ackerkulturen_Gemüse_DropDown[Ackerkulturen],_xlfn.AGGREGATE(15,6,(ROW(Liste_Ackerkulturen_Gemüse_DropDown[Ackerkulturen])-1)/(--(SEARCH(CK$2,Liste_Ackerkulturen_Gemüse_DropDown[Ackerkulturen])&gt;0)),ROW()-2),1),"")</f>
        <v>Timothe</v>
      </c>
      <c r="CK256" s="2464"/>
      <c r="CL256" s="2464" t="str">
        <f>IFERROR(INDEX(Liste_Ackerkulturen_Gemüse_DropDown[Ackerkulturen],_xlfn.AGGREGATE(15,6,(ROW(Liste_Ackerkulturen_Gemüse_DropDown[Ackerkulturen])-1)/(--(SEARCH(CM$2,Liste_Ackerkulturen_Gemüse_DropDown[Ackerkulturen])&gt;0)),ROW()-2),1),"")</f>
        <v>Timothe</v>
      </c>
      <c r="CM256" s="2464"/>
      <c r="CN256" s="2464" t="str">
        <f>IFERROR(INDEX(Liste_Ackerkulturen_Gemüse_DropDown[Ackerkulturen],_xlfn.AGGREGATE(15,6,(ROW(Liste_Ackerkulturen_Gemüse_DropDown[Ackerkulturen])-1)/(--(SEARCH(CO$2,Liste_Ackerkulturen_Gemüse_DropDown[Ackerkulturen])&gt;0)),ROW()-2),1),"")</f>
        <v>Timothe</v>
      </c>
      <c r="CO256" s="2464"/>
      <c r="CP256" s="2464" t="str">
        <f>IFERROR(INDEX(Liste_Ackerkulturen_Gemüse_DropDown[Ackerkulturen],_xlfn.AGGREGATE(15,6,(ROW(Liste_Ackerkulturen_Gemüse_DropDown[Ackerkulturen])-1)/(--(SEARCH(CQ$2,Liste_Ackerkulturen_Gemüse_DropDown[Ackerkulturen])&gt;0)),ROW()-2),1),"")</f>
        <v>Timothe</v>
      </c>
      <c r="CQ256" s="2464"/>
      <c r="CR256" s="2464" t="str">
        <f>IFERROR(INDEX(Liste_Ackerkulturen_Gemüse_DropDown[Ackerkulturen],_xlfn.AGGREGATE(15,6,(ROW(Liste_Ackerkulturen_Gemüse_DropDown[Ackerkulturen])-1)/(--(SEARCH(CS$2,Liste_Ackerkulturen_Gemüse_DropDown[Ackerkulturen])&gt;0)),ROW()-2),1),"")</f>
        <v>Timothe</v>
      </c>
      <c r="CS256" s="2464"/>
      <c r="DI256" s="1541"/>
      <c r="DJ256" s="1541"/>
      <c r="DK256" s="1541"/>
      <c r="DL256" s="1541"/>
      <c r="DM256" s="1541"/>
    </row>
    <row r="257" spans="3:97" ht="23.25" customHeight="1">
      <c r="C257" s="1575" t="s">
        <v>246</v>
      </c>
      <c r="D257" s="1576"/>
      <c r="E257" s="1567" t="s">
        <v>170</v>
      </c>
      <c r="F257" s="1568">
        <v>150</v>
      </c>
      <c r="G257" s="1568"/>
      <c r="H257" s="1716" t="s">
        <v>467</v>
      </c>
      <c r="I257" s="1718">
        <v>180</v>
      </c>
      <c r="J257" s="1188" t="s">
        <v>69</v>
      </c>
      <c r="K257" s="1568">
        <v>215</v>
      </c>
      <c r="L257" s="1527">
        <v>140</v>
      </c>
      <c r="M257" s="1528">
        <v>175</v>
      </c>
      <c r="N257" s="1567">
        <v>60</v>
      </c>
      <c r="O257" s="1188">
        <v>50</v>
      </c>
      <c r="P257" s="1568">
        <v>30</v>
      </c>
      <c r="Q257" s="1718">
        <v>40</v>
      </c>
      <c r="R257" s="1568">
        <v>50</v>
      </c>
      <c r="S257" s="1568">
        <v>20</v>
      </c>
      <c r="T257" s="1599" t="s">
        <v>1201</v>
      </c>
      <c r="U257" s="1569">
        <v>300</v>
      </c>
      <c r="V257" s="1570">
        <v>250</v>
      </c>
      <c r="W257" s="1574">
        <v>160</v>
      </c>
      <c r="X257" s="1778">
        <v>200</v>
      </c>
      <c r="Y257" s="1574">
        <v>250</v>
      </c>
      <c r="Z257" s="1568">
        <v>100</v>
      </c>
      <c r="AA257" s="1599" t="s">
        <v>1201</v>
      </c>
      <c r="AB257" s="525"/>
      <c r="AC257" s="525"/>
      <c r="AD257" s="525"/>
      <c r="AE257" s="526"/>
      <c r="AF257" s="1279"/>
      <c r="AJ257" s="469"/>
      <c r="AK257" s="468"/>
      <c r="AL257" s="468"/>
      <c r="AM257" s="2371" t="s">
        <v>408</v>
      </c>
      <c r="AN257" s="2286">
        <v>120</v>
      </c>
      <c r="AO257" s="2308" t="s">
        <v>1201</v>
      </c>
      <c r="AP257" s="2286">
        <v>120</v>
      </c>
      <c r="AQ257" s="2308" t="s">
        <v>1201</v>
      </c>
      <c r="AR257" s="2286">
        <v>120</v>
      </c>
      <c r="AS257" s="2308" t="s">
        <v>1201</v>
      </c>
      <c r="AT257" s="2287">
        <v>120</v>
      </c>
      <c r="AU257" s="2309" t="s">
        <v>1201</v>
      </c>
      <c r="AV257" s="2287">
        <v>120</v>
      </c>
      <c r="AW257" s="2309" t="s">
        <v>1201</v>
      </c>
      <c r="AX257" s="2403">
        <v>100</v>
      </c>
      <c r="AY257" s="2299" t="s">
        <v>1201</v>
      </c>
      <c r="AZ257" s="2298">
        <v>100</v>
      </c>
      <c r="BA257" s="2373" t="s">
        <v>1201</v>
      </c>
      <c r="BE257" s="2371" t="s">
        <v>408</v>
      </c>
      <c r="BF257" s="2404">
        <v>60</v>
      </c>
      <c r="BG257" s="2404">
        <v>60</v>
      </c>
      <c r="BH257" s="2404">
        <v>60</v>
      </c>
      <c r="BJ257" s="2371" t="s">
        <v>408</v>
      </c>
      <c r="BK257" s="578">
        <v>140</v>
      </c>
      <c r="BL257" s="577">
        <v>140</v>
      </c>
      <c r="BM257" s="577">
        <v>140</v>
      </c>
      <c r="BN257" s="2407"/>
      <c r="BO257" s="2408"/>
      <c r="BS257" s="2461" t="s">
        <v>410</v>
      </c>
      <c r="BT257" s="2463" t="str">
        <f>IFERROR(INDEX(Liste_Ackerkulturen_Gemüse_DropDown[Ackerkulturen],_xlfn.AGGREGATE(15,6,(ROW(Liste_Ackerkulturen_Gemüse_DropDown[Ackerkulturen])-1)/(--(SEARCH(BU$2,Liste_Ackerkulturen_Gemüse_DropDown[Ackerkulturen])&gt;0)),ROW()-2),1),"")</f>
        <v>Tollkirsche</v>
      </c>
      <c r="BU257" s="2463"/>
      <c r="BV257" s="2463" t="str">
        <f>IFERROR(INDEX(Liste_Ackerkulturen_Gemüse_DropDown[Ackerkulturen],_xlfn.AGGREGATE(15,6,(ROW(Liste_Ackerkulturen_Gemüse_DropDown[Ackerkulturen])-1)/(--(SEARCH(BW$2,Liste_Ackerkulturen_Gemüse_DropDown[Ackerkulturen])&gt;0)),ROW()-2),1),"")</f>
        <v>Tollkirsche</v>
      </c>
      <c r="BW257" s="2463"/>
      <c r="BX257" s="2463" t="str">
        <f>IFERROR(INDEX(Liste_Ackerkulturen_Gemüse_DropDown[Ackerkulturen],_xlfn.AGGREGATE(15,6,(ROW(Liste_Ackerkulturen_Gemüse_DropDown[Ackerkulturen])-1)/(--(SEARCH(BY$2,Liste_Ackerkulturen_Gemüse_DropDown[Ackerkulturen])&gt;0)),ROW()-2),1),"")</f>
        <v>Tollkirsche</v>
      </c>
      <c r="BY257" s="2463"/>
      <c r="BZ257" s="2463" t="str">
        <f>IFERROR(INDEX(Liste_Ackerkulturen_Gemüse_DropDown[Ackerkulturen],_xlfn.AGGREGATE(15,6,(ROW(Liste_Ackerkulturen_Gemüse_DropDown[Ackerkulturen])-1)/(--(SEARCH(CA$2,Liste_Ackerkulturen_Gemüse_DropDown[Ackerkulturen])&gt;0)),ROW()-2),1),"")</f>
        <v>Tollkirsche</v>
      </c>
      <c r="CA257" s="2463"/>
      <c r="CB257" s="2463" t="str">
        <f>IFERROR(INDEX(Liste_Ackerkulturen_Gemüse_DropDown[Ackerkulturen],_xlfn.AGGREGATE(15,6,(ROW(Liste_Ackerkulturen_Gemüse_DropDown[Ackerkulturen])-1)/(--(SEARCH(CC$2,Liste_Ackerkulturen_Gemüse_DropDown[Ackerkulturen])&gt;0)),ROW()-2),1),"")</f>
        <v>Tollkirsche</v>
      </c>
      <c r="CC257" s="2463"/>
      <c r="CD257" s="2464" t="str">
        <f>IFERROR(INDEX(Liste_Ackerkulturen_Gemüse_DropDown[Ackerkulturen],_xlfn.AGGREGATE(15,6,(ROW(Liste_Ackerkulturen_Gemüse_DropDown[Ackerkulturen])-1)/(--(SEARCH(CE$2,Liste_Ackerkulturen_Gemüse_DropDown[Ackerkulturen])&gt;0)),ROW()-2),1),"")</f>
        <v>Tollkirsche</v>
      </c>
      <c r="CE257" s="2464"/>
      <c r="CF257" s="2464" t="str">
        <f>IFERROR(INDEX(Liste_Ackerkulturen_Gemüse_DropDown[Ackerkulturen],_xlfn.AGGREGATE(15,6,(ROW(Liste_Ackerkulturen_Gemüse_DropDown[Ackerkulturen])-1)/(--(SEARCH(CG$2,Liste_Ackerkulturen_Gemüse_DropDown[Ackerkulturen])&gt;0)),ROW()-2),1),"")</f>
        <v>Tollkirsche</v>
      </c>
      <c r="CG257" s="2464"/>
      <c r="CH257" s="2464" t="str">
        <f>IFERROR(INDEX(Liste_Ackerkulturen_Gemüse_DropDown[Ackerkulturen],_xlfn.AGGREGATE(15,6,(ROW(Liste_Ackerkulturen_Gemüse_DropDown[Ackerkulturen])-1)/(--(SEARCH(CI$2,Liste_Ackerkulturen_Gemüse_DropDown[Ackerkulturen])&gt;0)),ROW()-2),1),"")</f>
        <v>Tollkirsche</v>
      </c>
      <c r="CI257" s="2464"/>
      <c r="CJ257" s="2464" t="str">
        <f>IFERROR(INDEX(Liste_Ackerkulturen_Gemüse_DropDown[Ackerkulturen],_xlfn.AGGREGATE(15,6,(ROW(Liste_Ackerkulturen_Gemüse_DropDown[Ackerkulturen])-1)/(--(SEARCH(CK$2,Liste_Ackerkulturen_Gemüse_DropDown[Ackerkulturen])&gt;0)),ROW()-2),1),"")</f>
        <v>Tollkirsche</v>
      </c>
      <c r="CK257" s="2464"/>
      <c r="CL257" s="2464" t="str">
        <f>IFERROR(INDEX(Liste_Ackerkulturen_Gemüse_DropDown[Ackerkulturen],_xlfn.AGGREGATE(15,6,(ROW(Liste_Ackerkulturen_Gemüse_DropDown[Ackerkulturen])-1)/(--(SEARCH(CM$2,Liste_Ackerkulturen_Gemüse_DropDown[Ackerkulturen])&gt;0)),ROW()-2),1),"")</f>
        <v>Tollkirsche</v>
      </c>
      <c r="CM257" s="2464"/>
      <c r="CN257" s="2464" t="str">
        <f>IFERROR(INDEX(Liste_Ackerkulturen_Gemüse_DropDown[Ackerkulturen],_xlfn.AGGREGATE(15,6,(ROW(Liste_Ackerkulturen_Gemüse_DropDown[Ackerkulturen])-1)/(--(SEARCH(CO$2,Liste_Ackerkulturen_Gemüse_DropDown[Ackerkulturen])&gt;0)),ROW()-2),1),"")</f>
        <v>Tollkirsche</v>
      </c>
      <c r="CO257" s="2464"/>
      <c r="CP257" s="2464" t="str">
        <f>IFERROR(INDEX(Liste_Ackerkulturen_Gemüse_DropDown[Ackerkulturen],_xlfn.AGGREGATE(15,6,(ROW(Liste_Ackerkulturen_Gemüse_DropDown[Ackerkulturen])-1)/(--(SEARCH(CQ$2,Liste_Ackerkulturen_Gemüse_DropDown[Ackerkulturen])&gt;0)),ROW()-2),1),"")</f>
        <v>Tollkirsche</v>
      </c>
      <c r="CQ257" s="2464"/>
      <c r="CR257" s="2464" t="str">
        <f>IFERROR(INDEX(Liste_Ackerkulturen_Gemüse_DropDown[Ackerkulturen],_xlfn.AGGREGATE(15,6,(ROW(Liste_Ackerkulturen_Gemüse_DropDown[Ackerkulturen])-1)/(--(SEARCH(CS$2,Liste_Ackerkulturen_Gemüse_DropDown[Ackerkulturen])&gt;0)),ROW()-2),1),"")</f>
        <v>Tollkirsche</v>
      </c>
      <c r="CS257" s="2464"/>
    </row>
    <row r="258" spans="3:97" ht="22.5" customHeight="1">
      <c r="C258" s="1575" t="s">
        <v>247</v>
      </c>
      <c r="D258" s="1576"/>
      <c r="E258" s="1567" t="s">
        <v>465</v>
      </c>
      <c r="F258" s="1568">
        <v>150</v>
      </c>
      <c r="G258" s="1568"/>
      <c r="H258" s="1716" t="s">
        <v>245</v>
      </c>
      <c r="I258" s="1718">
        <v>180</v>
      </c>
      <c r="J258" s="1188" t="s">
        <v>168</v>
      </c>
      <c r="K258" s="1568">
        <v>215</v>
      </c>
      <c r="L258" s="1527">
        <v>140</v>
      </c>
      <c r="M258" s="1528">
        <v>175</v>
      </c>
      <c r="N258" s="1567">
        <v>60</v>
      </c>
      <c r="O258" s="1188">
        <v>50</v>
      </c>
      <c r="P258" s="1568">
        <v>30</v>
      </c>
      <c r="Q258" s="1718">
        <v>40</v>
      </c>
      <c r="R258" s="1568">
        <v>50</v>
      </c>
      <c r="S258" s="1568">
        <v>20</v>
      </c>
      <c r="T258" s="1599" t="s">
        <v>1201</v>
      </c>
      <c r="U258" s="1569">
        <v>300</v>
      </c>
      <c r="V258" s="1570">
        <v>250</v>
      </c>
      <c r="W258" s="1574">
        <v>160</v>
      </c>
      <c r="X258" s="1778">
        <v>200</v>
      </c>
      <c r="Y258" s="1574">
        <v>250</v>
      </c>
      <c r="Z258" s="1568">
        <v>100</v>
      </c>
      <c r="AA258" s="1599" t="s">
        <v>1201</v>
      </c>
      <c r="AB258" s="525"/>
      <c r="AC258" s="525"/>
      <c r="AD258" s="525"/>
      <c r="AE258" s="526"/>
      <c r="AF258" s="1279"/>
      <c r="AJ258" s="469"/>
      <c r="AK258" s="468"/>
      <c r="AL258" s="468"/>
      <c r="AM258" s="2371" t="s">
        <v>409</v>
      </c>
      <c r="AN258" s="2286">
        <v>120</v>
      </c>
      <c r="AO258" s="2308" t="s">
        <v>1201</v>
      </c>
      <c r="AP258" s="2286">
        <v>120</v>
      </c>
      <c r="AQ258" s="2308" t="s">
        <v>1201</v>
      </c>
      <c r="AR258" s="2286">
        <v>120</v>
      </c>
      <c r="AS258" s="2308" t="s">
        <v>1201</v>
      </c>
      <c r="AT258" s="2287">
        <v>120</v>
      </c>
      <c r="AU258" s="2309" t="s">
        <v>1201</v>
      </c>
      <c r="AV258" s="2287">
        <v>120</v>
      </c>
      <c r="AW258" s="2309" t="s">
        <v>1201</v>
      </c>
      <c r="AX258" s="2403">
        <v>110</v>
      </c>
      <c r="AY258" s="2299" t="s">
        <v>1201</v>
      </c>
      <c r="AZ258" s="2298">
        <v>110</v>
      </c>
      <c r="BA258" s="2373" t="s">
        <v>1201</v>
      </c>
      <c r="BE258" s="2371" t="s">
        <v>409</v>
      </c>
      <c r="BF258" s="2404">
        <v>50</v>
      </c>
      <c r="BG258" s="2404">
        <v>50</v>
      </c>
      <c r="BH258" s="2404">
        <v>50</v>
      </c>
      <c r="BJ258" s="2371" t="s">
        <v>409</v>
      </c>
      <c r="BK258" s="578">
        <v>100</v>
      </c>
      <c r="BL258" s="577">
        <v>100</v>
      </c>
      <c r="BM258" s="577">
        <v>100</v>
      </c>
      <c r="BN258" s="2407"/>
      <c r="BO258" s="2408"/>
      <c r="BS258" s="2461" t="s">
        <v>411</v>
      </c>
      <c r="BT258" s="2463" t="str">
        <f>IFERROR(INDEX(Liste_Ackerkulturen_Gemüse_DropDown[Ackerkulturen],_xlfn.AGGREGATE(15,6,(ROW(Liste_Ackerkulturen_Gemüse_DropDown[Ackerkulturen])-1)/(--(SEARCH(BU$2,Liste_Ackerkulturen_Gemüse_DropDown[Ackerkulturen])&gt;0)),ROW()-2),1),"")</f>
        <v>Wallwurz</v>
      </c>
      <c r="BU258" s="2463"/>
      <c r="BV258" s="2463" t="str">
        <f>IFERROR(INDEX(Liste_Ackerkulturen_Gemüse_DropDown[Ackerkulturen],_xlfn.AGGREGATE(15,6,(ROW(Liste_Ackerkulturen_Gemüse_DropDown[Ackerkulturen])-1)/(--(SEARCH(BW$2,Liste_Ackerkulturen_Gemüse_DropDown[Ackerkulturen])&gt;0)),ROW()-2),1),"")</f>
        <v>Wallwurz</v>
      </c>
      <c r="BW258" s="2463"/>
      <c r="BX258" s="2463" t="str">
        <f>IFERROR(INDEX(Liste_Ackerkulturen_Gemüse_DropDown[Ackerkulturen],_xlfn.AGGREGATE(15,6,(ROW(Liste_Ackerkulturen_Gemüse_DropDown[Ackerkulturen])-1)/(--(SEARCH(BY$2,Liste_Ackerkulturen_Gemüse_DropDown[Ackerkulturen])&gt;0)),ROW()-2),1),"")</f>
        <v>Wallwurz</v>
      </c>
      <c r="BY258" s="2463"/>
      <c r="BZ258" s="2463" t="str">
        <f>IFERROR(INDEX(Liste_Ackerkulturen_Gemüse_DropDown[Ackerkulturen],_xlfn.AGGREGATE(15,6,(ROW(Liste_Ackerkulturen_Gemüse_DropDown[Ackerkulturen])-1)/(--(SEARCH(CA$2,Liste_Ackerkulturen_Gemüse_DropDown[Ackerkulturen])&gt;0)),ROW()-2),1),"")</f>
        <v>Wallwurz</v>
      </c>
      <c r="CA258" s="2463"/>
      <c r="CB258" s="2463" t="str">
        <f>IFERROR(INDEX(Liste_Ackerkulturen_Gemüse_DropDown[Ackerkulturen],_xlfn.AGGREGATE(15,6,(ROW(Liste_Ackerkulturen_Gemüse_DropDown[Ackerkulturen])-1)/(--(SEARCH(CC$2,Liste_Ackerkulturen_Gemüse_DropDown[Ackerkulturen])&gt;0)),ROW()-2),1),"")</f>
        <v>Wallwurz</v>
      </c>
      <c r="CC258" s="2463"/>
      <c r="CD258" s="2464" t="str">
        <f>IFERROR(INDEX(Liste_Ackerkulturen_Gemüse_DropDown[Ackerkulturen],_xlfn.AGGREGATE(15,6,(ROW(Liste_Ackerkulturen_Gemüse_DropDown[Ackerkulturen])-1)/(--(SEARCH(CE$2,Liste_Ackerkulturen_Gemüse_DropDown[Ackerkulturen])&gt;0)),ROW()-2),1),"")</f>
        <v>Wallwurz</v>
      </c>
      <c r="CE258" s="2464"/>
      <c r="CF258" s="2464" t="str">
        <f>IFERROR(INDEX(Liste_Ackerkulturen_Gemüse_DropDown[Ackerkulturen],_xlfn.AGGREGATE(15,6,(ROW(Liste_Ackerkulturen_Gemüse_DropDown[Ackerkulturen])-1)/(--(SEARCH(CG$2,Liste_Ackerkulturen_Gemüse_DropDown[Ackerkulturen])&gt;0)),ROW()-2),1),"")</f>
        <v>Wallwurz</v>
      </c>
      <c r="CG258" s="2464"/>
      <c r="CH258" s="2464" t="str">
        <f>IFERROR(INDEX(Liste_Ackerkulturen_Gemüse_DropDown[Ackerkulturen],_xlfn.AGGREGATE(15,6,(ROW(Liste_Ackerkulturen_Gemüse_DropDown[Ackerkulturen])-1)/(--(SEARCH(CI$2,Liste_Ackerkulturen_Gemüse_DropDown[Ackerkulturen])&gt;0)),ROW()-2),1),"")</f>
        <v>Wallwurz</v>
      </c>
      <c r="CI258" s="2464"/>
      <c r="CJ258" s="2464" t="str">
        <f>IFERROR(INDEX(Liste_Ackerkulturen_Gemüse_DropDown[Ackerkulturen],_xlfn.AGGREGATE(15,6,(ROW(Liste_Ackerkulturen_Gemüse_DropDown[Ackerkulturen])-1)/(--(SEARCH(CK$2,Liste_Ackerkulturen_Gemüse_DropDown[Ackerkulturen])&gt;0)),ROW()-2),1),"")</f>
        <v>Wallwurz</v>
      </c>
      <c r="CK258" s="2464"/>
      <c r="CL258" s="2464" t="str">
        <f>IFERROR(INDEX(Liste_Ackerkulturen_Gemüse_DropDown[Ackerkulturen],_xlfn.AGGREGATE(15,6,(ROW(Liste_Ackerkulturen_Gemüse_DropDown[Ackerkulturen])-1)/(--(SEARCH(CM$2,Liste_Ackerkulturen_Gemüse_DropDown[Ackerkulturen])&gt;0)),ROW()-2),1),"")</f>
        <v>Wallwurz</v>
      </c>
      <c r="CM258" s="2464"/>
      <c r="CN258" s="2464" t="str">
        <f>IFERROR(INDEX(Liste_Ackerkulturen_Gemüse_DropDown[Ackerkulturen],_xlfn.AGGREGATE(15,6,(ROW(Liste_Ackerkulturen_Gemüse_DropDown[Ackerkulturen])-1)/(--(SEARCH(CO$2,Liste_Ackerkulturen_Gemüse_DropDown[Ackerkulturen])&gt;0)),ROW()-2),1),"")</f>
        <v>Wallwurz</v>
      </c>
      <c r="CO258" s="2464"/>
      <c r="CP258" s="2464" t="str">
        <f>IFERROR(INDEX(Liste_Ackerkulturen_Gemüse_DropDown[Ackerkulturen],_xlfn.AGGREGATE(15,6,(ROW(Liste_Ackerkulturen_Gemüse_DropDown[Ackerkulturen])-1)/(--(SEARCH(CQ$2,Liste_Ackerkulturen_Gemüse_DropDown[Ackerkulturen])&gt;0)),ROW()-2),1),"")</f>
        <v>Wallwurz</v>
      </c>
      <c r="CQ258" s="2464"/>
      <c r="CR258" s="2464" t="str">
        <f>IFERROR(INDEX(Liste_Ackerkulturen_Gemüse_DropDown[Ackerkulturen],_xlfn.AGGREGATE(15,6,(ROW(Liste_Ackerkulturen_Gemüse_DropDown[Ackerkulturen])-1)/(--(SEARCH(CS$2,Liste_Ackerkulturen_Gemüse_DropDown[Ackerkulturen])&gt;0)),ROW()-2),1),"")</f>
        <v>Wallwurz</v>
      </c>
      <c r="CS258" s="2464"/>
    </row>
    <row r="259" spans="3:97" ht="22.5" customHeight="1">
      <c r="C259" s="1575" t="s">
        <v>248</v>
      </c>
      <c r="D259" s="1576"/>
      <c r="E259" s="1567" t="s">
        <v>139</v>
      </c>
      <c r="F259" s="1568">
        <v>130</v>
      </c>
      <c r="G259" s="1568"/>
      <c r="H259" s="1716" t="s">
        <v>179</v>
      </c>
      <c r="I259" s="1718">
        <v>155</v>
      </c>
      <c r="J259" s="1188" t="s">
        <v>55</v>
      </c>
      <c r="K259" s="1568">
        <v>185</v>
      </c>
      <c r="L259" s="1527">
        <v>125</v>
      </c>
      <c r="M259" s="1528">
        <v>156</v>
      </c>
      <c r="N259" s="1567">
        <v>90</v>
      </c>
      <c r="O259" s="1188">
        <v>75</v>
      </c>
      <c r="P259" s="1568">
        <v>50</v>
      </c>
      <c r="Q259" s="1718">
        <v>60</v>
      </c>
      <c r="R259" s="1568">
        <v>75</v>
      </c>
      <c r="S259" s="1568">
        <v>30</v>
      </c>
      <c r="T259" s="1599" t="s">
        <v>1201</v>
      </c>
      <c r="U259" s="1569">
        <v>300</v>
      </c>
      <c r="V259" s="1570">
        <v>250</v>
      </c>
      <c r="W259" s="1574">
        <v>160</v>
      </c>
      <c r="X259" s="1778">
        <v>200</v>
      </c>
      <c r="Y259" s="1574">
        <v>250</v>
      </c>
      <c r="Z259" s="1568">
        <v>100</v>
      </c>
      <c r="AA259" s="1599" t="s">
        <v>1201</v>
      </c>
      <c r="AB259" s="525"/>
      <c r="AC259" s="525"/>
      <c r="AD259" s="525"/>
      <c r="AE259" s="526"/>
      <c r="AF259" s="1279"/>
      <c r="AJ259" s="469"/>
      <c r="AK259" s="468"/>
      <c r="AL259" s="468"/>
      <c r="AM259" s="2371" t="s">
        <v>410</v>
      </c>
      <c r="AN259" s="2286">
        <v>100</v>
      </c>
      <c r="AO259" s="2308" t="s">
        <v>1201</v>
      </c>
      <c r="AP259" s="2286">
        <v>100</v>
      </c>
      <c r="AQ259" s="2308" t="s">
        <v>1201</v>
      </c>
      <c r="AR259" s="2286">
        <v>100</v>
      </c>
      <c r="AS259" s="2308" t="s">
        <v>1201</v>
      </c>
      <c r="AT259" s="2287">
        <v>100</v>
      </c>
      <c r="AU259" s="2309" t="s">
        <v>1201</v>
      </c>
      <c r="AV259" s="2287">
        <v>100</v>
      </c>
      <c r="AW259" s="2309" t="s">
        <v>1201</v>
      </c>
      <c r="AX259" s="2403">
        <v>80</v>
      </c>
      <c r="AY259" s="2299" t="s">
        <v>1201</v>
      </c>
      <c r="AZ259" s="2298">
        <v>80</v>
      </c>
      <c r="BA259" s="2373" t="s">
        <v>1201</v>
      </c>
      <c r="BE259" s="2371" t="s">
        <v>410</v>
      </c>
      <c r="BF259" s="2404">
        <v>60</v>
      </c>
      <c r="BG259" s="2404">
        <v>60</v>
      </c>
      <c r="BH259" s="2404">
        <v>60</v>
      </c>
      <c r="BJ259" s="2371" t="s">
        <v>410</v>
      </c>
      <c r="BK259" s="578">
        <v>120</v>
      </c>
      <c r="BL259" s="577">
        <v>120</v>
      </c>
      <c r="BM259" s="577">
        <v>120</v>
      </c>
      <c r="BN259" s="2407"/>
      <c r="BO259" s="2408"/>
      <c r="BS259" s="2461" t="s">
        <v>412</v>
      </c>
      <c r="BT259" s="2463" t="str">
        <f>IFERROR(INDEX(Liste_Ackerkulturen_Gemüse_DropDown[Ackerkulturen],_xlfn.AGGREGATE(15,6,(ROW(Liste_Ackerkulturen_Gemüse_DropDown[Ackerkulturen])-1)/(--(SEARCH(BU$2,Liste_Ackerkulturen_Gemüse_DropDown[Ackerkulturen])&gt;0)),ROW()-2),1),"")</f>
        <v>Weidenröschen</v>
      </c>
      <c r="BU259" s="2463"/>
      <c r="BV259" s="2463" t="str">
        <f>IFERROR(INDEX(Liste_Ackerkulturen_Gemüse_DropDown[Ackerkulturen],_xlfn.AGGREGATE(15,6,(ROW(Liste_Ackerkulturen_Gemüse_DropDown[Ackerkulturen])-1)/(--(SEARCH(BW$2,Liste_Ackerkulturen_Gemüse_DropDown[Ackerkulturen])&gt;0)),ROW()-2),1),"")</f>
        <v>Weidenröschen</v>
      </c>
      <c r="BW259" s="2463"/>
      <c r="BX259" s="2463" t="str">
        <f>IFERROR(INDEX(Liste_Ackerkulturen_Gemüse_DropDown[Ackerkulturen],_xlfn.AGGREGATE(15,6,(ROW(Liste_Ackerkulturen_Gemüse_DropDown[Ackerkulturen])-1)/(--(SEARCH(BY$2,Liste_Ackerkulturen_Gemüse_DropDown[Ackerkulturen])&gt;0)),ROW()-2),1),"")</f>
        <v>Weidenröschen</v>
      </c>
      <c r="BY259" s="2463"/>
      <c r="BZ259" s="2463" t="str">
        <f>IFERROR(INDEX(Liste_Ackerkulturen_Gemüse_DropDown[Ackerkulturen],_xlfn.AGGREGATE(15,6,(ROW(Liste_Ackerkulturen_Gemüse_DropDown[Ackerkulturen])-1)/(--(SEARCH(CA$2,Liste_Ackerkulturen_Gemüse_DropDown[Ackerkulturen])&gt;0)),ROW()-2),1),"")</f>
        <v>Weidenröschen</v>
      </c>
      <c r="CA259" s="2463"/>
      <c r="CB259" s="2463" t="str">
        <f>IFERROR(INDEX(Liste_Ackerkulturen_Gemüse_DropDown[Ackerkulturen],_xlfn.AGGREGATE(15,6,(ROW(Liste_Ackerkulturen_Gemüse_DropDown[Ackerkulturen])-1)/(--(SEARCH(CC$2,Liste_Ackerkulturen_Gemüse_DropDown[Ackerkulturen])&gt;0)),ROW()-2),1),"")</f>
        <v>Weidenröschen</v>
      </c>
      <c r="CC259" s="2463"/>
      <c r="CD259" s="2464" t="str">
        <f>IFERROR(INDEX(Liste_Ackerkulturen_Gemüse_DropDown[Ackerkulturen],_xlfn.AGGREGATE(15,6,(ROW(Liste_Ackerkulturen_Gemüse_DropDown[Ackerkulturen])-1)/(--(SEARCH(CE$2,Liste_Ackerkulturen_Gemüse_DropDown[Ackerkulturen])&gt;0)),ROW()-2),1),"")</f>
        <v>Weidenröschen</v>
      </c>
      <c r="CE259" s="2464"/>
      <c r="CF259" s="2464" t="str">
        <f>IFERROR(INDEX(Liste_Ackerkulturen_Gemüse_DropDown[Ackerkulturen],_xlfn.AGGREGATE(15,6,(ROW(Liste_Ackerkulturen_Gemüse_DropDown[Ackerkulturen])-1)/(--(SEARCH(CG$2,Liste_Ackerkulturen_Gemüse_DropDown[Ackerkulturen])&gt;0)),ROW()-2),1),"")</f>
        <v>Weidenröschen</v>
      </c>
      <c r="CG259" s="2464"/>
      <c r="CH259" s="2464" t="str">
        <f>IFERROR(INDEX(Liste_Ackerkulturen_Gemüse_DropDown[Ackerkulturen],_xlfn.AGGREGATE(15,6,(ROW(Liste_Ackerkulturen_Gemüse_DropDown[Ackerkulturen])-1)/(--(SEARCH(CI$2,Liste_Ackerkulturen_Gemüse_DropDown[Ackerkulturen])&gt;0)),ROW()-2),1),"")</f>
        <v>Weidenröschen</v>
      </c>
      <c r="CI259" s="2464"/>
      <c r="CJ259" s="2464" t="str">
        <f>IFERROR(INDEX(Liste_Ackerkulturen_Gemüse_DropDown[Ackerkulturen],_xlfn.AGGREGATE(15,6,(ROW(Liste_Ackerkulturen_Gemüse_DropDown[Ackerkulturen])-1)/(--(SEARCH(CK$2,Liste_Ackerkulturen_Gemüse_DropDown[Ackerkulturen])&gt;0)),ROW()-2),1),"")</f>
        <v>Weidenröschen</v>
      </c>
      <c r="CK259" s="2464"/>
      <c r="CL259" s="2464" t="str">
        <f>IFERROR(INDEX(Liste_Ackerkulturen_Gemüse_DropDown[Ackerkulturen],_xlfn.AGGREGATE(15,6,(ROW(Liste_Ackerkulturen_Gemüse_DropDown[Ackerkulturen])-1)/(--(SEARCH(CM$2,Liste_Ackerkulturen_Gemüse_DropDown[Ackerkulturen])&gt;0)),ROW()-2),1),"")</f>
        <v>Weidenröschen</v>
      </c>
      <c r="CM259" s="2464"/>
      <c r="CN259" s="2464" t="str">
        <f>IFERROR(INDEX(Liste_Ackerkulturen_Gemüse_DropDown[Ackerkulturen],_xlfn.AGGREGATE(15,6,(ROW(Liste_Ackerkulturen_Gemüse_DropDown[Ackerkulturen])-1)/(--(SEARCH(CO$2,Liste_Ackerkulturen_Gemüse_DropDown[Ackerkulturen])&gt;0)),ROW()-2),1),"")</f>
        <v>Weidenröschen</v>
      </c>
      <c r="CO259" s="2464"/>
      <c r="CP259" s="2464" t="str">
        <f>IFERROR(INDEX(Liste_Ackerkulturen_Gemüse_DropDown[Ackerkulturen],_xlfn.AGGREGATE(15,6,(ROW(Liste_Ackerkulturen_Gemüse_DropDown[Ackerkulturen])-1)/(--(SEARCH(CQ$2,Liste_Ackerkulturen_Gemüse_DropDown[Ackerkulturen])&gt;0)),ROW()-2),1),"")</f>
        <v>Weidenröschen</v>
      </c>
      <c r="CQ259" s="2464"/>
      <c r="CR259" s="2464" t="str">
        <f>IFERROR(INDEX(Liste_Ackerkulturen_Gemüse_DropDown[Ackerkulturen],_xlfn.AGGREGATE(15,6,(ROW(Liste_Ackerkulturen_Gemüse_DropDown[Ackerkulturen])-1)/(--(SEARCH(CS$2,Liste_Ackerkulturen_Gemüse_DropDown[Ackerkulturen])&gt;0)),ROW()-2),1),"")</f>
        <v>Weidenröschen</v>
      </c>
      <c r="CS259" s="2464"/>
    </row>
    <row r="260" spans="3:97" ht="22.5" customHeight="1">
      <c r="C260" s="1575" t="s">
        <v>249</v>
      </c>
      <c r="D260" s="1576"/>
      <c r="E260" s="1567" t="s">
        <v>170</v>
      </c>
      <c r="F260" s="1568">
        <v>160</v>
      </c>
      <c r="G260" s="1568"/>
      <c r="H260" s="1716" t="s">
        <v>467</v>
      </c>
      <c r="I260" s="1718">
        <v>190</v>
      </c>
      <c r="J260" s="1188" t="s">
        <v>69</v>
      </c>
      <c r="K260" s="1568">
        <v>230</v>
      </c>
      <c r="L260" s="1527">
        <v>150</v>
      </c>
      <c r="M260" s="1528">
        <v>188</v>
      </c>
      <c r="N260" s="1567">
        <v>75</v>
      </c>
      <c r="O260" s="1188">
        <v>65</v>
      </c>
      <c r="P260" s="1568">
        <v>40</v>
      </c>
      <c r="Q260" s="1718">
        <v>50</v>
      </c>
      <c r="R260" s="1568">
        <v>65</v>
      </c>
      <c r="S260" s="1568">
        <v>25</v>
      </c>
      <c r="T260" s="1599" t="s">
        <v>1201</v>
      </c>
      <c r="U260" s="1569">
        <v>295</v>
      </c>
      <c r="V260" s="1570">
        <v>245</v>
      </c>
      <c r="W260" s="1574">
        <v>155</v>
      </c>
      <c r="X260" s="1778">
        <v>195</v>
      </c>
      <c r="Y260" s="1574">
        <v>245</v>
      </c>
      <c r="Z260" s="1568">
        <v>100</v>
      </c>
      <c r="AA260" s="1599" t="s">
        <v>1201</v>
      </c>
      <c r="AB260" s="525"/>
      <c r="AC260" s="525"/>
      <c r="AD260" s="525"/>
      <c r="AE260" s="526"/>
      <c r="AF260" s="1279"/>
      <c r="AJ260" s="469"/>
      <c r="AK260" s="468"/>
      <c r="AL260" s="468"/>
      <c r="AM260" s="2371" t="s">
        <v>411</v>
      </c>
      <c r="AN260" s="2286">
        <v>80</v>
      </c>
      <c r="AO260" s="2308" t="s">
        <v>1201</v>
      </c>
      <c r="AP260" s="2286">
        <v>80</v>
      </c>
      <c r="AQ260" s="2308" t="s">
        <v>1201</v>
      </c>
      <c r="AR260" s="2286">
        <v>80</v>
      </c>
      <c r="AS260" s="2308" t="s">
        <v>1201</v>
      </c>
      <c r="AT260" s="2287">
        <v>80</v>
      </c>
      <c r="AU260" s="2309" t="s">
        <v>1201</v>
      </c>
      <c r="AV260" s="2287">
        <v>80</v>
      </c>
      <c r="AW260" s="2309" t="s">
        <v>1201</v>
      </c>
      <c r="AX260" s="2403">
        <v>70</v>
      </c>
      <c r="AY260" s="2299" t="s">
        <v>1201</v>
      </c>
      <c r="AZ260" s="2298">
        <v>70</v>
      </c>
      <c r="BA260" s="2373" t="s">
        <v>1201</v>
      </c>
      <c r="BE260" s="2371" t="s">
        <v>411</v>
      </c>
      <c r="BF260" s="2404">
        <v>50</v>
      </c>
      <c r="BG260" s="2404">
        <v>50</v>
      </c>
      <c r="BH260" s="2404">
        <v>50</v>
      </c>
      <c r="BJ260" s="2371" t="s">
        <v>411</v>
      </c>
      <c r="BK260" s="578">
        <v>120</v>
      </c>
      <c r="BL260" s="577">
        <v>120</v>
      </c>
      <c r="BM260" s="577">
        <v>120</v>
      </c>
      <c r="BN260" s="2407"/>
      <c r="BO260" s="2408"/>
      <c r="BS260" s="2462" t="s">
        <v>413</v>
      </c>
      <c r="BT260" s="2463" t="str">
        <f>IFERROR(INDEX(Liste_Ackerkulturen_Gemüse_DropDown[Ackerkulturen],_xlfn.AGGREGATE(15,6,(ROW(Liste_Ackerkulturen_Gemüse_DropDown[Ackerkulturen])-1)/(--(SEARCH(BU$2,Liste_Ackerkulturen_Gemüse_DropDown[Ackerkulturen])&gt;0)),ROW()-2),1),"")</f>
        <v>Ysop</v>
      </c>
      <c r="BU260" s="2466"/>
      <c r="BV260" s="2463" t="str">
        <f>IFERROR(INDEX(Liste_Ackerkulturen_Gemüse_DropDown[Ackerkulturen],_xlfn.AGGREGATE(15,6,(ROW(Liste_Ackerkulturen_Gemüse_DropDown[Ackerkulturen])-1)/(--(SEARCH(BW$2,Liste_Ackerkulturen_Gemüse_DropDown[Ackerkulturen])&gt;0)),ROW()-2),1),"")</f>
        <v>Ysop</v>
      </c>
      <c r="BW260" s="2466"/>
      <c r="BX260" s="2466" t="str">
        <f>IFERROR(INDEX(Liste_Ackerkulturen_Gemüse_DropDown[Ackerkulturen],_xlfn.AGGREGATE(15,6,(ROW(Liste_Ackerkulturen_Gemüse_DropDown[Ackerkulturen])-1)/(--(SEARCH(BY$2,Liste_Ackerkulturen_Gemüse_DropDown[Ackerkulturen])&gt;0)),ROW()-2),1),"")</f>
        <v>Ysop</v>
      </c>
      <c r="BY260" s="2466"/>
      <c r="BZ260" s="2466" t="str">
        <f>IFERROR(INDEX(Liste_Ackerkulturen_Gemüse_DropDown[Ackerkulturen],_xlfn.AGGREGATE(15,6,(ROW(Liste_Ackerkulturen_Gemüse_DropDown[Ackerkulturen])-1)/(--(SEARCH(CA$2,Liste_Ackerkulturen_Gemüse_DropDown[Ackerkulturen])&gt;0)),ROW()-2),1),"")</f>
        <v>Ysop</v>
      </c>
      <c r="CA260" s="2466"/>
      <c r="CB260" s="2466" t="str">
        <f>IFERROR(INDEX(Liste_Ackerkulturen_Gemüse_DropDown[Ackerkulturen],_xlfn.AGGREGATE(15,6,(ROW(Liste_Ackerkulturen_Gemüse_DropDown[Ackerkulturen])-1)/(--(SEARCH(CC$2,Liste_Ackerkulturen_Gemüse_DropDown[Ackerkulturen])&gt;0)),ROW()-2),1),"")</f>
        <v>Ysop</v>
      </c>
      <c r="CC260" s="2466"/>
      <c r="CD260" s="2525" t="str">
        <f>IFERROR(INDEX(Liste_Ackerkulturen_Gemüse_DropDown[Ackerkulturen],_xlfn.AGGREGATE(15,6,(ROW(Liste_Ackerkulturen_Gemüse_DropDown[Ackerkulturen])-1)/(--(SEARCH(CE$2,Liste_Ackerkulturen_Gemüse_DropDown[Ackerkulturen])&gt;0)),ROW()-2),1),"")</f>
        <v>Ysop</v>
      </c>
      <c r="CE260" s="2525"/>
      <c r="CF260" s="2525" t="str">
        <f>IFERROR(INDEX(Liste_Ackerkulturen_Gemüse_DropDown[Ackerkulturen],_xlfn.AGGREGATE(15,6,(ROW(Liste_Ackerkulturen_Gemüse_DropDown[Ackerkulturen])-1)/(--(SEARCH(CG$2,Liste_Ackerkulturen_Gemüse_DropDown[Ackerkulturen])&gt;0)),ROW()-2),1),"")</f>
        <v>Ysop</v>
      </c>
      <c r="CG260" s="2525"/>
      <c r="CH260" s="2525" t="str">
        <f>IFERROR(INDEX(Liste_Ackerkulturen_Gemüse_DropDown[Ackerkulturen],_xlfn.AGGREGATE(15,6,(ROW(Liste_Ackerkulturen_Gemüse_DropDown[Ackerkulturen])-1)/(--(SEARCH(CI$2,Liste_Ackerkulturen_Gemüse_DropDown[Ackerkulturen])&gt;0)),ROW()-2),1),"")</f>
        <v>Ysop</v>
      </c>
      <c r="CI260" s="2525"/>
      <c r="CJ260" s="2525" t="str">
        <f>IFERROR(INDEX(Liste_Ackerkulturen_Gemüse_DropDown[Ackerkulturen],_xlfn.AGGREGATE(15,6,(ROW(Liste_Ackerkulturen_Gemüse_DropDown[Ackerkulturen])-1)/(--(SEARCH(CK$2,Liste_Ackerkulturen_Gemüse_DropDown[Ackerkulturen])&gt;0)),ROW()-2),1),"")</f>
        <v>Ysop</v>
      </c>
      <c r="CK260" s="2525"/>
      <c r="CL260" s="2525" t="str">
        <f>IFERROR(INDEX(Liste_Ackerkulturen_Gemüse_DropDown[Ackerkulturen],_xlfn.AGGREGATE(15,6,(ROW(Liste_Ackerkulturen_Gemüse_DropDown[Ackerkulturen])-1)/(--(SEARCH(CM$2,Liste_Ackerkulturen_Gemüse_DropDown[Ackerkulturen])&gt;0)),ROW()-2),1),"")</f>
        <v>Ysop</v>
      </c>
      <c r="CM260" s="2525"/>
      <c r="CN260" s="2525" t="str">
        <f>IFERROR(INDEX(Liste_Ackerkulturen_Gemüse_DropDown[Ackerkulturen],_xlfn.AGGREGATE(15,6,(ROW(Liste_Ackerkulturen_Gemüse_DropDown[Ackerkulturen])-1)/(--(SEARCH(CO$2,Liste_Ackerkulturen_Gemüse_DropDown[Ackerkulturen])&gt;0)),ROW()-2),1),"")</f>
        <v>Ysop</v>
      </c>
      <c r="CO260" s="2525"/>
      <c r="CP260" s="2525" t="str">
        <f>IFERROR(INDEX(Liste_Ackerkulturen_Gemüse_DropDown[Ackerkulturen],_xlfn.AGGREGATE(15,6,(ROW(Liste_Ackerkulturen_Gemüse_DropDown[Ackerkulturen])-1)/(--(SEARCH(CQ$2,Liste_Ackerkulturen_Gemüse_DropDown[Ackerkulturen])&gt;0)),ROW()-2),1),"")</f>
        <v>Ysop</v>
      </c>
      <c r="CQ260" s="2525"/>
      <c r="CR260" s="2525" t="str">
        <f>IFERROR(INDEX(Liste_Ackerkulturen_Gemüse_DropDown[Ackerkulturen],_xlfn.AGGREGATE(15,6,(ROW(Liste_Ackerkulturen_Gemüse_DropDown[Ackerkulturen])-1)/(--(SEARCH(CS$2,Liste_Ackerkulturen_Gemüse_DropDown[Ackerkulturen])&gt;0)),ROW()-2),1),"")</f>
        <v>Ysop</v>
      </c>
      <c r="CS260" s="2525"/>
    </row>
    <row r="261" spans="3:97" ht="22.5" customHeight="1">
      <c r="C261" s="1575" t="s">
        <v>250</v>
      </c>
      <c r="D261" s="1576"/>
      <c r="E261" s="1567" t="s">
        <v>181</v>
      </c>
      <c r="F261" s="1568">
        <v>170</v>
      </c>
      <c r="G261" s="1568"/>
      <c r="H261" s="1716" t="s">
        <v>251</v>
      </c>
      <c r="I261" s="1718">
        <v>200</v>
      </c>
      <c r="J261" s="1188" t="s">
        <v>252</v>
      </c>
      <c r="K261" s="1568">
        <v>240</v>
      </c>
      <c r="L261" s="1527">
        <v>150</v>
      </c>
      <c r="M261" s="1528">
        <v>188</v>
      </c>
      <c r="N261" s="1567">
        <v>75</v>
      </c>
      <c r="O261" s="1188">
        <v>65</v>
      </c>
      <c r="P261" s="1568">
        <v>40</v>
      </c>
      <c r="Q261" s="1718">
        <v>50</v>
      </c>
      <c r="R261" s="1568">
        <v>65</v>
      </c>
      <c r="S261" s="1568">
        <v>25</v>
      </c>
      <c r="T261" s="1599" t="s">
        <v>1201</v>
      </c>
      <c r="U261" s="1569">
        <v>330</v>
      </c>
      <c r="V261" s="1570">
        <v>275</v>
      </c>
      <c r="W261" s="1574">
        <v>175</v>
      </c>
      <c r="X261" s="1778">
        <v>220</v>
      </c>
      <c r="Y261" s="1574">
        <v>275</v>
      </c>
      <c r="Z261" s="1568">
        <v>110</v>
      </c>
      <c r="AA261" s="1599" t="s">
        <v>1201</v>
      </c>
      <c r="AB261" s="525"/>
      <c r="AC261" s="525"/>
      <c r="AD261" s="525"/>
      <c r="AE261" s="526"/>
      <c r="AF261" s="1279"/>
      <c r="AJ261" s="469"/>
      <c r="AK261" s="468"/>
      <c r="AL261" s="468"/>
      <c r="AM261" s="2371" t="s">
        <v>412</v>
      </c>
      <c r="AN261" s="2286">
        <v>50</v>
      </c>
      <c r="AO261" s="2308" t="s">
        <v>1201</v>
      </c>
      <c r="AP261" s="2286">
        <v>50</v>
      </c>
      <c r="AQ261" s="2308" t="s">
        <v>1201</v>
      </c>
      <c r="AR261" s="2286">
        <v>50</v>
      </c>
      <c r="AS261" s="2308" t="s">
        <v>1201</v>
      </c>
      <c r="AT261" s="2287">
        <v>50</v>
      </c>
      <c r="AU261" s="2309" t="s">
        <v>1201</v>
      </c>
      <c r="AV261" s="2287">
        <v>50</v>
      </c>
      <c r="AW261" s="2309" t="s">
        <v>1201</v>
      </c>
      <c r="AX261" s="2403">
        <v>40</v>
      </c>
      <c r="AY261" s="2299" t="s">
        <v>1201</v>
      </c>
      <c r="AZ261" s="2298">
        <v>40</v>
      </c>
      <c r="BA261" s="2373" t="s">
        <v>1201</v>
      </c>
      <c r="BE261" s="2371" t="s">
        <v>412</v>
      </c>
      <c r="BF261" s="2404">
        <v>60</v>
      </c>
      <c r="BG261" s="2404">
        <v>60</v>
      </c>
      <c r="BH261" s="2404">
        <v>60</v>
      </c>
      <c r="BJ261" s="2371" t="s">
        <v>412</v>
      </c>
      <c r="BK261" s="578">
        <v>80</v>
      </c>
      <c r="BL261" s="577">
        <v>80</v>
      </c>
      <c r="BM261" s="577">
        <v>80</v>
      </c>
      <c r="BN261" s="2407"/>
      <c r="BO261" s="2408"/>
      <c r="BS261" s="2461">
        <f>0</f>
        <v>0</v>
      </c>
      <c r="BT261" s="2463" t="str">
        <f>IFERROR(INDEX(Liste_Ackerkulturen_Gemüse_DropDown[Ackerkulturen],_xlfn.AGGREGATE(15,6,(ROW(Liste_Ackerkulturen_Gemüse_DropDown[Ackerkulturen])-1)/(--(SEARCH(BU$2,Liste_Ackerkulturen_Gemüse_DropDown[Ackerkulturen])&gt;0)),ROW()-2),1),"")</f>
        <v>Zitronenmelisse</v>
      </c>
      <c r="BU261" s="2466"/>
      <c r="BV261" s="2463" t="str">
        <f>IFERROR(INDEX(Liste_Ackerkulturen_Gemüse_DropDown[Ackerkulturen],_xlfn.AGGREGATE(15,6,(ROW(Liste_Ackerkulturen_Gemüse_DropDown[Ackerkulturen])-1)/(--(SEARCH(BW$2,Liste_Ackerkulturen_Gemüse_DropDown[Ackerkulturen])&gt;0)),ROW()-2),1),"")</f>
        <v>Zitronenmelisse</v>
      </c>
      <c r="BW261" s="2466"/>
      <c r="BX261" s="2466" t="str">
        <f>IFERROR(INDEX(Liste_Ackerkulturen_Gemüse_DropDown[Ackerkulturen],_xlfn.AGGREGATE(15,6,(ROW(Liste_Ackerkulturen_Gemüse_DropDown[Ackerkulturen])-1)/(--(SEARCH(BY$2,Liste_Ackerkulturen_Gemüse_DropDown[Ackerkulturen])&gt;0)),ROW()-2),1),"")</f>
        <v>Zitronenmelisse</v>
      </c>
      <c r="BY261" s="2466"/>
      <c r="BZ261" s="2466" t="str">
        <f>IFERROR(INDEX(Liste_Ackerkulturen_Gemüse_DropDown[Ackerkulturen],_xlfn.AGGREGATE(15,6,(ROW(Liste_Ackerkulturen_Gemüse_DropDown[Ackerkulturen])-1)/(--(SEARCH(CA$2,Liste_Ackerkulturen_Gemüse_DropDown[Ackerkulturen])&gt;0)),ROW()-2),1),"")</f>
        <v>Zitronenmelisse</v>
      </c>
      <c r="CA261" s="2466"/>
      <c r="CB261" s="2466" t="str">
        <f>IFERROR(INDEX(Liste_Ackerkulturen_Gemüse_DropDown[Ackerkulturen],_xlfn.AGGREGATE(15,6,(ROW(Liste_Ackerkulturen_Gemüse_DropDown[Ackerkulturen])-1)/(--(SEARCH(CC$2,Liste_Ackerkulturen_Gemüse_DropDown[Ackerkulturen])&gt;0)),ROW()-2),1),"")</f>
        <v>Zitronenmelisse</v>
      </c>
      <c r="CC261" s="2466"/>
      <c r="CD261" s="2525" t="str">
        <f>IFERROR(INDEX(Liste_Ackerkulturen_Gemüse_DropDown[Ackerkulturen],_xlfn.AGGREGATE(15,6,(ROW(Liste_Ackerkulturen_Gemüse_DropDown[Ackerkulturen])-1)/(--(SEARCH(CE$2,Liste_Ackerkulturen_Gemüse_DropDown[Ackerkulturen])&gt;0)),ROW()-2),1),"")</f>
        <v>Zitronenmelisse</v>
      </c>
      <c r="CE261" s="2525"/>
      <c r="CF261" s="2525" t="str">
        <f>IFERROR(INDEX(Liste_Ackerkulturen_Gemüse_DropDown[Ackerkulturen],_xlfn.AGGREGATE(15,6,(ROW(Liste_Ackerkulturen_Gemüse_DropDown[Ackerkulturen])-1)/(--(SEARCH(CG$2,Liste_Ackerkulturen_Gemüse_DropDown[Ackerkulturen])&gt;0)),ROW()-2),1),"")</f>
        <v>Zitronenmelisse</v>
      </c>
      <c r="CG261" s="2525"/>
      <c r="CH261" s="2525" t="str">
        <f>IFERROR(INDEX(Liste_Ackerkulturen_Gemüse_DropDown[Ackerkulturen],_xlfn.AGGREGATE(15,6,(ROW(Liste_Ackerkulturen_Gemüse_DropDown[Ackerkulturen])-1)/(--(SEARCH(CI$2,Liste_Ackerkulturen_Gemüse_DropDown[Ackerkulturen])&gt;0)),ROW()-2),1),"")</f>
        <v>Zitronenmelisse</v>
      </c>
      <c r="CI261" s="2525" t="str">
        <f>IF(N_Bedarf!$C271="","",IF(COUNTIF(Liste_Ackerkulturen_Gemüse_DropDown[Ackerkulturen],N_Bedarf!$C271),"",N_Bedarf!$C271))</f>
        <v/>
      </c>
      <c r="CJ261" s="2525" t="str">
        <f>IFERROR(INDEX(Liste_Ackerkulturen_Gemüse_DropDown[Ackerkulturen],_xlfn.AGGREGATE(15,6,(ROW(Liste_Ackerkulturen_Gemüse_DropDown[Ackerkulturen])-1)/(--(SEARCH(CK$2,Liste_Ackerkulturen_Gemüse_DropDown[Ackerkulturen])&gt;0)),ROW()-2),1),"")</f>
        <v>Zitronenmelisse</v>
      </c>
      <c r="CK261" s="2525" t="str">
        <f>IF(N_Bedarf!$C272="","",IF(COUNTIF(Liste_Ackerkulturen_Gemüse_DropDown[Ackerkulturen],N_Bedarf!$C272),"",N_Bedarf!$C272))</f>
        <v/>
      </c>
      <c r="CL261" s="2525" t="str">
        <f>IFERROR(INDEX(Liste_Ackerkulturen_Gemüse_DropDown[Ackerkulturen],_xlfn.AGGREGATE(15,6,(ROW(Liste_Ackerkulturen_Gemüse_DropDown[Ackerkulturen])-1)/(--(SEARCH(CM$2,Liste_Ackerkulturen_Gemüse_DropDown[Ackerkulturen])&gt;0)),ROW()-2),1),"")</f>
        <v>Zitronenmelisse</v>
      </c>
      <c r="CM261" s="2525" t="str">
        <f>IF(N_Bedarf!$C273="","",IF(COUNTIF(Liste_Ackerkulturen_Gemüse_DropDown[Ackerkulturen],N_Bedarf!$C273),"",N_Bedarf!$C273))</f>
        <v/>
      </c>
      <c r="CN261" s="2525" t="str">
        <f>IFERROR(INDEX(Liste_Ackerkulturen_Gemüse_DropDown[Ackerkulturen],_xlfn.AGGREGATE(15,6,(ROW(Liste_Ackerkulturen_Gemüse_DropDown[Ackerkulturen])-1)/(--(SEARCH(CO$2,Liste_Ackerkulturen_Gemüse_DropDown[Ackerkulturen])&gt;0)),ROW()-2),1),"")</f>
        <v>Zitronenmelisse</v>
      </c>
      <c r="CO261" s="2525" t="str">
        <f>IF(N_Bedarf!$C274="","",IF(COUNTIF(Liste_Ackerkulturen_Gemüse_DropDown[Ackerkulturen],N_Bedarf!$C274),"",N_Bedarf!$C274))</f>
        <v/>
      </c>
      <c r="CP261" s="2525" t="str">
        <f>IFERROR(INDEX(Liste_Ackerkulturen_Gemüse_DropDown[Ackerkulturen],_xlfn.AGGREGATE(15,6,(ROW(Liste_Ackerkulturen_Gemüse_DropDown[Ackerkulturen])-1)/(--(SEARCH(CQ$2,Liste_Ackerkulturen_Gemüse_DropDown[Ackerkulturen])&gt;0)),ROW()-2),1),"")</f>
        <v>Zitronenmelisse</v>
      </c>
      <c r="CQ261" s="2525" t="str">
        <f>IF(N_Bedarf!$C275="","",IF(COUNTIF(Liste_Ackerkulturen_Gemüse_DropDown[Ackerkulturen],N_Bedarf!$C275),"",N_Bedarf!$C275))</f>
        <v/>
      </c>
      <c r="CR261" s="2525" t="str">
        <f>IFERROR(INDEX(Liste_Ackerkulturen_Gemüse_DropDown[Ackerkulturen],_xlfn.AGGREGATE(15,6,(ROW(Liste_Ackerkulturen_Gemüse_DropDown[Ackerkulturen])-1)/(--(SEARCH(CS$2,Liste_Ackerkulturen_Gemüse_DropDown[Ackerkulturen])&gt;0)),ROW()-2),1),"")</f>
        <v>Zitronenmelisse</v>
      </c>
      <c r="CS261" s="2525" t="str">
        <f>IF(N_Bedarf!$C276="","",IF(COUNTIF(Liste_Ackerkulturen_Gemüse_DropDown[Ackerkulturen],N_Bedarf!$C276),"",N_Bedarf!$C276))</f>
        <v/>
      </c>
    </row>
    <row r="262" spans="3:97" ht="22.5" customHeight="1">
      <c r="C262" s="1575" t="s">
        <v>253</v>
      </c>
      <c r="D262" s="1576"/>
      <c r="E262" s="1567" t="s">
        <v>199</v>
      </c>
      <c r="F262" s="1568">
        <v>170</v>
      </c>
      <c r="G262" s="1568"/>
      <c r="H262" s="1716" t="s">
        <v>68</v>
      </c>
      <c r="I262" s="1718">
        <v>200</v>
      </c>
      <c r="J262" s="1188" t="s">
        <v>141</v>
      </c>
      <c r="K262" s="1568">
        <v>235</v>
      </c>
      <c r="L262" s="1527">
        <v>100</v>
      </c>
      <c r="M262" s="1528">
        <v>125</v>
      </c>
      <c r="N262" s="1567">
        <v>60</v>
      </c>
      <c r="O262" s="1188">
        <v>50</v>
      </c>
      <c r="P262" s="1568">
        <v>30</v>
      </c>
      <c r="Q262" s="1718">
        <v>40</v>
      </c>
      <c r="R262" s="1568">
        <v>50</v>
      </c>
      <c r="S262" s="1568">
        <v>20</v>
      </c>
      <c r="T262" s="1599" t="s">
        <v>1201</v>
      </c>
      <c r="U262" s="1569">
        <v>210</v>
      </c>
      <c r="V262" s="1570">
        <v>175</v>
      </c>
      <c r="W262" s="1574">
        <v>110</v>
      </c>
      <c r="X262" s="1778">
        <v>140</v>
      </c>
      <c r="Y262" s="1574">
        <v>175</v>
      </c>
      <c r="Z262" s="1568">
        <v>70</v>
      </c>
      <c r="AA262" s="1599" t="s">
        <v>1201</v>
      </c>
      <c r="AB262" s="525"/>
      <c r="AC262" s="525"/>
      <c r="AD262" s="525"/>
      <c r="AE262" s="526"/>
      <c r="AF262" s="1279"/>
      <c r="AJ262" s="469"/>
      <c r="AK262" s="468"/>
      <c r="AL262" s="468"/>
      <c r="AM262" s="2371" t="s">
        <v>413</v>
      </c>
      <c r="AN262" s="2286">
        <v>200</v>
      </c>
      <c r="AO262" s="2308" t="s">
        <v>1201</v>
      </c>
      <c r="AP262" s="2286">
        <v>200</v>
      </c>
      <c r="AQ262" s="2308" t="s">
        <v>1201</v>
      </c>
      <c r="AR262" s="2286">
        <v>200</v>
      </c>
      <c r="AS262" s="2308" t="s">
        <v>1201</v>
      </c>
      <c r="AT262" s="2287">
        <v>200</v>
      </c>
      <c r="AU262" s="2309" t="s">
        <v>1201</v>
      </c>
      <c r="AV262" s="2287">
        <v>200</v>
      </c>
      <c r="AW262" s="2309" t="s">
        <v>1201</v>
      </c>
      <c r="AX262" s="2403">
        <v>170</v>
      </c>
      <c r="AY262" s="2299" t="s">
        <v>1201</v>
      </c>
      <c r="AZ262" s="2298">
        <v>170</v>
      </c>
      <c r="BA262" s="2373" t="s">
        <v>1201</v>
      </c>
      <c r="BE262" s="2371" t="s">
        <v>413</v>
      </c>
      <c r="BF262" s="2404">
        <v>60</v>
      </c>
      <c r="BG262" s="2404">
        <v>60</v>
      </c>
      <c r="BH262" s="2404">
        <v>60</v>
      </c>
      <c r="BJ262" s="2371" t="s">
        <v>413</v>
      </c>
      <c r="BK262" s="578">
        <v>140</v>
      </c>
      <c r="BL262" s="577">
        <v>140</v>
      </c>
      <c r="BM262" s="577">
        <v>140</v>
      </c>
      <c r="BN262" s="2407"/>
      <c r="BO262" s="2408"/>
      <c r="BS262" s="2461"/>
      <c r="BT262" s="2463">
        <f>IFERROR(INDEX(Liste_Ackerkulturen_Gemüse_DropDown[Ackerkulturen],_xlfn.AGGREGATE(15,6,(ROW(Liste_Ackerkulturen_Gemüse_DropDown[Ackerkulturen])-1)/(--(SEARCH(BU$2,Liste_Ackerkulturen_Gemüse_DropDown[Ackerkulturen])&gt;0)),ROW()-2),1),"")</f>
        <v>0</v>
      </c>
      <c r="BU262" s="2466"/>
      <c r="BV262" s="2463">
        <f>IFERROR(INDEX(Liste_Ackerkulturen_Gemüse_DropDown[Ackerkulturen],_xlfn.AGGREGATE(15,6,(ROW(Liste_Ackerkulturen_Gemüse_DropDown[Ackerkulturen])-1)/(--(SEARCH(BW$2,Liste_Ackerkulturen_Gemüse_DropDown[Ackerkulturen])&gt;0)),ROW()-2),1),"")</f>
        <v>0</v>
      </c>
      <c r="BW262" s="2466"/>
      <c r="BX262" s="2466">
        <f>IFERROR(INDEX(Liste_Ackerkulturen_Gemüse_DropDown[Ackerkulturen],_xlfn.AGGREGATE(15,6,(ROW(Liste_Ackerkulturen_Gemüse_DropDown[Ackerkulturen])-1)/(--(SEARCH(BY$2,Liste_Ackerkulturen_Gemüse_DropDown[Ackerkulturen])&gt;0)),ROW()-2),1),"")</f>
        <v>0</v>
      </c>
      <c r="BY262" s="2466"/>
      <c r="BZ262" s="2466">
        <f>IFERROR(INDEX(Liste_Ackerkulturen_Gemüse_DropDown[Ackerkulturen],_xlfn.AGGREGATE(15,6,(ROW(Liste_Ackerkulturen_Gemüse_DropDown[Ackerkulturen])-1)/(--(SEARCH(CA$2,Liste_Ackerkulturen_Gemüse_DropDown[Ackerkulturen])&gt;0)),ROW()-2),1),"")</f>
        <v>0</v>
      </c>
      <c r="CA262" s="2466"/>
      <c r="CB262" s="2466">
        <f>IFERROR(INDEX(Liste_Ackerkulturen_Gemüse_DropDown[Ackerkulturen],_xlfn.AGGREGATE(15,6,(ROW(Liste_Ackerkulturen_Gemüse_DropDown[Ackerkulturen])-1)/(--(SEARCH(CC$2,Liste_Ackerkulturen_Gemüse_DropDown[Ackerkulturen])&gt;0)),ROW()-2),1),"")</f>
        <v>0</v>
      </c>
      <c r="CC262" s="2466"/>
      <c r="CD262" s="2525">
        <f>IFERROR(INDEX(Liste_Ackerkulturen_Gemüse_DropDown[Ackerkulturen],_xlfn.AGGREGATE(15,6,(ROW(Liste_Ackerkulturen_Gemüse_DropDown[Ackerkulturen])-1)/(--(SEARCH(CE$2,Liste_Ackerkulturen_Gemüse_DropDown[Ackerkulturen])&gt;0)),ROW()-2),1),"")</f>
        <v>0</v>
      </c>
      <c r="CE262" s="2525"/>
      <c r="CF262" s="2525">
        <f>IFERROR(INDEX(Liste_Ackerkulturen_Gemüse_DropDown[Ackerkulturen],_xlfn.AGGREGATE(15,6,(ROW(Liste_Ackerkulturen_Gemüse_DropDown[Ackerkulturen])-1)/(--(SEARCH(CG$2,Liste_Ackerkulturen_Gemüse_DropDown[Ackerkulturen])&gt;0)),ROW()-2),1),"")</f>
        <v>0</v>
      </c>
      <c r="CG262" s="2525"/>
      <c r="CH262" s="2525">
        <f>IFERROR(INDEX(Liste_Ackerkulturen_Gemüse_DropDown[Ackerkulturen],_xlfn.AGGREGATE(15,6,(ROW(Liste_Ackerkulturen_Gemüse_DropDown[Ackerkulturen])-1)/(--(SEARCH(CI$2,Liste_Ackerkulturen_Gemüse_DropDown[Ackerkulturen])&gt;0)),ROW()-2),1),"")</f>
        <v>0</v>
      </c>
      <c r="CI262" s="2525" t="str">
        <f>IF(N_Bedarf!$C272="","",IF(COUNTIF(Liste_Ackerkulturen_Gemüse_DropDown[Ackerkulturen],N_Bedarf!$C272),"",N_Bedarf!$C272))</f>
        <v/>
      </c>
      <c r="CJ262" s="2525">
        <f>IFERROR(INDEX(Liste_Ackerkulturen_Gemüse_DropDown[Ackerkulturen],_xlfn.AGGREGATE(15,6,(ROW(Liste_Ackerkulturen_Gemüse_DropDown[Ackerkulturen])-1)/(--(SEARCH(CK$2,Liste_Ackerkulturen_Gemüse_DropDown[Ackerkulturen])&gt;0)),ROW()-2),1),"")</f>
        <v>0</v>
      </c>
      <c r="CK262" s="2525" t="str">
        <f>IF(N_Bedarf!$C273="","",IF(COUNTIF(Liste_Ackerkulturen_Gemüse_DropDown[Ackerkulturen],N_Bedarf!$C273),"",N_Bedarf!$C273))</f>
        <v/>
      </c>
      <c r="CL262" s="2525">
        <f>IFERROR(INDEX(Liste_Ackerkulturen_Gemüse_DropDown[Ackerkulturen],_xlfn.AGGREGATE(15,6,(ROW(Liste_Ackerkulturen_Gemüse_DropDown[Ackerkulturen])-1)/(--(SEARCH(CM$2,Liste_Ackerkulturen_Gemüse_DropDown[Ackerkulturen])&gt;0)),ROW()-2),1),"")</f>
        <v>0</v>
      </c>
      <c r="CM262" s="2525" t="str">
        <f>IF(N_Bedarf!$C274="","",IF(COUNTIF(Liste_Ackerkulturen_Gemüse_DropDown[Ackerkulturen],N_Bedarf!$C274),"",N_Bedarf!$C274))</f>
        <v/>
      </c>
      <c r="CN262" s="2525">
        <f>IFERROR(INDEX(Liste_Ackerkulturen_Gemüse_DropDown[Ackerkulturen],_xlfn.AGGREGATE(15,6,(ROW(Liste_Ackerkulturen_Gemüse_DropDown[Ackerkulturen])-1)/(--(SEARCH(CO$2,Liste_Ackerkulturen_Gemüse_DropDown[Ackerkulturen])&gt;0)),ROW()-2),1),"")</f>
        <v>0</v>
      </c>
      <c r="CO262" s="2525" t="str">
        <f>IF(N_Bedarf!$C275="","",IF(COUNTIF(Liste_Ackerkulturen_Gemüse_DropDown[Ackerkulturen],N_Bedarf!$C275),"",N_Bedarf!$C275))</f>
        <v/>
      </c>
      <c r="CP262" s="2525">
        <f>IFERROR(INDEX(Liste_Ackerkulturen_Gemüse_DropDown[Ackerkulturen],_xlfn.AGGREGATE(15,6,(ROW(Liste_Ackerkulturen_Gemüse_DropDown[Ackerkulturen])-1)/(--(SEARCH(CQ$2,Liste_Ackerkulturen_Gemüse_DropDown[Ackerkulturen])&gt;0)),ROW()-2),1),"")</f>
        <v>0</v>
      </c>
      <c r="CQ262" s="2525" t="str">
        <f>IF(N_Bedarf!$C276="","",IF(COUNTIF(Liste_Ackerkulturen_Gemüse_DropDown[Ackerkulturen],N_Bedarf!$C276),"",N_Bedarf!$C276))</f>
        <v/>
      </c>
      <c r="CR262" s="2525">
        <f>IFERROR(INDEX(Liste_Ackerkulturen_Gemüse_DropDown[Ackerkulturen],_xlfn.AGGREGATE(15,6,(ROW(Liste_Ackerkulturen_Gemüse_DropDown[Ackerkulturen])-1)/(--(SEARCH(CS$2,Liste_Ackerkulturen_Gemüse_DropDown[Ackerkulturen])&gt;0)),ROW()-2),1),"")</f>
        <v>0</v>
      </c>
      <c r="CS262" s="2525" t="str">
        <f>IF(N_Bedarf!$C277="","",IF(COUNTIF(Liste_Ackerkulturen_Gemüse_DropDown[Ackerkulturen],N_Bedarf!$C277),"",N_Bedarf!$C277))</f>
        <v/>
      </c>
    </row>
    <row r="263" spans="3:97" ht="22.5" customHeight="1">
      <c r="C263" s="1575" t="s">
        <v>254</v>
      </c>
      <c r="D263" s="1576"/>
      <c r="E263" s="1567" t="s">
        <v>465</v>
      </c>
      <c r="F263" s="1568">
        <v>210</v>
      </c>
      <c r="G263" s="1568"/>
      <c r="H263" s="1716" t="s">
        <v>158</v>
      </c>
      <c r="I263" s="1718">
        <v>250</v>
      </c>
      <c r="J263" s="1188" t="s">
        <v>159</v>
      </c>
      <c r="K263" s="1568">
        <v>300</v>
      </c>
      <c r="L263" s="1527">
        <v>200</v>
      </c>
      <c r="M263" s="1528">
        <v>250</v>
      </c>
      <c r="N263" s="1567">
        <v>75</v>
      </c>
      <c r="O263" s="1188">
        <v>65</v>
      </c>
      <c r="P263" s="1568">
        <v>40</v>
      </c>
      <c r="Q263" s="1718">
        <v>50</v>
      </c>
      <c r="R263" s="1568">
        <v>65</v>
      </c>
      <c r="S263" s="1568">
        <v>25</v>
      </c>
      <c r="T263" s="1599" t="s">
        <v>1201</v>
      </c>
      <c r="U263" s="1569">
        <v>270</v>
      </c>
      <c r="V263" s="1570">
        <v>225</v>
      </c>
      <c r="W263" s="1574">
        <v>145</v>
      </c>
      <c r="X263" s="1778">
        <v>180</v>
      </c>
      <c r="Y263" s="1574">
        <v>225</v>
      </c>
      <c r="Z263" s="1568">
        <v>90</v>
      </c>
      <c r="AA263" s="1599" t="s">
        <v>1201</v>
      </c>
      <c r="AB263" s="525"/>
      <c r="AC263" s="525"/>
      <c r="AD263" s="525"/>
      <c r="AE263" s="526"/>
      <c r="AF263" s="1279"/>
      <c r="AJ263" s="469"/>
      <c r="AK263" s="468"/>
      <c r="AL263" s="468"/>
      <c r="AM263" s="469"/>
      <c r="AN263" s="468"/>
      <c r="AO263" s="468"/>
      <c r="AP263" s="469"/>
      <c r="AQ263" s="469"/>
      <c r="BN263" s="506"/>
      <c r="BO263" s="510"/>
    </row>
    <row r="264" spans="3:97" ht="22.5" customHeight="1">
      <c r="C264" s="1575" t="s">
        <v>255</v>
      </c>
      <c r="D264" s="1576"/>
      <c r="E264" s="1567" t="s">
        <v>256</v>
      </c>
      <c r="F264" s="1568">
        <v>165</v>
      </c>
      <c r="G264" s="1568"/>
      <c r="H264" s="1716" t="s">
        <v>257</v>
      </c>
      <c r="I264" s="1718">
        <v>195</v>
      </c>
      <c r="J264" s="1188" t="s">
        <v>258</v>
      </c>
      <c r="K264" s="1568">
        <v>235</v>
      </c>
      <c r="L264" s="1527">
        <v>155</v>
      </c>
      <c r="M264" s="1528">
        <v>194</v>
      </c>
      <c r="N264" s="1567">
        <v>90</v>
      </c>
      <c r="O264" s="1188">
        <v>75</v>
      </c>
      <c r="P264" s="1568">
        <v>50</v>
      </c>
      <c r="Q264" s="1718">
        <v>60</v>
      </c>
      <c r="R264" s="1568">
        <v>75</v>
      </c>
      <c r="S264" s="1568">
        <v>30</v>
      </c>
      <c r="T264" s="1599" t="s">
        <v>1201</v>
      </c>
      <c r="U264" s="1569">
        <v>235</v>
      </c>
      <c r="V264" s="1570">
        <v>195</v>
      </c>
      <c r="W264" s="1574">
        <v>125</v>
      </c>
      <c r="X264" s="1778">
        <v>155</v>
      </c>
      <c r="Y264" s="1574">
        <v>195</v>
      </c>
      <c r="Z264" s="1568">
        <v>80</v>
      </c>
      <c r="AA264" s="1599" t="s">
        <v>1201</v>
      </c>
      <c r="AB264" s="525"/>
      <c r="AC264" s="525"/>
      <c r="AD264" s="525"/>
      <c r="AE264" s="526"/>
      <c r="AF264" s="1279"/>
      <c r="AJ264" s="469"/>
      <c r="AK264" s="468"/>
      <c r="AL264" s="468"/>
      <c r="AM264" s="469"/>
      <c r="AN264" s="468"/>
      <c r="AO264" s="468"/>
      <c r="AP264" s="469"/>
      <c r="AQ264" s="469"/>
      <c r="BN264" s="506"/>
      <c r="BO264" s="510"/>
    </row>
    <row r="265" spans="3:97" ht="22.5" customHeight="1">
      <c r="C265" s="1575" t="s">
        <v>259</v>
      </c>
      <c r="D265" s="1576"/>
      <c r="E265" s="1567" t="s">
        <v>1983</v>
      </c>
      <c r="F265" s="1568">
        <v>210</v>
      </c>
      <c r="G265" s="1568"/>
      <c r="H265" s="1716" t="s">
        <v>1984</v>
      </c>
      <c r="I265" s="1718">
        <v>250</v>
      </c>
      <c r="J265" s="1188" t="s">
        <v>168</v>
      </c>
      <c r="K265" s="1568">
        <v>300</v>
      </c>
      <c r="L265" s="1527">
        <v>200</v>
      </c>
      <c r="M265" s="1528">
        <v>250</v>
      </c>
      <c r="N265" s="1567">
        <v>120</v>
      </c>
      <c r="O265" s="1188">
        <v>100</v>
      </c>
      <c r="P265" s="1568">
        <v>65</v>
      </c>
      <c r="Q265" s="1718">
        <v>80</v>
      </c>
      <c r="R265" s="1568">
        <v>100</v>
      </c>
      <c r="S265" s="1568">
        <v>40</v>
      </c>
      <c r="T265" s="1599" t="s">
        <v>1201</v>
      </c>
      <c r="U265" s="1569">
        <v>420</v>
      </c>
      <c r="V265" s="1570">
        <v>350</v>
      </c>
      <c r="W265" s="1574">
        <v>225</v>
      </c>
      <c r="X265" s="1778">
        <v>280</v>
      </c>
      <c r="Y265" s="1574">
        <v>350</v>
      </c>
      <c r="Z265" s="1568">
        <v>140</v>
      </c>
      <c r="AA265" s="1599" t="s">
        <v>1201</v>
      </c>
      <c r="AB265" s="525"/>
      <c r="AC265" s="525"/>
      <c r="AD265" s="525"/>
      <c r="AE265" s="526"/>
      <c r="AF265" s="1279"/>
      <c r="AJ265" s="469"/>
      <c r="AK265" s="468"/>
      <c r="AL265" s="468"/>
      <c r="AM265" s="469"/>
      <c r="AN265" s="468"/>
      <c r="AO265" s="468"/>
      <c r="AP265" s="469"/>
      <c r="AQ265" s="469"/>
      <c r="BN265" s="506"/>
      <c r="BO265" s="510"/>
    </row>
    <row r="266" spans="3:97" ht="22.5" customHeight="1">
      <c r="C266" s="1575" t="s">
        <v>260</v>
      </c>
      <c r="D266" s="1576"/>
      <c r="E266" s="1567" t="s">
        <v>139</v>
      </c>
      <c r="F266" s="1568">
        <v>160</v>
      </c>
      <c r="G266" s="1568"/>
      <c r="H266" s="1716" t="s">
        <v>54</v>
      </c>
      <c r="I266" s="1718">
        <v>190</v>
      </c>
      <c r="J266" s="1188" t="s">
        <v>224</v>
      </c>
      <c r="K266" s="1568">
        <v>230</v>
      </c>
      <c r="L266" s="1527">
        <v>140</v>
      </c>
      <c r="M266" s="1528">
        <v>175</v>
      </c>
      <c r="N266" s="1567">
        <v>90</v>
      </c>
      <c r="O266" s="1188">
        <v>75</v>
      </c>
      <c r="P266" s="1568">
        <v>50</v>
      </c>
      <c r="Q266" s="1718">
        <v>60</v>
      </c>
      <c r="R266" s="1568">
        <v>75</v>
      </c>
      <c r="S266" s="1568">
        <v>30</v>
      </c>
      <c r="T266" s="1599" t="s">
        <v>1201</v>
      </c>
      <c r="U266" s="1569">
        <v>360</v>
      </c>
      <c r="V266" s="1570">
        <v>300</v>
      </c>
      <c r="W266" s="1574">
        <v>190</v>
      </c>
      <c r="X266" s="1778">
        <v>240</v>
      </c>
      <c r="Y266" s="1574">
        <v>300</v>
      </c>
      <c r="Z266" s="1568">
        <v>120</v>
      </c>
      <c r="AA266" s="1599" t="s">
        <v>1201</v>
      </c>
      <c r="AB266" s="525"/>
      <c r="AC266" s="525"/>
      <c r="AD266" s="525"/>
      <c r="AE266" s="526"/>
      <c r="AF266" s="1279"/>
      <c r="AJ266" s="469"/>
      <c r="AK266" s="468"/>
      <c r="AL266" s="468"/>
      <c r="AM266" s="469"/>
      <c r="AN266" s="468"/>
      <c r="AO266" s="468"/>
      <c r="AP266" s="469"/>
      <c r="AQ266" s="469"/>
      <c r="BN266" s="506"/>
      <c r="BO266" s="510"/>
    </row>
    <row r="267" spans="3:97" ht="22.5" customHeight="1">
      <c r="C267" s="1575" t="s">
        <v>261</v>
      </c>
      <c r="D267" s="1576"/>
      <c r="E267" s="1567" t="s">
        <v>1201</v>
      </c>
      <c r="F267" s="1600">
        <v>0</v>
      </c>
      <c r="G267" s="1600"/>
      <c r="H267" s="1716" t="s">
        <v>1201</v>
      </c>
      <c r="I267" s="1781">
        <v>0</v>
      </c>
      <c r="J267" s="1188" t="s">
        <v>1201</v>
      </c>
      <c r="K267" s="1600">
        <v>0</v>
      </c>
      <c r="L267" s="1527">
        <v>0</v>
      </c>
      <c r="M267" s="1528">
        <v>0</v>
      </c>
      <c r="N267" s="1567">
        <v>0</v>
      </c>
      <c r="O267" s="1188">
        <v>0</v>
      </c>
      <c r="P267" s="1568">
        <v>0</v>
      </c>
      <c r="Q267" s="1718">
        <v>0</v>
      </c>
      <c r="R267" s="1568">
        <v>0</v>
      </c>
      <c r="S267" s="1568" t="s">
        <v>34</v>
      </c>
      <c r="T267" s="1599" t="s">
        <v>34</v>
      </c>
      <c r="U267" s="1569">
        <v>0</v>
      </c>
      <c r="V267" s="1570">
        <v>0</v>
      </c>
      <c r="W267" s="1574">
        <v>0</v>
      </c>
      <c r="X267" s="1778">
        <v>0</v>
      </c>
      <c r="Y267" s="1574">
        <v>0</v>
      </c>
      <c r="Z267" s="1568" t="s">
        <v>1201</v>
      </c>
      <c r="AA267" s="1599" t="s">
        <v>34</v>
      </c>
      <c r="AB267" s="525"/>
      <c r="AC267" s="525"/>
      <c r="AD267" s="525"/>
      <c r="AE267" s="526"/>
      <c r="AF267" s="1279"/>
      <c r="AJ267" s="469"/>
      <c r="AK267" s="468"/>
      <c r="AM267" s="586" t="s">
        <v>1844</v>
      </c>
      <c r="AN267" s="584" t="s">
        <v>1784</v>
      </c>
      <c r="AO267" s="2245"/>
      <c r="AP267" s="1299" t="s">
        <v>1095</v>
      </c>
      <c r="AQ267" s="1299"/>
      <c r="AR267" s="1299" t="s">
        <v>1839</v>
      </c>
      <c r="AS267" s="1299"/>
      <c r="AT267" s="585" t="s">
        <v>1095</v>
      </c>
      <c r="AU267" s="585"/>
      <c r="AV267" s="585" t="s">
        <v>1839</v>
      </c>
      <c r="AW267" s="585"/>
      <c r="AX267" s="1034" t="s">
        <v>1845</v>
      </c>
      <c r="AY267" s="1034"/>
      <c r="AZ267" s="1034" t="s">
        <v>1845</v>
      </c>
      <c r="BA267" s="2248"/>
      <c r="BB267" s="473"/>
      <c r="BC267" s="518"/>
      <c r="BD267" s="511"/>
      <c r="BE267" s="579" t="s">
        <v>1846</v>
      </c>
      <c r="BF267" s="580" t="s">
        <v>1784</v>
      </c>
      <c r="BG267" s="580" t="s">
        <v>1095</v>
      </c>
      <c r="BH267" s="580" t="s">
        <v>1091</v>
      </c>
      <c r="BI267" s="511"/>
      <c r="BJ267" s="579" t="s">
        <v>1847</v>
      </c>
      <c r="BK267" s="580"/>
      <c r="BL267" s="580"/>
      <c r="BM267" s="580"/>
      <c r="BN267" s="506"/>
      <c r="BO267" s="510"/>
    </row>
    <row r="268" spans="3:97" ht="22.5" customHeight="1">
      <c r="C268" s="1575" t="s">
        <v>262</v>
      </c>
      <c r="D268" s="1576"/>
      <c r="E268" s="1567" t="s">
        <v>1957</v>
      </c>
      <c r="F268" s="1568">
        <v>120</v>
      </c>
      <c r="G268" s="1568"/>
      <c r="H268" s="1716" t="s">
        <v>263</v>
      </c>
      <c r="I268" s="1718">
        <v>140</v>
      </c>
      <c r="J268" s="1188" t="s">
        <v>264</v>
      </c>
      <c r="K268" s="1568">
        <v>165</v>
      </c>
      <c r="L268" s="1527">
        <v>100</v>
      </c>
      <c r="M268" s="1528">
        <v>125</v>
      </c>
      <c r="N268" s="1567">
        <v>90</v>
      </c>
      <c r="O268" s="1188">
        <v>75</v>
      </c>
      <c r="P268" s="1568">
        <v>50</v>
      </c>
      <c r="Q268" s="1718">
        <v>60</v>
      </c>
      <c r="R268" s="1568">
        <v>75</v>
      </c>
      <c r="S268" s="1568">
        <v>30</v>
      </c>
      <c r="T268" s="1599" t="s">
        <v>1201</v>
      </c>
      <c r="U268" s="1569">
        <v>210</v>
      </c>
      <c r="V268" s="1570">
        <v>175</v>
      </c>
      <c r="W268" s="1574">
        <v>110</v>
      </c>
      <c r="X268" s="1778">
        <v>140</v>
      </c>
      <c r="Y268" s="1574">
        <v>175</v>
      </c>
      <c r="Z268" s="1568">
        <v>70</v>
      </c>
      <c r="AA268" s="1599" t="s">
        <v>1201</v>
      </c>
      <c r="AB268" s="525"/>
      <c r="AC268" s="525"/>
      <c r="AD268" s="525"/>
      <c r="AE268" s="526"/>
      <c r="AF268" s="1279"/>
      <c r="AJ268" s="469"/>
      <c r="AK268" s="468"/>
      <c r="AL268" s="469"/>
      <c r="AM268" s="2515" t="s">
        <v>2482</v>
      </c>
      <c r="AN268" s="571">
        <v>20</v>
      </c>
      <c r="AO268" s="524" t="s">
        <v>1997</v>
      </c>
      <c r="AP268" s="1300">
        <f>IF(Tabelle1!$AO$16=1,N_Bedarf!AX268,N_Bedarf!AT268)</f>
        <v>30</v>
      </c>
      <c r="AQ268" s="1300" t="s">
        <v>2271</v>
      </c>
      <c r="AR268" s="1300">
        <f>IF(Tabelle1!$AO$16=1,N_Bedarf!AZ268,N_Bedarf!AV268)</f>
        <v>30</v>
      </c>
      <c r="AS268" s="2246" t="s">
        <v>2271</v>
      </c>
      <c r="AT268" s="571">
        <v>30</v>
      </c>
      <c r="AU268" s="571" t="s">
        <v>2272</v>
      </c>
      <c r="AV268" s="571">
        <v>30</v>
      </c>
      <c r="AW268" s="571" t="s">
        <v>2272</v>
      </c>
      <c r="AX268" s="1035">
        <v>30</v>
      </c>
      <c r="AY268" s="1035"/>
      <c r="AZ268" s="1035">
        <v>30</v>
      </c>
      <c r="BA268" s="2249"/>
      <c r="BB268" s="473"/>
      <c r="BC268" s="518"/>
      <c r="BD268" s="511"/>
      <c r="BE268" s="2515" t="s">
        <v>2482</v>
      </c>
      <c r="BF268" s="575">
        <v>15</v>
      </c>
      <c r="BG268" s="575">
        <v>30</v>
      </c>
      <c r="BH268" s="575">
        <v>30</v>
      </c>
      <c r="BI268" s="292"/>
      <c r="BJ268" s="2515" t="s">
        <v>2482</v>
      </c>
      <c r="BK268" s="581">
        <v>45</v>
      </c>
      <c r="BL268" s="575">
        <v>80</v>
      </c>
      <c r="BM268" s="575">
        <v>80</v>
      </c>
      <c r="BN268" s="506"/>
      <c r="BO268" s="510"/>
    </row>
    <row r="269" spans="3:97" ht="22.5" customHeight="1">
      <c r="C269" s="1575" t="s">
        <v>265</v>
      </c>
      <c r="D269" s="1576"/>
      <c r="E269" s="1567" t="s">
        <v>139</v>
      </c>
      <c r="F269" s="1568">
        <v>200</v>
      </c>
      <c r="G269" s="1568"/>
      <c r="H269" s="1716" t="s">
        <v>140</v>
      </c>
      <c r="I269" s="1718">
        <v>235</v>
      </c>
      <c r="J269" s="1188" t="s">
        <v>141</v>
      </c>
      <c r="K269" s="1568">
        <v>280</v>
      </c>
      <c r="L269" s="1527">
        <v>185</v>
      </c>
      <c r="M269" s="1528">
        <v>231</v>
      </c>
      <c r="N269" s="1567">
        <v>75</v>
      </c>
      <c r="O269" s="1188">
        <v>65</v>
      </c>
      <c r="P269" s="1568">
        <v>40</v>
      </c>
      <c r="Q269" s="1718">
        <v>50</v>
      </c>
      <c r="R269" s="1568">
        <v>65</v>
      </c>
      <c r="S269" s="1568">
        <v>25</v>
      </c>
      <c r="T269" s="1599" t="s">
        <v>1201</v>
      </c>
      <c r="U269" s="1569">
        <v>330</v>
      </c>
      <c r="V269" s="1570">
        <v>275</v>
      </c>
      <c r="W269" s="1574">
        <v>175</v>
      </c>
      <c r="X269" s="1778">
        <v>220</v>
      </c>
      <c r="Y269" s="1574">
        <v>275</v>
      </c>
      <c r="Z269" s="1568">
        <v>110</v>
      </c>
      <c r="AA269" s="1599" t="s">
        <v>1201</v>
      </c>
      <c r="AB269" s="525"/>
      <c r="AC269" s="525"/>
      <c r="AD269" s="525"/>
      <c r="AE269" s="526"/>
      <c r="AF269" s="1279"/>
      <c r="AJ269" s="469"/>
      <c r="AK269" s="468"/>
      <c r="AL269" s="469"/>
      <c r="AM269" s="2516" t="s">
        <v>2477</v>
      </c>
      <c r="AN269" s="571">
        <v>60</v>
      </c>
      <c r="AO269" s="524" t="s">
        <v>14</v>
      </c>
      <c r="AP269" s="1300">
        <f>IF(Tabelle1!$AO$16=1,N_Bedarf!AX269,N_Bedarf!AT269)</f>
        <v>90</v>
      </c>
      <c r="AQ269" s="1300" t="s">
        <v>2273</v>
      </c>
      <c r="AR269" s="1300">
        <f>IF(Tabelle1!$AO$16=1,N_Bedarf!AZ269,N_Bedarf!AV269)</f>
        <v>90</v>
      </c>
      <c r="AS269" s="2246" t="s">
        <v>2273</v>
      </c>
      <c r="AT269" s="571">
        <v>90</v>
      </c>
      <c r="AU269" s="571" t="s">
        <v>2273</v>
      </c>
      <c r="AV269" s="571">
        <v>90</v>
      </c>
      <c r="AW269" s="571" t="s">
        <v>2273</v>
      </c>
      <c r="AX269" s="1035">
        <v>90</v>
      </c>
      <c r="AY269" s="1035"/>
      <c r="AZ269" s="1035">
        <v>90</v>
      </c>
      <c r="BA269" s="2249"/>
      <c r="BB269" s="473"/>
      <c r="BC269" s="518"/>
      <c r="BD269" s="511"/>
      <c r="BE269" s="2516" t="s">
        <v>2477</v>
      </c>
      <c r="BF269" s="575">
        <v>30</v>
      </c>
      <c r="BG269" s="575">
        <v>45</v>
      </c>
      <c r="BH269" s="575">
        <v>45</v>
      </c>
      <c r="BI269" s="292"/>
      <c r="BJ269" s="2516" t="s">
        <v>2477</v>
      </c>
      <c r="BK269" s="581">
        <v>80</v>
      </c>
      <c r="BL269" s="575">
        <v>120</v>
      </c>
      <c r="BM269" s="575">
        <v>120</v>
      </c>
      <c r="BN269" s="506"/>
      <c r="BO269" s="510"/>
    </row>
    <row r="270" spans="3:97" ht="22.5" customHeight="1">
      <c r="C270" s="1575" t="s">
        <v>266</v>
      </c>
      <c r="D270" s="1576"/>
      <c r="E270" s="1567" t="s">
        <v>1065</v>
      </c>
      <c r="F270" s="1568">
        <v>150</v>
      </c>
      <c r="G270" s="1568"/>
      <c r="H270" s="1716" t="s">
        <v>267</v>
      </c>
      <c r="I270" s="1718">
        <v>180</v>
      </c>
      <c r="J270" s="1188" t="s">
        <v>137</v>
      </c>
      <c r="K270" s="1568">
        <v>215</v>
      </c>
      <c r="L270" s="1527">
        <v>140</v>
      </c>
      <c r="M270" s="1528">
        <v>175</v>
      </c>
      <c r="N270" s="1567">
        <v>60</v>
      </c>
      <c r="O270" s="1188">
        <v>50</v>
      </c>
      <c r="P270" s="1568">
        <v>30</v>
      </c>
      <c r="Q270" s="1718">
        <v>40</v>
      </c>
      <c r="R270" s="1568">
        <v>50</v>
      </c>
      <c r="S270" s="1568">
        <v>20</v>
      </c>
      <c r="T270" s="1599" t="s">
        <v>1201</v>
      </c>
      <c r="U270" s="1569">
        <v>210</v>
      </c>
      <c r="V270" s="1570">
        <v>175</v>
      </c>
      <c r="W270" s="1574">
        <v>110</v>
      </c>
      <c r="X270" s="1778">
        <v>140</v>
      </c>
      <c r="Y270" s="1574">
        <v>175</v>
      </c>
      <c r="Z270" s="1568">
        <v>70</v>
      </c>
      <c r="AA270" s="1599" t="s">
        <v>1201</v>
      </c>
      <c r="AB270" s="525"/>
      <c r="AC270" s="525"/>
      <c r="AD270" s="525"/>
      <c r="AE270" s="526"/>
      <c r="AF270" s="1279"/>
      <c r="AJ270" s="469"/>
      <c r="AK270" s="468"/>
      <c r="AL270" s="469"/>
      <c r="AM270" s="2515" t="s">
        <v>2478</v>
      </c>
      <c r="AN270" s="571">
        <v>120</v>
      </c>
      <c r="AO270" s="524" t="s">
        <v>1978</v>
      </c>
      <c r="AP270" s="1300">
        <f>IF(Tabelle1!$AO$16=1,N_Bedarf!AX270,N_Bedarf!AT270)</f>
        <v>120</v>
      </c>
      <c r="AQ270" s="1300" t="s">
        <v>1978</v>
      </c>
      <c r="AR270" s="1300">
        <f>IF(Tabelle1!$AO$16=1,N_Bedarf!AZ270,N_Bedarf!AV270)</f>
        <v>150</v>
      </c>
      <c r="AS270" s="2246" t="s">
        <v>2274</v>
      </c>
      <c r="AT270" s="571">
        <v>120</v>
      </c>
      <c r="AU270" s="571" t="s">
        <v>1978</v>
      </c>
      <c r="AV270" s="571">
        <v>150</v>
      </c>
      <c r="AW270" s="571" t="s">
        <v>2275</v>
      </c>
      <c r="AX270" s="1035">
        <v>120</v>
      </c>
      <c r="AY270" s="1035"/>
      <c r="AZ270" s="1035">
        <v>140</v>
      </c>
      <c r="BA270" s="2249"/>
      <c r="BB270" s="473"/>
      <c r="BC270" s="518"/>
      <c r="BD270" s="511"/>
      <c r="BE270" s="2515" t="s">
        <v>2478</v>
      </c>
      <c r="BF270" s="575">
        <v>45</v>
      </c>
      <c r="BG270" s="575">
        <v>65</v>
      </c>
      <c r="BH270" s="575">
        <v>80</v>
      </c>
      <c r="BI270" s="292"/>
      <c r="BJ270" s="2515" t="s">
        <v>2478</v>
      </c>
      <c r="BK270" s="575">
        <v>130</v>
      </c>
      <c r="BL270" s="575">
        <v>170</v>
      </c>
      <c r="BM270" s="575">
        <v>215</v>
      </c>
      <c r="BN270" s="506"/>
      <c r="BO270" s="510"/>
    </row>
    <row r="271" spans="3:97" ht="22.5" customHeight="1">
      <c r="C271" s="1575" t="s">
        <v>268</v>
      </c>
      <c r="D271" s="1576"/>
      <c r="E271" s="1567" t="s">
        <v>139</v>
      </c>
      <c r="F271" s="1568">
        <v>190</v>
      </c>
      <c r="G271" s="1568"/>
      <c r="H271" s="1716" t="s">
        <v>269</v>
      </c>
      <c r="I271" s="1718">
        <v>230</v>
      </c>
      <c r="J271" s="1188" t="s">
        <v>258</v>
      </c>
      <c r="K271" s="1568">
        <v>280</v>
      </c>
      <c r="L271" s="1527">
        <v>190</v>
      </c>
      <c r="M271" s="1528">
        <v>238</v>
      </c>
      <c r="N271" s="1567">
        <v>60</v>
      </c>
      <c r="O271" s="1188">
        <v>50</v>
      </c>
      <c r="P271" s="1568">
        <v>30</v>
      </c>
      <c r="Q271" s="1718">
        <v>40</v>
      </c>
      <c r="R271" s="1568">
        <v>50</v>
      </c>
      <c r="S271" s="1568">
        <v>20</v>
      </c>
      <c r="T271" s="1599" t="s">
        <v>1201</v>
      </c>
      <c r="U271" s="1569">
        <v>270</v>
      </c>
      <c r="V271" s="1570">
        <v>225</v>
      </c>
      <c r="W271" s="1574">
        <v>145</v>
      </c>
      <c r="X271" s="1778">
        <v>180</v>
      </c>
      <c r="Y271" s="1574">
        <v>225</v>
      </c>
      <c r="Z271" s="1568">
        <v>90</v>
      </c>
      <c r="AA271" s="1599" t="s">
        <v>1201</v>
      </c>
      <c r="AB271" s="525"/>
      <c r="AC271" s="525"/>
      <c r="AD271" s="525"/>
      <c r="AE271" s="526"/>
      <c r="AF271" s="1279"/>
      <c r="AJ271" s="469"/>
      <c r="AK271" s="468"/>
      <c r="AL271" s="469"/>
      <c r="AM271" s="2516" t="s">
        <v>2479</v>
      </c>
      <c r="AN271" s="571">
        <v>160</v>
      </c>
      <c r="AO271" s="524" t="s">
        <v>1074</v>
      </c>
      <c r="AP271" s="1300">
        <f>IF(Tabelle1!$AO$16=1,N_Bedarf!AX271,N_Bedarf!AT271)</f>
        <v>160</v>
      </c>
      <c r="AQ271" s="1300" t="s">
        <v>1074</v>
      </c>
      <c r="AR271" s="1300">
        <f>IF(Tabelle1!$AO$16=1,N_Bedarf!AZ271,N_Bedarf!AV271)</f>
        <v>200</v>
      </c>
      <c r="AS271" s="2246" t="s">
        <v>2276</v>
      </c>
      <c r="AT271" s="571">
        <v>160</v>
      </c>
      <c r="AU271" s="571" t="s">
        <v>1074</v>
      </c>
      <c r="AV271" s="571">
        <v>200</v>
      </c>
      <c r="AW271" s="571" t="s">
        <v>2276</v>
      </c>
      <c r="AX271" s="1035">
        <v>160</v>
      </c>
      <c r="AY271" s="1035"/>
      <c r="AZ271" s="1035">
        <v>190</v>
      </c>
      <c r="BA271" s="2249"/>
      <c r="BB271" s="473"/>
      <c r="BC271" s="518"/>
      <c r="BD271" s="511"/>
      <c r="BE271" s="2516" t="s">
        <v>2479</v>
      </c>
      <c r="BF271" s="575">
        <v>80</v>
      </c>
      <c r="BG271" s="575">
        <v>80</v>
      </c>
      <c r="BH271" s="575">
        <v>90</v>
      </c>
      <c r="BI271" s="292"/>
      <c r="BJ271" s="2516" t="s">
        <v>2479</v>
      </c>
      <c r="BK271" s="575">
        <v>205</v>
      </c>
      <c r="BL271" s="575">
        <v>205</v>
      </c>
      <c r="BM271" s="576">
        <v>260</v>
      </c>
      <c r="BN271" s="506"/>
      <c r="BO271" s="510"/>
    </row>
    <row r="272" spans="3:97" ht="22.5" customHeight="1">
      <c r="C272" s="1575" t="s">
        <v>270</v>
      </c>
      <c r="D272" s="1576"/>
      <c r="E272" s="1567" t="s">
        <v>66</v>
      </c>
      <c r="F272" s="1568">
        <v>190</v>
      </c>
      <c r="G272" s="1568"/>
      <c r="H272" s="1716" t="s">
        <v>271</v>
      </c>
      <c r="I272" s="1718">
        <v>225</v>
      </c>
      <c r="J272" s="1188" t="s">
        <v>272</v>
      </c>
      <c r="K272" s="1568">
        <v>270</v>
      </c>
      <c r="L272" s="1590" t="s">
        <v>1082</v>
      </c>
      <c r="M272" s="1528"/>
      <c r="N272" s="1567">
        <v>60</v>
      </c>
      <c r="O272" s="1188">
        <v>50</v>
      </c>
      <c r="P272" s="1568">
        <v>30</v>
      </c>
      <c r="Q272" s="1718">
        <v>40</v>
      </c>
      <c r="R272" s="1568">
        <v>50</v>
      </c>
      <c r="S272" s="1568">
        <v>20</v>
      </c>
      <c r="T272" s="1599" t="s">
        <v>1201</v>
      </c>
      <c r="U272" s="1569">
        <v>270</v>
      </c>
      <c r="V272" s="1570">
        <v>225</v>
      </c>
      <c r="W272" s="1574">
        <v>145</v>
      </c>
      <c r="X272" s="1778">
        <v>180</v>
      </c>
      <c r="Y272" s="1574">
        <v>225</v>
      </c>
      <c r="Z272" s="1568">
        <v>90</v>
      </c>
      <c r="AA272" s="1599" t="s">
        <v>1201</v>
      </c>
      <c r="AB272" s="525"/>
      <c r="AC272" s="525"/>
      <c r="AD272" s="525"/>
      <c r="AE272" s="526"/>
      <c r="AF272" s="1279"/>
      <c r="AJ272" s="469"/>
      <c r="AK272" s="468"/>
      <c r="AL272" s="469"/>
      <c r="AM272" s="2515" t="s">
        <v>2480</v>
      </c>
      <c r="AN272" s="571">
        <v>200</v>
      </c>
      <c r="AO272" s="524" t="s">
        <v>1076</v>
      </c>
      <c r="AP272" s="1300">
        <f>IF(Tabelle1!$AO$16=1,N_Bedarf!AX272,N_Bedarf!AT272)</f>
        <v>200</v>
      </c>
      <c r="AQ272" s="1300" t="s">
        <v>1076</v>
      </c>
      <c r="AR272" s="1300">
        <f>IF(Tabelle1!$AO$16=1,N_Bedarf!AZ272,N_Bedarf!AV272)</f>
        <v>240</v>
      </c>
      <c r="AS272" s="2246" t="s">
        <v>2277</v>
      </c>
      <c r="AT272" s="571">
        <v>200</v>
      </c>
      <c r="AU272" s="571" t="s">
        <v>1076</v>
      </c>
      <c r="AV272" s="571">
        <v>240</v>
      </c>
      <c r="AW272" s="571" t="s">
        <v>2277</v>
      </c>
      <c r="AX272" s="1036">
        <v>210</v>
      </c>
      <c r="AY272" s="1036"/>
      <c r="AZ272" s="1036">
        <v>210</v>
      </c>
      <c r="BA272" s="2250"/>
      <c r="BB272" s="473"/>
      <c r="BC272" s="518"/>
      <c r="BD272" s="511"/>
      <c r="BE272" s="2515" t="s">
        <v>2480</v>
      </c>
      <c r="BF272" s="575">
        <v>85</v>
      </c>
      <c r="BG272" s="575">
        <v>85</v>
      </c>
      <c r="BH272" s="575">
        <v>105</v>
      </c>
      <c r="BI272" s="292"/>
      <c r="BJ272" s="2515" t="s">
        <v>2480</v>
      </c>
      <c r="BK272" s="575">
        <v>230</v>
      </c>
      <c r="BL272" s="575">
        <v>230</v>
      </c>
      <c r="BM272" s="576">
        <v>300</v>
      </c>
      <c r="BN272" s="506"/>
      <c r="BO272" s="510"/>
    </row>
    <row r="273" spans="3:67" ht="22.5" customHeight="1">
      <c r="C273" s="1575" t="s">
        <v>273</v>
      </c>
      <c r="D273" s="1576"/>
      <c r="E273" s="1567" t="s">
        <v>470</v>
      </c>
      <c r="F273" s="1568">
        <v>240</v>
      </c>
      <c r="G273" s="1568"/>
      <c r="H273" s="1716" t="s">
        <v>274</v>
      </c>
      <c r="I273" s="1718">
        <v>290</v>
      </c>
      <c r="J273" s="1188" t="s">
        <v>64</v>
      </c>
      <c r="K273" s="1568">
        <v>355</v>
      </c>
      <c r="L273" s="1527">
        <v>250</v>
      </c>
      <c r="M273" s="1528">
        <v>313</v>
      </c>
      <c r="N273" s="1567">
        <v>75</v>
      </c>
      <c r="O273" s="1188">
        <v>65</v>
      </c>
      <c r="P273" s="1568">
        <v>40</v>
      </c>
      <c r="Q273" s="1718">
        <v>50</v>
      </c>
      <c r="R273" s="1568">
        <v>65</v>
      </c>
      <c r="S273" s="1568">
        <v>25</v>
      </c>
      <c r="T273" s="1599" t="s">
        <v>1201</v>
      </c>
      <c r="U273" s="1569">
        <v>240</v>
      </c>
      <c r="V273" s="1570">
        <v>200</v>
      </c>
      <c r="W273" s="1574">
        <v>130</v>
      </c>
      <c r="X273" s="1778">
        <v>160</v>
      </c>
      <c r="Y273" s="1574">
        <v>200</v>
      </c>
      <c r="Z273" s="1568">
        <v>80</v>
      </c>
      <c r="AA273" s="1599" t="s">
        <v>1201</v>
      </c>
      <c r="AB273" s="525"/>
      <c r="AC273" s="525"/>
      <c r="AD273" s="525"/>
      <c r="AE273" s="526"/>
      <c r="AF273" s="1279"/>
      <c r="AJ273" s="469"/>
      <c r="AK273" s="468"/>
      <c r="AL273" s="469"/>
      <c r="AM273" s="2516" t="s">
        <v>2481</v>
      </c>
      <c r="AN273" s="571">
        <v>270</v>
      </c>
      <c r="AO273" s="524" t="s">
        <v>2278</v>
      </c>
      <c r="AP273" s="1300">
        <f>IF(Tabelle1!$AO$16=1,N_Bedarf!AX273,N_Bedarf!AT273)</f>
        <v>270</v>
      </c>
      <c r="AQ273" s="1300" t="s">
        <v>2278</v>
      </c>
      <c r="AR273" s="1300">
        <f>IF(Tabelle1!$AO$16=1,N_Bedarf!AZ273,N_Bedarf!AV273)</f>
        <v>270</v>
      </c>
      <c r="AS273" s="2246" t="s">
        <v>2278</v>
      </c>
      <c r="AT273" s="571">
        <v>270</v>
      </c>
      <c r="AU273" s="571" t="s">
        <v>2278</v>
      </c>
      <c r="AV273" s="571">
        <v>270</v>
      </c>
      <c r="AW273" s="571" t="s">
        <v>2278</v>
      </c>
      <c r="AX273" s="1035">
        <v>210</v>
      </c>
      <c r="AY273" s="1035"/>
      <c r="AZ273" s="1035">
        <v>210</v>
      </c>
      <c r="BA273" s="2249"/>
      <c r="BB273" s="473"/>
      <c r="BC273" s="518"/>
      <c r="BD273" s="511"/>
      <c r="BE273" s="2516" t="s">
        <v>2481</v>
      </c>
      <c r="BF273" s="575">
        <v>120</v>
      </c>
      <c r="BG273" s="575">
        <v>120</v>
      </c>
      <c r="BH273" s="575">
        <v>120</v>
      </c>
      <c r="BI273" s="292"/>
      <c r="BJ273" s="2516" t="s">
        <v>2481</v>
      </c>
      <c r="BK273" s="576">
        <v>340</v>
      </c>
      <c r="BL273" s="576">
        <v>340</v>
      </c>
      <c r="BM273" s="576">
        <v>340</v>
      </c>
      <c r="BN273" s="506"/>
      <c r="BO273" s="510"/>
    </row>
    <row r="274" spans="3:67" ht="22.5" customHeight="1">
      <c r="C274" s="1575" t="s">
        <v>275</v>
      </c>
      <c r="D274" s="1576"/>
      <c r="E274" s="1567" t="s">
        <v>462</v>
      </c>
      <c r="F274" s="1568">
        <v>135</v>
      </c>
      <c r="G274" s="1568"/>
      <c r="H274" s="1716" t="s">
        <v>1057</v>
      </c>
      <c r="I274" s="1718">
        <v>160</v>
      </c>
      <c r="J274" s="1188" t="s">
        <v>224</v>
      </c>
      <c r="K274" s="1568">
        <v>190</v>
      </c>
      <c r="L274" s="1527">
        <v>120</v>
      </c>
      <c r="M274" s="1528">
        <v>150</v>
      </c>
      <c r="N274" s="1567">
        <v>60</v>
      </c>
      <c r="O274" s="1188">
        <v>50</v>
      </c>
      <c r="P274" s="1568">
        <v>30</v>
      </c>
      <c r="Q274" s="1718">
        <v>40</v>
      </c>
      <c r="R274" s="1568">
        <v>50</v>
      </c>
      <c r="S274" s="1568">
        <v>20</v>
      </c>
      <c r="T274" s="1599" t="s">
        <v>1201</v>
      </c>
      <c r="U274" s="1569">
        <v>225</v>
      </c>
      <c r="V274" s="1570">
        <v>190</v>
      </c>
      <c r="W274" s="1574">
        <v>120</v>
      </c>
      <c r="X274" s="1778">
        <v>150</v>
      </c>
      <c r="Y274" s="1574">
        <v>190</v>
      </c>
      <c r="Z274" s="1568">
        <v>75</v>
      </c>
      <c r="AA274" s="1599" t="s">
        <v>1201</v>
      </c>
      <c r="AB274" s="525"/>
      <c r="AC274" s="525"/>
      <c r="AD274" s="525"/>
      <c r="AE274" s="526"/>
      <c r="AF274" s="1279"/>
      <c r="AL274" s="469"/>
      <c r="AM274" s="2515" t="s">
        <v>2369</v>
      </c>
      <c r="AN274" s="571">
        <v>20</v>
      </c>
      <c r="AO274" s="524" t="s">
        <v>1997</v>
      </c>
      <c r="AP274" s="1300">
        <f>IF(Tabelle1!$AO$16=1,N_Bedarf!AX274,N_Bedarf!AT274)</f>
        <v>30</v>
      </c>
      <c r="AQ274" s="1300" t="s">
        <v>2271</v>
      </c>
      <c r="AR274" s="1300">
        <f>IF(Tabelle1!$AO$16=1,N_Bedarf!AZ274,N_Bedarf!AV274)</f>
        <v>30</v>
      </c>
      <c r="AS274" s="2246" t="s">
        <v>2271</v>
      </c>
      <c r="AT274" s="571">
        <v>30</v>
      </c>
      <c r="AU274" s="571" t="s">
        <v>2271</v>
      </c>
      <c r="AV274" s="571">
        <v>30</v>
      </c>
      <c r="AW274" s="571" t="s">
        <v>2271</v>
      </c>
      <c r="AX274" s="1035">
        <v>25</v>
      </c>
      <c r="AY274" s="1035"/>
      <c r="AZ274" s="1035">
        <v>25</v>
      </c>
      <c r="BA274" s="2249"/>
      <c r="BB274" s="473"/>
      <c r="BC274" s="518"/>
      <c r="BD274" s="511"/>
      <c r="BE274" s="2515" t="s">
        <v>2369</v>
      </c>
      <c r="BF274" s="575">
        <v>15</v>
      </c>
      <c r="BG274" s="575">
        <v>30</v>
      </c>
      <c r="BH274" s="575">
        <v>30</v>
      </c>
      <c r="BI274" s="292"/>
      <c r="BJ274" s="2515" t="s">
        <v>2369</v>
      </c>
      <c r="BK274" s="581">
        <v>45</v>
      </c>
      <c r="BL274" s="575">
        <v>80</v>
      </c>
      <c r="BM274" s="575">
        <v>80</v>
      </c>
      <c r="BN274" s="506"/>
      <c r="BO274" s="510"/>
    </row>
    <row r="275" spans="3:67" ht="22.5" customHeight="1">
      <c r="C275" s="1575" t="s">
        <v>276</v>
      </c>
      <c r="D275" s="1576"/>
      <c r="E275" s="1567" t="s">
        <v>277</v>
      </c>
      <c r="F275" s="1568">
        <v>150</v>
      </c>
      <c r="G275" s="1568"/>
      <c r="H275" s="1716" t="s">
        <v>278</v>
      </c>
      <c r="I275" s="1718">
        <v>180</v>
      </c>
      <c r="J275" s="1188" t="s">
        <v>279</v>
      </c>
      <c r="K275" s="1568">
        <v>215</v>
      </c>
      <c r="L275" s="1527">
        <v>140</v>
      </c>
      <c r="M275" s="1528">
        <v>175</v>
      </c>
      <c r="N275" s="1567">
        <v>60</v>
      </c>
      <c r="O275" s="1188">
        <v>50</v>
      </c>
      <c r="P275" s="1568">
        <v>30</v>
      </c>
      <c r="Q275" s="1718">
        <v>40</v>
      </c>
      <c r="R275" s="1568">
        <v>50</v>
      </c>
      <c r="S275" s="1568">
        <v>20</v>
      </c>
      <c r="T275" s="1599" t="s">
        <v>1201</v>
      </c>
      <c r="U275" s="1569">
        <v>225</v>
      </c>
      <c r="V275" s="1570">
        <v>190</v>
      </c>
      <c r="W275" s="1574">
        <v>120</v>
      </c>
      <c r="X275" s="1778">
        <v>150</v>
      </c>
      <c r="Y275" s="1574">
        <v>190</v>
      </c>
      <c r="Z275" s="1568">
        <v>75</v>
      </c>
      <c r="AA275" s="1599" t="s">
        <v>1201</v>
      </c>
      <c r="AB275" s="525"/>
      <c r="AC275" s="525"/>
      <c r="AD275" s="525"/>
      <c r="AE275" s="526"/>
      <c r="AF275" s="1279"/>
      <c r="AL275" s="469"/>
      <c r="AM275" s="2516" t="s">
        <v>2364</v>
      </c>
      <c r="AN275" s="571">
        <v>60</v>
      </c>
      <c r="AO275" s="524" t="s">
        <v>14</v>
      </c>
      <c r="AP275" s="1300">
        <f>IF(Tabelle1!$AO$16=1,N_Bedarf!AX275,N_Bedarf!AT275)</f>
        <v>90</v>
      </c>
      <c r="AQ275" s="1300" t="s">
        <v>2273</v>
      </c>
      <c r="AR275" s="1300">
        <f>IF(Tabelle1!$AO$16=1,N_Bedarf!AZ275,N_Bedarf!AV275)</f>
        <v>90</v>
      </c>
      <c r="AS275" s="2246" t="s">
        <v>2273</v>
      </c>
      <c r="AT275" s="571">
        <v>90</v>
      </c>
      <c r="AU275" s="571" t="s">
        <v>2273</v>
      </c>
      <c r="AV275" s="571">
        <v>90</v>
      </c>
      <c r="AW275" s="571" t="s">
        <v>2273</v>
      </c>
      <c r="AX275" s="1035">
        <v>70</v>
      </c>
      <c r="AY275" s="1035"/>
      <c r="AZ275" s="1035">
        <v>70</v>
      </c>
      <c r="BA275" s="2249"/>
      <c r="BB275" s="473"/>
      <c r="BC275" s="518"/>
      <c r="BD275" s="511"/>
      <c r="BE275" s="2516" t="s">
        <v>2364</v>
      </c>
      <c r="BF275" s="575">
        <v>30</v>
      </c>
      <c r="BG275" s="575">
        <v>45</v>
      </c>
      <c r="BH275" s="575">
        <v>45</v>
      </c>
      <c r="BI275" s="292"/>
      <c r="BJ275" s="2516" t="s">
        <v>2364</v>
      </c>
      <c r="BK275" s="581">
        <v>80</v>
      </c>
      <c r="BL275" s="575">
        <v>120</v>
      </c>
      <c r="BM275" s="575">
        <v>120</v>
      </c>
      <c r="BN275" s="506"/>
      <c r="BO275" s="510"/>
    </row>
    <row r="276" spans="3:67" ht="22.5" customHeight="1">
      <c r="C276" s="1575" t="s">
        <v>280</v>
      </c>
      <c r="D276" s="1576"/>
      <c r="E276" s="1567" t="s">
        <v>143</v>
      </c>
      <c r="F276" s="1568">
        <v>230</v>
      </c>
      <c r="G276" s="1568"/>
      <c r="H276" s="1716" t="s">
        <v>281</v>
      </c>
      <c r="I276" s="1718">
        <v>275</v>
      </c>
      <c r="J276" s="1188" t="s">
        <v>252</v>
      </c>
      <c r="K276" s="1568">
        <v>330</v>
      </c>
      <c r="L276" s="1527">
        <v>225</v>
      </c>
      <c r="M276" s="1528">
        <v>281</v>
      </c>
      <c r="N276" s="1567">
        <v>60</v>
      </c>
      <c r="O276" s="1188">
        <v>50</v>
      </c>
      <c r="P276" s="1568">
        <v>30</v>
      </c>
      <c r="Q276" s="1718">
        <v>40</v>
      </c>
      <c r="R276" s="1568">
        <v>50</v>
      </c>
      <c r="S276" s="1568">
        <v>20</v>
      </c>
      <c r="T276" s="1599" t="s">
        <v>1201</v>
      </c>
      <c r="U276" s="1569">
        <v>420</v>
      </c>
      <c r="V276" s="1570">
        <v>350</v>
      </c>
      <c r="W276" s="1574">
        <v>225</v>
      </c>
      <c r="X276" s="1778">
        <v>280</v>
      </c>
      <c r="Y276" s="1574">
        <v>350</v>
      </c>
      <c r="Z276" s="1568">
        <v>140</v>
      </c>
      <c r="AA276" s="1599" t="s">
        <v>1201</v>
      </c>
      <c r="AB276" s="525"/>
      <c r="AC276" s="525"/>
      <c r="AD276" s="525"/>
      <c r="AE276" s="526"/>
      <c r="AF276" s="1279"/>
      <c r="AL276" s="469"/>
      <c r="AM276" s="2515" t="s">
        <v>2365</v>
      </c>
      <c r="AN276" s="571">
        <v>80</v>
      </c>
      <c r="AO276" s="524" t="s">
        <v>1072</v>
      </c>
      <c r="AP276" s="1300">
        <f>IF(Tabelle1!$AO$16=1,N_Bedarf!AX276,N_Bedarf!AT276)</f>
        <v>100</v>
      </c>
      <c r="AQ276" s="1300" t="s">
        <v>1073</v>
      </c>
      <c r="AR276" s="1300">
        <f>IF(Tabelle1!$AO$16=1,N_Bedarf!AZ276,N_Bedarf!AV276)</f>
        <v>120</v>
      </c>
      <c r="AS276" s="2246" t="s">
        <v>2275</v>
      </c>
      <c r="AT276" s="571">
        <v>100</v>
      </c>
      <c r="AU276" s="571" t="s">
        <v>1073</v>
      </c>
      <c r="AV276" s="571">
        <v>120</v>
      </c>
      <c r="AW276" s="571" t="s">
        <v>2275</v>
      </c>
      <c r="AX276" s="1035">
        <v>90</v>
      </c>
      <c r="AY276" s="1035"/>
      <c r="AZ276" s="1035">
        <v>105</v>
      </c>
      <c r="BA276" s="2249"/>
      <c r="BB276" s="473"/>
      <c r="BC276" s="518"/>
      <c r="BD276" s="511"/>
      <c r="BE276" s="2515" t="s">
        <v>2365</v>
      </c>
      <c r="BF276" s="575">
        <v>65</v>
      </c>
      <c r="BG276" s="575">
        <v>65</v>
      </c>
      <c r="BH276" s="575">
        <v>80</v>
      </c>
      <c r="BI276" s="292"/>
      <c r="BJ276" s="2515" t="s">
        <v>2365</v>
      </c>
      <c r="BK276" s="575">
        <v>170</v>
      </c>
      <c r="BL276" s="575">
        <v>170</v>
      </c>
      <c r="BM276" s="575">
        <v>215</v>
      </c>
      <c r="BN276" s="506"/>
      <c r="BO276" s="510"/>
    </row>
    <row r="277" spans="3:67" ht="22.5" customHeight="1">
      <c r="C277" s="1575" t="s">
        <v>282</v>
      </c>
      <c r="D277" s="1576"/>
      <c r="E277" s="1567" t="s">
        <v>283</v>
      </c>
      <c r="F277" s="1568">
        <v>295</v>
      </c>
      <c r="G277" s="1568"/>
      <c r="H277" s="1716" t="s">
        <v>284</v>
      </c>
      <c r="I277" s="1718">
        <v>360</v>
      </c>
      <c r="J277" s="1188" t="s">
        <v>177</v>
      </c>
      <c r="K277" s="1568">
        <v>440</v>
      </c>
      <c r="L277" s="1527">
        <v>225</v>
      </c>
      <c r="M277" s="1528">
        <v>281</v>
      </c>
      <c r="N277" s="1567">
        <v>90</v>
      </c>
      <c r="O277" s="1188">
        <v>75</v>
      </c>
      <c r="P277" s="1568">
        <v>50</v>
      </c>
      <c r="Q277" s="1718">
        <v>60</v>
      </c>
      <c r="R277" s="1568">
        <v>75</v>
      </c>
      <c r="S277" s="1568">
        <v>30</v>
      </c>
      <c r="T277" s="1599" t="s">
        <v>1201</v>
      </c>
      <c r="U277" s="1569">
        <v>495</v>
      </c>
      <c r="V277" s="1570">
        <v>415</v>
      </c>
      <c r="W277" s="1574">
        <v>265</v>
      </c>
      <c r="X277" s="1778">
        <v>330</v>
      </c>
      <c r="Y277" s="1574">
        <v>415</v>
      </c>
      <c r="Z277" s="1568">
        <v>165</v>
      </c>
      <c r="AA277" s="1599" t="s">
        <v>1201</v>
      </c>
      <c r="AB277" s="525"/>
      <c r="AC277" s="525"/>
      <c r="AD277" s="525"/>
      <c r="AE277" s="526"/>
      <c r="AF277" s="1279"/>
      <c r="AM277" s="2516" t="s">
        <v>2366</v>
      </c>
      <c r="AN277" s="571">
        <v>120</v>
      </c>
      <c r="AO277" s="524" t="s">
        <v>1074</v>
      </c>
      <c r="AP277" s="1300">
        <f>IF(Tabelle1!$AO$16=1,N_Bedarf!AX277,N_Bedarf!AT277)</f>
        <v>120</v>
      </c>
      <c r="AQ277" s="1300" t="s">
        <v>1074</v>
      </c>
      <c r="AR277" s="1300">
        <f>IF(Tabelle1!$AO$16=1,N_Bedarf!AZ277,N_Bedarf!AV277)</f>
        <v>150</v>
      </c>
      <c r="AS277" s="2246" t="s">
        <v>2276</v>
      </c>
      <c r="AT277" s="571">
        <v>120</v>
      </c>
      <c r="AU277" s="571" t="s">
        <v>1074</v>
      </c>
      <c r="AV277" s="571">
        <v>150</v>
      </c>
      <c r="AW277" s="571" t="s">
        <v>2276</v>
      </c>
      <c r="AX277" s="1035">
        <v>120</v>
      </c>
      <c r="AY277" s="1035"/>
      <c r="AZ277" s="1035">
        <v>145</v>
      </c>
      <c r="BA277" s="2249"/>
      <c r="BB277" s="473"/>
      <c r="BC277" s="518"/>
      <c r="BD277" s="511"/>
      <c r="BE277" s="2516" t="s">
        <v>2366</v>
      </c>
      <c r="BF277" s="575">
        <v>80</v>
      </c>
      <c r="BG277" s="575">
        <v>80</v>
      </c>
      <c r="BH277" s="575">
        <v>90</v>
      </c>
      <c r="BI277" s="292"/>
      <c r="BJ277" s="2516" t="s">
        <v>2366</v>
      </c>
      <c r="BK277" s="575">
        <v>205</v>
      </c>
      <c r="BL277" s="575">
        <v>205</v>
      </c>
      <c r="BM277" s="576">
        <v>260</v>
      </c>
      <c r="BN277" s="506"/>
      <c r="BO277" s="510"/>
    </row>
    <row r="278" spans="3:67" ht="22.5" customHeight="1">
      <c r="C278" s="1575" t="s">
        <v>285</v>
      </c>
      <c r="D278" s="1576"/>
      <c r="E278" s="1567" t="s">
        <v>1988</v>
      </c>
      <c r="F278" s="1568">
        <v>70</v>
      </c>
      <c r="G278" s="1568"/>
      <c r="H278" s="1716" t="s">
        <v>286</v>
      </c>
      <c r="I278" s="1718">
        <v>80</v>
      </c>
      <c r="J278" s="1188" t="s">
        <v>1974</v>
      </c>
      <c r="K278" s="1568">
        <v>95</v>
      </c>
      <c r="L278" s="1527">
        <v>60</v>
      </c>
      <c r="M278" s="1528">
        <v>75</v>
      </c>
      <c r="N278" s="1567">
        <v>15</v>
      </c>
      <c r="O278" s="1188">
        <v>15</v>
      </c>
      <c r="P278" s="1568">
        <v>10</v>
      </c>
      <c r="Q278" s="1718">
        <v>10</v>
      </c>
      <c r="R278" s="1568">
        <v>15</v>
      </c>
      <c r="S278" s="1568">
        <v>5</v>
      </c>
      <c r="T278" s="1599" t="s">
        <v>1201</v>
      </c>
      <c r="U278" s="1569">
        <v>90</v>
      </c>
      <c r="V278" s="1570">
        <v>75</v>
      </c>
      <c r="W278" s="1574">
        <v>50</v>
      </c>
      <c r="X278" s="1778">
        <v>60</v>
      </c>
      <c r="Y278" s="1574">
        <v>75</v>
      </c>
      <c r="Z278" s="1568">
        <v>30</v>
      </c>
      <c r="AA278" s="1599" t="s">
        <v>1201</v>
      </c>
      <c r="AB278" s="525"/>
      <c r="AC278" s="525"/>
      <c r="AD278" s="525"/>
      <c r="AE278" s="526"/>
      <c r="AF278" s="1279"/>
      <c r="AM278" s="2515" t="s">
        <v>2367</v>
      </c>
      <c r="AN278" s="571">
        <v>200</v>
      </c>
      <c r="AO278" s="524" t="s">
        <v>1076</v>
      </c>
      <c r="AP278" s="1300">
        <f>IF(Tabelle1!$AO$16=1,N_Bedarf!AX278,N_Bedarf!AT278)</f>
        <v>200</v>
      </c>
      <c r="AQ278" s="1300" t="s">
        <v>1076</v>
      </c>
      <c r="AR278" s="1300">
        <f>IF(Tabelle1!$AO$16=1,N_Bedarf!AZ278,N_Bedarf!AV278)</f>
        <v>240</v>
      </c>
      <c r="AS278" s="2246" t="s">
        <v>2277</v>
      </c>
      <c r="AT278" s="571">
        <v>200</v>
      </c>
      <c r="AU278" s="571" t="s">
        <v>1076</v>
      </c>
      <c r="AV278" s="571">
        <v>240</v>
      </c>
      <c r="AW278" s="571" t="s">
        <v>2277</v>
      </c>
      <c r="AX278" s="1036">
        <v>160</v>
      </c>
      <c r="AY278" s="1036"/>
      <c r="AZ278" s="1036">
        <v>160</v>
      </c>
      <c r="BA278" s="2250"/>
      <c r="BB278" s="473"/>
      <c r="BC278" s="518"/>
      <c r="BD278" s="511"/>
      <c r="BE278" s="2515" t="s">
        <v>2367</v>
      </c>
      <c r="BF278" s="575">
        <v>85</v>
      </c>
      <c r="BG278" s="575">
        <v>85</v>
      </c>
      <c r="BH278" s="575">
        <v>105</v>
      </c>
      <c r="BI278" s="292"/>
      <c r="BJ278" s="2515" t="s">
        <v>2367</v>
      </c>
      <c r="BK278" s="575">
        <v>230</v>
      </c>
      <c r="BL278" s="575">
        <v>230</v>
      </c>
      <c r="BM278" s="576">
        <v>300</v>
      </c>
      <c r="BN278" s="506"/>
      <c r="BO278" s="510"/>
    </row>
    <row r="279" spans="3:67" ht="22.5" customHeight="1">
      <c r="C279" s="1575" t="s">
        <v>287</v>
      </c>
      <c r="D279" s="1576"/>
      <c r="E279" s="1567" t="s">
        <v>199</v>
      </c>
      <c r="F279" s="1568">
        <v>195</v>
      </c>
      <c r="G279" s="1568"/>
      <c r="H279" s="1716" t="s">
        <v>68</v>
      </c>
      <c r="I279" s="1718">
        <v>230</v>
      </c>
      <c r="J279" s="1188" t="s">
        <v>141</v>
      </c>
      <c r="K279" s="1568">
        <v>275</v>
      </c>
      <c r="L279" s="1527">
        <v>180</v>
      </c>
      <c r="M279" s="1528">
        <v>225</v>
      </c>
      <c r="N279" s="1567">
        <v>75</v>
      </c>
      <c r="O279" s="1188">
        <v>65</v>
      </c>
      <c r="P279" s="1568">
        <v>40</v>
      </c>
      <c r="Q279" s="1718">
        <v>50</v>
      </c>
      <c r="R279" s="1568">
        <v>65</v>
      </c>
      <c r="S279" s="1568">
        <v>25</v>
      </c>
      <c r="T279" s="1599" t="s">
        <v>1201</v>
      </c>
      <c r="U279" s="1569">
        <v>315</v>
      </c>
      <c r="V279" s="1570">
        <v>265</v>
      </c>
      <c r="W279" s="1574">
        <v>170</v>
      </c>
      <c r="X279" s="1778">
        <v>210</v>
      </c>
      <c r="Y279" s="1574">
        <v>265</v>
      </c>
      <c r="Z279" s="1568">
        <v>105</v>
      </c>
      <c r="AA279" s="1599" t="s">
        <v>1201</v>
      </c>
      <c r="AB279" s="525"/>
      <c r="AC279" s="525"/>
      <c r="AD279" s="525"/>
      <c r="AE279" s="526"/>
      <c r="AF279" s="1279"/>
      <c r="AM279" s="2516" t="s">
        <v>2368</v>
      </c>
      <c r="AN279" s="571">
        <v>200</v>
      </c>
      <c r="AO279" s="524" t="s">
        <v>1076</v>
      </c>
      <c r="AP279" s="1300">
        <f>IF(Tabelle1!$AO$16=1,N_Bedarf!AX279,N_Bedarf!AT279)</f>
        <v>240</v>
      </c>
      <c r="AQ279" s="1300" t="s">
        <v>2279</v>
      </c>
      <c r="AR279" s="1300">
        <f>IF(Tabelle1!$AO$16=1,N_Bedarf!AZ279,N_Bedarf!AV279)</f>
        <v>270</v>
      </c>
      <c r="AS279" s="2246" t="s">
        <v>2278</v>
      </c>
      <c r="AT279" s="571">
        <v>240</v>
      </c>
      <c r="AU279" s="571" t="s">
        <v>2279</v>
      </c>
      <c r="AV279" s="571">
        <v>270</v>
      </c>
      <c r="AW279" s="571" t="s">
        <v>2278</v>
      </c>
      <c r="AX279" s="1035">
        <v>160</v>
      </c>
      <c r="AY279" s="1035"/>
      <c r="AZ279" s="1035">
        <v>160</v>
      </c>
      <c r="BA279" s="2249"/>
      <c r="BB279" s="473"/>
      <c r="BC279" s="518"/>
      <c r="BD279" s="511"/>
      <c r="BE279" s="2516" t="s">
        <v>2368</v>
      </c>
      <c r="BF279" s="575">
        <v>120</v>
      </c>
      <c r="BG279" s="575">
        <v>120</v>
      </c>
      <c r="BH279" s="575">
        <v>120</v>
      </c>
      <c r="BI279" s="292"/>
      <c r="BJ279" s="2516" t="s">
        <v>2368</v>
      </c>
      <c r="BK279" s="576">
        <v>340</v>
      </c>
      <c r="BL279" s="576">
        <v>340</v>
      </c>
      <c r="BM279" s="576">
        <v>340</v>
      </c>
      <c r="BN279" s="506"/>
      <c r="BO279" s="510"/>
    </row>
    <row r="280" spans="3:67" ht="22.5" customHeight="1">
      <c r="C280" s="1575" t="s">
        <v>288</v>
      </c>
      <c r="D280" s="1576"/>
      <c r="E280" s="1567" t="s">
        <v>1983</v>
      </c>
      <c r="F280" s="1568">
        <v>135</v>
      </c>
      <c r="G280" s="1568"/>
      <c r="H280" s="1716" t="s">
        <v>1984</v>
      </c>
      <c r="I280" s="1718">
        <v>160</v>
      </c>
      <c r="J280" s="1188" t="s">
        <v>168</v>
      </c>
      <c r="K280" s="1568">
        <v>190</v>
      </c>
      <c r="L280" s="1527">
        <v>120</v>
      </c>
      <c r="M280" s="1528">
        <v>150</v>
      </c>
      <c r="N280" s="1567">
        <v>45</v>
      </c>
      <c r="O280" s="1188">
        <v>40</v>
      </c>
      <c r="P280" s="1568">
        <v>25</v>
      </c>
      <c r="Q280" s="1718">
        <v>30</v>
      </c>
      <c r="R280" s="1568">
        <v>40</v>
      </c>
      <c r="S280" s="1568">
        <v>15</v>
      </c>
      <c r="T280" s="1599" t="s">
        <v>1201</v>
      </c>
      <c r="U280" s="1569">
        <v>210</v>
      </c>
      <c r="V280" s="1570">
        <v>175</v>
      </c>
      <c r="W280" s="1574">
        <v>110</v>
      </c>
      <c r="X280" s="1778">
        <v>140</v>
      </c>
      <c r="Y280" s="1574">
        <v>175</v>
      </c>
      <c r="Z280" s="1568">
        <v>70</v>
      </c>
      <c r="AA280" s="1599" t="s">
        <v>1201</v>
      </c>
      <c r="AB280" s="525"/>
      <c r="AC280" s="525"/>
      <c r="AD280" s="525"/>
      <c r="AE280" s="526"/>
      <c r="AF280" s="1279"/>
      <c r="AM280" s="2515" t="s">
        <v>898</v>
      </c>
      <c r="AN280" s="571">
        <v>80</v>
      </c>
      <c r="AO280" s="524" t="s">
        <v>2002</v>
      </c>
      <c r="AP280" s="1300">
        <f>IF(Tabelle1!$AO$16=1,N_Bedarf!AX280,N_Bedarf!AT280)</f>
        <v>120</v>
      </c>
      <c r="AQ280" s="1300" t="s">
        <v>2280</v>
      </c>
      <c r="AR280" s="1300">
        <f>IF(Tabelle1!$AO$16=1,N_Bedarf!AZ280,N_Bedarf!AV280)</f>
        <v>120</v>
      </c>
      <c r="AS280" s="2246" t="s">
        <v>2280</v>
      </c>
      <c r="AT280" s="571">
        <v>120</v>
      </c>
      <c r="AU280" s="571" t="s">
        <v>2280</v>
      </c>
      <c r="AV280" s="571">
        <v>120</v>
      </c>
      <c r="AW280" s="571" t="s">
        <v>2280</v>
      </c>
      <c r="AX280" s="1035" t="s">
        <v>1201</v>
      </c>
      <c r="AY280" s="1035"/>
      <c r="AZ280" s="1035" t="s">
        <v>1201</v>
      </c>
      <c r="BA280" s="2249"/>
      <c r="BE280" s="2515" t="s">
        <v>898</v>
      </c>
      <c r="BF280" s="575">
        <v>30</v>
      </c>
      <c r="BG280" s="575">
        <v>55</v>
      </c>
      <c r="BH280" s="575">
        <v>55</v>
      </c>
      <c r="BI280" s="292"/>
      <c r="BJ280" s="2515" t="s">
        <v>898</v>
      </c>
      <c r="BK280" s="581">
        <v>80</v>
      </c>
      <c r="BL280" s="575">
        <v>120</v>
      </c>
      <c r="BM280" s="575">
        <v>120</v>
      </c>
      <c r="BN280" s="506"/>
      <c r="BO280" s="510"/>
    </row>
    <row r="281" spans="3:67" ht="22.5" customHeight="1">
      <c r="C281" s="1575" t="s">
        <v>289</v>
      </c>
      <c r="D281" s="1576"/>
      <c r="E281" s="1567" t="s">
        <v>1065</v>
      </c>
      <c r="F281" s="1568">
        <v>170</v>
      </c>
      <c r="G281" s="1568"/>
      <c r="H281" s="1716" t="s">
        <v>290</v>
      </c>
      <c r="I281" s="1718">
        <v>200</v>
      </c>
      <c r="J281" s="1188" t="s">
        <v>291</v>
      </c>
      <c r="K281" s="1568">
        <v>240</v>
      </c>
      <c r="L281" s="1527">
        <v>160</v>
      </c>
      <c r="M281" s="1528">
        <v>200</v>
      </c>
      <c r="N281" s="1567">
        <v>60</v>
      </c>
      <c r="O281" s="1188">
        <v>50</v>
      </c>
      <c r="P281" s="1568">
        <v>30</v>
      </c>
      <c r="Q281" s="1718">
        <v>40</v>
      </c>
      <c r="R281" s="1568">
        <v>50</v>
      </c>
      <c r="S281" s="1568">
        <v>20</v>
      </c>
      <c r="T281" s="1599" t="s">
        <v>1201</v>
      </c>
      <c r="U281" s="1569">
        <v>225</v>
      </c>
      <c r="V281" s="1570">
        <v>190</v>
      </c>
      <c r="W281" s="1574">
        <v>120</v>
      </c>
      <c r="X281" s="1778">
        <v>150</v>
      </c>
      <c r="Y281" s="1574">
        <v>190</v>
      </c>
      <c r="Z281" s="1568">
        <v>75</v>
      </c>
      <c r="AA281" s="1599" t="s">
        <v>1201</v>
      </c>
      <c r="AB281" s="525"/>
      <c r="AC281" s="525"/>
      <c r="AD281" s="525"/>
      <c r="AE281" s="526"/>
      <c r="AF281" s="1279"/>
      <c r="AM281" s="2516" t="s">
        <v>764</v>
      </c>
      <c r="AN281" s="571">
        <v>20</v>
      </c>
      <c r="AO281" s="524" t="s">
        <v>1997</v>
      </c>
      <c r="AP281" s="1300">
        <f>IF(Tabelle1!$AO$16=1,N_Bedarf!AX281,N_Bedarf!AT281)</f>
        <v>30</v>
      </c>
      <c r="AQ281" s="1300" t="s">
        <v>2271</v>
      </c>
      <c r="AR281" s="1300">
        <f>IF(Tabelle1!$AO$16=1,N_Bedarf!AZ281,N_Bedarf!AV281)</f>
        <v>30</v>
      </c>
      <c r="AS281" s="2246" t="s">
        <v>2271</v>
      </c>
      <c r="AT281" s="571">
        <v>30</v>
      </c>
      <c r="AU281" s="571" t="s">
        <v>2271</v>
      </c>
      <c r="AV281" s="571">
        <v>30</v>
      </c>
      <c r="AW281" s="571" t="s">
        <v>2271</v>
      </c>
      <c r="AX281" s="1035">
        <v>30</v>
      </c>
      <c r="AY281" s="1035"/>
      <c r="AZ281" s="1035">
        <v>30</v>
      </c>
      <c r="BA281" s="2249"/>
      <c r="BE281" s="2516" t="s">
        <v>764</v>
      </c>
      <c r="BF281" s="575">
        <v>15</v>
      </c>
      <c r="BG281" s="575">
        <v>30</v>
      </c>
      <c r="BH281" s="575">
        <v>30</v>
      </c>
      <c r="BI281" s="292"/>
      <c r="BJ281" s="2516" t="s">
        <v>764</v>
      </c>
      <c r="BK281" s="581">
        <v>20</v>
      </c>
      <c r="BL281" s="575">
        <v>35</v>
      </c>
      <c r="BM281" s="575">
        <v>35</v>
      </c>
      <c r="BN281" s="506"/>
      <c r="BO281" s="510"/>
    </row>
    <row r="282" spans="3:67" ht="22.5" customHeight="1">
      <c r="C282" s="1575" t="s">
        <v>292</v>
      </c>
      <c r="D282" s="1576"/>
      <c r="E282" s="1567" t="s">
        <v>1983</v>
      </c>
      <c r="F282" s="1568">
        <v>145</v>
      </c>
      <c r="G282" s="1568"/>
      <c r="H282" s="1716" t="s">
        <v>293</v>
      </c>
      <c r="I282" s="1718">
        <v>170</v>
      </c>
      <c r="J282" s="1188" t="s">
        <v>69</v>
      </c>
      <c r="K282" s="1568">
        <v>205</v>
      </c>
      <c r="L282" s="1527">
        <v>75</v>
      </c>
      <c r="M282" s="1528">
        <v>94</v>
      </c>
      <c r="N282" s="1567">
        <v>60</v>
      </c>
      <c r="O282" s="1188">
        <v>50</v>
      </c>
      <c r="P282" s="1568">
        <v>30</v>
      </c>
      <c r="Q282" s="1718">
        <v>40</v>
      </c>
      <c r="R282" s="1568">
        <v>50</v>
      </c>
      <c r="S282" s="1568">
        <v>20</v>
      </c>
      <c r="T282" s="1599" t="s">
        <v>1201</v>
      </c>
      <c r="U282" s="1569">
        <v>210</v>
      </c>
      <c r="V282" s="1570">
        <v>175</v>
      </c>
      <c r="W282" s="1574">
        <v>110</v>
      </c>
      <c r="X282" s="1778">
        <v>140</v>
      </c>
      <c r="Y282" s="1574">
        <v>175</v>
      </c>
      <c r="Z282" s="1568">
        <v>70</v>
      </c>
      <c r="AA282" s="1599" t="s">
        <v>1201</v>
      </c>
      <c r="AB282" s="525"/>
      <c r="AC282" s="525"/>
      <c r="AD282" s="525"/>
      <c r="AE282" s="526"/>
      <c r="AF282" s="1279"/>
      <c r="AM282" s="2515" t="s">
        <v>899</v>
      </c>
      <c r="AN282" s="571">
        <v>80</v>
      </c>
      <c r="AO282" s="524" t="s">
        <v>1988</v>
      </c>
      <c r="AP282" s="1300">
        <f>IF(Tabelle1!$AO$16=1,N_Bedarf!AX282,N_Bedarf!AT282)</f>
        <v>130</v>
      </c>
      <c r="AQ282" s="1300" t="s">
        <v>27</v>
      </c>
      <c r="AR282" s="1300">
        <f>IF(Tabelle1!$AO$16=1,N_Bedarf!AZ282,N_Bedarf!AV282)</f>
        <v>180</v>
      </c>
      <c r="AS282" s="2246" t="s">
        <v>1075</v>
      </c>
      <c r="AT282" s="571">
        <v>130</v>
      </c>
      <c r="AU282" s="571" t="s">
        <v>27</v>
      </c>
      <c r="AV282" s="571">
        <v>180</v>
      </c>
      <c r="AW282" s="571" t="s">
        <v>1075</v>
      </c>
      <c r="AX282" s="1035">
        <v>100</v>
      </c>
      <c r="AY282" s="1035"/>
      <c r="AZ282" s="1035">
        <v>140</v>
      </c>
      <c r="BA282" s="2249"/>
      <c r="BE282" s="2515" t="s">
        <v>899</v>
      </c>
      <c r="BF282" s="575">
        <v>45</v>
      </c>
      <c r="BG282" s="575">
        <v>70</v>
      </c>
      <c r="BH282" s="575">
        <v>100</v>
      </c>
      <c r="BI282" s="292"/>
      <c r="BJ282" s="2515" t="s">
        <v>899</v>
      </c>
      <c r="BK282" s="581">
        <v>130</v>
      </c>
      <c r="BL282" s="575">
        <v>190</v>
      </c>
      <c r="BM282" s="576">
        <v>290</v>
      </c>
      <c r="BN282" s="506"/>
      <c r="BO282" s="510"/>
    </row>
    <row r="283" spans="3:67" ht="22.5" customHeight="1" thickBot="1">
      <c r="C283" s="1578" t="s">
        <v>294</v>
      </c>
      <c r="D283" s="1579"/>
      <c r="E283" s="1567" t="s">
        <v>1983</v>
      </c>
      <c r="F283" s="1568">
        <v>145</v>
      </c>
      <c r="G283" s="1568"/>
      <c r="H283" s="1716" t="s">
        <v>293</v>
      </c>
      <c r="I283" s="1718">
        <v>170</v>
      </c>
      <c r="J283" s="1188" t="s">
        <v>69</v>
      </c>
      <c r="K283" s="1568">
        <v>205</v>
      </c>
      <c r="L283" s="1527">
        <v>130</v>
      </c>
      <c r="M283" s="1528">
        <v>163</v>
      </c>
      <c r="N283" s="1567">
        <v>60</v>
      </c>
      <c r="O283" s="1188">
        <v>50</v>
      </c>
      <c r="P283" s="1568">
        <v>30</v>
      </c>
      <c r="Q283" s="1718">
        <v>40</v>
      </c>
      <c r="R283" s="1568">
        <v>50</v>
      </c>
      <c r="S283" s="1568">
        <v>20</v>
      </c>
      <c r="T283" s="1599" t="s">
        <v>1201</v>
      </c>
      <c r="U283" s="1569">
        <v>210</v>
      </c>
      <c r="V283" s="1570">
        <v>175</v>
      </c>
      <c r="W283" s="1574">
        <v>110</v>
      </c>
      <c r="X283" s="1778">
        <v>140</v>
      </c>
      <c r="Y283" s="1574">
        <v>175</v>
      </c>
      <c r="Z283" s="1568">
        <v>70</v>
      </c>
      <c r="AA283" s="1599" t="s">
        <v>1201</v>
      </c>
      <c r="AB283" s="525"/>
      <c r="AC283" s="525"/>
      <c r="AD283" s="525"/>
      <c r="AE283" s="526"/>
      <c r="AF283" s="1279"/>
      <c r="AM283" s="2516" t="s">
        <v>900</v>
      </c>
      <c r="AN283" s="571">
        <v>80</v>
      </c>
      <c r="AO283" s="524" t="s">
        <v>2002</v>
      </c>
      <c r="AP283" s="1300">
        <f>IF(Tabelle1!$AO$16=1,N_Bedarf!AX283,N_Bedarf!AT283)</f>
        <v>130</v>
      </c>
      <c r="AQ283" s="1300" t="s">
        <v>2280</v>
      </c>
      <c r="AR283" s="1300">
        <f>IF(Tabelle1!$AO$16=1,N_Bedarf!AZ283,N_Bedarf!AV283)</f>
        <v>130</v>
      </c>
      <c r="AS283" s="2246" t="s">
        <v>2280</v>
      </c>
      <c r="AT283" s="571">
        <v>130</v>
      </c>
      <c r="AU283" s="571" t="s">
        <v>2280</v>
      </c>
      <c r="AV283" s="571">
        <v>130</v>
      </c>
      <c r="AW283" s="571" t="s">
        <v>2281</v>
      </c>
      <c r="AX283" s="1035">
        <v>30</v>
      </c>
      <c r="AY283" s="1035"/>
      <c r="AZ283" s="1035">
        <v>30</v>
      </c>
      <c r="BA283" s="2249"/>
      <c r="BE283" s="2516" t="s">
        <v>900</v>
      </c>
      <c r="BF283" s="575">
        <v>10</v>
      </c>
      <c r="BG283" s="575">
        <v>20</v>
      </c>
      <c r="BH283" s="575">
        <v>20</v>
      </c>
      <c r="BI283" s="292"/>
      <c r="BJ283" s="2516" t="s">
        <v>900</v>
      </c>
      <c r="BK283" s="581">
        <v>20</v>
      </c>
      <c r="BL283" s="575">
        <v>40</v>
      </c>
      <c r="BM283" s="575">
        <v>40</v>
      </c>
      <c r="BN283" s="506"/>
      <c r="BO283" s="510"/>
    </row>
    <row r="284" spans="3:67" ht="22.5" customHeight="1" thickBot="1">
      <c r="C284" s="526"/>
      <c r="D284" s="525"/>
      <c r="E284" s="1601" t="s">
        <v>125</v>
      </c>
      <c r="F284" s="1602"/>
      <c r="G284" s="1602"/>
      <c r="H284" s="1602"/>
      <c r="I284" s="1602"/>
      <c r="J284" s="1602"/>
      <c r="K284" s="1602"/>
      <c r="L284" s="1602"/>
      <c r="M284" s="1603"/>
      <c r="N284" s="1601" t="s">
        <v>295</v>
      </c>
      <c r="O284" s="1602"/>
      <c r="P284" s="1602"/>
      <c r="Q284" s="1602"/>
      <c r="R284" s="1602"/>
      <c r="S284" s="1602"/>
      <c r="T284" s="1603"/>
      <c r="U284" s="1601" t="s">
        <v>296</v>
      </c>
      <c r="V284" s="1602"/>
      <c r="W284" s="1602"/>
      <c r="X284" s="525"/>
      <c r="Y284" s="525"/>
      <c r="Z284" s="525"/>
      <c r="AA284" s="1604"/>
      <c r="AB284" s="525"/>
      <c r="AC284" s="525"/>
      <c r="AD284" s="525"/>
      <c r="AE284" s="525"/>
      <c r="AF284" s="1279"/>
      <c r="AM284" s="2515" t="s">
        <v>1848</v>
      </c>
      <c r="AN284" s="571">
        <v>20</v>
      </c>
      <c r="AO284" s="524" t="s">
        <v>2002</v>
      </c>
      <c r="AP284" s="1300">
        <f>IF(Tabelle1!$AO$16=1,N_Bedarf!AX284,N_Bedarf!AT284)</f>
        <v>30</v>
      </c>
      <c r="AQ284" s="1300" t="s">
        <v>2282</v>
      </c>
      <c r="AR284" s="1300">
        <f>IF(Tabelle1!$AO$16=1,N_Bedarf!AZ284,N_Bedarf!AV284)</f>
        <v>30</v>
      </c>
      <c r="AS284" s="2246" t="s">
        <v>2282</v>
      </c>
      <c r="AT284" s="571">
        <v>30</v>
      </c>
      <c r="AU284" s="571" t="s">
        <v>2282</v>
      </c>
      <c r="AV284" s="571">
        <v>30</v>
      </c>
      <c r="AW284" s="571" t="s">
        <v>2282</v>
      </c>
      <c r="AX284" s="1035">
        <v>30</v>
      </c>
      <c r="AY284" s="1035"/>
      <c r="AZ284" s="1035">
        <v>30</v>
      </c>
      <c r="BA284" s="2249"/>
      <c r="BE284" s="2515" t="s">
        <v>1848</v>
      </c>
      <c r="BF284" s="575">
        <v>15</v>
      </c>
      <c r="BG284" s="575">
        <v>30</v>
      </c>
      <c r="BH284" s="575">
        <v>30</v>
      </c>
      <c r="BI284" s="292"/>
      <c r="BJ284" s="2515" t="s">
        <v>1848</v>
      </c>
      <c r="BK284" s="581">
        <v>45</v>
      </c>
      <c r="BL284" s="575">
        <v>80</v>
      </c>
      <c r="BM284" s="575">
        <v>80</v>
      </c>
      <c r="BN284" s="506"/>
      <c r="BO284" s="510"/>
    </row>
    <row r="285" spans="3:67" ht="22.5" customHeight="1">
      <c r="C285" s="1770" t="s">
        <v>297</v>
      </c>
      <c r="D285" s="1771"/>
      <c r="E285" s="2589" t="s">
        <v>1784</v>
      </c>
      <c r="F285" s="2590"/>
      <c r="G285" s="2223"/>
      <c r="H285" s="2590" t="s">
        <v>1095</v>
      </c>
      <c r="I285" s="2590"/>
      <c r="J285" s="2590" t="s">
        <v>1839</v>
      </c>
      <c r="K285" s="2590"/>
      <c r="L285" s="1716"/>
      <c r="M285" s="1752"/>
      <c r="N285" s="1744" t="s">
        <v>1938</v>
      </c>
      <c r="O285" s="1719" t="s">
        <v>1939</v>
      </c>
      <c r="P285" s="1716" t="s">
        <v>1784</v>
      </c>
      <c r="Q285" s="1716" t="s">
        <v>1095</v>
      </c>
      <c r="R285" s="1716" t="s">
        <v>1839</v>
      </c>
      <c r="S285" s="1739" t="s">
        <v>1941</v>
      </c>
      <c r="T285" s="1740" t="s">
        <v>1942</v>
      </c>
      <c r="U285" s="1745" t="s">
        <v>1938</v>
      </c>
      <c r="V285" s="1718" t="s">
        <v>1939</v>
      </c>
      <c r="W285" s="1766" t="s">
        <v>1784</v>
      </c>
      <c r="X285" s="1766" t="s">
        <v>1095</v>
      </c>
      <c r="Y285" s="1766" t="s">
        <v>1839</v>
      </c>
      <c r="Z285" s="1739" t="s">
        <v>1941</v>
      </c>
      <c r="AA285" s="1740" t="s">
        <v>1942</v>
      </c>
      <c r="AB285" s="525"/>
      <c r="AC285" s="525"/>
      <c r="AD285" s="525"/>
      <c r="AE285" s="525"/>
      <c r="AF285" s="1279"/>
      <c r="AM285" s="2517" t="s">
        <v>1849</v>
      </c>
      <c r="AN285" s="575">
        <v>0</v>
      </c>
      <c r="AO285" s="473"/>
      <c r="AP285" s="1300">
        <f>IF(Tabelle1!$AO$16=1,N_Bedarf!AX285,N_Bedarf!AT285)</f>
        <v>0</v>
      </c>
      <c r="AQ285" s="1300"/>
      <c r="AR285" s="1300">
        <f>IF(Tabelle1!$AO$16=1,N_Bedarf!AZ285,N_Bedarf!AV285)</f>
        <v>0</v>
      </c>
      <c r="AS285" s="2246"/>
      <c r="AT285" s="575">
        <v>0</v>
      </c>
      <c r="AU285" s="575"/>
      <c r="AV285" s="575">
        <v>0</v>
      </c>
      <c r="AW285" s="575"/>
      <c r="AX285" s="1031">
        <v>0</v>
      </c>
      <c r="AY285" s="1031"/>
      <c r="AZ285" s="1031">
        <v>0</v>
      </c>
      <c r="BA285" s="2247"/>
      <c r="BE285" s="2517" t="s">
        <v>1849</v>
      </c>
      <c r="BF285" s="575">
        <v>0</v>
      </c>
      <c r="BG285" s="575">
        <v>0</v>
      </c>
      <c r="BH285" s="575">
        <v>0</v>
      </c>
      <c r="BI285" s="292"/>
      <c r="BJ285" s="2517" t="s">
        <v>1849</v>
      </c>
      <c r="BK285" s="581">
        <v>0</v>
      </c>
      <c r="BL285" s="575">
        <v>0</v>
      </c>
      <c r="BM285" s="575">
        <v>0</v>
      </c>
      <c r="BN285" s="506"/>
      <c r="BO285" s="510"/>
    </row>
    <row r="286" spans="3:67" ht="28.5" customHeight="1">
      <c r="C286" s="1575" t="s">
        <v>298</v>
      </c>
      <c r="D286" s="1576"/>
      <c r="E286" s="1567"/>
      <c r="F286" s="1568"/>
      <c r="G286" s="1568"/>
      <c r="H286" s="1716" t="s">
        <v>299</v>
      </c>
      <c r="I286" s="1718">
        <v>90</v>
      </c>
      <c r="J286" s="1188" t="s">
        <v>291</v>
      </c>
      <c r="K286" s="1568">
        <v>120</v>
      </c>
      <c r="L286" s="1188"/>
      <c r="M286" s="1592"/>
      <c r="N286" s="1567">
        <v>70</v>
      </c>
      <c r="O286" s="1188">
        <v>55</v>
      </c>
      <c r="P286" s="1568"/>
      <c r="Q286" s="1718">
        <v>35</v>
      </c>
      <c r="R286" s="1568">
        <v>45</v>
      </c>
      <c r="S286" s="1568">
        <v>20</v>
      </c>
      <c r="T286" s="1599" t="s">
        <v>1201</v>
      </c>
      <c r="U286" s="1569">
        <v>140</v>
      </c>
      <c r="V286" s="1570">
        <v>105</v>
      </c>
      <c r="W286" s="1574"/>
      <c r="X286" s="1778">
        <v>70</v>
      </c>
      <c r="Y286" s="1574">
        <v>85</v>
      </c>
      <c r="Z286" s="1188">
        <v>35</v>
      </c>
      <c r="AA286" s="1599" t="s">
        <v>1201</v>
      </c>
      <c r="AB286" s="525"/>
      <c r="AC286" s="525"/>
      <c r="AD286" s="525"/>
      <c r="AE286" s="525"/>
      <c r="AF286" s="1279"/>
      <c r="BN286" s="506"/>
      <c r="BO286" s="510"/>
    </row>
    <row r="287" spans="3:67" ht="23.25" customHeight="1">
      <c r="C287" s="1575" t="s">
        <v>300</v>
      </c>
      <c r="D287" s="1576"/>
      <c r="E287" s="1567" t="s">
        <v>1201</v>
      </c>
      <c r="F287" s="1568"/>
      <c r="G287" s="1568"/>
      <c r="H287" s="1779" t="s">
        <v>301</v>
      </c>
      <c r="I287" s="1718">
        <v>60</v>
      </c>
      <c r="J287" s="1188" t="s">
        <v>96</v>
      </c>
      <c r="K287" s="1568">
        <v>60</v>
      </c>
      <c r="L287" s="1188"/>
      <c r="M287" s="1592"/>
      <c r="N287" s="1567">
        <v>80</v>
      </c>
      <c r="O287" s="1188">
        <v>60</v>
      </c>
      <c r="P287" s="1568"/>
      <c r="Q287" s="1718">
        <v>40</v>
      </c>
      <c r="R287" s="1568">
        <v>45</v>
      </c>
      <c r="S287" s="1568">
        <v>20</v>
      </c>
      <c r="T287" s="1599" t="s">
        <v>1201</v>
      </c>
      <c r="U287" s="1567">
        <v>160</v>
      </c>
      <c r="V287" s="1188">
        <v>120</v>
      </c>
      <c r="W287" s="1186"/>
      <c r="X287" s="1778">
        <v>80</v>
      </c>
      <c r="Y287" s="1574">
        <v>100</v>
      </c>
      <c r="Z287" s="1188">
        <v>40</v>
      </c>
      <c r="AA287" s="1592" t="s">
        <v>1201</v>
      </c>
      <c r="AB287" s="525"/>
      <c r="AC287" s="525"/>
      <c r="AD287" s="525"/>
      <c r="AE287" s="525"/>
      <c r="AF287" s="1279"/>
      <c r="BN287" s="506"/>
      <c r="BO287" s="510"/>
    </row>
    <row r="288" spans="3:67" ht="27.15" customHeight="1">
      <c r="C288" s="1575" t="s">
        <v>302</v>
      </c>
      <c r="D288" s="1576"/>
      <c r="E288" s="1605" t="s">
        <v>1082</v>
      </c>
      <c r="F288" s="1568"/>
      <c r="G288" s="1568"/>
      <c r="H288" s="1716"/>
      <c r="I288" s="1718"/>
      <c r="J288" s="1188"/>
      <c r="K288" s="1568"/>
      <c r="L288" s="1188"/>
      <c r="M288" s="1592"/>
      <c r="N288" s="1605"/>
      <c r="O288" s="1568"/>
      <c r="P288" s="1568"/>
      <c r="Q288" s="1718"/>
      <c r="R288" s="1568"/>
      <c r="S288" s="1568" t="s">
        <v>1954</v>
      </c>
      <c r="T288" s="1599" t="s">
        <v>1955</v>
      </c>
      <c r="U288" s="1605"/>
      <c r="V288" s="1568"/>
      <c r="W288" s="1186"/>
      <c r="X288" s="1778"/>
      <c r="Y288" s="1574"/>
      <c r="Z288" s="1188" t="s">
        <v>1954</v>
      </c>
      <c r="AA288" s="1592" t="s">
        <v>1955</v>
      </c>
      <c r="AB288" s="525"/>
      <c r="AC288" s="525"/>
      <c r="AD288" s="525"/>
      <c r="AE288" s="525"/>
      <c r="AF288" s="1279"/>
      <c r="BN288" s="506"/>
      <c r="BO288" s="510"/>
    </row>
    <row r="289" spans="3:67" ht="21.75" customHeight="1">
      <c r="C289" s="1575" t="s">
        <v>303</v>
      </c>
      <c r="D289" s="1576"/>
      <c r="E289" s="1605" t="s">
        <v>1082</v>
      </c>
      <c r="F289" s="1568"/>
      <c r="G289" s="1568"/>
      <c r="H289" s="1716"/>
      <c r="I289" s="1718"/>
      <c r="J289" s="1188"/>
      <c r="K289" s="1568"/>
      <c r="L289" s="1188"/>
      <c r="M289" s="1592"/>
      <c r="N289" s="1605"/>
      <c r="O289" s="1568"/>
      <c r="P289" s="1568"/>
      <c r="Q289" s="1718"/>
      <c r="R289" s="1568"/>
      <c r="S289" s="1568" t="s">
        <v>1954</v>
      </c>
      <c r="T289" s="1599" t="s">
        <v>1955</v>
      </c>
      <c r="U289" s="1605"/>
      <c r="V289" s="1568"/>
      <c r="W289" s="1186"/>
      <c r="X289" s="1778"/>
      <c r="Y289" s="1574"/>
      <c r="Z289" s="1188" t="s">
        <v>1954</v>
      </c>
      <c r="AA289" s="1592" t="s">
        <v>1955</v>
      </c>
      <c r="AB289" s="525"/>
      <c r="AC289" s="525"/>
      <c r="AD289" s="525"/>
      <c r="AE289" s="525"/>
      <c r="AF289" s="1279"/>
      <c r="BN289" s="506"/>
      <c r="BO289" s="510"/>
    </row>
    <row r="290" spans="3:67" ht="21.75" customHeight="1">
      <c r="C290" s="1575" t="s">
        <v>304</v>
      </c>
      <c r="D290" s="1576"/>
      <c r="E290" s="1605" t="s">
        <v>1082</v>
      </c>
      <c r="F290" s="1568"/>
      <c r="G290" s="1568"/>
      <c r="H290" s="1716"/>
      <c r="I290" s="1718"/>
      <c r="J290" s="1188"/>
      <c r="K290" s="1568"/>
      <c r="L290" s="1188"/>
      <c r="M290" s="1592"/>
      <c r="N290" s="1605"/>
      <c r="O290" s="1568"/>
      <c r="P290" s="1568"/>
      <c r="Q290" s="1718"/>
      <c r="R290" s="1568"/>
      <c r="S290" s="1568" t="s">
        <v>1954</v>
      </c>
      <c r="T290" s="1599" t="s">
        <v>1955</v>
      </c>
      <c r="U290" s="1605"/>
      <c r="V290" s="1568"/>
      <c r="W290" s="1186"/>
      <c r="X290" s="1778"/>
      <c r="Y290" s="1574"/>
      <c r="Z290" s="1188" t="s">
        <v>1954</v>
      </c>
      <c r="AA290" s="1592" t="s">
        <v>1955</v>
      </c>
      <c r="AB290" s="525"/>
      <c r="AC290" s="525"/>
      <c r="AD290" s="525"/>
      <c r="AE290" s="525"/>
      <c r="AF290" s="1279"/>
      <c r="BN290" s="506"/>
      <c r="BO290" s="510"/>
    </row>
    <row r="291" spans="3:67" ht="21.75" customHeight="1">
      <c r="C291" s="1575" t="s">
        <v>305</v>
      </c>
      <c r="D291" s="1576"/>
      <c r="E291" s="1567"/>
      <c r="F291" s="1568"/>
      <c r="G291" s="1568"/>
      <c r="H291" s="1780" t="s">
        <v>306</v>
      </c>
      <c r="I291" s="1718">
        <v>90</v>
      </c>
      <c r="J291" s="1188" t="s">
        <v>1961</v>
      </c>
      <c r="K291" s="1568">
        <v>120</v>
      </c>
      <c r="L291" s="1188"/>
      <c r="M291" s="1592"/>
      <c r="N291" s="1567">
        <v>50</v>
      </c>
      <c r="O291" s="1188">
        <v>40</v>
      </c>
      <c r="P291" s="1568"/>
      <c r="Q291" s="1718">
        <v>25</v>
      </c>
      <c r="R291" s="1568">
        <v>35</v>
      </c>
      <c r="S291" s="1568">
        <v>15</v>
      </c>
      <c r="T291" s="1599" t="s">
        <v>1201</v>
      </c>
      <c r="U291" s="1569">
        <v>130</v>
      </c>
      <c r="V291" s="1570">
        <v>100</v>
      </c>
      <c r="W291" s="1186"/>
      <c r="X291" s="1778">
        <v>65</v>
      </c>
      <c r="Y291" s="1574">
        <v>75</v>
      </c>
      <c r="Z291" s="1188">
        <v>35</v>
      </c>
      <c r="AA291" s="1599" t="s">
        <v>1201</v>
      </c>
      <c r="AB291" s="525"/>
      <c r="AC291" s="525"/>
      <c r="AD291" s="525"/>
      <c r="AE291" s="525"/>
      <c r="AF291" s="1279"/>
      <c r="BN291" s="506"/>
      <c r="BO291" s="510"/>
    </row>
    <row r="292" spans="3:67" ht="21.75" customHeight="1">
      <c r="C292" s="1575" t="s">
        <v>307</v>
      </c>
      <c r="D292" s="1576"/>
      <c r="E292" s="1567"/>
      <c r="F292" s="1568"/>
      <c r="G292" s="1568"/>
      <c r="H292" s="1716" t="s">
        <v>308</v>
      </c>
      <c r="I292" s="1718">
        <v>90</v>
      </c>
      <c r="J292" s="1188" t="s">
        <v>1991</v>
      </c>
      <c r="K292" s="1568">
        <v>110</v>
      </c>
      <c r="L292" s="1188"/>
      <c r="M292" s="1592"/>
      <c r="N292" s="1567">
        <v>80</v>
      </c>
      <c r="O292" s="1188">
        <v>60</v>
      </c>
      <c r="P292" s="1568"/>
      <c r="Q292" s="1718">
        <v>40</v>
      </c>
      <c r="R292" s="1568">
        <v>60</v>
      </c>
      <c r="S292" s="1568">
        <v>20</v>
      </c>
      <c r="T292" s="1599" t="s">
        <v>1201</v>
      </c>
      <c r="U292" s="1569">
        <v>180</v>
      </c>
      <c r="V292" s="1570">
        <v>135</v>
      </c>
      <c r="W292" s="1574"/>
      <c r="X292" s="1778">
        <v>90</v>
      </c>
      <c r="Y292" s="1574">
        <v>120</v>
      </c>
      <c r="Z292" s="1188">
        <v>45</v>
      </c>
      <c r="AA292" s="1599" t="s">
        <v>1201</v>
      </c>
      <c r="AB292" s="525"/>
      <c r="AC292" s="525"/>
      <c r="AD292" s="525"/>
      <c r="AE292" s="525"/>
      <c r="AF292" s="1279"/>
      <c r="BN292" s="506"/>
      <c r="BO292" s="510"/>
    </row>
    <row r="293" spans="3:67" ht="21.75" customHeight="1">
      <c r="C293" s="1575" t="s">
        <v>309</v>
      </c>
      <c r="D293" s="1576"/>
      <c r="E293" s="1567"/>
      <c r="F293" s="1568"/>
      <c r="G293" s="1568"/>
      <c r="H293" s="1716" t="s">
        <v>308</v>
      </c>
      <c r="I293" s="1718">
        <v>150</v>
      </c>
      <c r="J293" s="1188" t="s">
        <v>1991</v>
      </c>
      <c r="K293" s="1568">
        <v>175</v>
      </c>
      <c r="L293" s="1188"/>
      <c r="M293" s="1592"/>
      <c r="N293" s="1567">
        <v>80</v>
      </c>
      <c r="O293" s="1188">
        <v>60</v>
      </c>
      <c r="P293" s="1568"/>
      <c r="Q293" s="1718">
        <v>40</v>
      </c>
      <c r="R293" s="1568">
        <v>50</v>
      </c>
      <c r="S293" s="1568">
        <v>20</v>
      </c>
      <c r="T293" s="1599" t="s">
        <v>1201</v>
      </c>
      <c r="U293" s="1569">
        <v>180</v>
      </c>
      <c r="V293" s="1570">
        <v>135</v>
      </c>
      <c r="W293" s="1574"/>
      <c r="X293" s="1778">
        <v>90</v>
      </c>
      <c r="Y293" s="1574">
        <v>110</v>
      </c>
      <c r="Z293" s="1188">
        <v>45</v>
      </c>
      <c r="AA293" s="1599" t="s">
        <v>1201</v>
      </c>
      <c r="AB293" s="525"/>
      <c r="AC293" s="525"/>
      <c r="AD293" s="525"/>
      <c r="AE293" s="525"/>
      <c r="AF293" s="1279"/>
      <c r="BN293" s="506"/>
      <c r="BO293" s="510"/>
    </row>
    <row r="294" spans="3:67" ht="21.75" customHeight="1">
      <c r="C294" s="1575" t="s">
        <v>310</v>
      </c>
      <c r="D294" s="1576"/>
      <c r="E294" s="1567" t="s">
        <v>1201</v>
      </c>
      <c r="F294" s="1568"/>
      <c r="G294" s="1568"/>
      <c r="H294" s="1716" t="s">
        <v>311</v>
      </c>
      <c r="I294" s="1718">
        <v>150</v>
      </c>
      <c r="J294" s="1188" t="s">
        <v>312</v>
      </c>
      <c r="K294" s="1568">
        <v>175</v>
      </c>
      <c r="L294" s="1188"/>
      <c r="M294" s="1592"/>
      <c r="N294" s="1567">
        <v>90</v>
      </c>
      <c r="O294" s="1188">
        <v>70</v>
      </c>
      <c r="P294" s="1568"/>
      <c r="Q294" s="1718">
        <v>45</v>
      </c>
      <c r="R294" s="1568">
        <v>55</v>
      </c>
      <c r="S294" s="1568">
        <v>25</v>
      </c>
      <c r="T294" s="1599" t="s">
        <v>1201</v>
      </c>
      <c r="U294" s="1569">
        <v>320</v>
      </c>
      <c r="V294" s="1570">
        <v>240</v>
      </c>
      <c r="W294" s="1574"/>
      <c r="X294" s="1778">
        <v>160</v>
      </c>
      <c r="Y294" s="1574">
        <v>200</v>
      </c>
      <c r="Z294" s="1188">
        <v>80</v>
      </c>
      <c r="AA294" s="1599" t="s">
        <v>1201</v>
      </c>
      <c r="AB294" s="525"/>
      <c r="AC294" s="525"/>
      <c r="AD294" s="525"/>
      <c r="AE294" s="525"/>
      <c r="AF294" s="1279"/>
      <c r="BN294" s="506"/>
      <c r="BO294" s="510"/>
    </row>
    <row r="295" spans="3:67" ht="21.75" customHeight="1">
      <c r="C295" s="1575" t="s">
        <v>313</v>
      </c>
      <c r="D295" s="1576"/>
      <c r="E295" s="1567"/>
      <c r="F295" s="1568"/>
      <c r="G295" s="1568"/>
      <c r="H295" s="1716" t="s">
        <v>314</v>
      </c>
      <c r="I295" s="1718">
        <v>70</v>
      </c>
      <c r="J295" s="1188" t="s">
        <v>1066</v>
      </c>
      <c r="K295" s="1568">
        <v>110</v>
      </c>
      <c r="L295" s="1188"/>
      <c r="M295" s="1592"/>
      <c r="N295" s="1567">
        <v>50</v>
      </c>
      <c r="O295" s="1188">
        <v>40</v>
      </c>
      <c r="P295" s="1568"/>
      <c r="Q295" s="1718">
        <v>25</v>
      </c>
      <c r="R295" s="1568">
        <v>30</v>
      </c>
      <c r="S295" s="1568">
        <v>15</v>
      </c>
      <c r="T295" s="1599" t="s">
        <v>1201</v>
      </c>
      <c r="U295" s="1569">
        <v>150</v>
      </c>
      <c r="V295" s="1570">
        <v>115</v>
      </c>
      <c r="W295" s="1574"/>
      <c r="X295" s="1778">
        <v>75</v>
      </c>
      <c r="Y295" s="1574">
        <v>100</v>
      </c>
      <c r="Z295" s="1188">
        <v>40</v>
      </c>
      <c r="AA295" s="1599" t="s">
        <v>1201</v>
      </c>
      <c r="AB295" s="525"/>
      <c r="AC295" s="525"/>
      <c r="AD295" s="525"/>
      <c r="AE295" s="525"/>
      <c r="AF295" s="1279"/>
      <c r="BN295" s="506"/>
      <c r="BO295" s="510"/>
    </row>
    <row r="296" spans="3:67" ht="21.75" customHeight="1">
      <c r="C296" s="1575" t="s">
        <v>315</v>
      </c>
      <c r="D296" s="1576"/>
      <c r="E296" s="1567"/>
      <c r="F296" s="1568"/>
      <c r="G296" s="1568"/>
      <c r="H296" s="1716" t="s">
        <v>274</v>
      </c>
      <c r="I296" s="1718">
        <v>70</v>
      </c>
      <c r="J296" s="1188" t="s">
        <v>64</v>
      </c>
      <c r="K296" s="1568">
        <v>110</v>
      </c>
      <c r="L296" s="1188"/>
      <c r="M296" s="1592"/>
      <c r="N296" s="1567">
        <v>50</v>
      </c>
      <c r="O296" s="1188">
        <v>40</v>
      </c>
      <c r="P296" s="1568"/>
      <c r="Q296" s="1718">
        <v>25</v>
      </c>
      <c r="R296" s="1568">
        <v>30</v>
      </c>
      <c r="S296" s="1568">
        <v>15</v>
      </c>
      <c r="T296" s="1599" t="s">
        <v>1201</v>
      </c>
      <c r="U296" s="1569">
        <v>150</v>
      </c>
      <c r="V296" s="1570">
        <v>115</v>
      </c>
      <c r="W296" s="1574"/>
      <c r="X296" s="1778">
        <v>75</v>
      </c>
      <c r="Y296" s="1574">
        <v>100</v>
      </c>
      <c r="Z296" s="1188">
        <v>40</v>
      </c>
      <c r="AA296" s="1599" t="s">
        <v>1201</v>
      </c>
      <c r="AB296" s="525"/>
      <c r="AC296" s="525"/>
      <c r="AD296" s="525"/>
      <c r="AE296" s="525"/>
      <c r="AF296" s="1279"/>
      <c r="BN296" s="506"/>
      <c r="BO296" s="510"/>
    </row>
    <row r="297" spans="3:67" ht="21.75" customHeight="1">
      <c r="C297" s="1575" t="s">
        <v>316</v>
      </c>
      <c r="D297" s="1576"/>
      <c r="E297" s="1605" t="s">
        <v>1082</v>
      </c>
      <c r="F297" s="1568"/>
      <c r="G297" s="1568"/>
      <c r="H297" s="1716"/>
      <c r="I297" s="1718"/>
      <c r="J297" s="1188"/>
      <c r="K297" s="1568"/>
      <c r="L297" s="1188"/>
      <c r="M297" s="1592"/>
      <c r="N297" s="1605"/>
      <c r="O297" s="1568"/>
      <c r="P297" s="1568"/>
      <c r="Q297" s="1718"/>
      <c r="R297" s="1568"/>
      <c r="S297" s="1568" t="s">
        <v>1954</v>
      </c>
      <c r="T297" s="1599" t="s">
        <v>1955</v>
      </c>
      <c r="U297" s="1605"/>
      <c r="V297" s="1568"/>
      <c r="W297" s="1574"/>
      <c r="X297" s="1778"/>
      <c r="Y297" s="1574"/>
      <c r="Z297" s="1188" t="s">
        <v>1954</v>
      </c>
      <c r="AA297" s="1599"/>
      <c r="AB297" s="525"/>
      <c r="AC297" s="525"/>
      <c r="AD297" s="525"/>
      <c r="AE297" s="525"/>
      <c r="AF297" s="1279"/>
      <c r="BN297" s="506"/>
      <c r="BO297" s="510"/>
    </row>
    <row r="298" spans="3:67" ht="21.75" customHeight="1">
      <c r="C298" s="1575" t="s">
        <v>317</v>
      </c>
      <c r="D298" s="1576"/>
      <c r="E298" s="1567"/>
      <c r="F298" s="1568"/>
      <c r="G298" s="1568"/>
      <c r="H298" s="1716" t="s">
        <v>463</v>
      </c>
      <c r="I298" s="1718">
        <v>70</v>
      </c>
      <c r="J298" s="1188" t="s">
        <v>464</v>
      </c>
      <c r="K298" s="1568">
        <v>110</v>
      </c>
      <c r="L298" s="1188"/>
      <c r="M298" s="1592"/>
      <c r="N298" s="1567">
        <v>50</v>
      </c>
      <c r="O298" s="1188">
        <v>40</v>
      </c>
      <c r="P298" s="1568"/>
      <c r="Q298" s="1718">
        <v>25</v>
      </c>
      <c r="R298" s="1568">
        <v>30</v>
      </c>
      <c r="S298" s="1568">
        <v>15</v>
      </c>
      <c r="T298" s="1599" t="s">
        <v>1201</v>
      </c>
      <c r="U298" s="1569">
        <v>150</v>
      </c>
      <c r="V298" s="1570">
        <v>115</v>
      </c>
      <c r="W298" s="1574"/>
      <c r="X298" s="1778">
        <v>75</v>
      </c>
      <c r="Y298" s="1574">
        <v>100</v>
      </c>
      <c r="Z298" s="1188">
        <v>40</v>
      </c>
      <c r="AA298" s="1599" t="s">
        <v>1201</v>
      </c>
      <c r="AB298" s="525"/>
      <c r="AC298" s="525"/>
      <c r="AD298" s="525"/>
      <c r="AE298" s="525"/>
      <c r="AF298" s="1279"/>
      <c r="BN298" s="506"/>
      <c r="BO298" s="510"/>
    </row>
    <row r="299" spans="3:67" ht="21.75" customHeight="1">
      <c r="C299" s="1575" t="s">
        <v>318</v>
      </c>
      <c r="D299" s="1576"/>
      <c r="E299" s="1567"/>
      <c r="F299" s="1568"/>
      <c r="G299" s="1568"/>
      <c r="H299" s="1716" t="s">
        <v>319</v>
      </c>
      <c r="I299" s="1718">
        <v>70</v>
      </c>
      <c r="J299" s="1188" t="s">
        <v>159</v>
      </c>
      <c r="K299" s="1568">
        <v>100</v>
      </c>
      <c r="L299" s="1188"/>
      <c r="M299" s="1592"/>
      <c r="N299" s="1567">
        <v>70</v>
      </c>
      <c r="O299" s="1188">
        <v>55</v>
      </c>
      <c r="P299" s="1568"/>
      <c r="Q299" s="1718">
        <v>35</v>
      </c>
      <c r="R299" s="1568">
        <v>35</v>
      </c>
      <c r="S299" s="1568">
        <v>20</v>
      </c>
      <c r="T299" s="1599" t="s">
        <v>1201</v>
      </c>
      <c r="U299" s="1569">
        <v>240</v>
      </c>
      <c r="V299" s="1570">
        <v>180</v>
      </c>
      <c r="W299" s="1574"/>
      <c r="X299" s="1778">
        <v>120</v>
      </c>
      <c r="Y299" s="1574">
        <v>120</v>
      </c>
      <c r="Z299" s="1188">
        <v>60</v>
      </c>
      <c r="AA299" s="1599" t="s">
        <v>1201</v>
      </c>
      <c r="AB299" s="525"/>
      <c r="AC299" s="525"/>
      <c r="AD299" s="525"/>
      <c r="AE299" s="525"/>
      <c r="AF299" s="1279"/>
      <c r="BN299" s="506"/>
      <c r="BO299" s="510"/>
    </row>
    <row r="300" spans="3:67" ht="21.75" customHeight="1">
      <c r="C300" s="1575" t="s">
        <v>320</v>
      </c>
      <c r="D300" s="1576"/>
      <c r="E300" s="1567" t="s">
        <v>1201</v>
      </c>
      <c r="F300" s="1568"/>
      <c r="G300" s="1568"/>
      <c r="H300" s="1716" t="s">
        <v>1201</v>
      </c>
      <c r="I300" s="1718">
        <v>0</v>
      </c>
      <c r="J300" s="1188" t="s">
        <v>1201</v>
      </c>
      <c r="K300" s="1568">
        <v>0</v>
      </c>
      <c r="L300" s="1188"/>
      <c r="M300" s="1592"/>
      <c r="N300" s="1567">
        <v>0</v>
      </c>
      <c r="O300" s="1188">
        <v>0</v>
      </c>
      <c r="P300" s="1568"/>
      <c r="Q300" s="1718">
        <v>0</v>
      </c>
      <c r="R300" s="1568">
        <v>0</v>
      </c>
      <c r="S300" s="1568">
        <v>0</v>
      </c>
      <c r="T300" s="1599" t="s">
        <v>1201</v>
      </c>
      <c r="U300" s="1569">
        <v>0</v>
      </c>
      <c r="V300" s="1570">
        <v>0</v>
      </c>
      <c r="W300" s="1574"/>
      <c r="X300" s="1778">
        <v>0</v>
      </c>
      <c r="Y300" s="1574">
        <v>0</v>
      </c>
      <c r="Z300" s="1188">
        <v>0</v>
      </c>
      <c r="AA300" s="1599" t="s">
        <v>1201</v>
      </c>
      <c r="AB300" s="525"/>
      <c r="AC300" s="525"/>
      <c r="AD300" s="525"/>
      <c r="AE300" s="525"/>
      <c r="AF300" s="1279"/>
    </row>
    <row r="301" spans="3:67" ht="20.25" customHeight="1">
      <c r="C301" s="1575" t="s">
        <v>321</v>
      </c>
      <c r="D301" s="1576"/>
      <c r="E301" s="1567"/>
      <c r="F301" s="1568"/>
      <c r="G301" s="1568"/>
      <c r="H301" s="1716" t="s">
        <v>463</v>
      </c>
      <c r="I301" s="1718">
        <v>70</v>
      </c>
      <c r="J301" s="1188" t="s">
        <v>464</v>
      </c>
      <c r="K301" s="1568">
        <v>110</v>
      </c>
      <c r="L301" s="1188"/>
      <c r="M301" s="1592"/>
      <c r="N301" s="1567">
        <v>50</v>
      </c>
      <c r="O301" s="1188">
        <v>40</v>
      </c>
      <c r="P301" s="1568"/>
      <c r="Q301" s="1718">
        <v>25</v>
      </c>
      <c r="R301" s="1568">
        <v>30</v>
      </c>
      <c r="S301" s="1568">
        <v>15</v>
      </c>
      <c r="T301" s="1599" t="s">
        <v>1201</v>
      </c>
      <c r="U301" s="1569">
        <v>150</v>
      </c>
      <c r="V301" s="1570">
        <v>115</v>
      </c>
      <c r="W301" s="1574"/>
      <c r="X301" s="1778">
        <v>75</v>
      </c>
      <c r="Y301" s="1574">
        <v>100</v>
      </c>
      <c r="Z301" s="1188">
        <v>40</v>
      </c>
      <c r="AA301" s="1599" t="s">
        <v>1201</v>
      </c>
      <c r="AB301" s="525"/>
      <c r="AC301" s="525"/>
      <c r="AD301" s="525"/>
      <c r="AE301" s="525"/>
      <c r="AF301" s="1279"/>
    </row>
    <row r="302" spans="3:67" ht="21.75" customHeight="1">
      <c r="C302" s="1575" t="s">
        <v>322</v>
      </c>
      <c r="D302" s="1576"/>
      <c r="E302" s="1567"/>
      <c r="F302" s="1568"/>
      <c r="G302" s="1568"/>
      <c r="H302" s="1716" t="s">
        <v>463</v>
      </c>
      <c r="I302" s="1718">
        <v>70</v>
      </c>
      <c r="J302" s="1188" t="s">
        <v>464</v>
      </c>
      <c r="K302" s="1568">
        <v>110</v>
      </c>
      <c r="L302" s="1188"/>
      <c r="M302" s="1592"/>
      <c r="N302" s="1567">
        <v>50</v>
      </c>
      <c r="O302" s="1188">
        <v>40</v>
      </c>
      <c r="P302" s="1568"/>
      <c r="Q302" s="1718">
        <v>25</v>
      </c>
      <c r="R302" s="1568">
        <v>30</v>
      </c>
      <c r="S302" s="1568">
        <v>15</v>
      </c>
      <c r="T302" s="1599" t="s">
        <v>1201</v>
      </c>
      <c r="U302" s="1569">
        <v>150</v>
      </c>
      <c r="V302" s="1570">
        <v>115</v>
      </c>
      <c r="W302" s="1574"/>
      <c r="X302" s="1778">
        <v>75</v>
      </c>
      <c r="Y302" s="1574">
        <v>100</v>
      </c>
      <c r="Z302" s="1188">
        <v>40</v>
      </c>
      <c r="AA302" s="1599" t="s">
        <v>1201</v>
      </c>
      <c r="AB302" s="525"/>
      <c r="AC302" s="525"/>
      <c r="AD302" s="525"/>
      <c r="AE302" s="525"/>
      <c r="AF302" s="1279"/>
    </row>
    <row r="303" spans="3:67" ht="21.75" customHeight="1">
      <c r="C303" s="1575" t="s">
        <v>323</v>
      </c>
      <c r="D303" s="1576"/>
      <c r="E303" s="1567"/>
      <c r="F303" s="1568"/>
      <c r="G303" s="1568"/>
      <c r="H303" s="1716" t="s">
        <v>306</v>
      </c>
      <c r="I303" s="1718">
        <v>90</v>
      </c>
      <c r="J303" s="1188" t="s">
        <v>1961</v>
      </c>
      <c r="K303" s="1568">
        <v>120</v>
      </c>
      <c r="L303" s="1188"/>
      <c r="M303" s="1592"/>
      <c r="N303" s="1567">
        <v>50</v>
      </c>
      <c r="O303" s="1188">
        <v>40</v>
      </c>
      <c r="P303" s="1568"/>
      <c r="Q303" s="1718">
        <v>25</v>
      </c>
      <c r="R303" s="1568">
        <v>35</v>
      </c>
      <c r="S303" s="1568">
        <v>15</v>
      </c>
      <c r="T303" s="1599" t="s">
        <v>1201</v>
      </c>
      <c r="U303" s="1569">
        <v>130</v>
      </c>
      <c r="V303" s="1570">
        <v>100</v>
      </c>
      <c r="W303" s="1574"/>
      <c r="X303" s="1778">
        <v>65</v>
      </c>
      <c r="Y303" s="1574">
        <v>75</v>
      </c>
      <c r="Z303" s="1188">
        <v>35</v>
      </c>
      <c r="AA303" s="1599" t="s">
        <v>1201</v>
      </c>
      <c r="AB303" s="525"/>
      <c r="AC303" s="525"/>
      <c r="AD303" s="525"/>
      <c r="AE303" s="525"/>
      <c r="AF303" s="1279"/>
    </row>
    <row r="304" spans="3:67" ht="21.75" customHeight="1">
      <c r="C304" s="1575" t="s">
        <v>324</v>
      </c>
      <c r="D304" s="1576"/>
      <c r="E304" s="1567"/>
      <c r="F304" s="1568"/>
      <c r="G304" s="1568"/>
      <c r="H304" s="1716" t="s">
        <v>319</v>
      </c>
      <c r="I304" s="1718">
        <v>70</v>
      </c>
      <c r="J304" s="1188" t="s">
        <v>159</v>
      </c>
      <c r="K304" s="1568">
        <v>100</v>
      </c>
      <c r="L304" s="1188"/>
      <c r="M304" s="1592"/>
      <c r="N304" s="1567">
        <v>50</v>
      </c>
      <c r="O304" s="1188">
        <v>40</v>
      </c>
      <c r="P304" s="1568"/>
      <c r="Q304" s="1718">
        <v>25</v>
      </c>
      <c r="R304" s="1568">
        <v>35</v>
      </c>
      <c r="S304" s="1568">
        <v>15</v>
      </c>
      <c r="T304" s="1599" t="s">
        <v>1201</v>
      </c>
      <c r="U304" s="1569">
        <v>180</v>
      </c>
      <c r="V304" s="1570">
        <v>135</v>
      </c>
      <c r="W304" s="1574"/>
      <c r="X304" s="1778">
        <v>90</v>
      </c>
      <c r="Y304" s="1574">
        <v>120</v>
      </c>
      <c r="Z304" s="1188">
        <v>45</v>
      </c>
      <c r="AA304" s="1599" t="s">
        <v>1201</v>
      </c>
      <c r="AB304" s="525"/>
      <c r="AC304" s="525"/>
      <c r="AD304" s="525"/>
      <c r="AE304" s="525"/>
      <c r="AF304" s="1279"/>
    </row>
    <row r="305" spans="3:32" ht="21.75" customHeight="1">
      <c r="C305" s="1575" t="s">
        <v>325</v>
      </c>
      <c r="D305" s="1576"/>
      <c r="E305" s="1605" t="s">
        <v>1082</v>
      </c>
      <c r="F305" s="1568"/>
      <c r="G305" s="1568"/>
      <c r="H305" s="1716"/>
      <c r="I305" s="1718"/>
      <c r="J305" s="1188"/>
      <c r="K305" s="1568"/>
      <c r="L305" s="1188"/>
      <c r="M305" s="1592"/>
      <c r="N305" s="1605"/>
      <c r="O305" s="1568"/>
      <c r="P305" s="1568"/>
      <c r="Q305" s="1718"/>
      <c r="R305" s="1568"/>
      <c r="S305" s="1568" t="s">
        <v>1954</v>
      </c>
      <c r="T305" s="1599" t="s">
        <v>1955</v>
      </c>
      <c r="U305" s="1605"/>
      <c r="V305" s="1568"/>
      <c r="W305" s="1574"/>
      <c r="X305" s="1778"/>
      <c r="Y305" s="1574"/>
      <c r="Z305" s="1188" t="s">
        <v>1954</v>
      </c>
      <c r="AA305" s="1599"/>
      <c r="AB305" s="525"/>
      <c r="AC305" s="525"/>
      <c r="AD305" s="525"/>
      <c r="AE305" s="525"/>
      <c r="AF305" s="1279"/>
    </row>
    <row r="306" spans="3:32" ht="21.75" customHeight="1">
      <c r="C306" s="1575" t="s">
        <v>326</v>
      </c>
      <c r="D306" s="1576"/>
      <c r="E306" s="1567"/>
      <c r="F306" s="1568"/>
      <c r="G306" s="1568"/>
      <c r="H306" s="1716" t="s">
        <v>314</v>
      </c>
      <c r="I306" s="1718">
        <v>90</v>
      </c>
      <c r="J306" s="1188" t="s">
        <v>1066</v>
      </c>
      <c r="K306" s="1568">
        <v>120</v>
      </c>
      <c r="L306" s="1188"/>
      <c r="M306" s="1592"/>
      <c r="N306" s="1567">
        <v>110</v>
      </c>
      <c r="O306" s="1188">
        <v>85</v>
      </c>
      <c r="P306" s="1568"/>
      <c r="Q306" s="1718">
        <v>55</v>
      </c>
      <c r="R306" s="1568">
        <v>70</v>
      </c>
      <c r="S306" s="1568">
        <v>30</v>
      </c>
      <c r="T306" s="1599" t="s">
        <v>1201</v>
      </c>
      <c r="U306" s="1569">
        <v>260</v>
      </c>
      <c r="V306" s="1570">
        <v>195</v>
      </c>
      <c r="W306" s="1574"/>
      <c r="X306" s="1778">
        <v>130</v>
      </c>
      <c r="Y306" s="1574">
        <v>170</v>
      </c>
      <c r="Z306" s="1188">
        <v>65</v>
      </c>
      <c r="AA306" s="1599" t="s">
        <v>1201</v>
      </c>
      <c r="AB306" s="525"/>
      <c r="AC306" s="525"/>
      <c r="AD306" s="525"/>
      <c r="AE306" s="525"/>
      <c r="AF306" s="1279"/>
    </row>
    <row r="307" spans="3:32" ht="21.75" customHeight="1">
      <c r="C307" s="1575" t="s">
        <v>327</v>
      </c>
      <c r="D307" s="1576"/>
      <c r="E307" s="1567" t="s">
        <v>1201</v>
      </c>
      <c r="F307" s="1568"/>
      <c r="G307" s="1568"/>
      <c r="H307" s="1716" t="s">
        <v>328</v>
      </c>
      <c r="I307" s="1718">
        <v>50</v>
      </c>
      <c r="J307" s="1188" t="s">
        <v>329</v>
      </c>
      <c r="K307" s="1568">
        <v>70</v>
      </c>
      <c r="L307" s="1188"/>
      <c r="M307" s="1592"/>
      <c r="N307" s="1567">
        <v>60</v>
      </c>
      <c r="O307" s="1188">
        <v>45</v>
      </c>
      <c r="P307" s="1568"/>
      <c r="Q307" s="1718">
        <v>30</v>
      </c>
      <c r="R307" s="1568">
        <v>35</v>
      </c>
      <c r="S307" s="1568">
        <v>15</v>
      </c>
      <c r="T307" s="1599" t="s">
        <v>1201</v>
      </c>
      <c r="U307" s="1569">
        <v>180</v>
      </c>
      <c r="V307" s="1570">
        <v>135</v>
      </c>
      <c r="W307" s="1574"/>
      <c r="X307" s="1778">
        <v>90</v>
      </c>
      <c r="Y307" s="1574">
        <v>95</v>
      </c>
      <c r="Z307" s="1188">
        <v>45</v>
      </c>
      <c r="AA307" s="1599" t="s">
        <v>1201</v>
      </c>
      <c r="AB307" s="525"/>
      <c r="AC307" s="525"/>
      <c r="AD307" s="525"/>
      <c r="AE307" s="525"/>
      <c r="AF307" s="1279"/>
    </row>
    <row r="308" spans="3:32" ht="21.75" customHeight="1">
      <c r="C308" s="1575" t="s">
        <v>330</v>
      </c>
      <c r="D308" s="1576"/>
      <c r="E308" s="1567"/>
      <c r="F308" s="1568"/>
      <c r="G308" s="1568"/>
      <c r="H308" s="1716" t="s">
        <v>331</v>
      </c>
      <c r="I308" s="1718">
        <v>90</v>
      </c>
      <c r="J308" s="1188" t="s">
        <v>1961</v>
      </c>
      <c r="K308" s="1568">
        <v>120</v>
      </c>
      <c r="L308" s="1188"/>
      <c r="M308" s="1592"/>
      <c r="N308" s="1567">
        <v>110</v>
      </c>
      <c r="O308" s="1188">
        <v>85</v>
      </c>
      <c r="P308" s="1568"/>
      <c r="Q308" s="1718">
        <v>55</v>
      </c>
      <c r="R308" s="1568">
        <v>70</v>
      </c>
      <c r="S308" s="1568">
        <v>30</v>
      </c>
      <c r="T308" s="1599" t="s">
        <v>1201</v>
      </c>
      <c r="U308" s="1569">
        <v>260</v>
      </c>
      <c r="V308" s="1570">
        <v>195</v>
      </c>
      <c r="W308" s="1574"/>
      <c r="X308" s="1778">
        <v>130</v>
      </c>
      <c r="Y308" s="1574">
        <v>170</v>
      </c>
      <c r="Z308" s="1188">
        <v>65</v>
      </c>
      <c r="AA308" s="1599" t="s">
        <v>1201</v>
      </c>
      <c r="AB308" s="525"/>
      <c r="AC308" s="525"/>
      <c r="AD308" s="525"/>
      <c r="AE308" s="525"/>
      <c r="AF308" s="1279"/>
    </row>
    <row r="309" spans="3:32" ht="21.75" customHeight="1">
      <c r="C309" s="1575" t="s">
        <v>332</v>
      </c>
      <c r="D309" s="1576"/>
      <c r="E309" s="1567" t="s">
        <v>1201</v>
      </c>
      <c r="F309" s="1568"/>
      <c r="G309" s="1568"/>
      <c r="H309" s="1716" t="s">
        <v>1201</v>
      </c>
      <c r="I309" s="1718">
        <v>0</v>
      </c>
      <c r="J309" s="1188" t="s">
        <v>1201</v>
      </c>
      <c r="K309" s="1568">
        <v>0</v>
      </c>
      <c r="L309" s="1188"/>
      <c r="M309" s="1592"/>
      <c r="N309" s="1567">
        <v>0</v>
      </c>
      <c r="O309" s="1188">
        <v>0</v>
      </c>
      <c r="P309" s="1568"/>
      <c r="Q309" s="1718">
        <v>0</v>
      </c>
      <c r="R309" s="1568">
        <v>0</v>
      </c>
      <c r="S309" s="1568">
        <v>0</v>
      </c>
      <c r="T309" s="1599" t="s">
        <v>1201</v>
      </c>
      <c r="U309" s="1569">
        <v>0</v>
      </c>
      <c r="V309" s="1570">
        <v>0</v>
      </c>
      <c r="W309" s="1574"/>
      <c r="X309" s="1778">
        <v>0</v>
      </c>
      <c r="Y309" s="1574">
        <v>0</v>
      </c>
      <c r="Z309" s="1188">
        <v>0</v>
      </c>
      <c r="AA309" s="1599" t="s">
        <v>1201</v>
      </c>
      <c r="AB309" s="525"/>
      <c r="AC309" s="525"/>
      <c r="AD309" s="525"/>
      <c r="AE309" s="525"/>
      <c r="AF309" s="1279"/>
    </row>
    <row r="310" spans="3:32" ht="21.75" customHeight="1">
      <c r="C310" s="1575" t="s">
        <v>333</v>
      </c>
      <c r="D310" s="1576"/>
      <c r="E310" s="1567"/>
      <c r="F310" s="1568"/>
      <c r="G310" s="1568"/>
      <c r="H310" s="1716" t="s">
        <v>334</v>
      </c>
      <c r="I310" s="1718">
        <v>60</v>
      </c>
      <c r="J310" s="1188" t="s">
        <v>1991</v>
      </c>
      <c r="K310" s="1568">
        <v>90</v>
      </c>
      <c r="L310" s="1188"/>
      <c r="M310" s="1592"/>
      <c r="N310" s="1567">
        <v>70</v>
      </c>
      <c r="O310" s="1188">
        <v>55</v>
      </c>
      <c r="P310" s="1568"/>
      <c r="Q310" s="1718">
        <v>35</v>
      </c>
      <c r="R310" s="1568">
        <v>45</v>
      </c>
      <c r="S310" s="1568">
        <v>20</v>
      </c>
      <c r="T310" s="1599" t="s">
        <v>1201</v>
      </c>
      <c r="U310" s="1569">
        <v>170</v>
      </c>
      <c r="V310" s="1570">
        <v>130</v>
      </c>
      <c r="W310" s="1574"/>
      <c r="X310" s="1778">
        <v>85</v>
      </c>
      <c r="Y310" s="1574">
        <v>115</v>
      </c>
      <c r="Z310" s="1188">
        <v>45</v>
      </c>
      <c r="AA310" s="1599" t="s">
        <v>1201</v>
      </c>
      <c r="AB310" s="525"/>
      <c r="AC310" s="525"/>
      <c r="AD310" s="525"/>
      <c r="AE310" s="525"/>
      <c r="AF310" s="1279"/>
    </row>
    <row r="311" spans="3:32" ht="21.75" customHeight="1">
      <c r="C311" s="1575" t="s">
        <v>335</v>
      </c>
      <c r="D311" s="1576"/>
      <c r="E311" s="1567"/>
      <c r="F311" s="1568"/>
      <c r="G311" s="1568"/>
      <c r="H311" s="1716" t="s">
        <v>319</v>
      </c>
      <c r="I311" s="1718">
        <v>70</v>
      </c>
      <c r="J311" s="1188" t="s">
        <v>159</v>
      </c>
      <c r="K311" s="1568">
        <v>100</v>
      </c>
      <c r="L311" s="1188"/>
      <c r="M311" s="1592"/>
      <c r="N311" s="1567">
        <v>50</v>
      </c>
      <c r="O311" s="1188">
        <v>40</v>
      </c>
      <c r="P311" s="1568"/>
      <c r="Q311" s="1718">
        <v>25</v>
      </c>
      <c r="R311" s="1568">
        <v>35</v>
      </c>
      <c r="S311" s="1568">
        <v>15</v>
      </c>
      <c r="T311" s="1599" t="s">
        <v>1201</v>
      </c>
      <c r="U311" s="1569">
        <v>180</v>
      </c>
      <c r="V311" s="1570">
        <v>135</v>
      </c>
      <c r="W311" s="1574"/>
      <c r="X311" s="1778">
        <v>90</v>
      </c>
      <c r="Y311" s="1574">
        <v>120</v>
      </c>
      <c r="Z311" s="1188">
        <v>45</v>
      </c>
      <c r="AA311" s="1599" t="s">
        <v>1201</v>
      </c>
      <c r="AB311" s="525"/>
      <c r="AC311" s="525"/>
      <c r="AD311" s="525"/>
      <c r="AE311" s="525"/>
      <c r="AF311" s="1279"/>
    </row>
    <row r="312" spans="3:32" ht="21.75" customHeight="1">
      <c r="C312" s="1575" t="s">
        <v>336</v>
      </c>
      <c r="D312" s="1576"/>
      <c r="E312" s="1567"/>
      <c r="F312" s="1568"/>
      <c r="G312" s="1568"/>
      <c r="H312" s="1716" t="s">
        <v>319</v>
      </c>
      <c r="I312" s="1718">
        <v>70</v>
      </c>
      <c r="J312" s="1188" t="s">
        <v>159</v>
      </c>
      <c r="K312" s="1568">
        <v>100</v>
      </c>
      <c r="L312" s="1188"/>
      <c r="M312" s="1592"/>
      <c r="N312" s="1567">
        <v>50</v>
      </c>
      <c r="O312" s="1188">
        <v>40</v>
      </c>
      <c r="P312" s="1568"/>
      <c r="Q312" s="1718">
        <v>25</v>
      </c>
      <c r="R312" s="1568">
        <v>35</v>
      </c>
      <c r="S312" s="1568">
        <v>15</v>
      </c>
      <c r="T312" s="1599" t="s">
        <v>1201</v>
      </c>
      <c r="U312" s="1569">
        <v>180</v>
      </c>
      <c r="V312" s="1570">
        <v>135</v>
      </c>
      <c r="W312" s="1574"/>
      <c r="X312" s="1778">
        <v>90</v>
      </c>
      <c r="Y312" s="1574">
        <v>120</v>
      </c>
      <c r="Z312" s="1188">
        <v>45</v>
      </c>
      <c r="AA312" s="1599" t="s">
        <v>1201</v>
      </c>
      <c r="AB312" s="525"/>
      <c r="AC312" s="525"/>
      <c r="AD312" s="525"/>
      <c r="AE312" s="525"/>
      <c r="AF312" s="1279"/>
    </row>
    <row r="313" spans="3:32" ht="21.75" customHeight="1">
      <c r="C313" s="1575" t="s">
        <v>337</v>
      </c>
      <c r="D313" s="1576"/>
      <c r="E313" s="1567"/>
      <c r="F313" s="1568"/>
      <c r="G313" s="1568"/>
      <c r="H313" s="1716" t="s">
        <v>314</v>
      </c>
      <c r="I313" s="1718">
        <v>70</v>
      </c>
      <c r="J313" s="1188" t="s">
        <v>1066</v>
      </c>
      <c r="K313" s="1568">
        <v>110</v>
      </c>
      <c r="L313" s="1188"/>
      <c r="M313" s="1592"/>
      <c r="N313" s="1567">
        <v>50</v>
      </c>
      <c r="O313" s="1188">
        <v>40</v>
      </c>
      <c r="P313" s="1568"/>
      <c r="Q313" s="1718">
        <v>25</v>
      </c>
      <c r="R313" s="1568">
        <v>30</v>
      </c>
      <c r="S313" s="1568">
        <v>15</v>
      </c>
      <c r="T313" s="1599" t="s">
        <v>1201</v>
      </c>
      <c r="U313" s="1569">
        <v>150</v>
      </c>
      <c r="V313" s="1570">
        <v>115</v>
      </c>
      <c r="W313" s="1574"/>
      <c r="X313" s="1778">
        <v>75</v>
      </c>
      <c r="Y313" s="1574">
        <v>100</v>
      </c>
      <c r="Z313" s="1188">
        <v>40</v>
      </c>
      <c r="AA313" s="1599" t="s">
        <v>1201</v>
      </c>
      <c r="AB313" s="525"/>
      <c r="AC313" s="525"/>
      <c r="AD313" s="525"/>
      <c r="AE313" s="525"/>
      <c r="AF313" s="1279"/>
    </row>
    <row r="314" spans="3:32" ht="21.75" customHeight="1" thickBot="1">
      <c r="C314" s="1578" t="s">
        <v>338</v>
      </c>
      <c r="D314" s="1579"/>
      <c r="E314" s="1567"/>
      <c r="F314" s="1568"/>
      <c r="G314" s="1568"/>
      <c r="H314" s="1716" t="s">
        <v>463</v>
      </c>
      <c r="I314" s="1718">
        <v>70</v>
      </c>
      <c r="J314" s="1188" t="s">
        <v>464</v>
      </c>
      <c r="K314" s="1568">
        <v>110</v>
      </c>
      <c r="L314" s="1188"/>
      <c r="M314" s="1592"/>
      <c r="N314" s="1567">
        <v>50</v>
      </c>
      <c r="O314" s="1188">
        <v>40</v>
      </c>
      <c r="P314" s="1568"/>
      <c r="Q314" s="1718">
        <v>25</v>
      </c>
      <c r="R314" s="1568">
        <v>30</v>
      </c>
      <c r="S314" s="1568">
        <v>15</v>
      </c>
      <c r="T314" s="1599" t="s">
        <v>1201</v>
      </c>
      <c r="U314" s="1567">
        <v>200</v>
      </c>
      <c r="V314" s="1188">
        <v>150</v>
      </c>
      <c r="W314" s="1574"/>
      <c r="X314" s="1778">
        <v>100</v>
      </c>
      <c r="Y314" s="1574">
        <v>100</v>
      </c>
      <c r="Z314" s="1188">
        <v>50</v>
      </c>
      <c r="AA314" s="1599" t="s">
        <v>1201</v>
      </c>
      <c r="AB314" s="525"/>
      <c r="AC314" s="525"/>
      <c r="AD314" s="525"/>
      <c r="AE314" s="525"/>
      <c r="AF314" s="1279"/>
    </row>
    <row r="315" spans="3:32" ht="21.75" customHeight="1" thickBot="1">
      <c r="C315" s="526"/>
      <c r="D315" s="525"/>
      <c r="E315" s="1601" t="s">
        <v>125</v>
      </c>
      <c r="F315" s="1602"/>
      <c r="G315" s="1602"/>
      <c r="H315" s="1602"/>
      <c r="I315" s="1602"/>
      <c r="J315" s="1602"/>
      <c r="K315" s="1602"/>
      <c r="L315" s="1602"/>
      <c r="M315" s="1603"/>
      <c r="N315" s="1601" t="s">
        <v>295</v>
      </c>
      <c r="O315" s="1602"/>
      <c r="P315" s="1602"/>
      <c r="Q315" s="1602"/>
      <c r="R315" s="1602"/>
      <c r="S315" s="1602"/>
      <c r="T315" s="1603"/>
      <c r="U315" s="1601" t="s">
        <v>296</v>
      </c>
      <c r="V315" s="1602"/>
      <c r="W315" s="1602"/>
      <c r="X315" s="525"/>
      <c r="Y315" s="525"/>
      <c r="Z315" s="525"/>
      <c r="AA315" s="1604"/>
      <c r="AB315" s="525"/>
      <c r="AC315" s="525"/>
      <c r="AD315" s="525"/>
      <c r="AE315" s="525"/>
      <c r="AF315" s="1279"/>
    </row>
    <row r="316" spans="3:32" ht="21.75" customHeight="1">
      <c r="C316" s="1770" t="s">
        <v>339</v>
      </c>
      <c r="D316" s="1771"/>
      <c r="E316" s="2589" t="s">
        <v>1784</v>
      </c>
      <c r="F316" s="2590"/>
      <c r="G316" s="2223"/>
      <c r="H316" s="2590" t="s">
        <v>1095</v>
      </c>
      <c r="I316" s="2590"/>
      <c r="J316" s="2590" t="s">
        <v>1839</v>
      </c>
      <c r="K316" s="2590"/>
      <c r="L316" s="1716"/>
      <c r="M316" s="1752"/>
      <c r="N316" s="1744" t="s">
        <v>1938</v>
      </c>
      <c r="O316" s="1719" t="s">
        <v>1939</v>
      </c>
      <c r="P316" s="1716" t="s">
        <v>1784</v>
      </c>
      <c r="Q316" s="1716" t="s">
        <v>1095</v>
      </c>
      <c r="R316" s="1716" t="s">
        <v>1839</v>
      </c>
      <c r="S316" s="1739" t="s">
        <v>1941</v>
      </c>
      <c r="T316" s="1740" t="s">
        <v>1942</v>
      </c>
      <c r="U316" s="1745" t="s">
        <v>1938</v>
      </c>
      <c r="V316" s="1718" t="s">
        <v>1939</v>
      </c>
      <c r="W316" s="1766" t="s">
        <v>1784</v>
      </c>
      <c r="X316" s="1766" t="s">
        <v>1095</v>
      </c>
      <c r="Y316" s="1766" t="s">
        <v>1839</v>
      </c>
      <c r="Z316" s="1739" t="s">
        <v>1941</v>
      </c>
      <c r="AA316" s="1740" t="s">
        <v>1942</v>
      </c>
      <c r="AB316" s="525"/>
      <c r="AC316" s="525"/>
      <c r="AD316" s="525"/>
      <c r="AE316" s="525"/>
      <c r="AF316" s="1279"/>
    </row>
    <row r="317" spans="3:32" ht="29.25" customHeight="1">
      <c r="C317" s="1575" t="s">
        <v>340</v>
      </c>
      <c r="D317" s="1576"/>
      <c r="E317" s="1567" t="s">
        <v>1201</v>
      </c>
      <c r="F317" s="1568">
        <v>30</v>
      </c>
      <c r="G317" s="1568"/>
      <c r="H317" s="1716" t="s">
        <v>1201</v>
      </c>
      <c r="I317" s="1718">
        <v>30</v>
      </c>
      <c r="J317" s="1188" t="s">
        <v>1201</v>
      </c>
      <c r="K317" s="1568">
        <v>30</v>
      </c>
      <c r="L317" s="1188"/>
      <c r="M317" s="1592"/>
      <c r="N317" s="1567">
        <v>300</v>
      </c>
      <c r="O317" s="1188">
        <v>150</v>
      </c>
      <c r="P317" s="1568">
        <v>75</v>
      </c>
      <c r="Q317" s="1718">
        <v>75</v>
      </c>
      <c r="R317" s="1568">
        <v>75</v>
      </c>
      <c r="S317" s="1568" t="s">
        <v>1201</v>
      </c>
      <c r="T317" s="1599" t="s">
        <v>1201</v>
      </c>
      <c r="U317" s="1567">
        <v>540</v>
      </c>
      <c r="V317" s="1188">
        <v>460</v>
      </c>
      <c r="W317" s="1568">
        <v>380</v>
      </c>
      <c r="X317" s="1718">
        <v>380</v>
      </c>
      <c r="Y317" s="1568">
        <v>380</v>
      </c>
      <c r="Z317" s="1188" t="s">
        <v>1201</v>
      </c>
      <c r="AA317" s="1599" t="s">
        <v>1201</v>
      </c>
      <c r="AB317" s="525"/>
      <c r="AC317" s="525"/>
      <c r="AD317" s="525"/>
      <c r="AE317" s="525"/>
      <c r="AF317" s="1279"/>
    </row>
    <row r="318" spans="3:32" ht="21.75" customHeight="1">
      <c r="C318" s="1575" t="s">
        <v>341</v>
      </c>
      <c r="D318" s="1576"/>
      <c r="E318" s="1606" t="s">
        <v>1201</v>
      </c>
      <c r="F318" s="1568">
        <v>0</v>
      </c>
      <c r="G318" s="1568"/>
      <c r="H318" s="1772" t="s">
        <v>1201</v>
      </c>
      <c r="I318" s="1718">
        <v>0</v>
      </c>
      <c r="J318" s="1607" t="s">
        <v>1201</v>
      </c>
      <c r="K318" s="1568">
        <v>0</v>
      </c>
      <c r="L318" s="1188"/>
      <c r="M318" s="1592"/>
      <c r="N318" s="1567">
        <v>0</v>
      </c>
      <c r="O318" s="1188">
        <v>0</v>
      </c>
      <c r="P318" s="1568">
        <v>0</v>
      </c>
      <c r="Q318" s="1718">
        <v>0</v>
      </c>
      <c r="R318" s="1568">
        <v>0</v>
      </c>
      <c r="S318" s="1568" t="s">
        <v>1201</v>
      </c>
      <c r="T318" s="1599" t="s">
        <v>1201</v>
      </c>
      <c r="U318" s="1567">
        <v>0</v>
      </c>
      <c r="V318" s="1188">
        <v>0</v>
      </c>
      <c r="W318" s="1568">
        <v>0</v>
      </c>
      <c r="X318" s="1718">
        <v>0</v>
      </c>
      <c r="Y318" s="1568">
        <v>0</v>
      </c>
      <c r="Z318" s="1568" t="s">
        <v>1201</v>
      </c>
      <c r="AA318" s="1599" t="s">
        <v>1201</v>
      </c>
      <c r="AB318" s="525"/>
      <c r="AC318" s="525"/>
      <c r="AD318" s="525"/>
      <c r="AE318" s="525"/>
      <c r="AF318" s="1279"/>
    </row>
    <row r="319" spans="3:32" ht="21.75" customHeight="1">
      <c r="C319" s="1575" t="s">
        <v>342</v>
      </c>
      <c r="D319" s="1576"/>
      <c r="E319" s="1606" t="s">
        <v>190</v>
      </c>
      <c r="F319" s="1568">
        <v>65</v>
      </c>
      <c r="G319" s="1568"/>
      <c r="H319" s="1772" t="s">
        <v>343</v>
      </c>
      <c r="I319" s="1718">
        <v>80</v>
      </c>
      <c r="J319" s="1607" t="s">
        <v>1991</v>
      </c>
      <c r="K319" s="1568">
        <v>100</v>
      </c>
      <c r="L319" s="1188"/>
      <c r="M319" s="1592"/>
      <c r="N319" s="1567">
        <v>55</v>
      </c>
      <c r="O319" s="1188">
        <v>45</v>
      </c>
      <c r="P319" s="1568">
        <v>20</v>
      </c>
      <c r="Q319" s="1718">
        <v>20</v>
      </c>
      <c r="R319" s="1568">
        <v>20</v>
      </c>
      <c r="S319" s="1568" t="s">
        <v>1201</v>
      </c>
      <c r="T319" s="1599" t="s">
        <v>1201</v>
      </c>
      <c r="U319" s="1567">
        <v>120</v>
      </c>
      <c r="V319" s="1188">
        <v>100</v>
      </c>
      <c r="W319" s="1568">
        <v>80</v>
      </c>
      <c r="X319" s="1718">
        <v>80</v>
      </c>
      <c r="Y319" s="1568">
        <v>80</v>
      </c>
      <c r="Z319" s="1568">
        <v>40</v>
      </c>
      <c r="AA319" s="1599" t="s">
        <v>1201</v>
      </c>
      <c r="AB319" s="525"/>
      <c r="AC319" s="525"/>
      <c r="AD319" s="525"/>
      <c r="AE319" s="525"/>
      <c r="AF319" s="1279"/>
    </row>
    <row r="320" spans="3:32" ht="21.75" customHeight="1">
      <c r="C320" s="1575" t="s">
        <v>344</v>
      </c>
      <c r="D320" s="1576"/>
      <c r="E320" s="1606" t="s">
        <v>190</v>
      </c>
      <c r="F320" s="1568">
        <v>65</v>
      </c>
      <c r="G320" s="1568"/>
      <c r="H320" s="1772" t="s">
        <v>343</v>
      </c>
      <c r="I320" s="1718">
        <v>80</v>
      </c>
      <c r="J320" s="1607" t="s">
        <v>1991</v>
      </c>
      <c r="K320" s="1568">
        <v>100</v>
      </c>
      <c r="L320" s="1188"/>
      <c r="M320" s="1592"/>
      <c r="N320" s="1567">
        <v>55</v>
      </c>
      <c r="O320" s="1188">
        <v>45</v>
      </c>
      <c r="P320" s="1568">
        <v>20</v>
      </c>
      <c r="Q320" s="1718">
        <v>20</v>
      </c>
      <c r="R320" s="1568">
        <v>20</v>
      </c>
      <c r="S320" s="1568" t="s">
        <v>1201</v>
      </c>
      <c r="T320" s="1599" t="s">
        <v>1201</v>
      </c>
      <c r="U320" s="1567">
        <v>120</v>
      </c>
      <c r="V320" s="1188">
        <v>100</v>
      </c>
      <c r="W320" s="1568">
        <v>80</v>
      </c>
      <c r="X320" s="1718">
        <v>80</v>
      </c>
      <c r="Y320" s="1568">
        <v>80</v>
      </c>
      <c r="Z320" s="1568">
        <v>40</v>
      </c>
      <c r="AA320" s="1599" t="s">
        <v>1201</v>
      </c>
      <c r="AB320" s="525"/>
      <c r="AC320" s="525"/>
      <c r="AD320" s="525"/>
      <c r="AE320" s="525"/>
      <c r="AF320" s="1279"/>
    </row>
    <row r="321" spans="3:32" ht="21.75" customHeight="1">
      <c r="C321" s="1575" t="s">
        <v>345</v>
      </c>
      <c r="D321" s="1576"/>
      <c r="E321" s="1606" t="s">
        <v>190</v>
      </c>
      <c r="F321" s="1568">
        <v>65</v>
      </c>
      <c r="G321" s="1568"/>
      <c r="H321" s="1772" t="s">
        <v>343</v>
      </c>
      <c r="I321" s="1718">
        <v>80</v>
      </c>
      <c r="J321" s="1607" t="s">
        <v>1991</v>
      </c>
      <c r="K321" s="1568">
        <v>100</v>
      </c>
      <c r="L321" s="1188"/>
      <c r="M321" s="1592"/>
      <c r="N321" s="1567">
        <v>105</v>
      </c>
      <c r="O321" s="1188">
        <v>90</v>
      </c>
      <c r="P321" s="1568">
        <v>40</v>
      </c>
      <c r="Q321" s="1718">
        <v>40</v>
      </c>
      <c r="R321" s="1568">
        <v>40</v>
      </c>
      <c r="S321" s="1568" t="s">
        <v>1201</v>
      </c>
      <c r="T321" s="1599" t="s">
        <v>1201</v>
      </c>
      <c r="U321" s="1567">
        <v>240</v>
      </c>
      <c r="V321" s="1188">
        <v>200</v>
      </c>
      <c r="W321" s="1568">
        <v>160</v>
      </c>
      <c r="X321" s="1718">
        <v>160</v>
      </c>
      <c r="Y321" s="1568">
        <v>160</v>
      </c>
      <c r="Z321" s="1568">
        <v>80</v>
      </c>
      <c r="AA321" s="1599" t="s">
        <v>1201</v>
      </c>
      <c r="AB321" s="525"/>
      <c r="AC321" s="525"/>
      <c r="AD321" s="525"/>
      <c r="AE321" s="525"/>
      <c r="AF321" s="1279"/>
    </row>
    <row r="322" spans="3:32" ht="21.75" customHeight="1">
      <c r="C322" s="1575" t="s">
        <v>346</v>
      </c>
      <c r="D322" s="1576"/>
      <c r="E322" s="1606" t="s">
        <v>190</v>
      </c>
      <c r="F322" s="1568">
        <v>55</v>
      </c>
      <c r="G322" s="1568"/>
      <c r="H322" s="1772" t="s">
        <v>343</v>
      </c>
      <c r="I322" s="1718">
        <v>70</v>
      </c>
      <c r="J322" s="1607" t="s">
        <v>1991</v>
      </c>
      <c r="K322" s="1568">
        <v>90</v>
      </c>
      <c r="L322" s="1188"/>
      <c r="M322" s="1592"/>
      <c r="N322" s="1567">
        <v>55</v>
      </c>
      <c r="O322" s="1188">
        <v>45</v>
      </c>
      <c r="P322" s="1568">
        <v>20</v>
      </c>
      <c r="Q322" s="1718">
        <v>20</v>
      </c>
      <c r="R322" s="1568">
        <v>20</v>
      </c>
      <c r="S322" s="1568" t="s">
        <v>1201</v>
      </c>
      <c r="T322" s="1599" t="s">
        <v>1201</v>
      </c>
      <c r="U322" s="1567">
        <v>120</v>
      </c>
      <c r="V322" s="1188">
        <v>100</v>
      </c>
      <c r="W322" s="1568">
        <v>80</v>
      </c>
      <c r="X322" s="1718">
        <v>80</v>
      </c>
      <c r="Y322" s="1568">
        <v>80</v>
      </c>
      <c r="Z322" s="1568">
        <v>40</v>
      </c>
      <c r="AA322" s="1599" t="s">
        <v>1201</v>
      </c>
      <c r="AB322" s="525"/>
      <c r="AC322" s="525"/>
      <c r="AD322" s="525"/>
      <c r="AE322" s="525"/>
      <c r="AF322" s="1279"/>
    </row>
    <row r="323" spans="3:32" ht="21.75" customHeight="1">
      <c r="C323" s="1575" t="s">
        <v>347</v>
      </c>
      <c r="D323" s="1576"/>
      <c r="E323" s="1606" t="s">
        <v>190</v>
      </c>
      <c r="F323" s="1568">
        <v>55</v>
      </c>
      <c r="G323" s="1568"/>
      <c r="H323" s="1772" t="s">
        <v>343</v>
      </c>
      <c r="I323" s="1718">
        <v>70</v>
      </c>
      <c r="J323" s="1607" t="s">
        <v>1991</v>
      </c>
      <c r="K323" s="1568">
        <v>90</v>
      </c>
      <c r="L323" s="1188"/>
      <c r="M323" s="1592"/>
      <c r="N323" s="1567">
        <v>55</v>
      </c>
      <c r="O323" s="1188">
        <v>45</v>
      </c>
      <c r="P323" s="1568">
        <v>20</v>
      </c>
      <c r="Q323" s="1718">
        <v>20</v>
      </c>
      <c r="R323" s="1568">
        <v>20</v>
      </c>
      <c r="S323" s="1568" t="s">
        <v>1201</v>
      </c>
      <c r="T323" s="1599" t="s">
        <v>1201</v>
      </c>
      <c r="U323" s="1567">
        <v>120</v>
      </c>
      <c r="V323" s="1188">
        <v>100</v>
      </c>
      <c r="W323" s="1568">
        <v>80</v>
      </c>
      <c r="X323" s="1718">
        <v>80</v>
      </c>
      <c r="Y323" s="1568">
        <v>80</v>
      </c>
      <c r="Z323" s="1568">
        <v>40</v>
      </c>
      <c r="AA323" s="1599" t="s">
        <v>1201</v>
      </c>
      <c r="AB323" s="525"/>
      <c r="AC323" s="525"/>
      <c r="AD323" s="525"/>
      <c r="AE323" s="525"/>
      <c r="AF323" s="1279"/>
    </row>
    <row r="324" spans="3:32" ht="21.75" customHeight="1">
      <c r="C324" s="1575" t="s">
        <v>348</v>
      </c>
      <c r="D324" s="1576"/>
      <c r="E324" s="1606" t="s">
        <v>190</v>
      </c>
      <c r="F324" s="1568">
        <v>55</v>
      </c>
      <c r="G324" s="1568"/>
      <c r="H324" s="1772" t="s">
        <v>343</v>
      </c>
      <c r="I324" s="1718">
        <v>70</v>
      </c>
      <c r="J324" s="1607" t="s">
        <v>1991</v>
      </c>
      <c r="K324" s="1568">
        <v>90</v>
      </c>
      <c r="L324" s="1188"/>
      <c r="M324" s="1592"/>
      <c r="N324" s="1567">
        <v>105</v>
      </c>
      <c r="O324" s="1188">
        <v>90</v>
      </c>
      <c r="P324" s="1568">
        <v>40</v>
      </c>
      <c r="Q324" s="1718">
        <v>40</v>
      </c>
      <c r="R324" s="1568">
        <v>40</v>
      </c>
      <c r="S324" s="1568" t="s">
        <v>1201</v>
      </c>
      <c r="T324" s="1599" t="s">
        <v>1201</v>
      </c>
      <c r="U324" s="1567">
        <v>240</v>
      </c>
      <c r="V324" s="1188">
        <v>200</v>
      </c>
      <c r="W324" s="1568">
        <v>160</v>
      </c>
      <c r="X324" s="1718">
        <v>160</v>
      </c>
      <c r="Y324" s="1568">
        <v>160</v>
      </c>
      <c r="Z324" s="1568">
        <v>80</v>
      </c>
      <c r="AA324" s="1599" t="s">
        <v>1201</v>
      </c>
      <c r="AB324" s="525"/>
      <c r="AC324" s="525"/>
      <c r="AD324" s="525"/>
      <c r="AE324" s="525"/>
      <c r="AF324" s="1279"/>
    </row>
    <row r="325" spans="3:32" ht="21.75" customHeight="1">
      <c r="C325" s="1575" t="s">
        <v>349</v>
      </c>
      <c r="D325" s="1576"/>
      <c r="E325" s="1606" t="s">
        <v>190</v>
      </c>
      <c r="F325" s="1568">
        <v>40</v>
      </c>
      <c r="G325" s="1568"/>
      <c r="H325" s="1772" t="s">
        <v>343</v>
      </c>
      <c r="I325" s="1718">
        <v>50</v>
      </c>
      <c r="J325" s="1607" t="s">
        <v>1991</v>
      </c>
      <c r="K325" s="1568">
        <v>80</v>
      </c>
      <c r="L325" s="1188"/>
      <c r="M325" s="1592"/>
      <c r="N325" s="1567">
        <v>55</v>
      </c>
      <c r="O325" s="1188">
        <v>45</v>
      </c>
      <c r="P325" s="1568">
        <v>20</v>
      </c>
      <c r="Q325" s="1718">
        <v>20</v>
      </c>
      <c r="R325" s="1568">
        <v>20</v>
      </c>
      <c r="S325" s="1568" t="s">
        <v>1201</v>
      </c>
      <c r="T325" s="1599" t="s">
        <v>1201</v>
      </c>
      <c r="U325" s="1567">
        <v>120</v>
      </c>
      <c r="V325" s="1188">
        <v>100</v>
      </c>
      <c r="W325" s="1568">
        <v>80</v>
      </c>
      <c r="X325" s="1718">
        <v>80</v>
      </c>
      <c r="Y325" s="1568">
        <v>80</v>
      </c>
      <c r="Z325" s="1568">
        <v>40</v>
      </c>
      <c r="AA325" s="1599" t="s">
        <v>1201</v>
      </c>
      <c r="AB325" s="525"/>
      <c r="AC325" s="525"/>
      <c r="AD325" s="525"/>
      <c r="AE325" s="525"/>
      <c r="AF325" s="1279"/>
    </row>
    <row r="326" spans="3:32" ht="21.75" customHeight="1">
      <c r="C326" s="1575" t="s">
        <v>350</v>
      </c>
      <c r="D326" s="1576"/>
      <c r="E326" s="1606" t="s">
        <v>190</v>
      </c>
      <c r="F326" s="1568">
        <v>40</v>
      </c>
      <c r="G326" s="1568"/>
      <c r="H326" s="1772" t="s">
        <v>343</v>
      </c>
      <c r="I326" s="1718">
        <v>50</v>
      </c>
      <c r="J326" s="1607" t="s">
        <v>1991</v>
      </c>
      <c r="K326" s="1568">
        <v>80</v>
      </c>
      <c r="L326" s="1188"/>
      <c r="M326" s="1592"/>
      <c r="N326" s="1567">
        <v>55</v>
      </c>
      <c r="O326" s="1188">
        <v>45</v>
      </c>
      <c r="P326" s="1568">
        <v>20</v>
      </c>
      <c r="Q326" s="1718">
        <v>20</v>
      </c>
      <c r="R326" s="1568">
        <v>20</v>
      </c>
      <c r="S326" s="1568" t="s">
        <v>1201</v>
      </c>
      <c r="T326" s="1599" t="s">
        <v>1201</v>
      </c>
      <c r="U326" s="1567">
        <v>120</v>
      </c>
      <c r="V326" s="1188">
        <v>100</v>
      </c>
      <c r="W326" s="1568">
        <v>80</v>
      </c>
      <c r="X326" s="1718">
        <v>80</v>
      </c>
      <c r="Y326" s="1568">
        <v>80</v>
      </c>
      <c r="Z326" s="1568">
        <v>40</v>
      </c>
      <c r="AA326" s="1599" t="s">
        <v>1201</v>
      </c>
      <c r="AB326" s="525"/>
      <c r="AC326" s="525"/>
      <c r="AD326" s="525"/>
      <c r="AE326" s="525"/>
      <c r="AF326" s="1279"/>
    </row>
    <row r="327" spans="3:32" ht="21.75" customHeight="1">
      <c r="C327" s="1575" t="s">
        <v>351</v>
      </c>
      <c r="D327" s="1576"/>
      <c r="E327" s="1606" t="s">
        <v>190</v>
      </c>
      <c r="F327" s="1568">
        <v>40</v>
      </c>
      <c r="G327" s="1568"/>
      <c r="H327" s="1772" t="s">
        <v>343</v>
      </c>
      <c r="I327" s="1718">
        <v>50</v>
      </c>
      <c r="J327" s="1607" t="s">
        <v>1991</v>
      </c>
      <c r="K327" s="1568">
        <v>80</v>
      </c>
      <c r="L327" s="1188"/>
      <c r="M327" s="1592"/>
      <c r="N327" s="1567">
        <v>105</v>
      </c>
      <c r="O327" s="1188">
        <v>90</v>
      </c>
      <c r="P327" s="1568">
        <v>40</v>
      </c>
      <c r="Q327" s="1718">
        <v>40</v>
      </c>
      <c r="R327" s="1568">
        <v>40</v>
      </c>
      <c r="S327" s="1568" t="s">
        <v>1201</v>
      </c>
      <c r="T327" s="1599" t="s">
        <v>1201</v>
      </c>
      <c r="U327" s="1567">
        <v>240</v>
      </c>
      <c r="V327" s="1188">
        <v>200</v>
      </c>
      <c r="W327" s="1568">
        <v>160</v>
      </c>
      <c r="X327" s="1718">
        <v>160</v>
      </c>
      <c r="Y327" s="1568">
        <v>160</v>
      </c>
      <c r="Z327" s="1568">
        <v>80</v>
      </c>
      <c r="AA327" s="1599" t="s">
        <v>1201</v>
      </c>
      <c r="AB327" s="525"/>
      <c r="AC327" s="525"/>
      <c r="AD327" s="525"/>
      <c r="AE327" s="525"/>
      <c r="AF327" s="1279"/>
    </row>
    <row r="328" spans="3:32" ht="21.75" customHeight="1" thickBot="1">
      <c r="C328" s="1578" t="s">
        <v>352</v>
      </c>
      <c r="D328" s="1579"/>
      <c r="E328" s="1567" t="s">
        <v>1201</v>
      </c>
      <c r="F328" s="1568">
        <v>0</v>
      </c>
      <c r="G328" s="1568"/>
      <c r="H328" s="1716" t="s">
        <v>1201</v>
      </c>
      <c r="I328" s="1718">
        <v>0</v>
      </c>
      <c r="J328" s="1188" t="s">
        <v>1201</v>
      </c>
      <c r="K328" s="1568">
        <v>0</v>
      </c>
      <c r="L328" s="1188"/>
      <c r="M328" s="1592"/>
      <c r="N328" s="1567">
        <v>0</v>
      </c>
      <c r="O328" s="1188">
        <v>0</v>
      </c>
      <c r="P328" s="1568">
        <v>0</v>
      </c>
      <c r="Q328" s="1718">
        <v>0</v>
      </c>
      <c r="R328" s="1568">
        <v>0</v>
      </c>
      <c r="S328" s="1188" t="s">
        <v>1201</v>
      </c>
      <c r="T328" s="1592" t="s">
        <v>1201</v>
      </c>
      <c r="U328" s="1567">
        <v>0</v>
      </c>
      <c r="V328" s="1188">
        <v>0</v>
      </c>
      <c r="W328" s="1568">
        <v>0</v>
      </c>
      <c r="X328" s="1718">
        <v>0</v>
      </c>
      <c r="Y328" s="1568">
        <v>0</v>
      </c>
      <c r="Z328" s="1188" t="s">
        <v>1201</v>
      </c>
      <c r="AA328" s="1592" t="s">
        <v>1201</v>
      </c>
      <c r="AB328" s="525"/>
      <c r="AC328" s="525"/>
      <c r="AD328" s="525"/>
      <c r="AE328" s="525"/>
      <c r="AF328" s="1279"/>
    </row>
    <row r="329" spans="3:32" ht="21.75" customHeight="1" thickBot="1">
      <c r="C329" s="526"/>
      <c r="D329" s="525"/>
      <c r="E329" s="1601" t="s">
        <v>125</v>
      </c>
      <c r="F329" s="1602"/>
      <c r="G329" s="1602"/>
      <c r="H329" s="1602"/>
      <c r="I329" s="1602"/>
      <c r="J329" s="1602"/>
      <c r="K329" s="1602"/>
      <c r="L329" s="1602" t="s">
        <v>353</v>
      </c>
      <c r="M329" s="1603"/>
      <c r="N329" s="1601" t="s">
        <v>295</v>
      </c>
      <c r="O329" s="1602"/>
      <c r="P329" s="1602"/>
      <c r="Q329" s="1602"/>
      <c r="R329" s="1602"/>
      <c r="S329" s="1602"/>
      <c r="T329" s="1603"/>
      <c r="U329" s="1601" t="s">
        <v>296</v>
      </c>
      <c r="V329" s="1602"/>
      <c r="W329" s="1602"/>
      <c r="X329" s="525"/>
      <c r="Y329" s="525"/>
      <c r="Z329" s="525"/>
      <c r="AA329" s="1604"/>
      <c r="AB329" s="525"/>
      <c r="AC329" s="525"/>
      <c r="AD329" s="525"/>
      <c r="AE329" s="525"/>
      <c r="AF329" s="1279"/>
    </row>
    <row r="330" spans="3:32" ht="21.75" customHeight="1">
      <c r="C330" s="1770" t="s">
        <v>354</v>
      </c>
      <c r="D330" s="1771"/>
      <c r="E330" s="2589" t="s">
        <v>1784</v>
      </c>
      <c r="F330" s="2590"/>
      <c r="G330" s="2223"/>
      <c r="H330" s="2590" t="s">
        <v>1095</v>
      </c>
      <c r="I330" s="2590"/>
      <c r="J330" s="2590" t="s">
        <v>1839</v>
      </c>
      <c r="K330" s="2590"/>
      <c r="L330" s="1716" t="s">
        <v>1095</v>
      </c>
      <c r="M330" s="1752" t="s">
        <v>1839</v>
      </c>
      <c r="N330" s="1744" t="s">
        <v>1938</v>
      </c>
      <c r="O330" s="1719" t="s">
        <v>1939</v>
      </c>
      <c r="P330" s="1716" t="s">
        <v>1784</v>
      </c>
      <c r="Q330" s="1716" t="s">
        <v>1095</v>
      </c>
      <c r="R330" s="1716" t="s">
        <v>1839</v>
      </c>
      <c r="S330" s="1739" t="s">
        <v>1941</v>
      </c>
      <c r="T330" s="1740" t="s">
        <v>1942</v>
      </c>
      <c r="U330" s="1745" t="s">
        <v>1938</v>
      </c>
      <c r="V330" s="1718" t="s">
        <v>1939</v>
      </c>
      <c r="W330" s="1766" t="s">
        <v>1784</v>
      </c>
      <c r="X330" s="1766" t="s">
        <v>1095</v>
      </c>
      <c r="Y330" s="1766" t="s">
        <v>1839</v>
      </c>
      <c r="Z330" s="1739" t="s">
        <v>1941</v>
      </c>
      <c r="AA330" s="1740" t="s">
        <v>1942</v>
      </c>
      <c r="AB330" s="525"/>
      <c r="AC330" s="525"/>
      <c r="AD330" s="525"/>
      <c r="AE330" s="525"/>
      <c r="AF330" s="1279"/>
    </row>
    <row r="331" spans="3:32" ht="29.25" customHeight="1">
      <c r="C331" s="1575" t="s">
        <v>355</v>
      </c>
      <c r="D331" s="1576"/>
      <c r="E331" s="1567" t="s">
        <v>1201</v>
      </c>
      <c r="F331" s="1568">
        <v>80</v>
      </c>
      <c r="G331" s="1568"/>
      <c r="H331" s="1716" t="s">
        <v>1201</v>
      </c>
      <c r="I331" s="1718">
        <v>80</v>
      </c>
      <c r="J331" s="1188" t="s">
        <v>1201</v>
      </c>
      <c r="K331" s="1568">
        <v>80</v>
      </c>
      <c r="L331" s="1527">
        <v>70</v>
      </c>
      <c r="M331" s="1528">
        <v>70</v>
      </c>
      <c r="N331" s="1567">
        <v>90</v>
      </c>
      <c r="O331" s="1188">
        <v>75</v>
      </c>
      <c r="P331" s="1568">
        <v>60</v>
      </c>
      <c r="Q331" s="1718">
        <v>60</v>
      </c>
      <c r="R331" s="1568">
        <v>60</v>
      </c>
      <c r="S331" s="1188" t="s">
        <v>1954</v>
      </c>
      <c r="T331" s="1592" t="s">
        <v>1955</v>
      </c>
      <c r="U331" s="1608"/>
      <c r="V331" s="1186"/>
      <c r="W331" s="1186"/>
      <c r="X331" s="1757"/>
      <c r="Y331" s="1186"/>
      <c r="Z331" s="1186"/>
      <c r="AA331" s="1566"/>
      <c r="AB331" s="525"/>
      <c r="AC331" s="525"/>
      <c r="AD331" s="525"/>
      <c r="AE331" s="525"/>
      <c r="AF331" s="1279"/>
    </row>
    <row r="332" spans="3:32" ht="21.75" customHeight="1">
      <c r="C332" s="1575" t="s">
        <v>356</v>
      </c>
      <c r="D332" s="1576"/>
      <c r="E332" s="1567" t="s">
        <v>1201</v>
      </c>
      <c r="F332" s="1568">
        <v>140</v>
      </c>
      <c r="G332" s="1568"/>
      <c r="H332" s="1716" t="s">
        <v>1201</v>
      </c>
      <c r="I332" s="1718">
        <v>140</v>
      </c>
      <c r="J332" s="1188" t="s">
        <v>1201</v>
      </c>
      <c r="K332" s="1568">
        <v>140</v>
      </c>
      <c r="L332" s="1527">
        <v>130</v>
      </c>
      <c r="M332" s="1528">
        <v>130</v>
      </c>
      <c r="N332" s="1567">
        <v>90</v>
      </c>
      <c r="O332" s="1188">
        <v>75</v>
      </c>
      <c r="P332" s="1568">
        <v>60</v>
      </c>
      <c r="Q332" s="1718">
        <v>60</v>
      </c>
      <c r="R332" s="1568">
        <v>60</v>
      </c>
      <c r="S332" s="1188" t="s">
        <v>1954</v>
      </c>
      <c r="T332" s="1592" t="s">
        <v>1955</v>
      </c>
      <c r="U332" s="1608"/>
      <c r="V332" s="1186"/>
      <c r="W332" s="1186"/>
      <c r="X332" s="1757"/>
      <c r="Y332" s="1186"/>
      <c r="Z332" s="1186"/>
      <c r="AA332" s="1566"/>
      <c r="AB332" s="525"/>
      <c r="AC332" s="525"/>
      <c r="AD332" s="525"/>
      <c r="AE332" s="525"/>
      <c r="AF332" s="1279"/>
    </row>
    <row r="333" spans="3:32" ht="21.75" customHeight="1">
      <c r="C333" s="1575" t="s">
        <v>357</v>
      </c>
      <c r="D333" s="1576"/>
      <c r="E333" s="1567" t="s">
        <v>1201</v>
      </c>
      <c r="F333" s="1568">
        <v>70</v>
      </c>
      <c r="G333" s="1568"/>
      <c r="H333" s="1716" t="s">
        <v>1201</v>
      </c>
      <c r="I333" s="1718">
        <v>70</v>
      </c>
      <c r="J333" s="1188" t="s">
        <v>1201</v>
      </c>
      <c r="K333" s="1568">
        <v>70</v>
      </c>
      <c r="L333" s="1527">
        <v>50</v>
      </c>
      <c r="M333" s="1528">
        <v>50</v>
      </c>
      <c r="N333" s="1567">
        <v>90</v>
      </c>
      <c r="O333" s="1188">
        <v>75</v>
      </c>
      <c r="P333" s="1568">
        <v>60</v>
      </c>
      <c r="Q333" s="1718">
        <v>60</v>
      </c>
      <c r="R333" s="1568">
        <v>60</v>
      </c>
      <c r="S333" s="1188" t="s">
        <v>1954</v>
      </c>
      <c r="T333" s="1592" t="s">
        <v>1955</v>
      </c>
      <c r="U333" s="1608"/>
      <c r="V333" s="1186"/>
      <c r="W333" s="1186"/>
      <c r="X333" s="1757"/>
      <c r="Y333" s="1186"/>
      <c r="Z333" s="1186"/>
      <c r="AA333" s="1566"/>
      <c r="AB333" s="525"/>
      <c r="AC333" s="525"/>
      <c r="AD333" s="525"/>
      <c r="AE333" s="525"/>
      <c r="AF333" s="1279"/>
    </row>
    <row r="334" spans="3:32" ht="21.75" customHeight="1">
      <c r="C334" s="1575" t="s">
        <v>358</v>
      </c>
      <c r="D334" s="1576"/>
      <c r="E334" s="1567" t="s">
        <v>1201</v>
      </c>
      <c r="F334" s="1568">
        <v>40</v>
      </c>
      <c r="G334" s="1568"/>
      <c r="H334" s="1716" t="s">
        <v>1201</v>
      </c>
      <c r="I334" s="1718">
        <v>40</v>
      </c>
      <c r="J334" s="1188" t="s">
        <v>1201</v>
      </c>
      <c r="K334" s="1568">
        <v>40</v>
      </c>
      <c r="L334" s="1527">
        <v>0</v>
      </c>
      <c r="M334" s="1528">
        <v>0</v>
      </c>
      <c r="N334" s="1567">
        <v>45</v>
      </c>
      <c r="O334" s="1188">
        <v>40</v>
      </c>
      <c r="P334" s="1568">
        <v>30</v>
      </c>
      <c r="Q334" s="1718">
        <v>30</v>
      </c>
      <c r="R334" s="1568">
        <v>30</v>
      </c>
      <c r="S334" s="1188" t="s">
        <v>34</v>
      </c>
      <c r="T334" s="1592" t="s">
        <v>34</v>
      </c>
      <c r="U334" s="1608"/>
      <c r="V334" s="1186"/>
      <c r="W334" s="1186"/>
      <c r="X334" s="1757"/>
      <c r="Y334" s="1186"/>
      <c r="Z334" s="1186"/>
      <c r="AA334" s="1566"/>
      <c r="AB334" s="525"/>
      <c r="AC334" s="525"/>
      <c r="AD334" s="525"/>
      <c r="AE334" s="525"/>
      <c r="AF334" s="1279"/>
    </row>
    <row r="335" spans="3:32" ht="21.75" customHeight="1">
      <c r="C335" s="1575" t="s">
        <v>359</v>
      </c>
      <c r="D335" s="1576"/>
      <c r="E335" s="1567" t="s">
        <v>1201</v>
      </c>
      <c r="F335" s="1568">
        <v>140</v>
      </c>
      <c r="G335" s="1568"/>
      <c r="H335" s="1716" t="s">
        <v>1201</v>
      </c>
      <c r="I335" s="1718">
        <v>140</v>
      </c>
      <c r="J335" s="1188" t="s">
        <v>1201</v>
      </c>
      <c r="K335" s="1568">
        <v>140</v>
      </c>
      <c r="L335" s="1527">
        <v>70</v>
      </c>
      <c r="M335" s="1528">
        <v>70</v>
      </c>
      <c r="N335" s="1567">
        <v>90</v>
      </c>
      <c r="O335" s="1188">
        <v>75</v>
      </c>
      <c r="P335" s="1568">
        <v>60</v>
      </c>
      <c r="Q335" s="1718">
        <v>60</v>
      </c>
      <c r="R335" s="1568">
        <v>60</v>
      </c>
      <c r="S335" s="1188" t="s">
        <v>1954</v>
      </c>
      <c r="T335" s="1592" t="s">
        <v>1955</v>
      </c>
      <c r="U335" s="1608"/>
      <c r="V335" s="1186"/>
      <c r="W335" s="1186"/>
      <c r="X335" s="1757"/>
      <c r="Y335" s="1186"/>
      <c r="Z335" s="1186"/>
      <c r="AA335" s="1566"/>
      <c r="AB335" s="525"/>
      <c r="AC335" s="525"/>
      <c r="AD335" s="525"/>
      <c r="AE335" s="525"/>
      <c r="AF335" s="1279"/>
    </row>
    <row r="336" spans="3:32" ht="21.75" customHeight="1">
      <c r="C336" s="1575" t="s">
        <v>360</v>
      </c>
      <c r="D336" s="1576"/>
      <c r="E336" s="1567" t="s">
        <v>1201</v>
      </c>
      <c r="F336" s="1568">
        <v>150</v>
      </c>
      <c r="G336" s="1568"/>
      <c r="H336" s="1716" t="s">
        <v>1201</v>
      </c>
      <c r="I336" s="1718">
        <v>150</v>
      </c>
      <c r="J336" s="1188" t="s">
        <v>1201</v>
      </c>
      <c r="K336" s="1568">
        <v>150</v>
      </c>
      <c r="L336" s="1527">
        <v>140</v>
      </c>
      <c r="M336" s="1528">
        <v>140</v>
      </c>
      <c r="N336" s="1567">
        <v>75</v>
      </c>
      <c r="O336" s="1188">
        <v>65</v>
      </c>
      <c r="P336" s="1568">
        <v>50</v>
      </c>
      <c r="Q336" s="1718">
        <v>50</v>
      </c>
      <c r="R336" s="1568">
        <v>50</v>
      </c>
      <c r="S336" s="1188" t="s">
        <v>1954</v>
      </c>
      <c r="T336" s="1592" t="s">
        <v>1955</v>
      </c>
      <c r="U336" s="1608"/>
      <c r="V336" s="1186"/>
      <c r="W336" s="1186"/>
      <c r="X336" s="1757"/>
      <c r="Y336" s="1186"/>
      <c r="Z336" s="1186"/>
      <c r="AA336" s="1566"/>
      <c r="AB336" s="525"/>
      <c r="AC336" s="525"/>
      <c r="AD336" s="525"/>
      <c r="AE336" s="525"/>
      <c r="AF336" s="1279"/>
    </row>
    <row r="337" spans="3:65" ht="21.75" customHeight="1">
      <c r="C337" s="1575" t="s">
        <v>361</v>
      </c>
      <c r="D337" s="1576"/>
      <c r="E337" s="1567" t="s">
        <v>1201</v>
      </c>
      <c r="F337" s="1568">
        <v>100</v>
      </c>
      <c r="G337" s="1568"/>
      <c r="H337" s="1716" t="s">
        <v>1201</v>
      </c>
      <c r="I337" s="1718">
        <v>100</v>
      </c>
      <c r="J337" s="1188" t="s">
        <v>1201</v>
      </c>
      <c r="K337" s="1568">
        <v>100</v>
      </c>
      <c r="L337" s="1527">
        <v>90</v>
      </c>
      <c r="M337" s="1528">
        <v>90</v>
      </c>
      <c r="N337" s="1567">
        <v>90</v>
      </c>
      <c r="O337" s="1188">
        <v>75</v>
      </c>
      <c r="P337" s="1568">
        <v>60</v>
      </c>
      <c r="Q337" s="1718">
        <v>60</v>
      </c>
      <c r="R337" s="1568">
        <v>60</v>
      </c>
      <c r="S337" s="1188" t="s">
        <v>1954</v>
      </c>
      <c r="T337" s="1592" t="s">
        <v>1955</v>
      </c>
      <c r="U337" s="1608"/>
      <c r="V337" s="1186"/>
      <c r="W337" s="1186"/>
      <c r="X337" s="1757"/>
      <c r="Y337" s="1186"/>
      <c r="Z337" s="1186"/>
      <c r="AA337" s="1566"/>
      <c r="AB337" s="525"/>
      <c r="AC337" s="525"/>
      <c r="AD337" s="525"/>
      <c r="AE337" s="525"/>
      <c r="AF337" s="1279"/>
    </row>
    <row r="338" spans="3:65" ht="21.75" customHeight="1">
      <c r="C338" s="1575" t="s">
        <v>362</v>
      </c>
      <c r="D338" s="1576"/>
      <c r="E338" s="1567" t="s">
        <v>1201</v>
      </c>
      <c r="F338" s="1568">
        <v>150</v>
      </c>
      <c r="G338" s="1568"/>
      <c r="H338" s="1716" t="s">
        <v>1201</v>
      </c>
      <c r="I338" s="1718">
        <v>150</v>
      </c>
      <c r="J338" s="1188" t="s">
        <v>1201</v>
      </c>
      <c r="K338" s="1568">
        <v>150</v>
      </c>
      <c r="L338" s="1527">
        <v>120</v>
      </c>
      <c r="M338" s="1528">
        <v>120</v>
      </c>
      <c r="N338" s="1567">
        <v>90</v>
      </c>
      <c r="O338" s="1188">
        <v>75</v>
      </c>
      <c r="P338" s="1568">
        <v>60</v>
      </c>
      <c r="Q338" s="1718">
        <v>60</v>
      </c>
      <c r="R338" s="1568">
        <v>60</v>
      </c>
      <c r="S338" s="1188" t="s">
        <v>1954</v>
      </c>
      <c r="T338" s="1592" t="s">
        <v>1955</v>
      </c>
      <c r="U338" s="1608"/>
      <c r="V338" s="1186"/>
      <c r="W338" s="1186"/>
      <c r="X338" s="1757"/>
      <c r="Y338" s="1186"/>
      <c r="Z338" s="1186"/>
      <c r="AA338" s="1566"/>
      <c r="AB338" s="525"/>
      <c r="AC338" s="525"/>
      <c r="AD338" s="525"/>
      <c r="AE338" s="525"/>
      <c r="AF338" s="1279"/>
    </row>
    <row r="339" spans="3:65" ht="21.75" customHeight="1">
      <c r="C339" s="1575" t="s">
        <v>363</v>
      </c>
      <c r="D339" s="1576"/>
      <c r="E339" s="1567" t="s">
        <v>1201</v>
      </c>
      <c r="F339" s="1568">
        <v>0</v>
      </c>
      <c r="G339" s="1568"/>
      <c r="H339" s="1716" t="s">
        <v>1201</v>
      </c>
      <c r="I339" s="1718">
        <v>0</v>
      </c>
      <c r="J339" s="1188" t="s">
        <v>1201</v>
      </c>
      <c r="K339" s="1568">
        <v>0</v>
      </c>
      <c r="L339" s="1527">
        <v>0</v>
      </c>
      <c r="M339" s="1528">
        <v>0</v>
      </c>
      <c r="N339" s="1567">
        <v>45</v>
      </c>
      <c r="O339" s="1188">
        <v>40</v>
      </c>
      <c r="P339" s="1568">
        <v>30</v>
      </c>
      <c r="Q339" s="1718">
        <v>30</v>
      </c>
      <c r="R339" s="1568">
        <v>30</v>
      </c>
      <c r="S339" s="1188" t="s">
        <v>1954</v>
      </c>
      <c r="T339" s="1592" t="s">
        <v>1955</v>
      </c>
      <c r="U339" s="1608"/>
      <c r="V339" s="1186"/>
      <c r="W339" s="1186"/>
      <c r="X339" s="1757"/>
      <c r="Y339" s="1186"/>
      <c r="Z339" s="1186"/>
      <c r="AA339" s="1566"/>
      <c r="AB339" s="525"/>
      <c r="AC339" s="525"/>
      <c r="AD339" s="525"/>
      <c r="AE339" s="525"/>
      <c r="AF339" s="1279"/>
    </row>
    <row r="340" spans="3:65" ht="21.75" customHeight="1">
      <c r="C340" s="1575" t="s">
        <v>364</v>
      </c>
      <c r="D340" s="1576"/>
      <c r="E340" s="1567" t="s">
        <v>1201</v>
      </c>
      <c r="F340" s="1568">
        <v>80</v>
      </c>
      <c r="G340" s="1568"/>
      <c r="H340" s="1716" t="s">
        <v>1201</v>
      </c>
      <c r="I340" s="1718">
        <v>80</v>
      </c>
      <c r="J340" s="1188" t="s">
        <v>1201</v>
      </c>
      <c r="K340" s="1568">
        <v>80</v>
      </c>
      <c r="L340" s="1527">
        <v>70</v>
      </c>
      <c r="M340" s="1528">
        <v>70</v>
      </c>
      <c r="N340" s="1567">
        <v>75</v>
      </c>
      <c r="O340" s="1188">
        <v>65</v>
      </c>
      <c r="P340" s="1568">
        <v>50</v>
      </c>
      <c r="Q340" s="1718">
        <v>50</v>
      </c>
      <c r="R340" s="1568">
        <v>50</v>
      </c>
      <c r="S340" s="1188" t="s">
        <v>1954</v>
      </c>
      <c r="T340" s="1592" t="s">
        <v>1955</v>
      </c>
      <c r="U340" s="1608"/>
      <c r="V340" s="1186"/>
      <c r="W340" s="1186"/>
      <c r="X340" s="1757"/>
      <c r="Y340" s="1186"/>
      <c r="Z340" s="1186"/>
      <c r="AA340" s="1566"/>
      <c r="AB340" s="525"/>
      <c r="AC340" s="525"/>
      <c r="AD340" s="525"/>
      <c r="AE340" s="525"/>
      <c r="AF340" s="1279"/>
    </row>
    <row r="341" spans="3:65" ht="21.75" customHeight="1">
      <c r="C341" s="1575" t="s">
        <v>365</v>
      </c>
      <c r="D341" s="1576"/>
      <c r="E341" s="1567" t="s">
        <v>1201</v>
      </c>
      <c r="F341" s="1568">
        <v>120</v>
      </c>
      <c r="G341" s="1568"/>
      <c r="H341" s="1716" t="s">
        <v>1201</v>
      </c>
      <c r="I341" s="1718">
        <v>120</v>
      </c>
      <c r="J341" s="1188" t="s">
        <v>1201</v>
      </c>
      <c r="K341" s="1568">
        <v>120</v>
      </c>
      <c r="L341" s="1527">
        <v>110</v>
      </c>
      <c r="M341" s="1528">
        <v>110</v>
      </c>
      <c r="N341" s="1567">
        <v>60</v>
      </c>
      <c r="O341" s="1188">
        <v>50</v>
      </c>
      <c r="P341" s="1568">
        <v>40</v>
      </c>
      <c r="Q341" s="1718">
        <v>40</v>
      </c>
      <c r="R341" s="1568">
        <v>40</v>
      </c>
      <c r="S341" s="1188" t="s">
        <v>1954</v>
      </c>
      <c r="T341" s="1592" t="s">
        <v>1955</v>
      </c>
      <c r="U341" s="1608"/>
      <c r="V341" s="1186"/>
      <c r="W341" s="1186"/>
      <c r="X341" s="1757"/>
      <c r="Y341" s="1186"/>
      <c r="Z341" s="1186"/>
      <c r="AA341" s="1566"/>
      <c r="AB341" s="525"/>
      <c r="AC341" s="525"/>
      <c r="AD341" s="525"/>
      <c r="AE341" s="525"/>
      <c r="AF341" s="1279"/>
    </row>
    <row r="342" spans="3:65" ht="21.75" customHeight="1">
      <c r="C342" s="1575" t="s">
        <v>366</v>
      </c>
      <c r="D342" s="1576"/>
      <c r="E342" s="1567" t="s">
        <v>1201</v>
      </c>
      <c r="F342" s="1568">
        <v>200</v>
      </c>
      <c r="G342" s="1568"/>
      <c r="H342" s="1716" t="s">
        <v>1201</v>
      </c>
      <c r="I342" s="1718">
        <v>200</v>
      </c>
      <c r="J342" s="1188" t="s">
        <v>1201</v>
      </c>
      <c r="K342" s="1568">
        <v>200</v>
      </c>
      <c r="L342" s="1527">
        <v>150</v>
      </c>
      <c r="M342" s="1528">
        <v>150</v>
      </c>
      <c r="N342" s="1567">
        <v>90</v>
      </c>
      <c r="O342" s="1188">
        <v>75</v>
      </c>
      <c r="P342" s="1568">
        <v>60</v>
      </c>
      <c r="Q342" s="1718">
        <v>60</v>
      </c>
      <c r="R342" s="1568">
        <v>60</v>
      </c>
      <c r="S342" s="1188" t="s">
        <v>1954</v>
      </c>
      <c r="T342" s="1592" t="s">
        <v>1955</v>
      </c>
      <c r="U342" s="1608"/>
      <c r="V342" s="1186"/>
      <c r="W342" s="1186"/>
      <c r="X342" s="1757"/>
      <c r="Y342" s="1186"/>
      <c r="Z342" s="1186"/>
      <c r="AA342" s="1566"/>
      <c r="AB342" s="525"/>
      <c r="AC342" s="525"/>
      <c r="AD342" s="525"/>
      <c r="AE342" s="525"/>
      <c r="AF342" s="1279"/>
    </row>
    <row r="343" spans="3:65" ht="21.75" customHeight="1">
      <c r="C343" s="1575" t="s">
        <v>367</v>
      </c>
      <c r="D343" s="1576"/>
      <c r="E343" s="1567" t="s">
        <v>1201</v>
      </c>
      <c r="F343" s="1568">
        <v>140</v>
      </c>
      <c r="G343" s="1568"/>
      <c r="H343" s="1716" t="s">
        <v>1201</v>
      </c>
      <c r="I343" s="1718">
        <v>140</v>
      </c>
      <c r="J343" s="1188" t="s">
        <v>1201</v>
      </c>
      <c r="K343" s="1568">
        <v>140</v>
      </c>
      <c r="L343" s="1527">
        <v>130</v>
      </c>
      <c r="M343" s="1528">
        <v>130</v>
      </c>
      <c r="N343" s="1567">
        <v>90</v>
      </c>
      <c r="O343" s="1188">
        <v>75</v>
      </c>
      <c r="P343" s="1568">
        <v>60</v>
      </c>
      <c r="Q343" s="1718">
        <v>60</v>
      </c>
      <c r="R343" s="1568">
        <v>60</v>
      </c>
      <c r="S343" s="1188" t="s">
        <v>1954</v>
      </c>
      <c r="T343" s="1592" t="s">
        <v>1955</v>
      </c>
      <c r="U343" s="1608"/>
      <c r="V343" s="1186"/>
      <c r="W343" s="1186"/>
      <c r="X343" s="1757"/>
      <c r="Y343" s="1186"/>
      <c r="Z343" s="1186"/>
      <c r="AA343" s="1566"/>
      <c r="AB343" s="525"/>
      <c r="AC343" s="525"/>
      <c r="AD343" s="525"/>
      <c r="AE343" s="525"/>
      <c r="AF343" s="1279"/>
    </row>
    <row r="344" spans="3:65" ht="21.75" customHeight="1">
      <c r="C344" s="1575" t="s">
        <v>368</v>
      </c>
      <c r="D344" s="1576"/>
      <c r="E344" s="1567" t="s">
        <v>1201</v>
      </c>
      <c r="F344" s="1568">
        <v>130</v>
      </c>
      <c r="G344" s="1568"/>
      <c r="H344" s="1716" t="s">
        <v>1201</v>
      </c>
      <c r="I344" s="1718">
        <v>130</v>
      </c>
      <c r="J344" s="1188" t="s">
        <v>1201</v>
      </c>
      <c r="K344" s="1568">
        <v>130</v>
      </c>
      <c r="L344" s="1527">
        <v>100</v>
      </c>
      <c r="M344" s="1528">
        <v>100</v>
      </c>
      <c r="N344" s="1567">
        <v>105</v>
      </c>
      <c r="O344" s="1188">
        <v>90</v>
      </c>
      <c r="P344" s="1568">
        <v>70</v>
      </c>
      <c r="Q344" s="1718">
        <v>70</v>
      </c>
      <c r="R344" s="1568">
        <v>70</v>
      </c>
      <c r="S344" s="1188" t="s">
        <v>1954</v>
      </c>
      <c r="T344" s="1592" t="s">
        <v>1955</v>
      </c>
      <c r="U344" s="1608"/>
      <c r="V344" s="1186"/>
      <c r="W344" s="1186"/>
      <c r="X344" s="1757"/>
      <c r="Y344" s="1186"/>
      <c r="Z344" s="1186"/>
      <c r="AA344" s="1566"/>
      <c r="AB344" s="525"/>
      <c r="AC344" s="525"/>
      <c r="AD344" s="525"/>
      <c r="AE344" s="525"/>
      <c r="AF344" s="1279"/>
    </row>
    <row r="345" spans="3:65" ht="21.75" customHeight="1">
      <c r="C345" s="1575" t="s">
        <v>369</v>
      </c>
      <c r="D345" s="1576"/>
      <c r="E345" s="1567" t="s">
        <v>1201</v>
      </c>
      <c r="F345" s="1568">
        <v>120</v>
      </c>
      <c r="G345" s="1568"/>
      <c r="H345" s="1716" t="s">
        <v>1201</v>
      </c>
      <c r="I345" s="1718">
        <v>120</v>
      </c>
      <c r="J345" s="1188" t="s">
        <v>1201</v>
      </c>
      <c r="K345" s="1568">
        <v>120</v>
      </c>
      <c r="L345" s="1527">
        <v>100</v>
      </c>
      <c r="M345" s="1528">
        <v>100</v>
      </c>
      <c r="N345" s="1567">
        <v>90</v>
      </c>
      <c r="O345" s="1188">
        <v>75</v>
      </c>
      <c r="P345" s="1568">
        <v>60</v>
      </c>
      <c r="Q345" s="1718">
        <v>60</v>
      </c>
      <c r="R345" s="1568">
        <v>60</v>
      </c>
      <c r="S345" s="1188" t="s">
        <v>1954</v>
      </c>
      <c r="T345" s="1592" t="s">
        <v>1955</v>
      </c>
      <c r="U345" s="1608"/>
      <c r="V345" s="1186"/>
      <c r="W345" s="1186"/>
      <c r="X345" s="1757"/>
      <c r="Y345" s="1186"/>
      <c r="Z345" s="1186"/>
      <c r="AA345" s="1566"/>
      <c r="AB345" s="525"/>
      <c r="AC345" s="525"/>
      <c r="AD345" s="525"/>
      <c r="AE345" s="525"/>
      <c r="AF345" s="1279"/>
    </row>
    <row r="346" spans="3:65" ht="21.75" customHeight="1">
      <c r="C346" s="1575" t="s">
        <v>370</v>
      </c>
      <c r="D346" s="1576"/>
      <c r="E346" s="1567" t="s">
        <v>1201</v>
      </c>
      <c r="F346" s="1568">
        <v>0</v>
      </c>
      <c r="G346" s="1568"/>
      <c r="H346" s="1716" t="s">
        <v>1201</v>
      </c>
      <c r="I346" s="1718">
        <v>0</v>
      </c>
      <c r="J346" s="1188" t="s">
        <v>1201</v>
      </c>
      <c r="K346" s="1568">
        <v>0</v>
      </c>
      <c r="L346" s="1527">
        <v>0</v>
      </c>
      <c r="M346" s="1528">
        <v>0</v>
      </c>
      <c r="N346" s="1567">
        <v>0</v>
      </c>
      <c r="O346" s="1188">
        <v>0</v>
      </c>
      <c r="P346" s="1188">
        <v>0</v>
      </c>
      <c r="Q346" s="1716">
        <v>0</v>
      </c>
      <c r="R346" s="1188">
        <v>0</v>
      </c>
      <c r="S346" s="1188"/>
      <c r="T346" s="1592"/>
      <c r="U346" s="1608"/>
      <c r="V346" s="1186"/>
      <c r="W346" s="1186"/>
      <c r="X346" s="1757"/>
      <c r="Y346" s="1186"/>
      <c r="Z346" s="1186"/>
      <c r="AA346" s="1566"/>
      <c r="AB346" s="525"/>
      <c r="AC346" s="525"/>
      <c r="AD346" s="525"/>
      <c r="AE346" s="525"/>
      <c r="AF346" s="1279"/>
    </row>
    <row r="347" spans="3:65" ht="21.75" customHeight="1">
      <c r="C347" s="1575" t="s">
        <v>371</v>
      </c>
      <c r="D347" s="1576"/>
      <c r="E347" s="1567" t="s">
        <v>1201</v>
      </c>
      <c r="F347" s="1568">
        <v>0</v>
      </c>
      <c r="G347" s="1568"/>
      <c r="H347" s="1716" t="s">
        <v>1201</v>
      </c>
      <c r="I347" s="1718">
        <v>0</v>
      </c>
      <c r="J347" s="1188" t="s">
        <v>1201</v>
      </c>
      <c r="K347" s="1568">
        <v>0</v>
      </c>
      <c r="L347" s="1527">
        <v>0</v>
      </c>
      <c r="M347" s="1528">
        <v>0</v>
      </c>
      <c r="N347" s="1567">
        <v>0</v>
      </c>
      <c r="O347" s="1188">
        <v>0</v>
      </c>
      <c r="P347" s="1568">
        <v>0</v>
      </c>
      <c r="Q347" s="1718">
        <v>0</v>
      </c>
      <c r="R347" s="1568">
        <v>0</v>
      </c>
      <c r="S347" s="1188" t="s">
        <v>34</v>
      </c>
      <c r="T347" s="1592" t="s">
        <v>34</v>
      </c>
      <c r="U347" s="1608"/>
      <c r="V347" s="1186"/>
      <c r="W347" s="1186"/>
      <c r="X347" s="1757"/>
      <c r="Y347" s="1186"/>
      <c r="Z347" s="1186"/>
      <c r="AA347" s="1566"/>
      <c r="AB347" s="525"/>
      <c r="AC347" s="525"/>
      <c r="AD347" s="525"/>
      <c r="AE347" s="525"/>
      <c r="AF347" s="1279"/>
      <c r="BH347" s="459"/>
      <c r="BI347" s="460"/>
      <c r="BJ347" s="460"/>
      <c r="BK347" s="460"/>
      <c r="BL347" s="460"/>
      <c r="BM347" s="460"/>
    </row>
    <row r="348" spans="3:65" ht="21.75" customHeight="1">
      <c r="C348" s="1575" t="s">
        <v>372</v>
      </c>
      <c r="D348" s="1576"/>
      <c r="E348" s="1567" t="s">
        <v>1201</v>
      </c>
      <c r="F348" s="1568">
        <v>60</v>
      </c>
      <c r="G348" s="1568"/>
      <c r="H348" s="1716" t="s">
        <v>1201</v>
      </c>
      <c r="I348" s="1718">
        <v>60</v>
      </c>
      <c r="J348" s="1188" t="s">
        <v>1201</v>
      </c>
      <c r="K348" s="1568">
        <v>60</v>
      </c>
      <c r="L348" s="1527">
        <v>60</v>
      </c>
      <c r="M348" s="1528">
        <v>60</v>
      </c>
      <c r="N348" s="1567">
        <v>90</v>
      </c>
      <c r="O348" s="1188">
        <v>75</v>
      </c>
      <c r="P348" s="1568">
        <v>60</v>
      </c>
      <c r="Q348" s="1718">
        <v>60</v>
      </c>
      <c r="R348" s="1568">
        <v>60</v>
      </c>
      <c r="S348" s="1188" t="s">
        <v>1954</v>
      </c>
      <c r="T348" s="1592" t="s">
        <v>1955</v>
      </c>
      <c r="U348" s="1608"/>
      <c r="V348" s="1186"/>
      <c r="W348" s="1186"/>
      <c r="X348" s="1757"/>
      <c r="Y348" s="1186"/>
      <c r="Z348" s="1186"/>
      <c r="AA348" s="1566"/>
      <c r="AB348" s="525"/>
      <c r="AC348" s="525"/>
      <c r="AD348" s="525"/>
      <c r="AE348" s="525"/>
      <c r="AF348" s="1279"/>
      <c r="BH348" s="459"/>
      <c r="BI348" s="460"/>
      <c r="BJ348" s="460"/>
      <c r="BK348" s="460"/>
      <c r="BL348" s="460"/>
      <c r="BM348" s="460"/>
    </row>
    <row r="349" spans="3:65" ht="21.75" customHeight="1">
      <c r="C349" s="1575" t="s">
        <v>373</v>
      </c>
      <c r="D349" s="1576"/>
      <c r="E349" s="1567" t="s">
        <v>1201</v>
      </c>
      <c r="F349" s="1568">
        <v>120</v>
      </c>
      <c r="G349" s="1568"/>
      <c r="H349" s="1716" t="s">
        <v>1201</v>
      </c>
      <c r="I349" s="1718">
        <v>120</v>
      </c>
      <c r="J349" s="1188" t="s">
        <v>1201</v>
      </c>
      <c r="K349" s="1568">
        <v>120</v>
      </c>
      <c r="L349" s="1527">
        <v>120</v>
      </c>
      <c r="M349" s="1528">
        <v>120</v>
      </c>
      <c r="N349" s="1567">
        <v>90</v>
      </c>
      <c r="O349" s="1188">
        <v>75</v>
      </c>
      <c r="P349" s="1568">
        <v>60</v>
      </c>
      <c r="Q349" s="1718">
        <v>60</v>
      </c>
      <c r="R349" s="1568">
        <v>60</v>
      </c>
      <c r="S349" s="1188" t="s">
        <v>1954</v>
      </c>
      <c r="T349" s="1592" t="s">
        <v>1955</v>
      </c>
      <c r="U349" s="1608"/>
      <c r="V349" s="1186"/>
      <c r="W349" s="1186"/>
      <c r="X349" s="1757"/>
      <c r="Y349" s="1186"/>
      <c r="Z349" s="1186"/>
      <c r="AA349" s="1566"/>
      <c r="AB349" s="525"/>
      <c r="AC349" s="525"/>
      <c r="AD349" s="525"/>
      <c r="AE349" s="525"/>
      <c r="AF349" s="1279"/>
      <c r="BH349" s="459"/>
      <c r="BI349" s="460"/>
      <c r="BJ349" s="460"/>
      <c r="BK349" s="460"/>
      <c r="BL349" s="460"/>
      <c r="BM349" s="460"/>
    </row>
    <row r="350" spans="3:65" ht="21.75" customHeight="1">
      <c r="C350" s="1575" t="s">
        <v>374</v>
      </c>
      <c r="D350" s="1576"/>
      <c r="E350" s="1567" t="s">
        <v>1201</v>
      </c>
      <c r="F350" s="1568">
        <v>120</v>
      </c>
      <c r="G350" s="1568"/>
      <c r="H350" s="1716" t="s">
        <v>1201</v>
      </c>
      <c r="I350" s="1718">
        <v>120</v>
      </c>
      <c r="J350" s="1188" t="s">
        <v>1201</v>
      </c>
      <c r="K350" s="1568">
        <v>120</v>
      </c>
      <c r="L350" s="1527">
        <v>80</v>
      </c>
      <c r="M350" s="1528">
        <v>80</v>
      </c>
      <c r="N350" s="1567">
        <v>90</v>
      </c>
      <c r="O350" s="1188">
        <v>75</v>
      </c>
      <c r="P350" s="1568">
        <v>60</v>
      </c>
      <c r="Q350" s="1718">
        <v>60</v>
      </c>
      <c r="R350" s="1568">
        <v>60</v>
      </c>
      <c r="S350" s="1188" t="s">
        <v>1954</v>
      </c>
      <c r="T350" s="1592" t="s">
        <v>1955</v>
      </c>
      <c r="U350" s="1608"/>
      <c r="V350" s="1186"/>
      <c r="W350" s="1186"/>
      <c r="X350" s="1757"/>
      <c r="Y350" s="1186"/>
      <c r="Z350" s="1186"/>
      <c r="AA350" s="1566"/>
      <c r="AB350" s="525"/>
      <c r="AC350" s="525"/>
      <c r="AD350" s="525"/>
      <c r="AE350" s="525"/>
      <c r="AF350" s="1279"/>
      <c r="BH350" s="459"/>
      <c r="BI350" s="460"/>
      <c r="BJ350" s="460"/>
      <c r="BK350" s="460"/>
      <c r="BL350" s="460"/>
      <c r="BM350" s="460"/>
    </row>
    <row r="351" spans="3:65" ht="21.75" customHeight="1">
      <c r="C351" s="1575" t="s">
        <v>375</v>
      </c>
      <c r="D351" s="1576"/>
      <c r="E351" s="1567" t="s">
        <v>1201</v>
      </c>
      <c r="F351" s="1568">
        <v>70</v>
      </c>
      <c r="G351" s="1568"/>
      <c r="H351" s="1716" t="s">
        <v>1201</v>
      </c>
      <c r="I351" s="1718">
        <v>70</v>
      </c>
      <c r="J351" s="1188" t="s">
        <v>1201</v>
      </c>
      <c r="K351" s="1568">
        <v>70</v>
      </c>
      <c r="L351" s="1527">
        <v>60</v>
      </c>
      <c r="M351" s="1528">
        <v>60</v>
      </c>
      <c r="N351" s="1567">
        <v>90</v>
      </c>
      <c r="O351" s="1188">
        <v>75</v>
      </c>
      <c r="P351" s="1568">
        <v>60</v>
      </c>
      <c r="Q351" s="1718">
        <v>60</v>
      </c>
      <c r="R351" s="1568">
        <v>60</v>
      </c>
      <c r="S351" s="1188" t="s">
        <v>1954</v>
      </c>
      <c r="T351" s="1592" t="s">
        <v>1955</v>
      </c>
      <c r="U351" s="1608"/>
      <c r="V351" s="1186"/>
      <c r="W351" s="1186"/>
      <c r="X351" s="1757"/>
      <c r="Y351" s="1186"/>
      <c r="Z351" s="1186"/>
      <c r="AA351" s="1566"/>
      <c r="AB351" s="525"/>
      <c r="AC351" s="525"/>
      <c r="AD351" s="525"/>
      <c r="AE351" s="525"/>
      <c r="AF351" s="1279"/>
      <c r="BH351" s="461"/>
      <c r="BI351" s="462"/>
      <c r="BJ351" s="462"/>
      <c r="BK351" s="462"/>
      <c r="BL351" s="462"/>
      <c r="BM351" s="462"/>
    </row>
    <row r="352" spans="3:65" ht="21.75" customHeight="1">
      <c r="C352" s="1575" t="s">
        <v>376</v>
      </c>
      <c r="D352" s="1576"/>
      <c r="E352" s="1567" t="s">
        <v>1201</v>
      </c>
      <c r="F352" s="1568">
        <v>180</v>
      </c>
      <c r="G352" s="1568"/>
      <c r="H352" s="1716" t="s">
        <v>1201</v>
      </c>
      <c r="I352" s="1718">
        <v>180</v>
      </c>
      <c r="J352" s="1188" t="s">
        <v>1201</v>
      </c>
      <c r="K352" s="1568">
        <v>180</v>
      </c>
      <c r="L352" s="1527">
        <v>140</v>
      </c>
      <c r="M352" s="1528">
        <v>140</v>
      </c>
      <c r="N352" s="1567">
        <v>90</v>
      </c>
      <c r="O352" s="1188">
        <v>75</v>
      </c>
      <c r="P352" s="1568">
        <v>60</v>
      </c>
      <c r="Q352" s="1718">
        <v>60</v>
      </c>
      <c r="R352" s="1568">
        <v>60</v>
      </c>
      <c r="S352" s="1188" t="s">
        <v>1954</v>
      </c>
      <c r="T352" s="1592" t="s">
        <v>1955</v>
      </c>
      <c r="U352" s="1608"/>
      <c r="V352" s="1186"/>
      <c r="W352" s="1186"/>
      <c r="X352" s="1757"/>
      <c r="Y352" s="1186"/>
      <c r="Z352" s="1186"/>
      <c r="AA352" s="1566"/>
      <c r="AB352" s="525"/>
      <c r="AC352" s="525"/>
      <c r="AD352" s="525"/>
      <c r="AE352" s="525"/>
      <c r="AF352" s="1279"/>
      <c r="BH352" s="459"/>
      <c r="BI352" s="462"/>
      <c r="BJ352" s="462"/>
      <c r="BK352" s="462"/>
      <c r="BL352" s="462"/>
      <c r="BM352" s="462"/>
    </row>
    <row r="353" spans="3:65" ht="21.75" customHeight="1">
      <c r="C353" s="1575" t="s">
        <v>377</v>
      </c>
      <c r="D353" s="1576"/>
      <c r="E353" s="1567" t="s">
        <v>1201</v>
      </c>
      <c r="F353" s="1568">
        <v>120</v>
      </c>
      <c r="G353" s="1568"/>
      <c r="H353" s="1716" t="s">
        <v>1201</v>
      </c>
      <c r="I353" s="1718">
        <v>120</v>
      </c>
      <c r="J353" s="1188" t="s">
        <v>1201</v>
      </c>
      <c r="K353" s="1568">
        <v>120</v>
      </c>
      <c r="L353" s="1527">
        <v>100</v>
      </c>
      <c r="M353" s="1528">
        <v>100</v>
      </c>
      <c r="N353" s="1567">
        <v>75</v>
      </c>
      <c r="O353" s="1188">
        <v>65</v>
      </c>
      <c r="P353" s="1568">
        <v>50</v>
      </c>
      <c r="Q353" s="1718">
        <v>50</v>
      </c>
      <c r="R353" s="1568">
        <v>50</v>
      </c>
      <c r="S353" s="1188" t="s">
        <v>1954</v>
      </c>
      <c r="T353" s="1592" t="s">
        <v>1955</v>
      </c>
      <c r="U353" s="1608"/>
      <c r="V353" s="1186"/>
      <c r="W353" s="1186"/>
      <c r="X353" s="1757"/>
      <c r="Y353" s="1186"/>
      <c r="Z353" s="1186"/>
      <c r="AA353" s="1566"/>
      <c r="AB353" s="525"/>
      <c r="AC353" s="525"/>
      <c r="AD353" s="525"/>
      <c r="AE353" s="525"/>
      <c r="AF353" s="1279"/>
      <c r="BH353" s="463"/>
      <c r="BI353" s="460"/>
      <c r="BJ353" s="460"/>
      <c r="BK353" s="460"/>
      <c r="BL353" s="460"/>
      <c r="BM353" s="460"/>
    </row>
    <row r="354" spans="3:65" ht="21.75" customHeight="1">
      <c r="C354" s="1575" t="s">
        <v>378</v>
      </c>
      <c r="D354" s="1576"/>
      <c r="E354" s="1567" t="s">
        <v>1201</v>
      </c>
      <c r="F354" s="1568">
        <v>50</v>
      </c>
      <c r="G354" s="1568"/>
      <c r="H354" s="1716" t="s">
        <v>1201</v>
      </c>
      <c r="I354" s="1718">
        <v>50</v>
      </c>
      <c r="J354" s="1188" t="s">
        <v>1201</v>
      </c>
      <c r="K354" s="1568">
        <v>50</v>
      </c>
      <c r="L354" s="1527">
        <v>40</v>
      </c>
      <c r="M354" s="1528">
        <v>40</v>
      </c>
      <c r="N354" s="1567">
        <v>75</v>
      </c>
      <c r="O354" s="1188">
        <v>65</v>
      </c>
      <c r="P354" s="1568">
        <v>50</v>
      </c>
      <c r="Q354" s="1718">
        <v>50</v>
      </c>
      <c r="R354" s="1568">
        <v>50</v>
      </c>
      <c r="S354" s="1188" t="s">
        <v>1954</v>
      </c>
      <c r="T354" s="1592" t="s">
        <v>1955</v>
      </c>
      <c r="U354" s="1608"/>
      <c r="V354" s="1186"/>
      <c r="W354" s="1186"/>
      <c r="X354" s="1757"/>
      <c r="Y354" s="1186"/>
      <c r="Z354" s="1186"/>
      <c r="AA354" s="1566"/>
      <c r="AB354" s="525"/>
      <c r="AC354" s="525"/>
      <c r="AD354" s="525"/>
      <c r="AE354" s="525"/>
      <c r="AF354" s="1279"/>
      <c r="BH354" s="464"/>
      <c r="BI354" s="465"/>
      <c r="BJ354" s="465"/>
      <c r="BK354" s="465"/>
      <c r="BL354" s="465"/>
      <c r="BM354" s="465"/>
    </row>
    <row r="355" spans="3:65" ht="21.75" customHeight="1">
      <c r="C355" s="1575" t="s">
        <v>379</v>
      </c>
      <c r="D355" s="1576"/>
      <c r="E355" s="1567" t="s">
        <v>1201</v>
      </c>
      <c r="F355" s="1568">
        <v>80</v>
      </c>
      <c r="G355" s="1568"/>
      <c r="H355" s="1716" t="s">
        <v>1201</v>
      </c>
      <c r="I355" s="1718">
        <v>80</v>
      </c>
      <c r="J355" s="1188" t="s">
        <v>1201</v>
      </c>
      <c r="K355" s="1568">
        <v>80</v>
      </c>
      <c r="L355" s="1527">
        <v>70</v>
      </c>
      <c r="M355" s="1528">
        <v>70</v>
      </c>
      <c r="N355" s="1567">
        <v>75</v>
      </c>
      <c r="O355" s="1188">
        <v>65</v>
      </c>
      <c r="P355" s="1568">
        <v>50</v>
      </c>
      <c r="Q355" s="1718">
        <v>50</v>
      </c>
      <c r="R355" s="1568">
        <v>50</v>
      </c>
      <c r="S355" s="1188" t="s">
        <v>1954</v>
      </c>
      <c r="T355" s="1592" t="s">
        <v>1955</v>
      </c>
      <c r="U355" s="1569">
        <v>150</v>
      </c>
      <c r="V355" s="1570">
        <v>125</v>
      </c>
      <c r="W355" s="1574">
        <v>100</v>
      </c>
      <c r="X355" s="1778">
        <v>100</v>
      </c>
      <c r="Y355" s="1574">
        <v>100</v>
      </c>
      <c r="Z355" s="1188" t="s">
        <v>1956</v>
      </c>
      <c r="AA355" s="1592" t="s">
        <v>1955</v>
      </c>
      <c r="AB355" s="525"/>
      <c r="AC355" s="525"/>
      <c r="AD355" s="525"/>
      <c r="AE355" s="525"/>
      <c r="AF355" s="1279"/>
      <c r="BH355" s="464"/>
      <c r="BI355" s="465"/>
      <c r="BJ355" s="465"/>
      <c r="BK355" s="465"/>
      <c r="BL355" s="465"/>
      <c r="BM355" s="465"/>
    </row>
    <row r="356" spans="3:65" ht="21.75" customHeight="1">
      <c r="C356" s="1575" t="s">
        <v>380</v>
      </c>
      <c r="D356" s="1576"/>
      <c r="E356" s="1567" t="s">
        <v>1201</v>
      </c>
      <c r="F356" s="1568">
        <v>60</v>
      </c>
      <c r="G356" s="1568"/>
      <c r="H356" s="1716" t="s">
        <v>1201</v>
      </c>
      <c r="I356" s="1718">
        <v>60</v>
      </c>
      <c r="J356" s="1188" t="s">
        <v>1201</v>
      </c>
      <c r="K356" s="1568">
        <v>60</v>
      </c>
      <c r="L356" s="1527">
        <v>50</v>
      </c>
      <c r="M356" s="1528">
        <v>50</v>
      </c>
      <c r="N356" s="1567">
        <v>75</v>
      </c>
      <c r="O356" s="1188">
        <v>65</v>
      </c>
      <c r="P356" s="1568">
        <v>50</v>
      </c>
      <c r="Q356" s="1718">
        <v>50</v>
      </c>
      <c r="R356" s="1568">
        <v>50</v>
      </c>
      <c r="S356" s="1188" t="s">
        <v>1954</v>
      </c>
      <c r="T356" s="1592" t="s">
        <v>1955</v>
      </c>
      <c r="U356" s="1569">
        <v>150</v>
      </c>
      <c r="V356" s="1570">
        <v>125</v>
      </c>
      <c r="W356" s="1574">
        <v>100</v>
      </c>
      <c r="X356" s="1778">
        <v>100</v>
      </c>
      <c r="Y356" s="1574">
        <v>100</v>
      </c>
      <c r="Z356" s="1188" t="s">
        <v>1956</v>
      </c>
      <c r="AA356" s="1592" t="s">
        <v>1955</v>
      </c>
      <c r="AB356" s="525"/>
      <c r="AC356" s="525"/>
      <c r="AD356" s="525"/>
      <c r="AE356" s="525"/>
      <c r="AF356" s="1279"/>
    </row>
    <row r="357" spans="3:65" ht="21.75" customHeight="1">
      <c r="C357" s="1575" t="s">
        <v>381</v>
      </c>
      <c r="D357" s="1576"/>
      <c r="E357" s="1567" t="s">
        <v>1201</v>
      </c>
      <c r="F357" s="1568">
        <v>90</v>
      </c>
      <c r="G357" s="1568"/>
      <c r="H357" s="1716" t="s">
        <v>1201</v>
      </c>
      <c r="I357" s="1718">
        <v>90</v>
      </c>
      <c r="J357" s="1188" t="s">
        <v>1201</v>
      </c>
      <c r="K357" s="1568">
        <v>90</v>
      </c>
      <c r="L357" s="1527">
        <v>50</v>
      </c>
      <c r="M357" s="1528">
        <v>50</v>
      </c>
      <c r="N357" s="1567">
        <v>90</v>
      </c>
      <c r="O357" s="1188">
        <v>75</v>
      </c>
      <c r="P357" s="1568">
        <v>60</v>
      </c>
      <c r="Q357" s="1718">
        <v>60</v>
      </c>
      <c r="R357" s="1568">
        <v>60</v>
      </c>
      <c r="S357" s="1188" t="s">
        <v>1954</v>
      </c>
      <c r="T357" s="1592" t="s">
        <v>1955</v>
      </c>
      <c r="U357" s="1569">
        <v>120</v>
      </c>
      <c r="V357" s="1570">
        <v>100</v>
      </c>
      <c r="W357" s="1574">
        <v>80</v>
      </c>
      <c r="X357" s="1778">
        <v>80</v>
      </c>
      <c r="Y357" s="1574">
        <v>80</v>
      </c>
      <c r="Z357" s="1188" t="s">
        <v>1956</v>
      </c>
      <c r="AA357" s="1592" t="s">
        <v>1955</v>
      </c>
      <c r="AB357" s="525"/>
      <c r="AC357" s="525"/>
      <c r="AD357" s="525"/>
      <c r="AE357" s="525"/>
      <c r="AF357" s="1279"/>
    </row>
    <row r="358" spans="3:65" ht="21.75" customHeight="1">
      <c r="C358" s="1575" t="s">
        <v>382</v>
      </c>
      <c r="D358" s="1576"/>
      <c r="E358" s="1567" t="s">
        <v>1201</v>
      </c>
      <c r="F358" s="1568">
        <v>60</v>
      </c>
      <c r="G358" s="1568"/>
      <c r="H358" s="1716" t="s">
        <v>1201</v>
      </c>
      <c r="I358" s="1718">
        <v>60</v>
      </c>
      <c r="J358" s="1188" t="s">
        <v>1201</v>
      </c>
      <c r="K358" s="1568">
        <v>60</v>
      </c>
      <c r="L358" s="1527">
        <v>50</v>
      </c>
      <c r="M358" s="1528">
        <v>50</v>
      </c>
      <c r="N358" s="1567">
        <v>75</v>
      </c>
      <c r="O358" s="1188">
        <v>65</v>
      </c>
      <c r="P358" s="1568">
        <v>50</v>
      </c>
      <c r="Q358" s="1718">
        <v>50</v>
      </c>
      <c r="R358" s="1568">
        <v>50</v>
      </c>
      <c r="S358" s="1188" t="s">
        <v>1954</v>
      </c>
      <c r="T358" s="1592" t="s">
        <v>1955</v>
      </c>
      <c r="U358" s="1569">
        <v>150</v>
      </c>
      <c r="V358" s="1570">
        <v>125</v>
      </c>
      <c r="W358" s="1574">
        <v>100</v>
      </c>
      <c r="X358" s="1778">
        <v>100</v>
      </c>
      <c r="Y358" s="1574">
        <v>100</v>
      </c>
      <c r="Z358" s="1188" t="s">
        <v>1956</v>
      </c>
      <c r="AA358" s="1592" t="s">
        <v>1955</v>
      </c>
      <c r="AB358" s="525"/>
      <c r="AC358" s="525"/>
      <c r="AD358" s="525"/>
      <c r="AE358" s="525"/>
      <c r="AF358" s="1279"/>
    </row>
    <row r="359" spans="3:65" ht="21.75" customHeight="1">
      <c r="C359" s="1575" t="s">
        <v>383</v>
      </c>
      <c r="D359" s="1576"/>
      <c r="E359" s="1567" t="s">
        <v>1201</v>
      </c>
      <c r="F359" s="1568">
        <v>70</v>
      </c>
      <c r="G359" s="1568"/>
      <c r="H359" s="1716" t="s">
        <v>1201</v>
      </c>
      <c r="I359" s="1718">
        <v>70</v>
      </c>
      <c r="J359" s="1188" t="s">
        <v>1201</v>
      </c>
      <c r="K359" s="1568">
        <v>70</v>
      </c>
      <c r="L359" s="1527">
        <v>60</v>
      </c>
      <c r="M359" s="1528">
        <v>60</v>
      </c>
      <c r="N359" s="1567">
        <v>75</v>
      </c>
      <c r="O359" s="1188">
        <v>65</v>
      </c>
      <c r="P359" s="1568">
        <v>50</v>
      </c>
      <c r="Q359" s="1718">
        <v>50</v>
      </c>
      <c r="R359" s="1568">
        <v>50</v>
      </c>
      <c r="S359" s="1188" t="s">
        <v>1954</v>
      </c>
      <c r="T359" s="1592" t="s">
        <v>1955</v>
      </c>
      <c r="U359" s="1569">
        <v>90</v>
      </c>
      <c r="V359" s="1570">
        <v>75</v>
      </c>
      <c r="W359" s="1574">
        <v>60</v>
      </c>
      <c r="X359" s="1778">
        <v>60</v>
      </c>
      <c r="Y359" s="1574">
        <v>60</v>
      </c>
      <c r="Z359" s="1188" t="s">
        <v>1956</v>
      </c>
      <c r="AA359" s="1592" t="s">
        <v>1955</v>
      </c>
      <c r="AB359" s="525"/>
      <c r="AC359" s="525"/>
      <c r="AD359" s="525"/>
      <c r="AE359" s="525"/>
      <c r="AF359" s="1279"/>
    </row>
    <row r="360" spans="3:65" ht="21.75" customHeight="1">
      <c r="C360" s="1575" t="s">
        <v>384</v>
      </c>
      <c r="D360" s="1576"/>
      <c r="E360" s="1567" t="s">
        <v>1201</v>
      </c>
      <c r="F360" s="1568">
        <v>170</v>
      </c>
      <c r="G360" s="1568"/>
      <c r="H360" s="1716" t="s">
        <v>1201</v>
      </c>
      <c r="I360" s="1718">
        <v>170</v>
      </c>
      <c r="J360" s="1188" t="s">
        <v>1201</v>
      </c>
      <c r="K360" s="1568">
        <v>170</v>
      </c>
      <c r="L360" s="1527">
        <v>150</v>
      </c>
      <c r="M360" s="1528">
        <v>150</v>
      </c>
      <c r="N360" s="1567">
        <v>105</v>
      </c>
      <c r="O360" s="1188">
        <v>90</v>
      </c>
      <c r="P360" s="1568">
        <v>70</v>
      </c>
      <c r="Q360" s="1718">
        <v>70</v>
      </c>
      <c r="R360" s="1568">
        <v>70</v>
      </c>
      <c r="S360" s="1188" t="s">
        <v>1954</v>
      </c>
      <c r="T360" s="1592" t="s">
        <v>1955</v>
      </c>
      <c r="U360" s="1569">
        <v>300</v>
      </c>
      <c r="V360" s="1570">
        <v>250</v>
      </c>
      <c r="W360" s="1574">
        <v>200</v>
      </c>
      <c r="X360" s="1778">
        <v>200</v>
      </c>
      <c r="Y360" s="1574">
        <v>200</v>
      </c>
      <c r="Z360" s="1188" t="s">
        <v>1956</v>
      </c>
      <c r="AA360" s="1592" t="s">
        <v>1955</v>
      </c>
      <c r="AB360" s="525"/>
      <c r="AC360" s="525"/>
      <c r="AD360" s="525"/>
      <c r="AE360" s="525"/>
      <c r="AF360" s="1279"/>
    </row>
    <row r="361" spans="3:65" ht="21.75" customHeight="1">
      <c r="C361" s="1575" t="s">
        <v>385</v>
      </c>
      <c r="D361" s="1576"/>
      <c r="E361" s="1567" t="s">
        <v>1201</v>
      </c>
      <c r="F361" s="1568">
        <v>150</v>
      </c>
      <c r="G361" s="1568"/>
      <c r="H361" s="1716" t="s">
        <v>1201</v>
      </c>
      <c r="I361" s="1718">
        <v>150</v>
      </c>
      <c r="J361" s="1188" t="s">
        <v>1201</v>
      </c>
      <c r="K361" s="1568">
        <v>150</v>
      </c>
      <c r="L361" s="1527">
        <v>90</v>
      </c>
      <c r="M361" s="1528">
        <v>123</v>
      </c>
      <c r="N361" s="1567">
        <v>75</v>
      </c>
      <c r="O361" s="1188">
        <v>65</v>
      </c>
      <c r="P361" s="1568">
        <v>50</v>
      </c>
      <c r="Q361" s="1718">
        <v>50</v>
      </c>
      <c r="R361" s="1568">
        <v>50</v>
      </c>
      <c r="S361" s="1188" t="s">
        <v>1954</v>
      </c>
      <c r="T361" s="1592" t="s">
        <v>1955</v>
      </c>
      <c r="U361" s="1569">
        <v>135</v>
      </c>
      <c r="V361" s="1570">
        <v>115</v>
      </c>
      <c r="W361" s="1574">
        <v>90</v>
      </c>
      <c r="X361" s="1778">
        <v>90</v>
      </c>
      <c r="Y361" s="1574">
        <v>90</v>
      </c>
      <c r="Z361" s="1188" t="s">
        <v>1956</v>
      </c>
      <c r="AA361" s="1592" t="s">
        <v>1955</v>
      </c>
      <c r="AB361" s="525"/>
      <c r="AC361" s="525"/>
      <c r="AD361" s="525"/>
      <c r="AE361" s="525"/>
      <c r="AF361" s="1279"/>
    </row>
    <row r="362" spans="3:65" ht="21.75" customHeight="1">
      <c r="C362" s="1575" t="s">
        <v>386</v>
      </c>
      <c r="D362" s="1576"/>
      <c r="E362" s="1567" t="s">
        <v>1201</v>
      </c>
      <c r="F362" s="1568">
        <v>150</v>
      </c>
      <c r="G362" s="1568"/>
      <c r="H362" s="1716" t="s">
        <v>1201</v>
      </c>
      <c r="I362" s="1718">
        <v>150</v>
      </c>
      <c r="J362" s="1188" t="s">
        <v>1201</v>
      </c>
      <c r="K362" s="1568">
        <v>150</v>
      </c>
      <c r="L362" s="1527">
        <v>140</v>
      </c>
      <c r="M362" s="1528">
        <v>140</v>
      </c>
      <c r="N362" s="1567">
        <v>120</v>
      </c>
      <c r="O362" s="1188">
        <v>100</v>
      </c>
      <c r="P362" s="1568">
        <v>80</v>
      </c>
      <c r="Q362" s="1718">
        <v>80</v>
      </c>
      <c r="R362" s="1568">
        <v>80</v>
      </c>
      <c r="S362" s="1188" t="s">
        <v>1954</v>
      </c>
      <c r="T362" s="1592" t="s">
        <v>1955</v>
      </c>
      <c r="U362" s="1569">
        <v>150</v>
      </c>
      <c r="V362" s="1570">
        <v>125</v>
      </c>
      <c r="W362" s="1574">
        <v>100</v>
      </c>
      <c r="X362" s="1778">
        <v>100</v>
      </c>
      <c r="Y362" s="1574">
        <v>100</v>
      </c>
      <c r="Z362" s="1188" t="s">
        <v>1956</v>
      </c>
      <c r="AA362" s="1592" t="s">
        <v>1955</v>
      </c>
      <c r="AB362" s="525"/>
      <c r="AC362" s="525"/>
      <c r="AD362" s="525"/>
      <c r="AE362" s="525"/>
      <c r="AF362" s="1279"/>
    </row>
    <row r="363" spans="3:65" ht="21.75" customHeight="1">
      <c r="C363" s="1575" t="s">
        <v>387</v>
      </c>
      <c r="D363" s="1576"/>
      <c r="E363" s="1567" t="s">
        <v>1201</v>
      </c>
      <c r="F363" s="1568">
        <v>100</v>
      </c>
      <c r="G363" s="1568"/>
      <c r="H363" s="1716" t="s">
        <v>1201</v>
      </c>
      <c r="I363" s="1718">
        <v>100</v>
      </c>
      <c r="J363" s="1188" t="s">
        <v>1201</v>
      </c>
      <c r="K363" s="1568">
        <v>100</v>
      </c>
      <c r="L363" s="1527">
        <v>100</v>
      </c>
      <c r="M363" s="1528">
        <v>100</v>
      </c>
      <c r="N363" s="1567">
        <v>60</v>
      </c>
      <c r="O363" s="1188">
        <v>50</v>
      </c>
      <c r="P363" s="1568">
        <v>40</v>
      </c>
      <c r="Q363" s="1718">
        <v>40</v>
      </c>
      <c r="R363" s="1568">
        <v>40</v>
      </c>
      <c r="S363" s="1188" t="s">
        <v>1954</v>
      </c>
      <c r="T363" s="1592" t="s">
        <v>1955</v>
      </c>
      <c r="U363" s="1569">
        <v>130</v>
      </c>
      <c r="V363" s="1570">
        <v>105</v>
      </c>
      <c r="W363" s="1574">
        <v>85</v>
      </c>
      <c r="X363" s="1778">
        <v>85</v>
      </c>
      <c r="Y363" s="1574">
        <v>85</v>
      </c>
      <c r="Z363" s="1188" t="s">
        <v>1956</v>
      </c>
      <c r="AA363" s="1592" t="s">
        <v>1955</v>
      </c>
      <c r="AB363" s="525"/>
      <c r="AC363" s="525"/>
      <c r="AD363" s="525"/>
      <c r="AE363" s="525"/>
      <c r="AF363" s="1279"/>
    </row>
    <row r="364" spans="3:65" ht="21.75" customHeight="1">
      <c r="C364" s="1575" t="s">
        <v>388</v>
      </c>
      <c r="D364" s="1576"/>
      <c r="E364" s="1567" t="s">
        <v>1201</v>
      </c>
      <c r="F364" s="1568">
        <v>150</v>
      </c>
      <c r="G364" s="1568"/>
      <c r="H364" s="1716" t="s">
        <v>1201</v>
      </c>
      <c r="I364" s="1718">
        <v>150</v>
      </c>
      <c r="J364" s="1188" t="s">
        <v>1201</v>
      </c>
      <c r="K364" s="1568">
        <v>150</v>
      </c>
      <c r="L364" s="1527">
        <v>120</v>
      </c>
      <c r="M364" s="1528">
        <v>120</v>
      </c>
      <c r="N364" s="1567">
        <v>85</v>
      </c>
      <c r="O364" s="1188">
        <v>70</v>
      </c>
      <c r="P364" s="1568">
        <v>55</v>
      </c>
      <c r="Q364" s="1718">
        <v>55</v>
      </c>
      <c r="R364" s="1568">
        <v>55</v>
      </c>
      <c r="S364" s="1188" t="s">
        <v>1954</v>
      </c>
      <c r="T364" s="1592" t="s">
        <v>1955</v>
      </c>
      <c r="U364" s="1569">
        <v>360</v>
      </c>
      <c r="V364" s="1570">
        <v>300</v>
      </c>
      <c r="W364" s="1574">
        <v>240</v>
      </c>
      <c r="X364" s="1778">
        <v>240</v>
      </c>
      <c r="Y364" s="1574">
        <v>240</v>
      </c>
      <c r="Z364" s="1188" t="s">
        <v>1956</v>
      </c>
      <c r="AA364" s="1592" t="s">
        <v>1955</v>
      </c>
      <c r="AB364" s="525"/>
      <c r="AC364" s="525"/>
      <c r="AD364" s="525"/>
      <c r="AE364" s="525"/>
      <c r="AF364" s="1279"/>
    </row>
    <row r="365" spans="3:65" ht="21.75" customHeight="1">
      <c r="C365" s="1575" t="s">
        <v>389</v>
      </c>
      <c r="D365" s="1576"/>
      <c r="E365" s="1567" t="s">
        <v>1201</v>
      </c>
      <c r="F365" s="1568">
        <v>60</v>
      </c>
      <c r="G365" s="1568"/>
      <c r="H365" s="1716" t="s">
        <v>1201</v>
      </c>
      <c r="I365" s="1718">
        <v>60</v>
      </c>
      <c r="J365" s="1188" t="s">
        <v>1201</v>
      </c>
      <c r="K365" s="1568">
        <v>60</v>
      </c>
      <c r="L365" s="1527">
        <v>50</v>
      </c>
      <c r="M365" s="1528">
        <v>50</v>
      </c>
      <c r="N365" s="1608"/>
      <c r="O365" s="1186"/>
      <c r="P365" s="1186"/>
      <c r="Q365" s="1757"/>
      <c r="R365" s="1186"/>
      <c r="S365" s="1186"/>
      <c r="T365" s="1566"/>
      <c r="U365" s="1608"/>
      <c r="V365" s="1186"/>
      <c r="W365" s="1186"/>
      <c r="X365" s="1757"/>
      <c r="Y365" s="1186"/>
      <c r="Z365" s="1186"/>
      <c r="AA365" s="1566"/>
      <c r="AB365" s="525"/>
      <c r="AC365" s="525"/>
      <c r="AD365" s="525"/>
      <c r="AE365" s="525"/>
      <c r="AF365" s="1279"/>
    </row>
    <row r="366" spans="3:65" ht="21.75" customHeight="1">
      <c r="C366" s="1575" t="s">
        <v>390</v>
      </c>
      <c r="D366" s="1576"/>
      <c r="E366" s="1567" t="s">
        <v>1201</v>
      </c>
      <c r="F366" s="1568">
        <v>90</v>
      </c>
      <c r="G366" s="1568"/>
      <c r="H366" s="1716" t="s">
        <v>1201</v>
      </c>
      <c r="I366" s="1718">
        <v>90</v>
      </c>
      <c r="J366" s="1188" t="s">
        <v>1201</v>
      </c>
      <c r="K366" s="1568">
        <v>90</v>
      </c>
      <c r="L366" s="1527">
        <v>80</v>
      </c>
      <c r="M366" s="1528">
        <v>80</v>
      </c>
      <c r="N366" s="1608"/>
      <c r="O366" s="1186"/>
      <c r="P366" s="1186"/>
      <c r="Q366" s="1757"/>
      <c r="R366" s="1186"/>
      <c r="S366" s="1186"/>
      <c r="T366" s="1566"/>
      <c r="U366" s="1608"/>
      <c r="V366" s="1186"/>
      <c r="W366" s="1186"/>
      <c r="X366" s="1757"/>
      <c r="Y366" s="1186"/>
      <c r="Z366" s="1186"/>
      <c r="AA366" s="1566"/>
      <c r="AB366" s="525"/>
      <c r="AC366" s="525"/>
      <c r="AD366" s="525"/>
      <c r="AE366" s="525"/>
      <c r="AF366" s="1279"/>
    </row>
    <row r="367" spans="3:65" ht="21.75" customHeight="1">
      <c r="C367" s="1575" t="s">
        <v>391</v>
      </c>
      <c r="D367" s="1576"/>
      <c r="E367" s="1567" t="s">
        <v>1201</v>
      </c>
      <c r="F367" s="1568">
        <v>100</v>
      </c>
      <c r="G367" s="1568"/>
      <c r="H367" s="1716" t="s">
        <v>1201</v>
      </c>
      <c r="I367" s="1718">
        <v>100</v>
      </c>
      <c r="J367" s="1188" t="s">
        <v>1201</v>
      </c>
      <c r="K367" s="1568">
        <v>100</v>
      </c>
      <c r="L367" s="1527">
        <v>90</v>
      </c>
      <c r="M367" s="1528">
        <v>90</v>
      </c>
      <c r="N367" s="1567">
        <v>90</v>
      </c>
      <c r="O367" s="1188">
        <v>75</v>
      </c>
      <c r="P367" s="1568">
        <v>60</v>
      </c>
      <c r="Q367" s="1718">
        <v>60</v>
      </c>
      <c r="R367" s="1568">
        <v>60</v>
      </c>
      <c r="S367" s="1188" t="s">
        <v>1954</v>
      </c>
      <c r="T367" s="1592" t="s">
        <v>1955</v>
      </c>
      <c r="U367" s="1569">
        <v>150</v>
      </c>
      <c r="V367" s="1570">
        <v>125</v>
      </c>
      <c r="W367" s="1574">
        <v>100</v>
      </c>
      <c r="X367" s="1778">
        <v>100</v>
      </c>
      <c r="Y367" s="1574">
        <v>100</v>
      </c>
      <c r="Z367" s="1188" t="s">
        <v>1956</v>
      </c>
      <c r="AA367" s="1592" t="s">
        <v>1955</v>
      </c>
      <c r="AB367" s="525"/>
      <c r="AC367" s="525"/>
      <c r="AD367" s="525"/>
      <c r="AE367" s="525"/>
      <c r="AF367" s="1279"/>
    </row>
    <row r="368" spans="3:65" ht="21.75" customHeight="1">
      <c r="C368" s="1575" t="s">
        <v>392</v>
      </c>
      <c r="D368" s="1576"/>
      <c r="E368" s="1567" t="s">
        <v>1201</v>
      </c>
      <c r="F368" s="1568">
        <v>60</v>
      </c>
      <c r="G368" s="1568"/>
      <c r="H368" s="1716" t="s">
        <v>1201</v>
      </c>
      <c r="I368" s="1718">
        <v>60</v>
      </c>
      <c r="J368" s="1188" t="s">
        <v>1201</v>
      </c>
      <c r="K368" s="1568">
        <v>60</v>
      </c>
      <c r="L368" s="1527">
        <v>50</v>
      </c>
      <c r="M368" s="1528">
        <v>50</v>
      </c>
      <c r="N368" s="1567">
        <v>60</v>
      </c>
      <c r="O368" s="1188">
        <v>50</v>
      </c>
      <c r="P368" s="1568">
        <v>40</v>
      </c>
      <c r="Q368" s="1718">
        <v>40</v>
      </c>
      <c r="R368" s="1568">
        <v>40</v>
      </c>
      <c r="S368" s="1188" t="s">
        <v>1954</v>
      </c>
      <c r="T368" s="1592" t="s">
        <v>1955</v>
      </c>
      <c r="U368" s="1569">
        <v>450</v>
      </c>
      <c r="V368" s="1570">
        <v>375</v>
      </c>
      <c r="W368" s="1574">
        <v>300</v>
      </c>
      <c r="X368" s="1778">
        <v>300</v>
      </c>
      <c r="Y368" s="1574">
        <v>300</v>
      </c>
      <c r="Z368" s="1188" t="s">
        <v>1956</v>
      </c>
      <c r="AA368" s="1592" t="s">
        <v>1955</v>
      </c>
      <c r="AB368" s="525"/>
      <c r="AC368" s="525"/>
      <c r="AD368" s="525"/>
      <c r="AE368" s="525"/>
      <c r="AF368" s="1279"/>
    </row>
    <row r="369" spans="3:32" ht="21.75" customHeight="1">
      <c r="C369" s="1575" t="s">
        <v>393</v>
      </c>
      <c r="D369" s="1576"/>
      <c r="E369" s="1567" t="s">
        <v>1201</v>
      </c>
      <c r="F369" s="1568">
        <v>100</v>
      </c>
      <c r="G369" s="1568"/>
      <c r="H369" s="1716" t="s">
        <v>1201</v>
      </c>
      <c r="I369" s="1718">
        <v>100</v>
      </c>
      <c r="J369" s="1188" t="s">
        <v>1201</v>
      </c>
      <c r="K369" s="1568">
        <v>100</v>
      </c>
      <c r="L369" s="1527">
        <v>90</v>
      </c>
      <c r="M369" s="1528">
        <v>90</v>
      </c>
      <c r="N369" s="1567">
        <v>75</v>
      </c>
      <c r="O369" s="1188">
        <v>65</v>
      </c>
      <c r="P369" s="1568">
        <v>50</v>
      </c>
      <c r="Q369" s="1718">
        <v>50</v>
      </c>
      <c r="R369" s="1568">
        <v>50</v>
      </c>
      <c r="S369" s="1188" t="s">
        <v>1954</v>
      </c>
      <c r="T369" s="1592" t="s">
        <v>1955</v>
      </c>
      <c r="U369" s="1569">
        <v>210</v>
      </c>
      <c r="V369" s="1570">
        <v>175</v>
      </c>
      <c r="W369" s="1574">
        <v>140</v>
      </c>
      <c r="X369" s="1778">
        <v>140</v>
      </c>
      <c r="Y369" s="1574">
        <v>140</v>
      </c>
      <c r="Z369" s="1188" t="s">
        <v>1956</v>
      </c>
      <c r="AA369" s="1592" t="s">
        <v>1955</v>
      </c>
      <c r="AB369" s="525"/>
      <c r="AC369" s="525"/>
      <c r="AD369" s="525"/>
      <c r="AE369" s="525"/>
      <c r="AF369" s="1279"/>
    </row>
    <row r="370" spans="3:32" ht="21.75" customHeight="1">
      <c r="C370" s="1575" t="s">
        <v>394</v>
      </c>
      <c r="D370" s="1576"/>
      <c r="E370" s="1567" t="s">
        <v>1201</v>
      </c>
      <c r="F370" s="1568">
        <v>70</v>
      </c>
      <c r="G370" s="1568"/>
      <c r="H370" s="1716" t="s">
        <v>1201</v>
      </c>
      <c r="I370" s="1718">
        <v>70</v>
      </c>
      <c r="J370" s="1188" t="s">
        <v>1201</v>
      </c>
      <c r="K370" s="1568">
        <v>70</v>
      </c>
      <c r="L370" s="1527">
        <v>40</v>
      </c>
      <c r="M370" s="1528">
        <v>40</v>
      </c>
      <c r="N370" s="1567">
        <v>75</v>
      </c>
      <c r="O370" s="1188">
        <v>65</v>
      </c>
      <c r="P370" s="1568">
        <v>50</v>
      </c>
      <c r="Q370" s="1718">
        <v>50</v>
      </c>
      <c r="R370" s="1568">
        <v>50</v>
      </c>
      <c r="S370" s="1188" t="s">
        <v>1954</v>
      </c>
      <c r="T370" s="1592" t="s">
        <v>1955</v>
      </c>
      <c r="U370" s="1569">
        <v>135</v>
      </c>
      <c r="V370" s="1570">
        <v>115</v>
      </c>
      <c r="W370" s="1574">
        <v>90</v>
      </c>
      <c r="X370" s="1778">
        <v>90</v>
      </c>
      <c r="Y370" s="1574">
        <v>90</v>
      </c>
      <c r="Z370" s="1188" t="s">
        <v>1956</v>
      </c>
      <c r="AA370" s="1592" t="s">
        <v>1955</v>
      </c>
      <c r="AB370" s="525"/>
      <c r="AC370" s="525"/>
      <c r="AD370" s="525"/>
      <c r="AE370" s="525"/>
      <c r="AF370" s="1279"/>
    </row>
    <row r="371" spans="3:32" ht="21.75" customHeight="1">
      <c r="C371" s="1575" t="s">
        <v>395</v>
      </c>
      <c r="D371" s="1576"/>
      <c r="E371" s="1567" t="s">
        <v>1201</v>
      </c>
      <c r="F371" s="1568">
        <v>150</v>
      </c>
      <c r="G371" s="1568"/>
      <c r="H371" s="1716" t="s">
        <v>1201</v>
      </c>
      <c r="I371" s="1718">
        <v>150</v>
      </c>
      <c r="J371" s="1188" t="s">
        <v>1201</v>
      </c>
      <c r="K371" s="1568">
        <v>150</v>
      </c>
      <c r="L371" s="1527">
        <v>120</v>
      </c>
      <c r="M371" s="1528">
        <v>120</v>
      </c>
      <c r="N371" s="1567">
        <v>45</v>
      </c>
      <c r="O371" s="1188">
        <v>40</v>
      </c>
      <c r="P371" s="1568">
        <v>30</v>
      </c>
      <c r="Q371" s="1718">
        <v>30</v>
      </c>
      <c r="R371" s="1568">
        <v>30</v>
      </c>
      <c r="S371" s="1188" t="s">
        <v>1954</v>
      </c>
      <c r="T371" s="1592" t="s">
        <v>1955</v>
      </c>
      <c r="U371" s="1569">
        <v>210</v>
      </c>
      <c r="V371" s="1570">
        <v>175</v>
      </c>
      <c r="W371" s="1574">
        <v>140</v>
      </c>
      <c r="X371" s="1778">
        <v>140</v>
      </c>
      <c r="Y371" s="1574">
        <v>140</v>
      </c>
      <c r="Z371" s="1188" t="s">
        <v>1956</v>
      </c>
      <c r="AA371" s="1592" t="s">
        <v>1955</v>
      </c>
      <c r="AB371" s="525"/>
      <c r="AC371" s="525"/>
      <c r="AD371" s="525"/>
      <c r="AE371" s="525"/>
      <c r="AF371" s="1279"/>
    </row>
    <row r="372" spans="3:32" ht="21.75" customHeight="1">
      <c r="C372" s="1575" t="s">
        <v>396</v>
      </c>
      <c r="D372" s="1576"/>
      <c r="E372" s="1567" t="s">
        <v>1201</v>
      </c>
      <c r="F372" s="1568">
        <v>120</v>
      </c>
      <c r="G372" s="1568"/>
      <c r="H372" s="1716" t="s">
        <v>1201</v>
      </c>
      <c r="I372" s="1718">
        <v>120</v>
      </c>
      <c r="J372" s="1188" t="s">
        <v>1201</v>
      </c>
      <c r="K372" s="1568">
        <v>120</v>
      </c>
      <c r="L372" s="1527">
        <v>110</v>
      </c>
      <c r="M372" s="1528">
        <v>110</v>
      </c>
      <c r="N372" s="1567">
        <v>45</v>
      </c>
      <c r="O372" s="1188">
        <v>40</v>
      </c>
      <c r="P372" s="1568">
        <v>30</v>
      </c>
      <c r="Q372" s="1718">
        <v>30</v>
      </c>
      <c r="R372" s="1568">
        <v>30</v>
      </c>
      <c r="S372" s="1188" t="s">
        <v>1954</v>
      </c>
      <c r="T372" s="1592" t="s">
        <v>1955</v>
      </c>
      <c r="U372" s="1569">
        <v>300</v>
      </c>
      <c r="V372" s="1570">
        <v>250</v>
      </c>
      <c r="W372" s="1574">
        <v>200</v>
      </c>
      <c r="X372" s="1778">
        <v>200</v>
      </c>
      <c r="Y372" s="1574">
        <v>200</v>
      </c>
      <c r="Z372" s="1188" t="s">
        <v>1956</v>
      </c>
      <c r="AA372" s="1592" t="s">
        <v>1955</v>
      </c>
      <c r="AB372" s="525"/>
      <c r="AC372" s="525"/>
      <c r="AD372" s="525"/>
      <c r="AE372" s="525"/>
      <c r="AF372" s="1279"/>
    </row>
    <row r="373" spans="3:32" ht="21.75" customHeight="1">
      <c r="C373" s="1575" t="s">
        <v>397</v>
      </c>
      <c r="D373" s="1576"/>
      <c r="E373" s="1567" t="s">
        <v>1201</v>
      </c>
      <c r="F373" s="1568">
        <v>160</v>
      </c>
      <c r="G373" s="1568"/>
      <c r="H373" s="1716" t="s">
        <v>1201</v>
      </c>
      <c r="I373" s="1718">
        <v>160</v>
      </c>
      <c r="J373" s="1188" t="s">
        <v>1201</v>
      </c>
      <c r="K373" s="1568">
        <v>160</v>
      </c>
      <c r="L373" s="1527">
        <v>120</v>
      </c>
      <c r="M373" s="1528">
        <v>120</v>
      </c>
      <c r="N373" s="1567">
        <v>90</v>
      </c>
      <c r="O373" s="1188">
        <v>75</v>
      </c>
      <c r="P373" s="1568">
        <v>60</v>
      </c>
      <c r="Q373" s="1718">
        <v>60</v>
      </c>
      <c r="R373" s="1568">
        <v>60</v>
      </c>
      <c r="S373" s="1188" t="s">
        <v>1954</v>
      </c>
      <c r="T373" s="1592" t="s">
        <v>1955</v>
      </c>
      <c r="U373" s="1569">
        <v>150</v>
      </c>
      <c r="V373" s="1570">
        <v>125</v>
      </c>
      <c r="W373" s="1574">
        <v>100</v>
      </c>
      <c r="X373" s="1778">
        <v>100</v>
      </c>
      <c r="Y373" s="1574">
        <v>100</v>
      </c>
      <c r="Z373" s="1188" t="s">
        <v>1956</v>
      </c>
      <c r="AA373" s="1592" t="s">
        <v>1955</v>
      </c>
      <c r="AB373" s="525"/>
      <c r="AC373" s="525"/>
      <c r="AD373" s="525"/>
      <c r="AE373" s="525"/>
      <c r="AF373" s="1279"/>
    </row>
    <row r="374" spans="3:32" ht="21.75" customHeight="1">
      <c r="C374" s="1575" t="s">
        <v>398</v>
      </c>
      <c r="D374" s="1576"/>
      <c r="E374" s="1567" t="s">
        <v>1201</v>
      </c>
      <c r="F374" s="1568">
        <v>130</v>
      </c>
      <c r="G374" s="1568"/>
      <c r="H374" s="1716" t="s">
        <v>1201</v>
      </c>
      <c r="I374" s="1718">
        <v>130</v>
      </c>
      <c r="J374" s="1188" t="s">
        <v>1201</v>
      </c>
      <c r="K374" s="1568">
        <v>130</v>
      </c>
      <c r="L374" s="1527">
        <v>110</v>
      </c>
      <c r="M374" s="1528">
        <v>110</v>
      </c>
      <c r="N374" s="1567">
        <v>30</v>
      </c>
      <c r="O374" s="1188">
        <v>25</v>
      </c>
      <c r="P374" s="1568">
        <v>20</v>
      </c>
      <c r="Q374" s="1718">
        <v>20</v>
      </c>
      <c r="R374" s="1568">
        <v>20</v>
      </c>
      <c r="S374" s="1188" t="s">
        <v>1954</v>
      </c>
      <c r="T374" s="1592" t="s">
        <v>1955</v>
      </c>
      <c r="U374" s="1569">
        <v>30</v>
      </c>
      <c r="V374" s="1570">
        <v>25</v>
      </c>
      <c r="W374" s="1574">
        <v>20</v>
      </c>
      <c r="X374" s="1778">
        <v>20</v>
      </c>
      <c r="Y374" s="1574">
        <v>20</v>
      </c>
      <c r="Z374" s="1188" t="s">
        <v>1956</v>
      </c>
      <c r="AA374" s="1592" t="s">
        <v>1955</v>
      </c>
      <c r="AB374" s="525"/>
      <c r="AC374" s="525"/>
      <c r="AD374" s="525"/>
      <c r="AE374" s="525"/>
      <c r="AF374" s="1279"/>
    </row>
    <row r="375" spans="3:32" ht="21.75" customHeight="1">
      <c r="C375" s="1575" t="s">
        <v>399</v>
      </c>
      <c r="D375" s="1576"/>
      <c r="E375" s="1567" t="s">
        <v>1201</v>
      </c>
      <c r="F375" s="1568">
        <v>100</v>
      </c>
      <c r="G375" s="1568"/>
      <c r="H375" s="1716" t="s">
        <v>1201</v>
      </c>
      <c r="I375" s="1718">
        <v>100</v>
      </c>
      <c r="J375" s="1188" t="s">
        <v>1201</v>
      </c>
      <c r="K375" s="1568">
        <v>100</v>
      </c>
      <c r="L375" s="1527">
        <v>80</v>
      </c>
      <c r="M375" s="1528">
        <v>80</v>
      </c>
      <c r="N375" s="1608"/>
      <c r="O375" s="1186"/>
      <c r="P375" s="1186"/>
      <c r="Q375" s="1757"/>
      <c r="R375" s="1186"/>
      <c r="S375" s="1186"/>
      <c r="T375" s="1566"/>
      <c r="U375" s="1608"/>
      <c r="V375" s="1186"/>
      <c r="W375" s="1186"/>
      <c r="X375" s="1757"/>
      <c r="Y375" s="1186"/>
      <c r="Z375" s="1186"/>
      <c r="AA375" s="1566"/>
      <c r="AB375" s="525"/>
      <c r="AC375" s="525"/>
      <c r="AD375" s="525"/>
      <c r="AE375" s="525"/>
      <c r="AF375" s="1279"/>
    </row>
    <row r="376" spans="3:32" ht="21.75" customHeight="1">
      <c r="C376" s="1575" t="s">
        <v>400</v>
      </c>
      <c r="D376" s="1576"/>
      <c r="E376" s="1567" t="s">
        <v>1201</v>
      </c>
      <c r="F376" s="1568">
        <v>80</v>
      </c>
      <c r="G376" s="1568"/>
      <c r="H376" s="1716" t="s">
        <v>1201</v>
      </c>
      <c r="I376" s="1718">
        <v>80</v>
      </c>
      <c r="J376" s="1188" t="s">
        <v>1201</v>
      </c>
      <c r="K376" s="1568">
        <v>80</v>
      </c>
      <c r="L376" s="1527">
        <v>70</v>
      </c>
      <c r="M376" s="1528">
        <v>70</v>
      </c>
      <c r="N376" s="1608"/>
      <c r="O376" s="1186"/>
      <c r="P376" s="1186"/>
      <c r="Q376" s="1757"/>
      <c r="R376" s="1186"/>
      <c r="S376" s="1186"/>
      <c r="T376" s="1566"/>
      <c r="U376" s="1608"/>
      <c r="V376" s="1186"/>
      <c r="W376" s="1186"/>
      <c r="X376" s="1757"/>
      <c r="Y376" s="1186"/>
      <c r="Z376" s="1186"/>
      <c r="AA376" s="1566"/>
      <c r="AB376" s="525"/>
      <c r="AC376" s="525"/>
      <c r="AD376" s="525"/>
      <c r="AE376" s="525"/>
      <c r="AF376" s="1279"/>
    </row>
    <row r="377" spans="3:32" ht="21.75" customHeight="1">
      <c r="C377" s="1575" t="s">
        <v>401</v>
      </c>
      <c r="D377" s="1576"/>
      <c r="E377" s="1567" t="s">
        <v>1201</v>
      </c>
      <c r="F377" s="1568">
        <v>80</v>
      </c>
      <c r="G377" s="1568"/>
      <c r="H377" s="1716" t="s">
        <v>1201</v>
      </c>
      <c r="I377" s="1718">
        <v>80</v>
      </c>
      <c r="J377" s="1188" t="s">
        <v>1201</v>
      </c>
      <c r="K377" s="1568">
        <v>80</v>
      </c>
      <c r="L377" s="1527">
        <v>60</v>
      </c>
      <c r="M377" s="1528">
        <v>60</v>
      </c>
      <c r="N377" s="1567">
        <v>75</v>
      </c>
      <c r="O377" s="1188">
        <v>65</v>
      </c>
      <c r="P377" s="1568">
        <v>50</v>
      </c>
      <c r="Q377" s="1718">
        <v>50</v>
      </c>
      <c r="R377" s="1568">
        <v>50</v>
      </c>
      <c r="S377" s="1188" t="s">
        <v>1954</v>
      </c>
      <c r="T377" s="1592" t="s">
        <v>1955</v>
      </c>
      <c r="U377" s="1569"/>
      <c r="V377" s="1570"/>
      <c r="W377" s="1574"/>
      <c r="X377" s="1778"/>
      <c r="Y377" s="1574"/>
      <c r="Z377" s="1188"/>
      <c r="AA377" s="1592"/>
      <c r="AB377" s="525"/>
      <c r="AC377" s="525"/>
      <c r="AD377" s="525"/>
      <c r="AE377" s="525"/>
      <c r="AF377" s="1279"/>
    </row>
    <row r="378" spans="3:32" ht="21.75" customHeight="1">
      <c r="C378" s="1575" t="s">
        <v>402</v>
      </c>
      <c r="D378" s="1576"/>
      <c r="E378" s="1567" t="s">
        <v>1201</v>
      </c>
      <c r="F378" s="1568">
        <v>120</v>
      </c>
      <c r="G378" s="1568"/>
      <c r="H378" s="1716" t="s">
        <v>1201</v>
      </c>
      <c r="I378" s="1718">
        <v>120</v>
      </c>
      <c r="J378" s="1188" t="s">
        <v>1201</v>
      </c>
      <c r="K378" s="1568">
        <v>120</v>
      </c>
      <c r="L378" s="1527">
        <v>110</v>
      </c>
      <c r="M378" s="1528">
        <v>110</v>
      </c>
      <c r="N378" s="1567">
        <v>90</v>
      </c>
      <c r="O378" s="1188">
        <v>75</v>
      </c>
      <c r="P378" s="1568">
        <v>60</v>
      </c>
      <c r="Q378" s="1718">
        <v>60</v>
      </c>
      <c r="R378" s="1568">
        <v>60</v>
      </c>
      <c r="S378" s="1188" t="s">
        <v>1954</v>
      </c>
      <c r="T378" s="1592" t="s">
        <v>1955</v>
      </c>
      <c r="U378" s="1569">
        <v>225</v>
      </c>
      <c r="V378" s="1570">
        <v>190</v>
      </c>
      <c r="W378" s="1574">
        <v>150</v>
      </c>
      <c r="X378" s="1778">
        <v>150</v>
      </c>
      <c r="Y378" s="1574">
        <v>150</v>
      </c>
      <c r="Z378" s="1188" t="s">
        <v>1956</v>
      </c>
      <c r="AA378" s="1592" t="s">
        <v>1955</v>
      </c>
      <c r="AB378" s="525"/>
      <c r="AC378" s="525"/>
      <c r="AD378" s="525"/>
      <c r="AE378" s="525"/>
      <c r="AF378" s="1279"/>
    </row>
    <row r="379" spans="3:32" ht="21.75" customHeight="1">
      <c r="C379" s="1575" t="s">
        <v>403</v>
      </c>
      <c r="D379" s="1576"/>
      <c r="E379" s="1567" t="s">
        <v>1201</v>
      </c>
      <c r="F379" s="1568">
        <v>120</v>
      </c>
      <c r="G379" s="1568"/>
      <c r="H379" s="1716" t="s">
        <v>1201</v>
      </c>
      <c r="I379" s="1718">
        <v>120</v>
      </c>
      <c r="J379" s="1188" t="s">
        <v>1201</v>
      </c>
      <c r="K379" s="1568">
        <v>120</v>
      </c>
      <c r="L379" s="1527">
        <v>80</v>
      </c>
      <c r="M379" s="1528">
        <v>80</v>
      </c>
      <c r="N379" s="1567">
        <v>75</v>
      </c>
      <c r="O379" s="1188">
        <v>65</v>
      </c>
      <c r="P379" s="1568">
        <v>50</v>
      </c>
      <c r="Q379" s="1718">
        <v>50</v>
      </c>
      <c r="R379" s="1568">
        <v>50</v>
      </c>
      <c r="S379" s="1188" t="s">
        <v>1954</v>
      </c>
      <c r="T379" s="1592" t="s">
        <v>1955</v>
      </c>
      <c r="U379" s="1569">
        <v>135</v>
      </c>
      <c r="V379" s="1570">
        <v>115</v>
      </c>
      <c r="W379" s="1574">
        <v>90</v>
      </c>
      <c r="X379" s="1778">
        <v>90</v>
      </c>
      <c r="Y379" s="1574">
        <v>90</v>
      </c>
      <c r="Z379" s="1188" t="s">
        <v>1956</v>
      </c>
      <c r="AA379" s="1592" t="s">
        <v>1955</v>
      </c>
      <c r="AB379" s="525"/>
      <c r="AC379" s="525"/>
      <c r="AD379" s="525"/>
      <c r="AE379" s="525"/>
      <c r="AF379" s="1279"/>
    </row>
    <row r="380" spans="3:32" ht="21.75" customHeight="1">
      <c r="C380" s="1575" t="s">
        <v>404</v>
      </c>
      <c r="D380" s="1576"/>
      <c r="E380" s="1567" t="s">
        <v>1201</v>
      </c>
      <c r="F380" s="1568">
        <v>120</v>
      </c>
      <c r="G380" s="1568"/>
      <c r="H380" s="1716" t="s">
        <v>1201</v>
      </c>
      <c r="I380" s="1718">
        <v>120</v>
      </c>
      <c r="J380" s="1188" t="s">
        <v>1201</v>
      </c>
      <c r="K380" s="1568">
        <v>120</v>
      </c>
      <c r="L380" s="1527">
        <v>100</v>
      </c>
      <c r="M380" s="1528">
        <v>100</v>
      </c>
      <c r="N380" s="1567">
        <v>85</v>
      </c>
      <c r="O380" s="1188">
        <v>70</v>
      </c>
      <c r="P380" s="1568">
        <v>55</v>
      </c>
      <c r="Q380" s="1718">
        <v>55</v>
      </c>
      <c r="R380" s="1568">
        <v>55</v>
      </c>
      <c r="S380" s="1188" t="s">
        <v>1954</v>
      </c>
      <c r="T380" s="1592" t="s">
        <v>1955</v>
      </c>
      <c r="U380" s="1569">
        <v>225</v>
      </c>
      <c r="V380" s="1570">
        <v>190</v>
      </c>
      <c r="W380" s="1574">
        <v>150</v>
      </c>
      <c r="X380" s="1778">
        <v>150</v>
      </c>
      <c r="Y380" s="1574">
        <v>150</v>
      </c>
      <c r="Z380" s="1188" t="s">
        <v>1956</v>
      </c>
      <c r="AA380" s="1592" t="s">
        <v>1955</v>
      </c>
      <c r="AB380" s="525"/>
      <c r="AC380" s="525"/>
      <c r="AD380" s="525"/>
      <c r="AE380" s="525"/>
      <c r="AF380" s="1279"/>
    </row>
    <row r="381" spans="3:32" ht="21.75" customHeight="1">
      <c r="C381" s="1575" t="s">
        <v>405</v>
      </c>
      <c r="D381" s="1576"/>
      <c r="E381" s="1567" t="s">
        <v>1201</v>
      </c>
      <c r="F381" s="1568">
        <v>0</v>
      </c>
      <c r="G381" s="1568"/>
      <c r="H381" s="1716" t="s">
        <v>1201</v>
      </c>
      <c r="I381" s="1718">
        <v>0</v>
      </c>
      <c r="J381" s="1188" t="s">
        <v>1201</v>
      </c>
      <c r="K381" s="1568">
        <v>0</v>
      </c>
      <c r="L381" s="1527">
        <v>0</v>
      </c>
      <c r="M381" s="1528">
        <v>0</v>
      </c>
      <c r="N381" s="1567">
        <v>75</v>
      </c>
      <c r="O381" s="1188">
        <v>65</v>
      </c>
      <c r="P381" s="1188">
        <v>50</v>
      </c>
      <c r="Q381" s="1716">
        <v>50</v>
      </c>
      <c r="R381" s="1188">
        <v>50</v>
      </c>
      <c r="S381" s="1188" t="s">
        <v>1954</v>
      </c>
      <c r="T381" s="1592" t="s">
        <v>1955</v>
      </c>
      <c r="U381" s="1569">
        <v>300</v>
      </c>
      <c r="V381" s="1570">
        <v>250</v>
      </c>
      <c r="W381" s="1574">
        <v>200</v>
      </c>
      <c r="X381" s="1778">
        <v>200</v>
      </c>
      <c r="Y381" s="1574">
        <v>200</v>
      </c>
      <c r="Z381" s="1188" t="s">
        <v>1956</v>
      </c>
      <c r="AA381" s="1592" t="s">
        <v>1955</v>
      </c>
      <c r="AB381" s="525"/>
      <c r="AC381" s="525"/>
      <c r="AD381" s="525"/>
      <c r="AE381" s="525"/>
      <c r="AF381" s="1279"/>
    </row>
    <row r="382" spans="3:32" ht="21.75" customHeight="1">
      <c r="C382" s="1575" t="s">
        <v>406</v>
      </c>
      <c r="D382" s="1576"/>
      <c r="E382" s="1567" t="s">
        <v>1201</v>
      </c>
      <c r="F382" s="1568">
        <v>120</v>
      </c>
      <c r="G382" s="1568"/>
      <c r="H382" s="1716" t="s">
        <v>1201</v>
      </c>
      <c r="I382" s="1718">
        <v>120</v>
      </c>
      <c r="J382" s="1188" t="s">
        <v>1201</v>
      </c>
      <c r="K382" s="1568">
        <v>120</v>
      </c>
      <c r="L382" s="1527">
        <v>110</v>
      </c>
      <c r="M382" s="1528">
        <v>110</v>
      </c>
      <c r="N382" s="1567">
        <v>90</v>
      </c>
      <c r="O382" s="1188">
        <v>75</v>
      </c>
      <c r="P382" s="1568">
        <v>60</v>
      </c>
      <c r="Q382" s="1718">
        <v>60</v>
      </c>
      <c r="R382" s="1568">
        <v>60</v>
      </c>
      <c r="S382" s="1188" t="s">
        <v>1954</v>
      </c>
      <c r="T382" s="1592" t="s">
        <v>1955</v>
      </c>
      <c r="U382" s="1569">
        <v>270</v>
      </c>
      <c r="V382" s="1570">
        <v>225</v>
      </c>
      <c r="W382" s="1574">
        <v>180</v>
      </c>
      <c r="X382" s="1778">
        <v>180</v>
      </c>
      <c r="Y382" s="1574">
        <v>180</v>
      </c>
      <c r="Z382" s="1188" t="s">
        <v>1956</v>
      </c>
      <c r="AA382" s="1592" t="s">
        <v>1955</v>
      </c>
      <c r="AB382" s="525"/>
      <c r="AC382" s="525"/>
      <c r="AD382" s="525"/>
      <c r="AE382" s="525"/>
      <c r="AF382" s="1279"/>
    </row>
    <row r="383" spans="3:32" ht="21.75" customHeight="1">
      <c r="C383" s="1575" t="s">
        <v>407</v>
      </c>
      <c r="D383" s="1576"/>
      <c r="E383" s="1567" t="s">
        <v>1201</v>
      </c>
      <c r="F383" s="1568">
        <v>70</v>
      </c>
      <c r="G383" s="1568"/>
      <c r="H383" s="1716" t="s">
        <v>1201</v>
      </c>
      <c r="I383" s="1718">
        <v>70</v>
      </c>
      <c r="J383" s="1188" t="s">
        <v>1201</v>
      </c>
      <c r="K383" s="1568">
        <v>70</v>
      </c>
      <c r="L383" s="1527">
        <v>60</v>
      </c>
      <c r="M383" s="1528">
        <v>60</v>
      </c>
      <c r="N383" s="1567">
        <v>45</v>
      </c>
      <c r="O383" s="1188">
        <v>40</v>
      </c>
      <c r="P383" s="1568">
        <v>30</v>
      </c>
      <c r="Q383" s="1718">
        <v>30</v>
      </c>
      <c r="R383" s="1568">
        <v>30</v>
      </c>
      <c r="S383" s="1188" t="s">
        <v>1954</v>
      </c>
      <c r="T383" s="1592" t="s">
        <v>1955</v>
      </c>
      <c r="U383" s="1569">
        <v>150</v>
      </c>
      <c r="V383" s="1570">
        <v>125</v>
      </c>
      <c r="W383" s="1574">
        <v>100</v>
      </c>
      <c r="X383" s="1778">
        <v>100</v>
      </c>
      <c r="Y383" s="1574">
        <v>100</v>
      </c>
      <c r="Z383" s="1188" t="s">
        <v>1956</v>
      </c>
      <c r="AA383" s="1592" t="s">
        <v>1955</v>
      </c>
      <c r="AB383" s="525"/>
      <c r="AC383" s="525"/>
      <c r="AD383" s="525"/>
      <c r="AE383" s="525"/>
      <c r="AF383" s="1279"/>
    </row>
    <row r="384" spans="3:32" ht="21.75" customHeight="1">
      <c r="C384" s="1575" t="s">
        <v>408</v>
      </c>
      <c r="D384" s="1576"/>
      <c r="E384" s="1567" t="s">
        <v>1201</v>
      </c>
      <c r="F384" s="1568">
        <v>120</v>
      </c>
      <c r="G384" s="1568"/>
      <c r="H384" s="1716" t="s">
        <v>1201</v>
      </c>
      <c r="I384" s="1718">
        <v>120</v>
      </c>
      <c r="J384" s="1188" t="s">
        <v>1201</v>
      </c>
      <c r="K384" s="1568">
        <v>120</v>
      </c>
      <c r="L384" s="1527">
        <v>100</v>
      </c>
      <c r="M384" s="1528">
        <v>100</v>
      </c>
      <c r="N384" s="1567">
        <v>90</v>
      </c>
      <c r="O384" s="1188">
        <v>75</v>
      </c>
      <c r="P384" s="1188">
        <v>60</v>
      </c>
      <c r="Q384" s="1716">
        <v>60</v>
      </c>
      <c r="R384" s="1188">
        <v>60</v>
      </c>
      <c r="S384" s="1188" t="s">
        <v>1954</v>
      </c>
      <c r="T384" s="1592" t="s">
        <v>1955</v>
      </c>
      <c r="U384" s="1569">
        <v>210</v>
      </c>
      <c r="V384" s="1570">
        <v>175</v>
      </c>
      <c r="W384" s="1574">
        <v>140</v>
      </c>
      <c r="X384" s="1778">
        <v>140</v>
      </c>
      <c r="Y384" s="1574">
        <v>140</v>
      </c>
      <c r="Z384" s="1188" t="s">
        <v>1956</v>
      </c>
      <c r="AA384" s="1592" t="s">
        <v>1955</v>
      </c>
      <c r="AB384" s="525"/>
      <c r="AC384" s="525"/>
      <c r="AD384" s="525"/>
      <c r="AE384" s="525"/>
      <c r="AF384" s="1279"/>
    </row>
    <row r="385" spans="3:32" ht="21.75" customHeight="1">
      <c r="C385" s="1575" t="s">
        <v>409</v>
      </c>
      <c r="D385" s="1576"/>
      <c r="E385" s="1567" t="s">
        <v>1201</v>
      </c>
      <c r="F385" s="1568">
        <v>120</v>
      </c>
      <c r="G385" s="1568"/>
      <c r="H385" s="1716" t="s">
        <v>1201</v>
      </c>
      <c r="I385" s="1718">
        <v>120</v>
      </c>
      <c r="J385" s="1188" t="s">
        <v>1201</v>
      </c>
      <c r="K385" s="1568">
        <v>120</v>
      </c>
      <c r="L385" s="1527">
        <v>110</v>
      </c>
      <c r="M385" s="1528">
        <v>110</v>
      </c>
      <c r="N385" s="1567">
        <v>75</v>
      </c>
      <c r="O385" s="1188">
        <v>65</v>
      </c>
      <c r="P385" s="1568">
        <v>50</v>
      </c>
      <c r="Q385" s="1718">
        <v>50</v>
      </c>
      <c r="R385" s="1568">
        <v>50</v>
      </c>
      <c r="S385" s="1188" t="s">
        <v>1954</v>
      </c>
      <c r="T385" s="1592" t="s">
        <v>1955</v>
      </c>
      <c r="U385" s="1569">
        <v>150</v>
      </c>
      <c r="V385" s="1570">
        <v>125</v>
      </c>
      <c r="W385" s="1574">
        <v>100</v>
      </c>
      <c r="X385" s="1778">
        <v>100</v>
      </c>
      <c r="Y385" s="1574">
        <v>100</v>
      </c>
      <c r="Z385" s="1188" t="s">
        <v>1956</v>
      </c>
      <c r="AA385" s="1592" t="s">
        <v>1955</v>
      </c>
      <c r="AB385" s="525"/>
      <c r="AC385" s="525"/>
      <c r="AD385" s="525"/>
      <c r="AE385" s="525"/>
      <c r="AF385" s="1279"/>
    </row>
    <row r="386" spans="3:32" ht="21.75" customHeight="1">
      <c r="C386" s="1575" t="s">
        <v>410</v>
      </c>
      <c r="D386" s="1576"/>
      <c r="E386" s="1567" t="s">
        <v>1201</v>
      </c>
      <c r="F386" s="1568">
        <v>100</v>
      </c>
      <c r="G386" s="1568"/>
      <c r="H386" s="1716" t="s">
        <v>1201</v>
      </c>
      <c r="I386" s="1718">
        <v>100</v>
      </c>
      <c r="J386" s="1188" t="s">
        <v>1201</v>
      </c>
      <c r="K386" s="1568">
        <v>100</v>
      </c>
      <c r="L386" s="1527">
        <v>80</v>
      </c>
      <c r="M386" s="1528">
        <v>80</v>
      </c>
      <c r="N386" s="1567">
        <v>90</v>
      </c>
      <c r="O386" s="1188">
        <v>75</v>
      </c>
      <c r="P386" s="1568">
        <v>60</v>
      </c>
      <c r="Q386" s="1718">
        <v>60</v>
      </c>
      <c r="R386" s="1568">
        <v>60</v>
      </c>
      <c r="S386" s="1188" t="s">
        <v>1954</v>
      </c>
      <c r="T386" s="1592" t="s">
        <v>1955</v>
      </c>
      <c r="U386" s="1569">
        <v>180</v>
      </c>
      <c r="V386" s="1570">
        <v>150</v>
      </c>
      <c r="W386" s="1574">
        <v>120</v>
      </c>
      <c r="X386" s="1778">
        <v>120</v>
      </c>
      <c r="Y386" s="1574">
        <v>120</v>
      </c>
      <c r="Z386" s="1188" t="s">
        <v>1956</v>
      </c>
      <c r="AA386" s="1592" t="s">
        <v>1955</v>
      </c>
      <c r="AB386" s="525"/>
      <c r="AC386" s="525"/>
      <c r="AD386" s="525"/>
      <c r="AE386" s="525"/>
      <c r="AF386" s="1279"/>
    </row>
    <row r="387" spans="3:32" ht="21" customHeight="1">
      <c r="C387" s="1575" t="s">
        <v>411</v>
      </c>
      <c r="D387" s="1576"/>
      <c r="E387" s="1567" t="s">
        <v>1201</v>
      </c>
      <c r="F387" s="1568">
        <v>80</v>
      </c>
      <c r="G387" s="1568"/>
      <c r="H387" s="1716" t="s">
        <v>1201</v>
      </c>
      <c r="I387" s="1718">
        <v>80</v>
      </c>
      <c r="J387" s="1188" t="s">
        <v>1201</v>
      </c>
      <c r="K387" s="1568">
        <v>80</v>
      </c>
      <c r="L387" s="1527">
        <v>70</v>
      </c>
      <c r="M387" s="1528">
        <v>70</v>
      </c>
      <c r="N387" s="1567">
        <v>75</v>
      </c>
      <c r="O387" s="1188">
        <v>65</v>
      </c>
      <c r="P387" s="1568">
        <v>50</v>
      </c>
      <c r="Q387" s="1718">
        <v>50</v>
      </c>
      <c r="R387" s="1568">
        <v>50</v>
      </c>
      <c r="S387" s="1188" t="s">
        <v>1954</v>
      </c>
      <c r="T387" s="1592" t="s">
        <v>1955</v>
      </c>
      <c r="U387" s="1569">
        <v>180</v>
      </c>
      <c r="V387" s="1570">
        <v>150</v>
      </c>
      <c r="W387" s="1574">
        <v>120</v>
      </c>
      <c r="X387" s="1778">
        <v>120</v>
      </c>
      <c r="Y387" s="1574">
        <v>120</v>
      </c>
      <c r="Z387" s="1188" t="s">
        <v>1956</v>
      </c>
      <c r="AA387" s="1592" t="s">
        <v>1955</v>
      </c>
      <c r="AB387" s="525"/>
      <c r="AC387" s="525"/>
      <c r="AD387" s="525"/>
      <c r="AE387" s="525"/>
      <c r="AF387" s="1279"/>
    </row>
    <row r="388" spans="3:32" ht="21" customHeight="1">
      <c r="C388" s="1575" t="s">
        <v>412</v>
      </c>
      <c r="D388" s="1576"/>
      <c r="E388" s="1567" t="s">
        <v>1201</v>
      </c>
      <c r="F388" s="1568">
        <v>50</v>
      </c>
      <c r="G388" s="1568"/>
      <c r="H388" s="1716" t="s">
        <v>1201</v>
      </c>
      <c r="I388" s="1718">
        <v>50</v>
      </c>
      <c r="J388" s="1188" t="s">
        <v>1201</v>
      </c>
      <c r="K388" s="1568">
        <v>50</v>
      </c>
      <c r="L388" s="1527">
        <v>40</v>
      </c>
      <c r="M388" s="1528">
        <v>40</v>
      </c>
      <c r="N388" s="1567">
        <v>90</v>
      </c>
      <c r="O388" s="1188">
        <v>75</v>
      </c>
      <c r="P388" s="1568">
        <v>60</v>
      </c>
      <c r="Q388" s="1718">
        <v>60</v>
      </c>
      <c r="R388" s="1568">
        <v>60</v>
      </c>
      <c r="S388" s="1188" t="s">
        <v>1954</v>
      </c>
      <c r="T388" s="1592" t="s">
        <v>1955</v>
      </c>
      <c r="U388" s="1569">
        <v>120</v>
      </c>
      <c r="V388" s="1570">
        <v>100</v>
      </c>
      <c r="W388" s="1574">
        <v>80</v>
      </c>
      <c r="X388" s="1778">
        <v>80</v>
      </c>
      <c r="Y388" s="1574">
        <v>80</v>
      </c>
      <c r="Z388" s="1188" t="s">
        <v>1956</v>
      </c>
      <c r="AA388" s="1592" t="s">
        <v>1955</v>
      </c>
      <c r="AB388" s="525"/>
      <c r="AC388" s="525"/>
      <c r="AD388" s="525"/>
      <c r="AE388" s="525"/>
      <c r="AF388" s="1279"/>
    </row>
    <row r="389" spans="3:32" ht="21" customHeight="1" thickBot="1">
      <c r="C389" s="1578" t="s">
        <v>413</v>
      </c>
      <c r="D389" s="1579"/>
      <c r="E389" s="1567" t="s">
        <v>1201</v>
      </c>
      <c r="F389" s="1568">
        <v>200</v>
      </c>
      <c r="G389" s="1568"/>
      <c r="H389" s="1716" t="s">
        <v>1201</v>
      </c>
      <c r="I389" s="1718">
        <v>200</v>
      </c>
      <c r="J389" s="1188" t="s">
        <v>1201</v>
      </c>
      <c r="K389" s="1568">
        <v>200</v>
      </c>
      <c r="L389" s="1527">
        <v>170</v>
      </c>
      <c r="M389" s="1528">
        <v>170</v>
      </c>
      <c r="N389" s="1567">
        <v>90</v>
      </c>
      <c r="O389" s="1188">
        <v>75</v>
      </c>
      <c r="P389" s="1568">
        <v>60</v>
      </c>
      <c r="Q389" s="1718">
        <v>60</v>
      </c>
      <c r="R389" s="1568">
        <v>60</v>
      </c>
      <c r="S389" s="1188" t="s">
        <v>1954</v>
      </c>
      <c r="T389" s="1592" t="s">
        <v>1955</v>
      </c>
      <c r="U389" s="1569">
        <v>210</v>
      </c>
      <c r="V389" s="1570">
        <v>175</v>
      </c>
      <c r="W389" s="1574">
        <v>140</v>
      </c>
      <c r="X389" s="1778">
        <v>140</v>
      </c>
      <c r="Y389" s="1574">
        <v>140</v>
      </c>
      <c r="Z389" s="1188" t="s">
        <v>1956</v>
      </c>
      <c r="AA389" s="1592" t="s">
        <v>1955</v>
      </c>
      <c r="AB389" s="525"/>
      <c r="AC389" s="525"/>
      <c r="AD389" s="525"/>
      <c r="AE389" s="525"/>
      <c r="AF389" s="1279"/>
    </row>
    <row r="390" spans="3:32" ht="21" customHeight="1" thickBot="1">
      <c r="C390" s="526"/>
      <c r="D390" s="525"/>
      <c r="E390" s="1601" t="s">
        <v>125</v>
      </c>
      <c r="F390" s="1602"/>
      <c r="G390" s="1602"/>
      <c r="H390" s="1602"/>
      <c r="I390" s="1602"/>
      <c r="J390" s="1602"/>
      <c r="K390" s="1602"/>
      <c r="L390" s="1602"/>
      <c r="M390" s="1603"/>
      <c r="N390" s="1601" t="s">
        <v>295</v>
      </c>
      <c r="O390" s="1602"/>
      <c r="P390" s="1602"/>
      <c r="Q390" s="1602"/>
      <c r="R390" s="1602"/>
      <c r="S390" s="1602"/>
      <c r="T390" s="1603"/>
      <c r="U390" s="1601" t="s">
        <v>296</v>
      </c>
      <c r="V390" s="1602"/>
      <c r="W390" s="1602"/>
      <c r="X390" s="525"/>
      <c r="Y390" s="525"/>
      <c r="Z390" s="525"/>
      <c r="AA390" s="1604"/>
      <c r="AB390" s="525"/>
      <c r="AC390" s="525"/>
      <c r="AD390" s="525"/>
      <c r="AE390" s="525"/>
      <c r="AF390" s="1279"/>
    </row>
    <row r="391" spans="3:32" ht="21" customHeight="1">
      <c r="C391" s="1773" t="s">
        <v>414</v>
      </c>
      <c r="D391" s="1771"/>
      <c r="E391" s="2589" t="s">
        <v>1784</v>
      </c>
      <c r="F391" s="2590"/>
      <c r="G391" s="2223"/>
      <c r="H391" s="2590" t="s">
        <v>1095</v>
      </c>
      <c r="I391" s="2590"/>
      <c r="J391" s="2590" t="s">
        <v>1839</v>
      </c>
      <c r="K391" s="2590"/>
      <c r="L391" s="1716"/>
      <c r="M391" s="1752"/>
      <c r="N391" s="1744" t="s">
        <v>1938</v>
      </c>
      <c r="O391" s="1719" t="s">
        <v>1939</v>
      </c>
      <c r="P391" s="1716" t="s">
        <v>1784</v>
      </c>
      <c r="Q391" s="1716" t="s">
        <v>1095</v>
      </c>
      <c r="R391" s="1716" t="s">
        <v>1839</v>
      </c>
      <c r="S391" s="1739" t="s">
        <v>1941</v>
      </c>
      <c r="T391" s="1740" t="s">
        <v>1942</v>
      </c>
      <c r="U391" s="1745" t="s">
        <v>1938</v>
      </c>
      <c r="V391" s="1718" t="s">
        <v>1939</v>
      </c>
      <c r="W391" s="1766" t="s">
        <v>1784</v>
      </c>
      <c r="X391" s="1766" t="s">
        <v>1095</v>
      </c>
      <c r="Y391" s="1766" t="s">
        <v>1839</v>
      </c>
      <c r="Z391" s="1739" t="s">
        <v>1941</v>
      </c>
      <c r="AA391" s="1740" t="s">
        <v>1942</v>
      </c>
      <c r="AB391" s="525"/>
      <c r="AC391" s="525"/>
      <c r="AD391" s="525"/>
      <c r="AE391" s="525"/>
      <c r="AF391" s="1279"/>
    </row>
    <row r="392" spans="3:32" ht="30" customHeight="1">
      <c r="C392" s="1575" t="s">
        <v>415</v>
      </c>
      <c r="D392" s="1576"/>
      <c r="E392" s="1567" t="s">
        <v>1201</v>
      </c>
      <c r="F392" s="1568">
        <v>5</v>
      </c>
      <c r="G392" s="1568"/>
      <c r="H392" s="1716" t="s">
        <v>1201</v>
      </c>
      <c r="I392" s="1718">
        <v>5</v>
      </c>
      <c r="J392" s="1188" t="s">
        <v>1201</v>
      </c>
      <c r="K392" s="1568">
        <v>5</v>
      </c>
      <c r="L392" s="1188"/>
      <c r="M392" s="1592"/>
      <c r="N392" s="1567">
        <v>10</v>
      </c>
      <c r="O392" s="1188">
        <v>5</v>
      </c>
      <c r="P392" s="1568">
        <v>5</v>
      </c>
      <c r="Q392" s="1718">
        <v>5</v>
      </c>
      <c r="R392" s="1568">
        <v>5</v>
      </c>
      <c r="S392" s="1568">
        <v>5</v>
      </c>
      <c r="T392" s="1592" t="s">
        <v>1201</v>
      </c>
      <c r="U392" s="1567">
        <v>10</v>
      </c>
      <c r="V392" s="1188">
        <v>5</v>
      </c>
      <c r="W392" s="1568">
        <v>5</v>
      </c>
      <c r="X392" s="1718">
        <v>5</v>
      </c>
      <c r="Y392" s="1568">
        <v>5</v>
      </c>
      <c r="Z392" s="1568">
        <v>5</v>
      </c>
      <c r="AA392" s="1592" t="s">
        <v>1201</v>
      </c>
      <c r="AB392" s="525"/>
      <c r="AC392" s="525"/>
      <c r="AD392" s="525"/>
      <c r="AE392" s="525"/>
      <c r="AF392" s="1279"/>
    </row>
    <row r="393" spans="3:32" ht="21" customHeight="1">
      <c r="C393" s="1575" t="s">
        <v>416</v>
      </c>
      <c r="D393" s="1576"/>
      <c r="E393" s="1567" t="s">
        <v>1201</v>
      </c>
      <c r="F393" s="1568">
        <v>10</v>
      </c>
      <c r="G393" s="1568"/>
      <c r="H393" s="1716" t="s">
        <v>1201</v>
      </c>
      <c r="I393" s="1718">
        <v>10</v>
      </c>
      <c r="J393" s="1188" t="s">
        <v>1201</v>
      </c>
      <c r="K393" s="1568">
        <v>10</v>
      </c>
      <c r="L393" s="1188"/>
      <c r="M393" s="1592"/>
      <c r="N393" s="1567">
        <v>10</v>
      </c>
      <c r="O393" s="1188">
        <v>5</v>
      </c>
      <c r="P393" s="1568">
        <v>5</v>
      </c>
      <c r="Q393" s="1718">
        <v>5</v>
      </c>
      <c r="R393" s="1568">
        <v>5</v>
      </c>
      <c r="S393" s="1568">
        <v>5</v>
      </c>
      <c r="T393" s="1592" t="s">
        <v>1201</v>
      </c>
      <c r="U393" s="1567">
        <v>15</v>
      </c>
      <c r="V393" s="1188">
        <v>15</v>
      </c>
      <c r="W393" s="1568">
        <v>10</v>
      </c>
      <c r="X393" s="1718">
        <v>10</v>
      </c>
      <c r="Y393" s="1568">
        <v>10</v>
      </c>
      <c r="Z393" s="1568">
        <v>5</v>
      </c>
      <c r="AA393" s="1592" t="s">
        <v>1201</v>
      </c>
      <c r="AB393" s="525"/>
      <c r="AC393" s="525"/>
      <c r="AD393" s="525"/>
      <c r="AE393" s="525"/>
      <c r="AF393" s="1279"/>
    </row>
    <row r="394" spans="3:32" ht="21" customHeight="1">
      <c r="C394" s="1575" t="s">
        <v>417</v>
      </c>
      <c r="D394" s="1576"/>
      <c r="E394" s="1567" t="s">
        <v>1201</v>
      </c>
      <c r="F394" s="1568">
        <v>20</v>
      </c>
      <c r="G394" s="1568"/>
      <c r="H394" s="1716" t="s">
        <v>1201</v>
      </c>
      <c r="I394" s="1718">
        <v>20</v>
      </c>
      <c r="J394" s="1188" t="s">
        <v>1201</v>
      </c>
      <c r="K394" s="1568">
        <v>20</v>
      </c>
      <c r="L394" s="1188"/>
      <c r="M394" s="1592"/>
      <c r="N394" s="1567">
        <v>15</v>
      </c>
      <c r="O394" s="1188">
        <v>15</v>
      </c>
      <c r="P394" s="1568">
        <v>10</v>
      </c>
      <c r="Q394" s="1718">
        <v>10</v>
      </c>
      <c r="R394" s="1568">
        <v>10</v>
      </c>
      <c r="S394" s="1568">
        <v>5</v>
      </c>
      <c r="T394" s="1592" t="s">
        <v>1201</v>
      </c>
      <c r="U394" s="1567">
        <v>25</v>
      </c>
      <c r="V394" s="1188">
        <v>20</v>
      </c>
      <c r="W394" s="1568">
        <v>15</v>
      </c>
      <c r="X394" s="1718">
        <v>15</v>
      </c>
      <c r="Y394" s="1568">
        <v>15</v>
      </c>
      <c r="Z394" s="1568">
        <v>10</v>
      </c>
      <c r="AA394" s="1592" t="s">
        <v>1201</v>
      </c>
      <c r="AB394" s="525"/>
      <c r="AC394" s="525"/>
      <c r="AD394" s="525"/>
      <c r="AE394" s="525"/>
      <c r="AF394" s="1279"/>
    </row>
    <row r="395" spans="3:32" ht="21" customHeight="1">
      <c r="C395" s="1575" t="s">
        <v>418</v>
      </c>
      <c r="D395" s="1576"/>
      <c r="E395" s="1567" t="s">
        <v>1201</v>
      </c>
      <c r="F395" s="1188">
        <v>30</v>
      </c>
      <c r="G395" s="1188"/>
      <c r="H395" s="1716" t="s">
        <v>1201</v>
      </c>
      <c r="I395" s="1716">
        <v>30</v>
      </c>
      <c r="J395" s="1188" t="s">
        <v>1201</v>
      </c>
      <c r="K395" s="1188">
        <v>30</v>
      </c>
      <c r="L395" s="1188"/>
      <c r="M395" s="1592"/>
      <c r="N395" s="1567">
        <v>15</v>
      </c>
      <c r="O395" s="1188">
        <v>15</v>
      </c>
      <c r="P395" s="1568">
        <v>10</v>
      </c>
      <c r="Q395" s="1718">
        <v>10</v>
      </c>
      <c r="R395" s="1568">
        <v>10</v>
      </c>
      <c r="S395" s="1568">
        <v>5</v>
      </c>
      <c r="T395" s="1592" t="s">
        <v>1201</v>
      </c>
      <c r="U395" s="1567">
        <v>30</v>
      </c>
      <c r="V395" s="1188">
        <v>25</v>
      </c>
      <c r="W395" s="1568">
        <v>20</v>
      </c>
      <c r="X395" s="1718">
        <v>20</v>
      </c>
      <c r="Y395" s="1568">
        <v>20</v>
      </c>
      <c r="Z395" s="1568">
        <v>10</v>
      </c>
      <c r="AA395" s="1592" t="s">
        <v>1201</v>
      </c>
      <c r="AB395" s="525"/>
      <c r="AC395" s="525"/>
      <c r="AD395" s="525"/>
      <c r="AE395" s="525"/>
      <c r="AF395" s="1279"/>
    </row>
    <row r="396" spans="3:32" ht="15.6">
      <c r="C396" s="1575" t="s">
        <v>419</v>
      </c>
      <c r="D396" s="1576"/>
      <c r="E396" s="1567" t="s">
        <v>1201</v>
      </c>
      <c r="F396" s="1188">
        <v>50</v>
      </c>
      <c r="G396" s="1188"/>
      <c r="H396" s="1716" t="s">
        <v>1201</v>
      </c>
      <c r="I396" s="1716">
        <v>50</v>
      </c>
      <c r="J396" s="1188" t="s">
        <v>1201</v>
      </c>
      <c r="K396" s="1188">
        <v>50</v>
      </c>
      <c r="L396" s="1188"/>
      <c r="M396" s="1592"/>
      <c r="N396" s="1567">
        <v>30</v>
      </c>
      <c r="O396" s="1188">
        <v>25</v>
      </c>
      <c r="P396" s="1568">
        <v>20</v>
      </c>
      <c r="Q396" s="1718">
        <v>20</v>
      </c>
      <c r="R396" s="1568">
        <v>20</v>
      </c>
      <c r="S396" s="1568">
        <v>10</v>
      </c>
      <c r="T396" s="1592" t="s">
        <v>1201</v>
      </c>
      <c r="U396" s="1567">
        <v>45</v>
      </c>
      <c r="V396" s="1188">
        <v>40</v>
      </c>
      <c r="W396" s="1568">
        <v>30</v>
      </c>
      <c r="X396" s="1718">
        <v>30</v>
      </c>
      <c r="Y396" s="1568">
        <v>30</v>
      </c>
      <c r="Z396" s="1568">
        <v>15</v>
      </c>
      <c r="AA396" s="1592" t="s">
        <v>1201</v>
      </c>
      <c r="AB396" s="525"/>
      <c r="AC396" s="525"/>
      <c r="AD396" s="525"/>
      <c r="AE396" s="525"/>
    </row>
    <row r="397" spans="3:32" ht="15.6">
      <c r="C397" s="1575" t="s">
        <v>420</v>
      </c>
      <c r="D397" s="1576"/>
      <c r="E397" s="1567" t="s">
        <v>1201</v>
      </c>
      <c r="F397" s="1188">
        <v>70</v>
      </c>
      <c r="G397" s="1188"/>
      <c r="H397" s="1716" t="s">
        <v>1201</v>
      </c>
      <c r="I397" s="1716">
        <v>70</v>
      </c>
      <c r="J397" s="1188" t="s">
        <v>1201</v>
      </c>
      <c r="K397" s="1188">
        <v>70</v>
      </c>
      <c r="L397" s="1188"/>
      <c r="M397" s="1592"/>
      <c r="N397" s="1567">
        <v>30</v>
      </c>
      <c r="O397" s="1188">
        <v>25</v>
      </c>
      <c r="P397" s="1568">
        <v>20</v>
      </c>
      <c r="Q397" s="1718">
        <v>20</v>
      </c>
      <c r="R397" s="1568">
        <v>20</v>
      </c>
      <c r="S397" s="1568">
        <v>10</v>
      </c>
      <c r="T397" s="1592" t="s">
        <v>1201</v>
      </c>
      <c r="U397" s="1567">
        <v>60</v>
      </c>
      <c r="V397" s="1188">
        <v>50</v>
      </c>
      <c r="W397" s="1568">
        <v>40</v>
      </c>
      <c r="X397" s="1718">
        <v>40</v>
      </c>
      <c r="Y397" s="1568">
        <v>40</v>
      </c>
      <c r="Z397" s="1568">
        <v>20</v>
      </c>
      <c r="AA397" s="1592" t="s">
        <v>1201</v>
      </c>
      <c r="AB397" s="525"/>
      <c r="AC397" s="525"/>
      <c r="AD397" s="525"/>
      <c r="AE397" s="525"/>
    </row>
    <row r="398" spans="3:32" ht="15.6">
      <c r="C398" s="1575" t="s">
        <v>421</v>
      </c>
      <c r="D398" s="1576"/>
      <c r="E398" s="1567" t="s">
        <v>1201</v>
      </c>
      <c r="F398" s="1188">
        <v>80</v>
      </c>
      <c r="G398" s="1188"/>
      <c r="H398" s="1716" t="s">
        <v>1201</v>
      </c>
      <c r="I398" s="1716">
        <v>80</v>
      </c>
      <c r="J398" s="1188" t="s">
        <v>1201</v>
      </c>
      <c r="K398" s="1188">
        <v>80</v>
      </c>
      <c r="L398" s="1188"/>
      <c r="M398" s="1592"/>
      <c r="N398" s="1567">
        <v>45</v>
      </c>
      <c r="O398" s="1188">
        <v>40</v>
      </c>
      <c r="P398" s="1568">
        <v>30</v>
      </c>
      <c r="Q398" s="1718">
        <v>30</v>
      </c>
      <c r="R398" s="1568">
        <v>30</v>
      </c>
      <c r="S398" s="1568">
        <v>15</v>
      </c>
      <c r="T398" s="1592" t="s">
        <v>1201</v>
      </c>
      <c r="U398" s="1567">
        <v>75</v>
      </c>
      <c r="V398" s="1188">
        <v>65</v>
      </c>
      <c r="W398" s="1568">
        <v>50</v>
      </c>
      <c r="X398" s="1718">
        <v>50</v>
      </c>
      <c r="Y398" s="1568">
        <v>50</v>
      </c>
      <c r="Z398" s="1568">
        <v>25</v>
      </c>
      <c r="AA398" s="1592" t="s">
        <v>1201</v>
      </c>
      <c r="AB398" s="525"/>
      <c r="AC398" s="525"/>
      <c r="AD398" s="525"/>
      <c r="AE398" s="525"/>
    </row>
    <row r="399" spans="3:32" ht="15.6">
      <c r="C399" s="1575" t="s">
        <v>422</v>
      </c>
      <c r="D399" s="1576"/>
      <c r="E399" s="1567" t="s">
        <v>1201</v>
      </c>
      <c r="F399" s="1188">
        <v>100</v>
      </c>
      <c r="G399" s="1188"/>
      <c r="H399" s="1716" t="s">
        <v>1201</v>
      </c>
      <c r="I399" s="1716">
        <v>100</v>
      </c>
      <c r="J399" s="1188" t="s">
        <v>1201</v>
      </c>
      <c r="K399" s="1188">
        <v>100</v>
      </c>
      <c r="L399" s="1188"/>
      <c r="M399" s="1592"/>
      <c r="N399" s="1567">
        <v>45</v>
      </c>
      <c r="O399" s="1188">
        <v>40</v>
      </c>
      <c r="P399" s="1568">
        <v>30</v>
      </c>
      <c r="Q399" s="1718">
        <v>30</v>
      </c>
      <c r="R399" s="1568">
        <v>30</v>
      </c>
      <c r="S399" s="1568">
        <v>15</v>
      </c>
      <c r="T399" s="1592" t="s">
        <v>1201</v>
      </c>
      <c r="U399" s="1567">
        <v>90</v>
      </c>
      <c r="V399" s="1188">
        <v>75</v>
      </c>
      <c r="W399" s="1568">
        <v>60</v>
      </c>
      <c r="X399" s="1718">
        <v>60</v>
      </c>
      <c r="Y399" s="1568">
        <v>60</v>
      </c>
      <c r="Z399" s="1568">
        <v>30</v>
      </c>
      <c r="AA399" s="1592" t="s">
        <v>1201</v>
      </c>
      <c r="AB399" s="525"/>
      <c r="AC399" s="525"/>
      <c r="AD399" s="525"/>
      <c r="AE399" s="525"/>
    </row>
    <row r="400" spans="3:32" ht="15.6">
      <c r="C400" s="1575" t="s">
        <v>423</v>
      </c>
      <c r="D400" s="1576"/>
      <c r="E400" s="1567" t="s">
        <v>1201</v>
      </c>
      <c r="F400" s="1188">
        <v>140</v>
      </c>
      <c r="G400" s="1188"/>
      <c r="H400" s="1716" t="s">
        <v>1201</v>
      </c>
      <c r="I400" s="1716">
        <v>140</v>
      </c>
      <c r="J400" s="1188" t="s">
        <v>1201</v>
      </c>
      <c r="K400" s="1188">
        <v>140</v>
      </c>
      <c r="L400" s="1188"/>
      <c r="M400" s="1592"/>
      <c r="N400" s="1567">
        <v>75</v>
      </c>
      <c r="O400" s="1188">
        <v>65</v>
      </c>
      <c r="P400" s="1568">
        <v>50</v>
      </c>
      <c r="Q400" s="1718">
        <v>50</v>
      </c>
      <c r="R400" s="1568">
        <v>50</v>
      </c>
      <c r="S400" s="1568">
        <v>25</v>
      </c>
      <c r="T400" s="1592" t="s">
        <v>1201</v>
      </c>
      <c r="U400" s="1567">
        <v>135</v>
      </c>
      <c r="V400" s="1188">
        <v>115</v>
      </c>
      <c r="W400" s="1568">
        <v>90</v>
      </c>
      <c r="X400" s="1718">
        <v>90</v>
      </c>
      <c r="Y400" s="1568">
        <v>90</v>
      </c>
      <c r="Z400" s="1568">
        <v>45</v>
      </c>
      <c r="AA400" s="1592" t="s">
        <v>1201</v>
      </c>
      <c r="AB400" s="525"/>
      <c r="AC400" s="525"/>
      <c r="AD400" s="525"/>
      <c r="AE400" s="525"/>
    </row>
    <row r="401" spans="3:31" ht="15.6">
      <c r="C401" s="1575" t="s">
        <v>424</v>
      </c>
      <c r="D401" s="1576"/>
      <c r="E401" s="1567" t="s">
        <v>1201</v>
      </c>
      <c r="F401" s="1188">
        <v>150</v>
      </c>
      <c r="G401" s="1188"/>
      <c r="H401" s="1716" t="s">
        <v>1201</v>
      </c>
      <c r="I401" s="1716">
        <v>150</v>
      </c>
      <c r="J401" s="1188" t="s">
        <v>1201</v>
      </c>
      <c r="K401" s="1188">
        <v>150</v>
      </c>
      <c r="L401" s="1188"/>
      <c r="M401" s="1592"/>
      <c r="N401" s="1567">
        <v>75</v>
      </c>
      <c r="O401" s="1188">
        <v>65</v>
      </c>
      <c r="P401" s="1568">
        <v>50</v>
      </c>
      <c r="Q401" s="1718">
        <v>50</v>
      </c>
      <c r="R401" s="1568">
        <v>50</v>
      </c>
      <c r="S401" s="1568">
        <v>25</v>
      </c>
      <c r="T401" s="1592" t="s">
        <v>1201</v>
      </c>
      <c r="U401" s="1567">
        <v>150</v>
      </c>
      <c r="V401" s="1188">
        <v>125</v>
      </c>
      <c r="W401" s="1568">
        <v>100</v>
      </c>
      <c r="X401" s="1718">
        <v>100</v>
      </c>
      <c r="Y401" s="1568">
        <v>100</v>
      </c>
      <c r="Z401" s="1568">
        <v>50</v>
      </c>
      <c r="AA401" s="1592" t="s">
        <v>1201</v>
      </c>
      <c r="AB401" s="525"/>
      <c r="AC401" s="525"/>
      <c r="AD401" s="525"/>
      <c r="AE401" s="525"/>
    </row>
    <row r="402" spans="3:31" ht="15.6">
      <c r="C402" s="1575" t="s">
        <v>425</v>
      </c>
      <c r="D402" s="1576"/>
      <c r="E402" s="1567" t="s">
        <v>1201</v>
      </c>
      <c r="F402" s="1188">
        <v>175</v>
      </c>
      <c r="G402" s="1188"/>
      <c r="H402" s="1716" t="s">
        <v>1201</v>
      </c>
      <c r="I402" s="1716">
        <v>175</v>
      </c>
      <c r="J402" s="1188" t="s">
        <v>1201</v>
      </c>
      <c r="K402" s="1188">
        <v>175</v>
      </c>
      <c r="L402" s="1188"/>
      <c r="M402" s="1592"/>
      <c r="N402" s="1567">
        <v>90</v>
      </c>
      <c r="O402" s="1188">
        <v>75</v>
      </c>
      <c r="P402" s="1568">
        <v>60</v>
      </c>
      <c r="Q402" s="1718">
        <v>60</v>
      </c>
      <c r="R402" s="1568">
        <v>60</v>
      </c>
      <c r="S402" s="1568">
        <v>30</v>
      </c>
      <c r="T402" s="1592" t="s">
        <v>1201</v>
      </c>
      <c r="U402" s="1567">
        <v>180</v>
      </c>
      <c r="V402" s="1188">
        <v>150</v>
      </c>
      <c r="W402" s="1568">
        <v>120</v>
      </c>
      <c r="X402" s="1718">
        <v>120</v>
      </c>
      <c r="Y402" s="1568">
        <v>120</v>
      </c>
      <c r="Z402" s="1568">
        <v>60</v>
      </c>
      <c r="AA402" s="1592" t="s">
        <v>1201</v>
      </c>
      <c r="AB402" s="525"/>
      <c r="AC402" s="525"/>
      <c r="AD402" s="525"/>
      <c r="AE402" s="525"/>
    </row>
    <row r="403" spans="3:31" ht="15.6">
      <c r="C403" s="1575" t="s">
        <v>426</v>
      </c>
      <c r="D403" s="1576"/>
      <c r="E403" s="1567" t="s">
        <v>1201</v>
      </c>
      <c r="F403" s="1188">
        <v>25</v>
      </c>
      <c r="G403" s="1188"/>
      <c r="H403" s="1716" t="s">
        <v>1201</v>
      </c>
      <c r="I403" s="1716">
        <v>25</v>
      </c>
      <c r="J403" s="1188" t="s">
        <v>1201</v>
      </c>
      <c r="K403" s="1188">
        <v>25</v>
      </c>
      <c r="L403" s="1188"/>
      <c r="M403" s="1592"/>
      <c r="N403" s="1567">
        <v>15</v>
      </c>
      <c r="O403" s="1188">
        <v>15</v>
      </c>
      <c r="P403" s="1568">
        <v>10</v>
      </c>
      <c r="Q403" s="1718">
        <v>10</v>
      </c>
      <c r="R403" s="1568">
        <v>10</v>
      </c>
      <c r="S403" s="1568">
        <v>5</v>
      </c>
      <c r="T403" s="1592" t="s">
        <v>1201</v>
      </c>
      <c r="U403" s="1567">
        <v>25</v>
      </c>
      <c r="V403" s="1188">
        <v>20</v>
      </c>
      <c r="W403" s="1568">
        <v>15</v>
      </c>
      <c r="X403" s="1718">
        <v>15</v>
      </c>
      <c r="Y403" s="1568">
        <v>15</v>
      </c>
      <c r="Z403" s="1568">
        <v>10</v>
      </c>
      <c r="AA403" s="1592" t="s">
        <v>1201</v>
      </c>
      <c r="AB403" s="525"/>
      <c r="AC403" s="525"/>
      <c r="AD403" s="525"/>
      <c r="AE403" s="525"/>
    </row>
    <row r="404" spans="3:31" ht="15.6">
      <c r="C404" s="1575" t="s">
        <v>427</v>
      </c>
      <c r="D404" s="1576"/>
      <c r="E404" s="1567" t="s">
        <v>1201</v>
      </c>
      <c r="F404" s="1188">
        <v>40</v>
      </c>
      <c r="G404" s="1188"/>
      <c r="H404" s="1716" t="s">
        <v>1201</v>
      </c>
      <c r="I404" s="1716">
        <v>40</v>
      </c>
      <c r="J404" s="1188" t="s">
        <v>1201</v>
      </c>
      <c r="K404" s="1188">
        <v>40</v>
      </c>
      <c r="L404" s="1188"/>
      <c r="M404" s="1592"/>
      <c r="N404" s="1567">
        <v>25</v>
      </c>
      <c r="O404" s="1188">
        <v>20</v>
      </c>
      <c r="P404" s="1568">
        <v>15</v>
      </c>
      <c r="Q404" s="1718">
        <v>15</v>
      </c>
      <c r="R404" s="1568">
        <v>15</v>
      </c>
      <c r="S404" s="1568">
        <v>10</v>
      </c>
      <c r="T404" s="1592" t="s">
        <v>1201</v>
      </c>
      <c r="U404" s="1567">
        <v>40</v>
      </c>
      <c r="V404" s="1188">
        <v>30</v>
      </c>
      <c r="W404" s="1568">
        <v>25</v>
      </c>
      <c r="X404" s="1718">
        <v>25</v>
      </c>
      <c r="Y404" s="1568">
        <v>25</v>
      </c>
      <c r="Z404" s="1568">
        <v>10</v>
      </c>
      <c r="AA404" s="1592" t="s">
        <v>1201</v>
      </c>
      <c r="AB404" s="525"/>
      <c r="AC404" s="525"/>
      <c r="AD404" s="525"/>
      <c r="AE404" s="525"/>
    </row>
    <row r="405" spans="3:31" ht="15.6">
      <c r="C405" s="1575" t="s">
        <v>428</v>
      </c>
      <c r="D405" s="1576"/>
      <c r="E405" s="1567" t="s">
        <v>1201</v>
      </c>
      <c r="F405" s="1188">
        <v>55</v>
      </c>
      <c r="G405" s="1188"/>
      <c r="H405" s="1716" t="s">
        <v>1201</v>
      </c>
      <c r="I405" s="1716">
        <v>55</v>
      </c>
      <c r="J405" s="1188" t="s">
        <v>1201</v>
      </c>
      <c r="K405" s="1188">
        <v>55</v>
      </c>
      <c r="L405" s="1188"/>
      <c r="M405" s="1592"/>
      <c r="N405" s="1567">
        <v>25</v>
      </c>
      <c r="O405" s="1188">
        <v>20</v>
      </c>
      <c r="P405" s="1568">
        <v>15</v>
      </c>
      <c r="Q405" s="1718">
        <v>15</v>
      </c>
      <c r="R405" s="1568">
        <v>15</v>
      </c>
      <c r="S405" s="1568">
        <v>10</v>
      </c>
      <c r="T405" s="1592" t="s">
        <v>1201</v>
      </c>
      <c r="U405" s="1567">
        <v>45</v>
      </c>
      <c r="V405" s="1188">
        <v>40</v>
      </c>
      <c r="W405" s="1568">
        <v>30</v>
      </c>
      <c r="X405" s="1718">
        <v>30</v>
      </c>
      <c r="Y405" s="1568">
        <v>30</v>
      </c>
      <c r="Z405" s="1568">
        <v>15</v>
      </c>
      <c r="AA405" s="1592" t="s">
        <v>1201</v>
      </c>
      <c r="AB405" s="525"/>
      <c r="AC405" s="525"/>
      <c r="AD405" s="525"/>
      <c r="AE405" s="525"/>
    </row>
    <row r="406" spans="3:31" ht="15.6">
      <c r="C406" s="1575" t="s">
        <v>429</v>
      </c>
      <c r="D406" s="1576"/>
      <c r="E406" s="1567" t="s">
        <v>1201</v>
      </c>
      <c r="F406" s="1188">
        <v>65</v>
      </c>
      <c r="G406" s="1188"/>
      <c r="H406" s="1716" t="s">
        <v>1201</v>
      </c>
      <c r="I406" s="1716">
        <v>65</v>
      </c>
      <c r="J406" s="1188" t="s">
        <v>1201</v>
      </c>
      <c r="K406" s="1188">
        <v>65</v>
      </c>
      <c r="L406" s="1188"/>
      <c r="M406" s="1592"/>
      <c r="N406" s="1567">
        <v>40</v>
      </c>
      <c r="O406" s="1188">
        <v>30</v>
      </c>
      <c r="P406" s="1568">
        <v>25</v>
      </c>
      <c r="Q406" s="1718">
        <v>25</v>
      </c>
      <c r="R406" s="1568">
        <v>25</v>
      </c>
      <c r="S406" s="1568">
        <v>10</v>
      </c>
      <c r="T406" s="1592" t="s">
        <v>1201</v>
      </c>
      <c r="U406" s="1567">
        <v>60</v>
      </c>
      <c r="V406" s="1188">
        <v>50</v>
      </c>
      <c r="W406" s="1568">
        <v>40</v>
      </c>
      <c r="X406" s="1718">
        <v>40</v>
      </c>
      <c r="Y406" s="1568">
        <v>40</v>
      </c>
      <c r="Z406" s="1568">
        <v>20</v>
      </c>
      <c r="AA406" s="1592" t="s">
        <v>1201</v>
      </c>
      <c r="AB406" s="525"/>
      <c r="AC406" s="525"/>
      <c r="AD406" s="525"/>
      <c r="AE406" s="525"/>
    </row>
    <row r="407" spans="3:31" ht="15.6">
      <c r="C407" s="1575" t="s">
        <v>430</v>
      </c>
      <c r="D407" s="1576"/>
      <c r="E407" s="1567" t="s">
        <v>1201</v>
      </c>
      <c r="F407" s="1188">
        <v>80</v>
      </c>
      <c r="G407" s="1188"/>
      <c r="H407" s="1716" t="s">
        <v>1201</v>
      </c>
      <c r="I407" s="1716">
        <v>80</v>
      </c>
      <c r="J407" s="1188" t="s">
        <v>1201</v>
      </c>
      <c r="K407" s="1188">
        <v>80</v>
      </c>
      <c r="L407" s="1188"/>
      <c r="M407" s="1592"/>
      <c r="N407" s="1567">
        <v>40</v>
      </c>
      <c r="O407" s="1188">
        <v>30</v>
      </c>
      <c r="P407" s="1568">
        <v>25</v>
      </c>
      <c r="Q407" s="1718">
        <v>25</v>
      </c>
      <c r="R407" s="1568">
        <v>25</v>
      </c>
      <c r="S407" s="1568">
        <v>10</v>
      </c>
      <c r="T407" s="1592" t="s">
        <v>1201</v>
      </c>
      <c r="U407" s="1567">
        <v>75</v>
      </c>
      <c r="V407" s="1188">
        <v>65</v>
      </c>
      <c r="W407" s="1568">
        <v>50</v>
      </c>
      <c r="X407" s="1718">
        <v>50</v>
      </c>
      <c r="Y407" s="1568">
        <v>50</v>
      </c>
      <c r="Z407" s="1568">
        <v>25</v>
      </c>
      <c r="AA407" s="1592" t="s">
        <v>1201</v>
      </c>
      <c r="AB407" s="525"/>
      <c r="AC407" s="525"/>
      <c r="AD407" s="525"/>
      <c r="AE407" s="525"/>
    </row>
    <row r="408" spans="3:31" ht="15.6">
      <c r="C408" s="1575" t="s">
        <v>431</v>
      </c>
      <c r="D408" s="1576"/>
      <c r="E408" s="1567" t="s">
        <v>1201</v>
      </c>
      <c r="F408" s="1188">
        <v>110</v>
      </c>
      <c r="G408" s="1188"/>
      <c r="H408" s="1716" t="s">
        <v>1201</v>
      </c>
      <c r="I408" s="1716">
        <v>110</v>
      </c>
      <c r="J408" s="1188" t="s">
        <v>1201</v>
      </c>
      <c r="K408" s="1188">
        <v>110</v>
      </c>
      <c r="L408" s="1188"/>
      <c r="M408" s="1592"/>
      <c r="N408" s="1567">
        <v>60</v>
      </c>
      <c r="O408" s="1188">
        <v>50</v>
      </c>
      <c r="P408" s="1568">
        <v>40</v>
      </c>
      <c r="Q408" s="1718">
        <v>40</v>
      </c>
      <c r="R408" s="1568">
        <v>40</v>
      </c>
      <c r="S408" s="1568">
        <v>20</v>
      </c>
      <c r="T408" s="1592" t="s">
        <v>1201</v>
      </c>
      <c r="U408" s="1567">
        <v>105</v>
      </c>
      <c r="V408" s="1188">
        <v>90</v>
      </c>
      <c r="W408" s="1568">
        <v>70</v>
      </c>
      <c r="X408" s="1718">
        <v>70</v>
      </c>
      <c r="Y408" s="1568">
        <v>70</v>
      </c>
      <c r="Z408" s="1568">
        <v>35</v>
      </c>
      <c r="AA408" s="1592" t="s">
        <v>1201</v>
      </c>
      <c r="AB408" s="525"/>
      <c r="AC408" s="525"/>
      <c r="AD408" s="525"/>
      <c r="AE408" s="525"/>
    </row>
    <row r="409" spans="3:31" ht="15.6">
      <c r="C409" s="1575" t="s">
        <v>432</v>
      </c>
      <c r="D409" s="1576"/>
      <c r="E409" s="1567" t="s">
        <v>1201</v>
      </c>
      <c r="F409" s="1188">
        <v>120</v>
      </c>
      <c r="G409" s="1188"/>
      <c r="H409" s="1716" t="s">
        <v>1201</v>
      </c>
      <c r="I409" s="1716">
        <v>120</v>
      </c>
      <c r="J409" s="1188" t="s">
        <v>1201</v>
      </c>
      <c r="K409" s="1188">
        <v>120</v>
      </c>
      <c r="L409" s="1188"/>
      <c r="M409" s="1592"/>
      <c r="N409" s="1567">
        <v>60</v>
      </c>
      <c r="O409" s="1188">
        <v>50</v>
      </c>
      <c r="P409" s="1568">
        <v>40</v>
      </c>
      <c r="Q409" s="1718">
        <v>40</v>
      </c>
      <c r="R409" s="1568">
        <v>40</v>
      </c>
      <c r="S409" s="1568">
        <v>20</v>
      </c>
      <c r="T409" s="1592" t="s">
        <v>1201</v>
      </c>
      <c r="U409" s="1567">
        <v>120</v>
      </c>
      <c r="V409" s="1188">
        <v>100</v>
      </c>
      <c r="W409" s="1568">
        <v>80</v>
      </c>
      <c r="X409" s="1718">
        <v>80</v>
      </c>
      <c r="Y409" s="1568">
        <v>80</v>
      </c>
      <c r="Z409" s="1568">
        <v>40</v>
      </c>
      <c r="AA409" s="1592" t="s">
        <v>1201</v>
      </c>
      <c r="AB409" s="525"/>
      <c r="AC409" s="525"/>
      <c r="AD409" s="525"/>
      <c r="AE409" s="525"/>
    </row>
    <row r="410" spans="3:31" ht="15.6">
      <c r="C410" s="1575" t="s">
        <v>433</v>
      </c>
      <c r="D410" s="1576"/>
      <c r="E410" s="1567" t="s">
        <v>1201</v>
      </c>
      <c r="F410" s="1188">
        <v>140</v>
      </c>
      <c r="G410" s="1188"/>
      <c r="H410" s="1716" t="s">
        <v>1201</v>
      </c>
      <c r="I410" s="1716">
        <v>140</v>
      </c>
      <c r="J410" s="1188" t="s">
        <v>1201</v>
      </c>
      <c r="K410" s="1188">
        <v>140</v>
      </c>
      <c r="L410" s="1188"/>
      <c r="M410" s="1592"/>
      <c r="N410" s="1567">
        <v>75</v>
      </c>
      <c r="O410" s="1188">
        <v>65</v>
      </c>
      <c r="P410" s="1568">
        <v>50</v>
      </c>
      <c r="Q410" s="1718">
        <v>50</v>
      </c>
      <c r="R410" s="1568">
        <v>50</v>
      </c>
      <c r="S410" s="1568">
        <v>25</v>
      </c>
      <c r="T410" s="1592" t="s">
        <v>1201</v>
      </c>
      <c r="U410" s="1567">
        <v>145</v>
      </c>
      <c r="V410" s="1188">
        <v>120</v>
      </c>
      <c r="W410" s="1568">
        <v>95</v>
      </c>
      <c r="X410" s="1718">
        <v>95</v>
      </c>
      <c r="Y410" s="1568">
        <v>95</v>
      </c>
      <c r="Z410" s="1568">
        <v>50</v>
      </c>
      <c r="AA410" s="1592" t="s">
        <v>1201</v>
      </c>
      <c r="AB410" s="525"/>
      <c r="AC410" s="525"/>
      <c r="AD410" s="525"/>
      <c r="AE410" s="525"/>
    </row>
    <row r="411" spans="3:31" ht="15.6">
      <c r="C411" s="1575" t="s">
        <v>434</v>
      </c>
      <c r="D411" s="1576"/>
      <c r="E411" s="1567" t="s">
        <v>1201</v>
      </c>
      <c r="F411" s="1609">
        <v>0</v>
      </c>
      <c r="G411" s="1609"/>
      <c r="H411" s="1716" t="s">
        <v>1201</v>
      </c>
      <c r="I411" s="1774">
        <v>0</v>
      </c>
      <c r="J411" s="1188" t="s">
        <v>1201</v>
      </c>
      <c r="K411" s="1609">
        <v>0</v>
      </c>
      <c r="L411" s="1188"/>
      <c r="M411" s="1592"/>
      <c r="N411" s="1605" t="s">
        <v>1082</v>
      </c>
      <c r="O411" s="1188"/>
      <c r="P411" s="1568"/>
      <c r="Q411" s="1718"/>
      <c r="R411" s="1568"/>
      <c r="S411" s="1568"/>
      <c r="T411" s="1592"/>
      <c r="U411" s="1605"/>
      <c r="V411" s="1188"/>
      <c r="W411" s="1568"/>
      <c r="X411" s="1718"/>
      <c r="Y411" s="1568"/>
      <c r="Z411" s="1568"/>
      <c r="AA411" s="1592"/>
      <c r="AB411" s="525"/>
      <c r="AC411" s="525"/>
      <c r="AD411" s="525"/>
      <c r="AE411" s="525"/>
    </row>
    <row r="412" spans="3:31" ht="15.6">
      <c r="C412" s="1575" t="s">
        <v>435</v>
      </c>
      <c r="D412" s="1576"/>
      <c r="E412" s="1567" t="s">
        <v>1201</v>
      </c>
      <c r="F412" s="1609">
        <v>0</v>
      </c>
      <c r="G412" s="1609"/>
      <c r="H412" s="1716" t="s">
        <v>1201</v>
      </c>
      <c r="I412" s="1774">
        <v>0</v>
      </c>
      <c r="J412" s="1188" t="s">
        <v>1201</v>
      </c>
      <c r="K412" s="1609">
        <v>0</v>
      </c>
      <c r="L412" s="1188"/>
      <c r="M412" s="1592"/>
      <c r="N412" s="1605" t="s">
        <v>1082</v>
      </c>
      <c r="O412" s="1188"/>
      <c r="P412" s="1568"/>
      <c r="Q412" s="1718"/>
      <c r="R412" s="1568"/>
      <c r="S412" s="1568"/>
      <c r="T412" s="1592"/>
      <c r="U412" s="1605"/>
      <c r="V412" s="1188"/>
      <c r="W412" s="1568"/>
      <c r="X412" s="1718"/>
      <c r="Y412" s="1568"/>
      <c r="Z412" s="1568"/>
      <c r="AA412" s="1592"/>
      <c r="AB412" s="525"/>
      <c r="AC412" s="525"/>
      <c r="AD412" s="525"/>
      <c r="AE412" s="525"/>
    </row>
    <row r="413" spans="3:31" ht="15.6">
      <c r="C413" s="1575" t="s">
        <v>436</v>
      </c>
      <c r="D413" s="1576"/>
      <c r="E413" s="1567" t="s">
        <v>1201</v>
      </c>
      <c r="F413" s="1609">
        <v>0</v>
      </c>
      <c r="G413" s="1609"/>
      <c r="H413" s="1716" t="s">
        <v>1201</v>
      </c>
      <c r="I413" s="1774">
        <v>0</v>
      </c>
      <c r="J413" s="1188" t="s">
        <v>1201</v>
      </c>
      <c r="K413" s="1609">
        <v>0</v>
      </c>
      <c r="L413" s="1188"/>
      <c r="M413" s="1592"/>
      <c r="N413" s="1605" t="s">
        <v>1082</v>
      </c>
      <c r="O413" s="1188"/>
      <c r="P413" s="1568"/>
      <c r="Q413" s="1718"/>
      <c r="R413" s="1568"/>
      <c r="S413" s="1568"/>
      <c r="T413" s="1592"/>
      <c r="U413" s="1605"/>
      <c r="V413" s="1188"/>
      <c r="W413" s="1568"/>
      <c r="X413" s="1718"/>
      <c r="Y413" s="1568"/>
      <c r="Z413" s="1568"/>
      <c r="AA413" s="1592"/>
      <c r="AB413" s="525"/>
      <c r="AC413" s="525"/>
      <c r="AD413" s="525"/>
      <c r="AE413" s="525"/>
    </row>
    <row r="414" spans="3:31" ht="16.2" thickBot="1">
      <c r="C414" s="1578" t="s">
        <v>437</v>
      </c>
      <c r="D414" s="1579"/>
      <c r="E414" s="1580" t="s">
        <v>1201</v>
      </c>
      <c r="F414" s="1610">
        <v>0</v>
      </c>
      <c r="G414" s="1610"/>
      <c r="H414" s="1775" t="s">
        <v>1201</v>
      </c>
      <c r="I414" s="1776">
        <v>0</v>
      </c>
      <c r="J414" s="1582" t="s">
        <v>1201</v>
      </c>
      <c r="K414" s="1610">
        <v>0</v>
      </c>
      <c r="L414" s="1582"/>
      <c r="M414" s="1597"/>
      <c r="N414" s="1611" t="s">
        <v>1082</v>
      </c>
      <c r="O414" s="1582"/>
      <c r="P414" s="1581"/>
      <c r="Q414" s="1777"/>
      <c r="R414" s="1581"/>
      <c r="S414" s="1581"/>
      <c r="T414" s="1597"/>
      <c r="U414" s="1611"/>
      <c r="V414" s="1582"/>
      <c r="W414" s="1581"/>
      <c r="X414" s="1777"/>
      <c r="Y414" s="1581"/>
      <c r="Z414" s="1581"/>
      <c r="AA414" s="1597"/>
      <c r="AB414" s="525"/>
      <c r="AC414" s="525"/>
      <c r="AD414" s="525"/>
      <c r="AE414" s="525"/>
    </row>
    <row r="415" spans="3:31">
      <c r="C415" s="526" t="s">
        <v>438</v>
      </c>
      <c r="D415" s="527"/>
      <c r="E415" s="527"/>
      <c r="F415" s="527"/>
      <c r="G415" s="527"/>
      <c r="H415" s="527"/>
      <c r="I415" s="527"/>
      <c r="J415" s="527"/>
      <c r="K415" s="527"/>
      <c r="L415" s="527"/>
      <c r="M415" s="527"/>
      <c r="N415" s="527"/>
      <c r="O415" s="527"/>
      <c r="P415" s="527"/>
      <c r="Q415" s="527"/>
      <c r="R415" s="527"/>
      <c r="S415" s="527"/>
      <c r="T415" s="527"/>
      <c r="U415" s="527"/>
      <c r="V415" s="527"/>
      <c r="W415" s="527"/>
      <c r="X415" s="527"/>
      <c r="Y415" s="527"/>
      <c r="Z415" s="527"/>
      <c r="AA415" s="527"/>
      <c r="AB415" s="527"/>
      <c r="AC415" s="525"/>
      <c r="AD415" s="525"/>
      <c r="AE415" s="525"/>
    </row>
    <row r="416" spans="3:31">
      <c r="C416" s="957" t="s">
        <v>439</v>
      </c>
      <c r="D416" s="527"/>
      <c r="E416" s="527"/>
      <c r="F416" s="527"/>
      <c r="G416" s="527"/>
      <c r="H416" s="527"/>
      <c r="I416" s="527"/>
      <c r="J416" s="527"/>
      <c r="K416" s="527"/>
      <c r="L416" s="527"/>
      <c r="M416" s="527"/>
      <c r="N416" s="527"/>
      <c r="O416" s="527"/>
      <c r="P416" s="527"/>
      <c r="Q416" s="527"/>
      <c r="R416" s="527"/>
      <c r="S416" s="527"/>
      <c r="T416" s="527"/>
      <c r="U416" s="527"/>
      <c r="V416" s="527"/>
      <c r="W416" s="527"/>
      <c r="X416" s="527"/>
      <c r="Y416" s="527"/>
      <c r="Z416" s="527"/>
      <c r="AA416" s="527"/>
      <c r="AB416" s="527"/>
      <c r="AC416" s="525"/>
      <c r="AD416" s="525"/>
      <c r="AE416" s="525"/>
    </row>
    <row r="417" spans="3:31">
      <c r="C417" s="526" t="s">
        <v>440</v>
      </c>
      <c r="D417" s="527"/>
      <c r="E417" s="527"/>
      <c r="F417" s="527"/>
      <c r="G417" s="527"/>
      <c r="H417" s="527"/>
      <c r="I417" s="527"/>
      <c r="J417" s="527"/>
      <c r="K417" s="527"/>
      <c r="L417" s="527"/>
      <c r="M417" s="527"/>
      <c r="N417" s="527"/>
      <c r="O417" s="527"/>
      <c r="P417" s="527"/>
      <c r="Q417" s="527"/>
      <c r="R417" s="527"/>
      <c r="S417" s="527"/>
      <c r="T417" s="527"/>
      <c r="U417" s="527"/>
      <c r="V417" s="527"/>
      <c r="W417" s="527"/>
      <c r="X417" s="527"/>
      <c r="Y417" s="527"/>
      <c r="Z417" s="527"/>
      <c r="AA417" s="527"/>
      <c r="AB417" s="527"/>
      <c r="AC417" s="525"/>
      <c r="AD417" s="527"/>
      <c r="AE417" s="527"/>
    </row>
    <row r="418" spans="3:31">
      <c r="C418" s="526" t="s">
        <v>441</v>
      </c>
      <c r="D418" s="527"/>
      <c r="E418" s="527"/>
      <c r="F418" s="527"/>
      <c r="G418" s="527"/>
      <c r="H418" s="527"/>
      <c r="I418" s="527"/>
      <c r="J418" s="527"/>
      <c r="K418" s="527"/>
      <c r="L418" s="527"/>
      <c r="M418" s="527"/>
      <c r="N418" s="527"/>
      <c r="O418" s="527"/>
      <c r="P418" s="527"/>
      <c r="Q418" s="527"/>
      <c r="R418" s="527"/>
      <c r="S418" s="527"/>
      <c r="T418" s="527"/>
      <c r="U418" s="527"/>
      <c r="V418" s="527"/>
      <c r="W418" s="527"/>
      <c r="X418" s="527"/>
      <c r="Y418" s="527"/>
      <c r="Z418" s="527"/>
      <c r="AA418" s="527"/>
      <c r="AB418" s="527"/>
      <c r="AC418" s="525"/>
      <c r="AD418" s="527"/>
      <c r="AE418" s="527"/>
    </row>
    <row r="419" spans="3:31">
      <c r="C419" s="526" t="s">
        <v>442</v>
      </c>
      <c r="D419" s="527"/>
      <c r="E419" s="527"/>
      <c r="F419" s="527"/>
      <c r="G419" s="527"/>
      <c r="H419" s="527"/>
      <c r="I419" s="527"/>
      <c r="J419" s="527"/>
      <c r="K419" s="527"/>
      <c r="L419" s="527"/>
      <c r="M419" s="527"/>
      <c r="N419" s="527"/>
      <c r="O419" s="527"/>
      <c r="P419" s="527"/>
      <c r="Q419" s="527"/>
      <c r="R419" s="527"/>
      <c r="S419" s="527"/>
      <c r="T419" s="527"/>
      <c r="U419" s="527"/>
      <c r="V419" s="527"/>
      <c r="W419" s="527"/>
      <c r="X419" s="527"/>
      <c r="Y419" s="527"/>
      <c r="Z419" s="527"/>
      <c r="AA419" s="527"/>
      <c r="AB419" s="527"/>
      <c r="AC419" s="525"/>
      <c r="AD419" s="527"/>
      <c r="AE419" s="527"/>
    </row>
    <row r="420" spans="3:31">
      <c r="C420" s="526" t="s">
        <v>443</v>
      </c>
      <c r="D420" s="527"/>
      <c r="E420" s="527"/>
      <c r="F420" s="527"/>
      <c r="G420" s="527"/>
      <c r="H420" s="527"/>
      <c r="I420" s="527"/>
      <c r="J420" s="527"/>
      <c r="K420" s="527"/>
      <c r="L420" s="527"/>
      <c r="M420" s="527"/>
      <c r="N420" s="527"/>
      <c r="O420" s="527"/>
      <c r="P420" s="527"/>
      <c r="Q420" s="527"/>
      <c r="R420" s="527"/>
      <c r="S420" s="527"/>
      <c r="T420" s="527"/>
      <c r="U420" s="527"/>
      <c r="V420" s="527"/>
      <c r="W420" s="527"/>
      <c r="X420" s="527"/>
      <c r="Y420" s="527"/>
      <c r="Z420" s="527"/>
      <c r="AA420" s="527"/>
      <c r="AB420" s="527"/>
      <c r="AC420" s="525"/>
      <c r="AD420" s="527"/>
      <c r="AE420" s="527"/>
    </row>
    <row r="421" spans="3:31">
      <c r="C421" s="526" t="s">
        <v>444</v>
      </c>
      <c r="D421" s="527"/>
      <c r="E421" s="527"/>
      <c r="F421" s="527"/>
      <c r="G421" s="527"/>
      <c r="H421" s="527"/>
      <c r="I421" s="527"/>
      <c r="J421" s="527"/>
      <c r="K421" s="527"/>
      <c r="L421" s="527"/>
      <c r="M421" s="527"/>
      <c r="N421" s="527"/>
      <c r="O421" s="527"/>
      <c r="P421" s="527"/>
      <c r="Q421" s="527"/>
      <c r="R421" s="527"/>
      <c r="S421" s="527"/>
      <c r="T421" s="527"/>
      <c r="U421" s="527"/>
      <c r="V421" s="527"/>
      <c r="W421" s="527"/>
      <c r="X421" s="527"/>
      <c r="Y421" s="527"/>
      <c r="Z421" s="527"/>
      <c r="AA421" s="527"/>
      <c r="AB421" s="527"/>
      <c r="AC421" s="525"/>
      <c r="AD421" s="527"/>
      <c r="AE421" s="527"/>
    </row>
    <row r="422" spans="3:31">
      <c r="C422" s="526" t="s">
        <v>445</v>
      </c>
      <c r="D422" s="527"/>
      <c r="E422" s="527"/>
      <c r="F422" s="527"/>
      <c r="G422" s="527"/>
      <c r="H422" s="527"/>
      <c r="I422" s="527"/>
      <c r="J422" s="527"/>
      <c r="K422" s="527"/>
      <c r="L422" s="527"/>
      <c r="M422" s="527"/>
      <c r="N422" s="527"/>
      <c r="O422" s="527"/>
      <c r="P422" s="527"/>
      <c r="Q422" s="527"/>
      <c r="R422" s="527"/>
      <c r="S422" s="527"/>
      <c r="T422" s="527"/>
      <c r="U422" s="527"/>
      <c r="V422" s="527"/>
      <c r="W422" s="527"/>
      <c r="X422" s="527"/>
      <c r="Y422" s="527"/>
      <c r="Z422" s="527"/>
      <c r="AA422" s="527"/>
      <c r="AB422" s="527"/>
      <c r="AC422" s="525"/>
      <c r="AD422" s="527"/>
      <c r="AE422" s="527"/>
    </row>
    <row r="423" spans="3:31">
      <c r="C423" s="1612" t="s">
        <v>446</v>
      </c>
      <c r="D423" s="1113"/>
      <c r="E423" s="1113"/>
      <c r="F423" s="1113"/>
      <c r="G423" s="1113"/>
      <c r="H423" s="1113"/>
      <c r="I423" s="1113"/>
      <c r="J423" s="1113"/>
      <c r="K423" s="1113"/>
      <c r="L423" s="1113"/>
      <c r="M423" s="1113"/>
      <c r="N423" s="1113"/>
      <c r="O423" s="1113"/>
      <c r="P423" s="1113"/>
      <c r="Q423" s="1113"/>
      <c r="R423" s="1113"/>
      <c r="S423" s="1113"/>
      <c r="T423" s="1113"/>
      <c r="U423" s="1113"/>
      <c r="V423" s="1113"/>
      <c r="W423" s="1113"/>
      <c r="X423" s="1113"/>
      <c r="Y423" s="1113"/>
      <c r="Z423" s="1113"/>
      <c r="AA423" s="1113"/>
      <c r="AB423" s="1113"/>
      <c r="AC423" s="472"/>
      <c r="AD423" s="1542"/>
      <c r="AE423" s="1542"/>
    </row>
    <row r="424" spans="3:31">
      <c r="C424" s="526"/>
      <c r="D424" s="527"/>
      <c r="E424" s="527"/>
      <c r="F424" s="527"/>
      <c r="G424" s="527"/>
      <c r="H424" s="527"/>
      <c r="I424" s="527"/>
      <c r="J424" s="527"/>
      <c r="K424" s="527"/>
      <c r="L424" s="527"/>
      <c r="M424" s="527"/>
      <c r="N424" s="527"/>
      <c r="O424" s="527"/>
      <c r="P424" s="527"/>
      <c r="Q424" s="527"/>
      <c r="R424" s="527"/>
      <c r="S424" s="527"/>
      <c r="T424" s="527"/>
      <c r="U424" s="527"/>
      <c r="V424" s="527"/>
      <c r="W424" s="527"/>
      <c r="X424" s="527"/>
      <c r="Y424" s="527"/>
      <c r="Z424" s="527"/>
      <c r="AA424" s="527"/>
      <c r="AB424" s="527"/>
      <c r="AC424" s="525"/>
      <c r="AD424" s="527"/>
      <c r="AE424" s="527"/>
    </row>
    <row r="425" spans="3:31">
      <c r="C425" s="1112"/>
      <c r="D425" s="1113"/>
      <c r="E425" s="1113"/>
      <c r="F425" s="1113"/>
      <c r="G425" s="1113"/>
      <c r="H425" s="1113"/>
      <c r="I425" s="1113"/>
      <c r="J425" s="1113"/>
      <c r="K425" s="1113"/>
      <c r="L425" s="1113"/>
      <c r="M425" s="1113"/>
      <c r="N425" s="1113"/>
      <c r="O425" s="1113"/>
      <c r="P425" s="1113"/>
      <c r="Q425" s="1113"/>
      <c r="R425" s="1113"/>
      <c r="S425" s="1113"/>
      <c r="T425" s="1113"/>
      <c r="U425" s="1113"/>
      <c r="V425" s="1113"/>
      <c r="W425" s="1113"/>
      <c r="X425" s="1113"/>
      <c r="Y425" s="1113"/>
      <c r="Z425" s="1113"/>
      <c r="AA425" s="1113"/>
      <c r="AB425" s="1113"/>
      <c r="AC425" s="509"/>
      <c r="AD425" s="292"/>
      <c r="AE425" s="292"/>
    </row>
    <row r="426" spans="3:31">
      <c r="C426" s="1030"/>
      <c r="D426" s="292"/>
      <c r="E426" s="292"/>
      <c r="F426" s="292"/>
      <c r="G426" s="292"/>
      <c r="H426" s="292"/>
      <c r="I426" s="292"/>
      <c r="J426" s="292"/>
      <c r="K426" s="292"/>
      <c r="L426" s="292"/>
      <c r="M426" s="292"/>
      <c r="N426" s="292"/>
      <c r="O426" s="292"/>
      <c r="P426" s="292"/>
      <c r="Q426" s="292"/>
      <c r="R426" s="292"/>
      <c r="S426" s="292"/>
      <c r="T426" s="292"/>
      <c r="U426" s="292"/>
      <c r="V426" s="292"/>
      <c r="W426" s="292"/>
      <c r="X426" s="292"/>
      <c r="Y426" s="292"/>
      <c r="Z426" s="292"/>
      <c r="AA426" s="292"/>
      <c r="AB426" s="292"/>
      <c r="AC426" s="292"/>
      <c r="AD426" s="292"/>
      <c r="AE426" s="292"/>
    </row>
    <row r="427" spans="3:31">
      <c r="C427" s="1030"/>
      <c r="D427" s="1030"/>
      <c r="E427" s="1030"/>
      <c r="F427" s="1030"/>
      <c r="G427" s="1030"/>
      <c r="H427" s="1030"/>
      <c r="I427" s="1030"/>
      <c r="J427" s="1030"/>
      <c r="K427" s="1030"/>
      <c r="L427" s="1030"/>
      <c r="M427" s="1030"/>
      <c r="N427" s="1030"/>
      <c r="O427" s="1030"/>
      <c r="P427" s="1030"/>
      <c r="Q427" s="1030"/>
      <c r="R427" s="1030"/>
      <c r="S427" s="1030"/>
      <c r="T427" s="1030"/>
      <c r="U427" s="1030"/>
      <c r="V427" s="1030"/>
      <c r="W427" s="1030"/>
      <c r="X427" s="1030"/>
      <c r="Y427" s="1030"/>
      <c r="Z427" s="1030"/>
      <c r="AA427" s="1030"/>
      <c r="AB427" s="1030"/>
      <c r="AC427" s="1030"/>
      <c r="AD427" s="1030"/>
      <c r="AE427" s="1030"/>
    </row>
    <row r="428" spans="3:31">
      <c r="C428" s="1030"/>
      <c r="D428" s="1030"/>
      <c r="E428" s="1030"/>
      <c r="F428" s="1030"/>
      <c r="G428" s="1030"/>
      <c r="H428" s="1030"/>
      <c r="I428" s="1030"/>
      <c r="J428" s="1030"/>
      <c r="K428" s="1030"/>
      <c r="L428" s="1030"/>
      <c r="M428" s="1030"/>
      <c r="N428" s="1030"/>
      <c r="O428" s="1030"/>
      <c r="P428" s="1030"/>
      <c r="Q428" s="1030"/>
      <c r="R428" s="1030"/>
      <c r="S428" s="1030"/>
      <c r="T428" s="1030"/>
      <c r="U428" s="1030"/>
      <c r="V428" s="1030"/>
      <c r="W428" s="1030"/>
      <c r="X428" s="1030"/>
      <c r="Y428" s="1030"/>
      <c r="Z428" s="1030"/>
      <c r="AA428" s="1030"/>
      <c r="AB428" s="1030"/>
      <c r="AC428" s="1030"/>
      <c r="AD428" s="1030"/>
      <c r="AE428" s="1030"/>
    </row>
    <row r="429" spans="3:31">
      <c r="C429" s="1030"/>
      <c r="D429" s="1030"/>
      <c r="E429" s="1030"/>
      <c r="F429" s="1030"/>
      <c r="G429" s="1030"/>
      <c r="H429" s="1030"/>
      <c r="I429" s="1030"/>
      <c r="J429" s="1030"/>
      <c r="K429" s="1030"/>
      <c r="L429" s="1030"/>
      <c r="M429" s="1030"/>
      <c r="N429" s="1030"/>
      <c r="O429" s="1030"/>
      <c r="P429" s="1030"/>
      <c r="Q429" s="1030"/>
      <c r="R429" s="1030"/>
      <c r="S429" s="1030"/>
      <c r="T429" s="1030"/>
      <c r="U429" s="1030"/>
      <c r="V429" s="1030"/>
      <c r="W429" s="1030"/>
      <c r="X429" s="1030"/>
      <c r="Y429" s="1030"/>
      <c r="Z429" s="1030"/>
      <c r="AA429" s="1030"/>
      <c r="AB429" s="1030"/>
      <c r="AC429" s="1030"/>
      <c r="AD429" s="1030"/>
      <c r="AE429" s="1030"/>
    </row>
    <row r="430" spans="3:31">
      <c r="C430" s="1030"/>
      <c r="D430" s="1030"/>
      <c r="E430" s="1030"/>
      <c r="F430" s="1030"/>
      <c r="G430" s="1030"/>
      <c r="H430" s="1030"/>
      <c r="I430" s="1030"/>
      <c r="J430" s="1030"/>
      <c r="K430" s="1030"/>
      <c r="L430" s="1030"/>
      <c r="M430" s="1030"/>
      <c r="N430" s="1030"/>
      <c r="O430" s="1030"/>
      <c r="P430" s="1030"/>
      <c r="Q430" s="1030"/>
      <c r="R430" s="1030"/>
      <c r="S430" s="1030"/>
      <c r="T430" s="1030"/>
      <c r="U430" s="1030"/>
      <c r="V430" s="1030"/>
      <c r="W430" s="1030"/>
      <c r="X430" s="1030"/>
      <c r="Y430" s="1030"/>
      <c r="Z430" s="1030"/>
      <c r="AA430" s="1030"/>
      <c r="AB430" s="1030"/>
      <c r="AC430" s="1030"/>
      <c r="AD430" s="1030"/>
      <c r="AE430" s="1030"/>
    </row>
    <row r="431" spans="3:31">
      <c r="C431" s="1030"/>
      <c r="D431" s="1030"/>
      <c r="E431" s="1030"/>
      <c r="F431" s="1030"/>
      <c r="G431" s="1030"/>
      <c r="H431" s="1030"/>
      <c r="I431" s="1030"/>
      <c r="J431" s="1030"/>
      <c r="K431" s="1030"/>
      <c r="L431" s="1030"/>
      <c r="M431" s="1030"/>
      <c r="N431" s="1030"/>
      <c r="O431" s="1030"/>
      <c r="P431" s="1030"/>
      <c r="Q431" s="1030"/>
      <c r="R431" s="1030"/>
      <c r="S431" s="1030"/>
      <c r="T431" s="1030"/>
      <c r="U431" s="1030"/>
      <c r="V431" s="1030"/>
      <c r="W431" s="1030"/>
      <c r="X431" s="1030"/>
      <c r="Y431" s="1030"/>
      <c r="Z431" s="1030"/>
      <c r="AA431" s="1030"/>
      <c r="AB431" s="1030"/>
      <c r="AC431" s="1030"/>
      <c r="AD431" s="1030"/>
      <c r="AE431" s="1030"/>
    </row>
    <row r="432" spans="3:31">
      <c r="C432" s="1030"/>
      <c r="D432" s="1030"/>
      <c r="E432" s="1030"/>
      <c r="F432" s="1030"/>
      <c r="G432" s="1030"/>
      <c r="H432" s="1030"/>
      <c r="I432" s="1030"/>
      <c r="J432" s="1030"/>
      <c r="K432" s="1030"/>
      <c r="L432" s="1030"/>
      <c r="M432" s="1030"/>
      <c r="N432" s="1030"/>
      <c r="O432" s="1030"/>
      <c r="P432" s="1030"/>
      <c r="Q432" s="1030"/>
      <c r="R432" s="1030"/>
      <c r="S432" s="1030"/>
      <c r="T432" s="1030"/>
      <c r="U432" s="1030"/>
      <c r="V432" s="1030"/>
      <c r="W432" s="1030"/>
      <c r="X432" s="1030"/>
      <c r="Y432" s="1030"/>
      <c r="Z432" s="1030"/>
      <c r="AA432" s="1030"/>
      <c r="AB432" s="1030"/>
      <c r="AC432" s="1030"/>
      <c r="AD432" s="1030"/>
      <c r="AE432" s="1030"/>
    </row>
    <row r="433" spans="3:31">
      <c r="C433" s="1030"/>
      <c r="D433" s="1030"/>
      <c r="E433" s="1030"/>
      <c r="F433" s="1030"/>
      <c r="G433" s="1030"/>
      <c r="H433" s="1030"/>
      <c r="I433" s="1030"/>
      <c r="J433" s="1030"/>
      <c r="K433" s="1030"/>
      <c r="L433" s="1030"/>
      <c r="M433" s="1030"/>
      <c r="N433" s="1030"/>
      <c r="O433" s="1030"/>
      <c r="P433" s="1030"/>
      <c r="Q433" s="1030"/>
      <c r="R433" s="1030"/>
      <c r="S433" s="1030"/>
      <c r="T433" s="1030"/>
      <c r="U433" s="1030"/>
      <c r="V433" s="1030"/>
      <c r="W433" s="1030"/>
      <c r="X433" s="1030"/>
      <c r="Y433" s="1030"/>
      <c r="Z433" s="1030"/>
      <c r="AA433" s="1030"/>
      <c r="AB433" s="1030"/>
      <c r="AC433" s="1030"/>
      <c r="AD433" s="1030"/>
      <c r="AE433" s="1030"/>
    </row>
    <row r="434" spans="3:31">
      <c r="C434" s="1030"/>
      <c r="D434" s="1030"/>
      <c r="E434" s="1030"/>
      <c r="F434" s="1030"/>
      <c r="G434" s="1030"/>
      <c r="H434" s="1030"/>
      <c r="I434" s="1030"/>
      <c r="J434" s="1030"/>
      <c r="K434" s="1030"/>
      <c r="L434" s="1030"/>
      <c r="M434" s="1030"/>
      <c r="N434" s="1030"/>
      <c r="O434" s="1030"/>
      <c r="P434" s="1030"/>
      <c r="Q434" s="1030"/>
      <c r="R434" s="1030"/>
      <c r="S434" s="1030"/>
      <c r="T434" s="1030"/>
      <c r="U434" s="1030"/>
      <c r="V434" s="1030"/>
      <c r="W434" s="1030"/>
      <c r="X434" s="1030"/>
      <c r="Y434" s="1030"/>
      <c r="Z434" s="1030"/>
      <c r="AA434" s="1030"/>
      <c r="AB434" s="1030"/>
      <c r="AC434" s="1030"/>
      <c r="AD434" s="1030"/>
      <c r="AE434" s="1030"/>
    </row>
    <row r="435" spans="3:31">
      <c r="C435" s="1030"/>
      <c r="D435" s="1030"/>
      <c r="E435" s="1030"/>
      <c r="F435" s="1030"/>
      <c r="G435" s="1030"/>
      <c r="H435" s="1030"/>
      <c r="I435" s="1030"/>
      <c r="J435" s="1030"/>
      <c r="K435" s="1030"/>
      <c r="L435" s="1030"/>
      <c r="M435" s="1030"/>
      <c r="N435" s="1030"/>
      <c r="O435" s="1030"/>
      <c r="P435" s="1030"/>
      <c r="Q435" s="1030"/>
      <c r="R435" s="1030"/>
      <c r="S435" s="1030"/>
      <c r="T435" s="1030"/>
      <c r="U435" s="1030"/>
      <c r="V435" s="1030"/>
      <c r="W435" s="1030"/>
      <c r="X435" s="1030"/>
      <c r="Y435" s="1030"/>
      <c r="Z435" s="1030"/>
      <c r="AA435" s="1030"/>
      <c r="AB435" s="1030"/>
      <c r="AC435" s="1030"/>
      <c r="AD435" s="1030"/>
      <c r="AE435" s="1030"/>
    </row>
    <row r="436" spans="3:31">
      <c r="C436" s="1030"/>
      <c r="D436" s="1030"/>
      <c r="E436" s="1030"/>
      <c r="F436" s="1030"/>
      <c r="G436" s="1030"/>
      <c r="H436" s="1030"/>
      <c r="I436" s="1030"/>
      <c r="J436" s="1030"/>
      <c r="K436" s="1030"/>
      <c r="L436" s="1030"/>
      <c r="M436" s="1030"/>
      <c r="N436" s="1030"/>
      <c r="O436" s="1030"/>
      <c r="P436" s="1030"/>
      <c r="Q436" s="1030"/>
      <c r="R436" s="1030"/>
      <c r="S436" s="1030"/>
      <c r="T436" s="1030"/>
      <c r="U436" s="1030"/>
      <c r="V436" s="1030"/>
      <c r="W436" s="1030"/>
      <c r="X436" s="1030"/>
      <c r="Y436" s="1030"/>
      <c r="Z436" s="1030"/>
      <c r="AA436" s="1030"/>
      <c r="AB436" s="1030"/>
      <c r="AC436" s="1030"/>
      <c r="AD436" s="1030"/>
      <c r="AE436" s="1030"/>
    </row>
    <row r="437" spans="3:31">
      <c r="C437" s="1030"/>
      <c r="D437" s="1030"/>
      <c r="E437" s="1030"/>
      <c r="F437" s="1030"/>
      <c r="G437" s="1030"/>
      <c r="H437" s="1030"/>
      <c r="I437" s="1030"/>
      <c r="J437" s="1030"/>
      <c r="K437" s="1030"/>
      <c r="L437" s="1030"/>
      <c r="M437" s="1030"/>
      <c r="N437" s="1030"/>
      <c r="O437" s="1030"/>
      <c r="P437" s="1030"/>
      <c r="Q437" s="1030"/>
      <c r="R437" s="1030"/>
      <c r="S437" s="1030"/>
      <c r="T437" s="1030"/>
      <c r="U437" s="1030"/>
      <c r="V437" s="1030"/>
      <c r="W437" s="1030"/>
      <c r="X437" s="1030"/>
      <c r="Y437" s="1030"/>
      <c r="Z437" s="1030"/>
      <c r="AA437" s="1030"/>
      <c r="AB437" s="1030"/>
      <c r="AC437" s="1030"/>
      <c r="AD437" s="1030"/>
      <c r="AE437" s="1030"/>
    </row>
    <row r="438" spans="3:31">
      <c r="C438" s="1030"/>
      <c r="D438" s="1030"/>
      <c r="E438" s="1030"/>
      <c r="F438" s="1030"/>
      <c r="G438" s="1030"/>
      <c r="H438" s="1030"/>
      <c r="I438" s="1030"/>
      <c r="J438" s="1030"/>
      <c r="K438" s="1030"/>
      <c r="L438" s="1030"/>
      <c r="M438" s="1030"/>
      <c r="N438" s="1030"/>
      <c r="O438" s="1030"/>
      <c r="P438" s="1030"/>
      <c r="Q438" s="1030"/>
      <c r="R438" s="1030"/>
      <c r="S438" s="1030"/>
      <c r="T438" s="1030"/>
      <c r="U438" s="1030"/>
      <c r="V438" s="1030"/>
      <c r="W438" s="1030"/>
      <c r="X438" s="1030"/>
      <c r="Y438" s="1030"/>
      <c r="Z438" s="1030"/>
      <c r="AA438" s="1030"/>
      <c r="AB438" s="1030"/>
      <c r="AC438" s="1030"/>
      <c r="AD438" s="1030"/>
      <c r="AE438" s="1030"/>
    </row>
    <row r="439" spans="3:31">
      <c r="C439" s="1030"/>
      <c r="D439" s="1030"/>
      <c r="E439" s="1030"/>
      <c r="F439" s="1030"/>
      <c r="G439" s="1030"/>
      <c r="H439" s="1030"/>
      <c r="I439" s="1030"/>
      <c r="J439" s="1030"/>
      <c r="K439" s="1030"/>
      <c r="L439" s="1030"/>
      <c r="M439" s="1030"/>
      <c r="N439" s="1030"/>
      <c r="O439" s="1030"/>
      <c r="P439" s="1030"/>
      <c r="Q439" s="1030"/>
      <c r="R439" s="1030"/>
      <c r="S439" s="1030"/>
      <c r="T439" s="1030"/>
      <c r="U439" s="1030"/>
      <c r="V439" s="1030"/>
      <c r="W439" s="1030"/>
      <c r="X439" s="1030"/>
      <c r="Y439" s="1030"/>
      <c r="Z439" s="1030"/>
      <c r="AA439" s="1030"/>
      <c r="AB439" s="1030"/>
      <c r="AC439" s="1030"/>
      <c r="AD439" s="1030"/>
      <c r="AE439" s="1030"/>
    </row>
    <row r="440" spans="3:31">
      <c r="C440" s="1030"/>
      <c r="D440" s="1030"/>
      <c r="E440" s="1030"/>
      <c r="F440" s="1030"/>
      <c r="G440" s="1030"/>
      <c r="H440" s="1030"/>
      <c r="I440" s="1030"/>
      <c r="J440" s="1030"/>
      <c r="K440" s="1030"/>
      <c r="L440" s="1030"/>
      <c r="M440" s="1030"/>
      <c r="N440" s="1030"/>
      <c r="O440" s="1030"/>
      <c r="P440" s="1030"/>
      <c r="Q440" s="1030"/>
      <c r="R440" s="1030"/>
      <c r="S440" s="1030"/>
      <c r="T440" s="1030"/>
      <c r="U440" s="1030"/>
      <c r="V440" s="1030"/>
      <c r="W440" s="1030"/>
      <c r="X440" s="1030"/>
      <c r="Y440" s="1030"/>
      <c r="Z440" s="1030"/>
      <c r="AA440" s="1030"/>
      <c r="AB440" s="1030"/>
      <c r="AC440" s="1030"/>
      <c r="AD440" s="1030"/>
      <c r="AE440" s="1030"/>
    </row>
    <row r="441" spans="3:31">
      <c r="C441" s="1030"/>
      <c r="D441" s="1030"/>
      <c r="E441" s="1030"/>
      <c r="F441" s="1030"/>
      <c r="G441" s="1030"/>
      <c r="H441" s="1030"/>
      <c r="I441" s="1030"/>
      <c r="J441" s="1030"/>
      <c r="K441" s="1030"/>
      <c r="L441" s="1030"/>
      <c r="M441" s="1030"/>
      <c r="N441" s="1030"/>
      <c r="O441" s="1030"/>
      <c r="P441" s="1030"/>
      <c r="Q441" s="1030"/>
      <c r="R441" s="1030"/>
      <c r="S441" s="1030"/>
      <c r="T441" s="1030"/>
      <c r="U441" s="1030"/>
      <c r="V441" s="1030"/>
      <c r="W441" s="1030"/>
      <c r="X441" s="1030"/>
      <c r="Y441" s="1030"/>
      <c r="Z441" s="1030"/>
      <c r="AA441" s="1030"/>
      <c r="AB441" s="1030"/>
      <c r="AC441" s="1030"/>
      <c r="AD441" s="1030"/>
      <c r="AE441" s="1030"/>
    </row>
    <row r="442" spans="3:31">
      <c r="C442" s="1030"/>
      <c r="D442" s="1030"/>
      <c r="E442" s="1030"/>
      <c r="F442" s="1030"/>
      <c r="G442" s="1030"/>
      <c r="H442" s="1030"/>
      <c r="I442" s="1030"/>
      <c r="J442" s="1030"/>
      <c r="K442" s="1030"/>
      <c r="L442" s="1030"/>
      <c r="M442" s="1030"/>
      <c r="N442" s="1030"/>
      <c r="O442" s="1030"/>
      <c r="P442" s="1030"/>
      <c r="Q442" s="1030"/>
      <c r="R442" s="1030"/>
      <c r="S442" s="1030"/>
      <c r="T442" s="1030"/>
      <c r="U442" s="1030"/>
      <c r="V442" s="1030"/>
      <c r="W442" s="1030"/>
      <c r="X442" s="1030"/>
      <c r="Y442" s="1030"/>
      <c r="Z442" s="1030"/>
      <c r="AA442" s="1030"/>
      <c r="AB442" s="1030"/>
      <c r="AC442" s="1030"/>
      <c r="AD442" s="1030"/>
      <c r="AE442" s="1030"/>
    </row>
    <row r="443" spans="3:31">
      <c r="C443" s="1030"/>
      <c r="D443" s="1030"/>
      <c r="E443" s="1030"/>
      <c r="F443" s="1030"/>
      <c r="G443" s="1030"/>
      <c r="H443" s="1030"/>
      <c r="I443" s="1030"/>
      <c r="J443" s="1030"/>
      <c r="K443" s="1030"/>
      <c r="L443" s="1030"/>
      <c r="M443" s="1030"/>
      <c r="N443" s="1030"/>
      <c r="O443" s="1030"/>
      <c r="P443" s="1030"/>
      <c r="Q443" s="1030"/>
      <c r="R443" s="1030"/>
      <c r="S443" s="1030"/>
      <c r="T443" s="1030"/>
      <c r="U443" s="1030"/>
      <c r="V443" s="1030"/>
      <c r="W443" s="1030"/>
      <c r="X443" s="1030"/>
      <c r="Y443" s="1030"/>
      <c r="Z443" s="1030"/>
      <c r="AA443" s="1030"/>
      <c r="AB443" s="1030"/>
      <c r="AC443" s="1030"/>
      <c r="AD443" s="1030"/>
      <c r="AE443" s="1030"/>
    </row>
    <row r="444" spans="3:31">
      <c r="C444" s="1030"/>
      <c r="D444" s="1030"/>
      <c r="E444" s="1030"/>
      <c r="F444" s="1030"/>
      <c r="G444" s="1030"/>
      <c r="H444" s="1030"/>
      <c r="I444" s="1030"/>
      <c r="J444" s="1030"/>
      <c r="K444" s="1030"/>
      <c r="L444" s="1030"/>
      <c r="M444" s="1030"/>
      <c r="N444" s="1030"/>
      <c r="O444" s="1030"/>
      <c r="P444" s="1030"/>
      <c r="Q444" s="1030"/>
      <c r="R444" s="1030"/>
      <c r="S444" s="1030"/>
      <c r="T444" s="1030"/>
      <c r="U444" s="1030"/>
      <c r="V444" s="1030"/>
      <c r="W444" s="1030"/>
      <c r="X444" s="1030"/>
      <c r="Y444" s="1030"/>
      <c r="Z444" s="1030"/>
      <c r="AA444" s="1030"/>
      <c r="AB444" s="1030"/>
      <c r="AC444" s="1030"/>
      <c r="AD444" s="1030"/>
      <c r="AE444" s="1030"/>
    </row>
    <row r="445" spans="3:31">
      <c r="C445" s="1030"/>
      <c r="D445" s="1030"/>
      <c r="E445" s="1030"/>
      <c r="F445" s="1030"/>
      <c r="G445" s="1030"/>
      <c r="H445" s="1030"/>
      <c r="I445" s="1030"/>
      <c r="J445" s="1030"/>
      <c r="K445" s="1030"/>
      <c r="L445" s="1030"/>
      <c r="M445" s="1030"/>
      <c r="N445" s="1030"/>
      <c r="O445" s="1030"/>
      <c r="P445" s="1030"/>
      <c r="Q445" s="1030"/>
      <c r="R445" s="1030"/>
      <c r="S445" s="1030"/>
      <c r="T445" s="1030"/>
      <c r="U445" s="1030"/>
      <c r="V445" s="1030"/>
      <c r="W445" s="1030"/>
      <c r="X445" s="1030"/>
      <c r="Y445" s="1030"/>
      <c r="Z445" s="1030"/>
      <c r="AA445" s="1030"/>
      <c r="AB445" s="1030"/>
      <c r="AC445" s="1030"/>
      <c r="AD445" s="1030"/>
      <c r="AE445" s="1030"/>
    </row>
    <row r="446" spans="3:31">
      <c r="C446" s="1030"/>
      <c r="D446" s="1030"/>
      <c r="E446" s="1030"/>
      <c r="F446" s="1030"/>
      <c r="G446" s="1030"/>
      <c r="H446" s="1030"/>
      <c r="I446" s="1030"/>
      <c r="J446" s="1030"/>
      <c r="K446" s="1030"/>
      <c r="L446" s="1030"/>
      <c r="M446" s="1030"/>
      <c r="N446" s="1030"/>
      <c r="O446" s="1030"/>
      <c r="P446" s="1030"/>
      <c r="Q446" s="1030"/>
      <c r="R446" s="1030"/>
      <c r="S446" s="1030"/>
      <c r="T446" s="1030"/>
      <c r="U446" s="1030"/>
      <c r="V446" s="1030"/>
      <c r="W446" s="1030"/>
      <c r="X446" s="1030"/>
      <c r="Y446" s="1030"/>
      <c r="Z446" s="1030"/>
      <c r="AA446" s="1030"/>
      <c r="AB446" s="1030"/>
      <c r="AC446" s="1030"/>
      <c r="AD446" s="1030"/>
      <c r="AE446" s="1030"/>
    </row>
    <row r="447" spans="3:31">
      <c r="C447" s="1030"/>
      <c r="D447" s="1030"/>
      <c r="E447" s="1030"/>
      <c r="F447" s="1030"/>
      <c r="G447" s="1030"/>
      <c r="H447" s="1030"/>
      <c r="I447" s="1030"/>
      <c r="J447" s="1030"/>
      <c r="K447" s="1030"/>
      <c r="L447" s="1030"/>
      <c r="M447" s="1030"/>
      <c r="N447" s="1030"/>
      <c r="O447" s="1030"/>
      <c r="P447" s="1030"/>
      <c r="Q447" s="1030"/>
      <c r="R447" s="1030"/>
      <c r="S447" s="1030"/>
      <c r="T447" s="1030"/>
      <c r="U447" s="1030"/>
      <c r="V447" s="1030"/>
      <c r="W447" s="1030"/>
      <c r="X447" s="1030"/>
      <c r="Y447" s="1030"/>
      <c r="Z447" s="1030"/>
      <c r="AA447" s="1030"/>
      <c r="AB447" s="1030"/>
      <c r="AC447" s="1030"/>
      <c r="AD447" s="1030"/>
      <c r="AE447" s="1030"/>
    </row>
    <row r="448" spans="3:31">
      <c r="C448" s="1030"/>
      <c r="D448" s="1030"/>
      <c r="E448" s="1030"/>
      <c r="F448" s="1030"/>
      <c r="G448" s="1030"/>
      <c r="H448" s="1030"/>
      <c r="I448" s="1030"/>
      <c r="J448" s="1030"/>
      <c r="K448" s="1030"/>
      <c r="L448" s="1030"/>
      <c r="M448" s="1030"/>
      <c r="N448" s="1030"/>
      <c r="O448" s="1030"/>
      <c r="P448" s="1030"/>
      <c r="Q448" s="1030"/>
      <c r="R448" s="1030"/>
      <c r="S448" s="1030"/>
      <c r="T448" s="1030"/>
      <c r="U448" s="1030"/>
      <c r="V448" s="1030"/>
      <c r="W448" s="1030"/>
      <c r="X448" s="1030"/>
      <c r="Y448" s="1030"/>
      <c r="Z448" s="1030"/>
      <c r="AA448" s="1030"/>
      <c r="AB448" s="1030"/>
      <c r="AC448" s="1030"/>
      <c r="AD448" s="1030"/>
      <c r="AE448" s="1030"/>
    </row>
    <row r="449" spans="3:31">
      <c r="C449" s="1030"/>
      <c r="D449" s="1030"/>
      <c r="E449" s="1030"/>
      <c r="F449" s="1030"/>
      <c r="G449" s="1030"/>
      <c r="H449" s="1030"/>
      <c r="I449" s="1030"/>
      <c r="J449" s="1030"/>
      <c r="K449" s="1030"/>
      <c r="L449" s="1030"/>
      <c r="M449" s="1030"/>
      <c r="N449" s="1030"/>
      <c r="O449" s="1030"/>
      <c r="P449" s="1030"/>
      <c r="Q449" s="1030"/>
      <c r="R449" s="1030"/>
      <c r="S449" s="1030"/>
      <c r="T449" s="1030"/>
      <c r="U449" s="1030"/>
      <c r="V449" s="1030"/>
      <c r="W449" s="1030"/>
      <c r="X449" s="1030"/>
      <c r="Y449" s="1030"/>
      <c r="Z449" s="1030"/>
      <c r="AA449" s="1030"/>
      <c r="AB449" s="1030"/>
      <c r="AC449" s="1030"/>
      <c r="AD449" s="1030"/>
      <c r="AE449" s="1030"/>
    </row>
    <row r="450" spans="3:31">
      <c r="C450" s="1030"/>
      <c r="D450" s="1030"/>
      <c r="E450" s="1030"/>
      <c r="F450" s="1030"/>
      <c r="G450" s="1030"/>
      <c r="H450" s="1030"/>
      <c r="I450" s="1030"/>
      <c r="J450" s="1030"/>
      <c r="K450" s="1030"/>
      <c r="L450" s="1030"/>
      <c r="M450" s="1030"/>
      <c r="N450" s="1030"/>
      <c r="O450" s="1030"/>
      <c r="P450" s="1030"/>
      <c r="Q450" s="1030"/>
      <c r="R450" s="1030"/>
      <c r="S450" s="1030"/>
      <c r="T450" s="1030"/>
      <c r="U450" s="1030"/>
      <c r="V450" s="1030"/>
      <c r="W450" s="1030"/>
      <c r="X450" s="1030"/>
      <c r="Y450" s="1030"/>
      <c r="Z450" s="1030"/>
      <c r="AA450" s="1030"/>
      <c r="AB450" s="1030"/>
      <c r="AC450" s="1030"/>
      <c r="AD450" s="1030"/>
      <c r="AE450" s="1030"/>
    </row>
    <row r="451" spans="3:31">
      <c r="C451" s="1030"/>
      <c r="D451" s="1030"/>
      <c r="E451" s="1030"/>
      <c r="F451" s="1030"/>
      <c r="G451" s="1030"/>
      <c r="H451" s="1030"/>
      <c r="I451" s="1030"/>
      <c r="J451" s="1030"/>
      <c r="K451" s="1030"/>
      <c r="L451" s="1030"/>
      <c r="M451" s="1030"/>
      <c r="N451" s="1030"/>
      <c r="O451" s="1030"/>
      <c r="P451" s="1030"/>
      <c r="Q451" s="1030"/>
      <c r="R451" s="1030"/>
      <c r="S451" s="1030"/>
      <c r="T451" s="1030"/>
      <c r="U451" s="1030"/>
      <c r="V451" s="1030"/>
      <c r="W451" s="1030"/>
      <c r="X451" s="1030"/>
      <c r="Y451" s="1030"/>
      <c r="Z451" s="1030"/>
      <c r="AA451" s="1030"/>
      <c r="AB451" s="1030"/>
      <c r="AC451" s="1030"/>
      <c r="AD451" s="1030"/>
      <c r="AE451" s="1030"/>
    </row>
    <row r="452" spans="3:31">
      <c r="C452" s="1030"/>
      <c r="D452" s="1030"/>
      <c r="E452" s="1030"/>
      <c r="F452" s="1030"/>
      <c r="G452" s="1030"/>
      <c r="H452" s="1030"/>
      <c r="I452" s="1030"/>
      <c r="J452" s="1030"/>
      <c r="K452" s="1030"/>
      <c r="L452" s="1030"/>
      <c r="M452" s="1030"/>
      <c r="N452" s="1030"/>
      <c r="O452" s="1030"/>
      <c r="P452" s="1030"/>
      <c r="Q452" s="1030"/>
      <c r="R452" s="1030"/>
      <c r="S452" s="1030"/>
      <c r="T452" s="1030"/>
      <c r="U452" s="1030"/>
      <c r="V452" s="1030"/>
      <c r="W452" s="1030"/>
      <c r="X452" s="1030"/>
      <c r="Y452" s="1030"/>
      <c r="Z452" s="1030"/>
      <c r="AA452" s="1030"/>
      <c r="AB452" s="1030"/>
      <c r="AC452" s="1030"/>
      <c r="AD452" s="1030"/>
      <c r="AE452" s="1030"/>
    </row>
    <row r="453" spans="3:31">
      <c r="C453" s="1030"/>
      <c r="D453" s="1030"/>
      <c r="E453" s="1030"/>
      <c r="F453" s="1030"/>
      <c r="G453" s="1030"/>
      <c r="H453" s="1030"/>
      <c r="I453" s="1030"/>
      <c r="J453" s="1030"/>
      <c r="K453" s="1030"/>
      <c r="L453" s="1030"/>
      <c r="M453" s="1030"/>
      <c r="N453" s="1030"/>
      <c r="O453" s="1030"/>
      <c r="P453" s="1030"/>
      <c r="Q453" s="1030"/>
      <c r="R453" s="1030"/>
      <c r="S453" s="1030"/>
      <c r="T453" s="1030"/>
      <c r="U453" s="1030"/>
      <c r="V453" s="1030"/>
      <c r="W453" s="1030"/>
      <c r="X453" s="1030"/>
      <c r="Y453" s="1030"/>
      <c r="Z453" s="1030"/>
      <c r="AA453" s="1030"/>
      <c r="AB453" s="1030"/>
      <c r="AC453" s="1030"/>
      <c r="AD453" s="1030"/>
      <c r="AE453" s="1030"/>
    </row>
    <row r="454" spans="3:31">
      <c r="C454" s="1030"/>
      <c r="D454" s="1030"/>
      <c r="E454" s="1030"/>
      <c r="F454" s="1030"/>
      <c r="G454" s="1030"/>
      <c r="H454" s="1030"/>
      <c r="I454" s="1030"/>
      <c r="J454" s="1030"/>
      <c r="K454" s="1030"/>
      <c r="L454" s="1030"/>
      <c r="M454" s="1030"/>
      <c r="N454" s="1030"/>
      <c r="O454" s="1030"/>
      <c r="P454" s="1030"/>
      <c r="Q454" s="1030"/>
      <c r="R454" s="1030"/>
      <c r="S454" s="1030"/>
      <c r="T454" s="1030"/>
      <c r="U454" s="1030"/>
      <c r="V454" s="1030"/>
      <c r="W454" s="1030"/>
      <c r="X454" s="1030"/>
      <c r="Y454" s="1030"/>
      <c r="Z454" s="1030"/>
      <c r="AA454" s="1030"/>
      <c r="AB454" s="1030"/>
      <c r="AC454" s="1030"/>
      <c r="AD454" s="1030"/>
      <c r="AE454" s="1030"/>
    </row>
    <row r="455" spans="3:31">
      <c r="C455" s="1030"/>
      <c r="D455" s="1030"/>
      <c r="E455" s="1030"/>
      <c r="F455" s="1030"/>
      <c r="G455" s="1030"/>
      <c r="H455" s="1030"/>
      <c r="I455" s="1030"/>
      <c r="J455" s="1030"/>
      <c r="K455" s="1030"/>
      <c r="L455" s="1030"/>
      <c r="M455" s="1030"/>
      <c r="N455" s="1030"/>
      <c r="O455" s="1030"/>
      <c r="P455" s="1030"/>
      <c r="Q455" s="1030"/>
      <c r="R455" s="1030"/>
      <c r="S455" s="1030"/>
      <c r="T455" s="1030"/>
      <c r="U455" s="1030"/>
      <c r="V455" s="1030"/>
      <c r="W455" s="1030"/>
      <c r="X455" s="1030"/>
      <c r="Y455" s="1030"/>
      <c r="Z455" s="1030"/>
      <c r="AA455" s="1030"/>
      <c r="AB455" s="1030"/>
      <c r="AC455" s="1030"/>
      <c r="AD455" s="1030"/>
      <c r="AE455" s="1030"/>
    </row>
    <row r="456" spans="3:31">
      <c r="C456" s="1030"/>
      <c r="D456" s="1030"/>
      <c r="E456" s="1030"/>
      <c r="F456" s="1030"/>
      <c r="G456" s="1030"/>
      <c r="H456" s="1030"/>
      <c r="I456" s="1030"/>
      <c r="J456" s="1030"/>
      <c r="K456" s="1030"/>
      <c r="L456" s="1030"/>
      <c r="M456" s="1030"/>
      <c r="N456" s="1030"/>
      <c r="O456" s="1030"/>
      <c r="P456" s="1030"/>
      <c r="Q456" s="1030"/>
      <c r="R456" s="1030"/>
      <c r="S456" s="1030"/>
      <c r="T456" s="1030"/>
      <c r="U456" s="1030"/>
      <c r="V456" s="1030"/>
      <c r="W456" s="1030"/>
      <c r="X456" s="1030"/>
      <c r="Y456" s="1030"/>
      <c r="Z456" s="1030"/>
      <c r="AA456" s="1030"/>
      <c r="AB456" s="1030"/>
      <c r="AC456" s="1030"/>
      <c r="AD456" s="1030"/>
      <c r="AE456" s="1030"/>
    </row>
    <row r="457" spans="3:31">
      <c r="C457" s="1030"/>
      <c r="D457" s="1030"/>
      <c r="E457" s="1030"/>
      <c r="F457" s="1030"/>
      <c r="G457" s="1030"/>
      <c r="H457" s="1030"/>
      <c r="I457" s="1030"/>
      <c r="J457" s="1030"/>
      <c r="K457" s="1030"/>
      <c r="L457" s="1030"/>
      <c r="M457" s="1030"/>
      <c r="N457" s="1030"/>
      <c r="O457" s="1030"/>
      <c r="P457" s="1030"/>
      <c r="Q457" s="1030"/>
      <c r="R457" s="1030"/>
      <c r="S457" s="1030"/>
      <c r="T457" s="1030"/>
      <c r="U457" s="1030"/>
      <c r="V457" s="1030"/>
      <c r="W457" s="1030"/>
      <c r="X457" s="1030"/>
      <c r="Y457" s="1030"/>
      <c r="Z457" s="1030"/>
      <c r="AA457" s="1030"/>
      <c r="AB457" s="1030"/>
      <c r="AC457" s="1030"/>
      <c r="AD457" s="1030"/>
      <c r="AE457" s="1030"/>
    </row>
    <row r="458" spans="3:31">
      <c r="C458" s="1030"/>
      <c r="D458" s="1030"/>
      <c r="E458" s="1030"/>
      <c r="F458" s="1030"/>
      <c r="G458" s="1030"/>
      <c r="H458" s="1030"/>
      <c r="I458" s="1030"/>
      <c r="J458" s="1030"/>
      <c r="K458" s="1030"/>
      <c r="L458" s="1030"/>
      <c r="M458" s="1030"/>
      <c r="N458" s="1030"/>
      <c r="O458" s="1030"/>
      <c r="P458" s="1030"/>
      <c r="Q458" s="1030"/>
      <c r="R458" s="1030"/>
      <c r="S458" s="1030"/>
      <c r="T458" s="1030"/>
      <c r="U458" s="1030"/>
      <c r="V458" s="1030"/>
      <c r="W458" s="1030"/>
      <c r="X458" s="1030"/>
      <c r="Y458" s="1030"/>
      <c r="Z458" s="1030"/>
      <c r="AA458" s="1030"/>
      <c r="AB458" s="1030"/>
      <c r="AC458" s="1030"/>
      <c r="AD458" s="1030"/>
      <c r="AE458" s="1030"/>
    </row>
  </sheetData>
  <sheetProtection password="CAEF" sheet="1" formatCells="0" formatRows="0"/>
  <mergeCells count="171">
    <mergeCell ref="C36:D36"/>
    <mergeCell ref="C37:D37"/>
    <mergeCell ref="C32:D33"/>
    <mergeCell ref="E32:N33"/>
    <mergeCell ref="C45:D45"/>
    <mergeCell ref="C46:D46"/>
    <mergeCell ref="C47:D47"/>
    <mergeCell ref="T64:Z64"/>
    <mergeCell ref="V65:X65"/>
    <mergeCell ref="O65:Q65"/>
    <mergeCell ref="O32:P33"/>
    <mergeCell ref="S33:U33"/>
    <mergeCell ref="Z33:AB33"/>
    <mergeCell ref="X32:AD32"/>
    <mergeCell ref="Q32:W32"/>
    <mergeCell ref="C58:D58"/>
    <mergeCell ref="C59:D59"/>
    <mergeCell ref="C60:D60"/>
    <mergeCell ref="T67:Z67"/>
    <mergeCell ref="E64:J65"/>
    <mergeCell ref="K64:L65"/>
    <mergeCell ref="M64:S64"/>
    <mergeCell ref="C38:D38"/>
    <mergeCell ref="C39:D39"/>
    <mergeCell ref="C40:D40"/>
    <mergeCell ref="C41:D41"/>
    <mergeCell ref="C42:D42"/>
    <mergeCell ref="C48:D48"/>
    <mergeCell ref="C49:D49"/>
    <mergeCell ref="C50:D50"/>
    <mergeCell ref="C51:D51"/>
    <mergeCell ref="C52:D52"/>
    <mergeCell ref="C43:D43"/>
    <mergeCell ref="C44:D44"/>
    <mergeCell ref="C61:D61"/>
    <mergeCell ref="C62:D62"/>
    <mergeCell ref="C53:D53"/>
    <mergeCell ref="C54:D54"/>
    <mergeCell ref="C55:D55"/>
    <mergeCell ref="C56:D56"/>
    <mergeCell ref="C57:D57"/>
    <mergeCell ref="X25:X26"/>
    <mergeCell ref="U21:W22"/>
    <mergeCell ref="U23:W24"/>
    <mergeCell ref="X27:X28"/>
    <mergeCell ref="U27:W28"/>
    <mergeCell ref="R6:R7"/>
    <mergeCell ref="Q10:Q11"/>
    <mergeCell ref="N8:P9"/>
    <mergeCell ref="C25:D25"/>
    <mergeCell ref="C29:F29"/>
    <mergeCell ref="N29:S29"/>
    <mergeCell ref="S17:S18"/>
    <mergeCell ref="N17:R18"/>
    <mergeCell ref="S8:S9"/>
    <mergeCell ref="R15:R16"/>
    <mergeCell ref="R12:R14"/>
    <mergeCell ref="Q12:Q14"/>
    <mergeCell ref="R10:R11"/>
    <mergeCell ref="C16:D16"/>
    <mergeCell ref="C18:D18"/>
    <mergeCell ref="C15:D15"/>
    <mergeCell ref="C21:D21"/>
    <mergeCell ref="C1:J2"/>
    <mergeCell ref="C24:D24"/>
    <mergeCell ref="M1:N1"/>
    <mergeCell ref="O1:P1"/>
    <mergeCell ref="Q8:Q9"/>
    <mergeCell ref="R8:R9"/>
    <mergeCell ref="K3:L3"/>
    <mergeCell ref="C23:D23"/>
    <mergeCell ref="H3:I3"/>
    <mergeCell ref="F3:G3"/>
    <mergeCell ref="C4:D4"/>
    <mergeCell ref="C11:D11"/>
    <mergeCell ref="C14:D14"/>
    <mergeCell ref="C8:D8"/>
    <mergeCell ref="C13:D13"/>
    <mergeCell ref="C12:D12"/>
    <mergeCell ref="C10:D10"/>
    <mergeCell ref="C7:D7"/>
    <mergeCell ref="C9:D9"/>
    <mergeCell ref="C5:D5"/>
    <mergeCell ref="C22:D22"/>
    <mergeCell ref="C6:D6"/>
    <mergeCell ref="C17:D17"/>
    <mergeCell ref="C20:D20"/>
    <mergeCell ref="AH2:AK2"/>
    <mergeCell ref="X21:X22"/>
    <mergeCell ref="X23:X24"/>
    <mergeCell ref="S6:S7"/>
    <mergeCell ref="U3:X3"/>
    <mergeCell ref="U4:X12"/>
    <mergeCell ref="R3:S3"/>
    <mergeCell ref="S10:S11"/>
    <mergeCell ref="N19:S22"/>
    <mergeCell ref="N23:S25"/>
    <mergeCell ref="S12:S14"/>
    <mergeCell ref="S15:S16"/>
    <mergeCell ref="U25:W26"/>
    <mergeCell ref="N15:P16"/>
    <mergeCell ref="N5:P5"/>
    <mergeCell ref="N26:S28"/>
    <mergeCell ref="U19:X20"/>
    <mergeCell ref="Q15:Q16"/>
    <mergeCell ref="N4:P4"/>
    <mergeCell ref="N6:P7"/>
    <mergeCell ref="N12:P14"/>
    <mergeCell ref="N10:P11"/>
    <mergeCell ref="N3:P3"/>
    <mergeCell ref="Q6:Q7"/>
    <mergeCell ref="C70:C75"/>
    <mergeCell ref="C76:C81"/>
    <mergeCell ref="E117:F117"/>
    <mergeCell ref="H117:I117"/>
    <mergeCell ref="J117:K117"/>
    <mergeCell ref="E66:F66"/>
    <mergeCell ref="P118:R118"/>
    <mergeCell ref="C106:C111"/>
    <mergeCell ref="C82:C87"/>
    <mergeCell ref="C88:C93"/>
    <mergeCell ref="C94:C99"/>
    <mergeCell ref="C100:C105"/>
    <mergeCell ref="E116:K116"/>
    <mergeCell ref="M67:S67"/>
    <mergeCell ref="W118:Y118"/>
    <mergeCell ref="C119:C124"/>
    <mergeCell ref="L116:M117"/>
    <mergeCell ref="P116:R116"/>
    <mergeCell ref="W116:Y116"/>
    <mergeCell ref="C125:C130"/>
    <mergeCell ref="C143:D144"/>
    <mergeCell ref="E143:O143"/>
    <mergeCell ref="P143:Q144"/>
    <mergeCell ref="R143:X143"/>
    <mergeCell ref="Y143:AE143"/>
    <mergeCell ref="E144:O144"/>
    <mergeCell ref="T144:V144"/>
    <mergeCell ref="AA144:AC144"/>
    <mergeCell ref="E145:F145"/>
    <mergeCell ref="H145:I145"/>
    <mergeCell ref="J145:K145"/>
    <mergeCell ref="L145:M145"/>
    <mergeCell ref="N145:O145"/>
    <mergeCell ref="P146:Q146"/>
    <mergeCell ref="T146:V146"/>
    <mergeCell ref="AA146:AC146"/>
    <mergeCell ref="C189:D190"/>
    <mergeCell ref="E189:K189"/>
    <mergeCell ref="L189:M190"/>
    <mergeCell ref="N189:T189"/>
    <mergeCell ref="U189:AA189"/>
    <mergeCell ref="P190:R190"/>
    <mergeCell ref="W190:Y190"/>
    <mergeCell ref="W192:Y192"/>
    <mergeCell ref="E285:F285"/>
    <mergeCell ref="H285:I285"/>
    <mergeCell ref="J285:K285"/>
    <mergeCell ref="E191:F191"/>
    <mergeCell ref="H191:I191"/>
    <mergeCell ref="J191:K191"/>
    <mergeCell ref="P192:R192"/>
    <mergeCell ref="E391:F391"/>
    <mergeCell ref="H391:I391"/>
    <mergeCell ref="J391:K391"/>
    <mergeCell ref="E316:F316"/>
    <mergeCell ref="H316:I316"/>
    <mergeCell ref="J316:K316"/>
    <mergeCell ref="E330:F330"/>
    <mergeCell ref="H330:I330"/>
    <mergeCell ref="J330:K330"/>
  </mergeCells>
  <phoneticPr fontId="38" type="noConversion"/>
  <conditionalFormatting sqref="C29:D29">
    <cfRule type="cellIs" dxfId="324" priority="38" stopIfTrue="1" operator="equal">
      <formula>"Der N-Saldo ist nicht ok!"</formula>
    </cfRule>
  </conditionalFormatting>
  <conditionalFormatting sqref="X23">
    <cfRule type="cellIs" dxfId="323" priority="40" stopIfTrue="1" operator="greaterThan">
      <formula>1</formula>
    </cfRule>
  </conditionalFormatting>
  <conditionalFormatting sqref="N23">
    <cfRule type="cellIs" dxfId="322" priority="41" stopIfTrue="1" operator="equal">
      <formula>"Der Phosphoreinsatz liegt über 100 kg je ha LN, eine Dokumentation und Begründung ist erforderlich!"</formula>
    </cfRule>
  </conditionalFormatting>
  <conditionalFormatting sqref="K5:K18">
    <cfRule type="cellIs" dxfId="321" priority="42" stopIfTrue="1" operator="greaterThan">
      <formula>1</formula>
    </cfRule>
  </conditionalFormatting>
  <conditionalFormatting sqref="K19:K25">
    <cfRule type="cellIs" dxfId="320" priority="44" stopIfTrue="1" operator="greaterThan">
      <formula>1</formula>
    </cfRule>
  </conditionalFormatting>
  <conditionalFormatting sqref="J29">
    <cfRule type="cellIs" dxfId="319" priority="51" stopIfTrue="1" operator="lessThan">
      <formula>0</formula>
    </cfRule>
    <cfRule type="cellIs" dxfId="318" priority="52" stopIfTrue="1" operator="greaterThan">
      <formula>0</formula>
    </cfRule>
  </conditionalFormatting>
  <conditionalFormatting sqref="X21">
    <cfRule type="cellIs" dxfId="317" priority="53" stopIfTrue="1" operator="greaterThan">
      <formula>1</formula>
    </cfRule>
  </conditionalFormatting>
  <conditionalFormatting sqref="J27:J28">
    <cfRule type="cellIs" dxfId="316" priority="54" stopIfTrue="1" operator="notEqual">
      <formula>0</formula>
    </cfRule>
  </conditionalFormatting>
  <conditionalFormatting sqref="X27">
    <cfRule type="cellIs" dxfId="315" priority="58" stopIfTrue="1" operator="greaterThan">
      <formula>1</formula>
    </cfRule>
  </conditionalFormatting>
  <conditionalFormatting sqref="X25">
    <cfRule type="cellIs" dxfId="314" priority="59" stopIfTrue="1" operator="greaterThan">
      <formula>1</formula>
    </cfRule>
  </conditionalFormatting>
  <conditionalFormatting sqref="J26">
    <cfRule type="cellIs" dxfId="313" priority="36" stopIfTrue="1" operator="lessThan">
      <formula>1</formula>
    </cfRule>
  </conditionalFormatting>
  <conditionalFormatting sqref="M28">
    <cfRule type="cellIs" dxfId="312" priority="35" stopIfTrue="1" operator="greaterThan">
      <formula>1</formula>
    </cfRule>
  </conditionalFormatting>
  <conditionalFormatting sqref="N29:S29">
    <cfRule type="cellIs" dxfId="311" priority="33" operator="equal">
      <formula>"Ok! Kein Mineral-Phosphor am Betrieb!"</formula>
    </cfRule>
    <cfRule type="cellIs" dxfId="310" priority="34" operator="equal">
      <formula>"DerP-Saldo ist ok!"</formula>
    </cfRule>
    <cfRule type="cellIs" dxfId="309" priority="39" stopIfTrue="1" operator="equal">
      <formula>"Achtung, der P-Saldo ist zu hoch!"</formula>
    </cfRule>
  </conditionalFormatting>
  <conditionalFormatting sqref="M26">
    <cfRule type="cellIs" dxfId="308" priority="18" stopIfTrue="1" operator="greaterThan">
      <formula>1</formula>
    </cfRule>
  </conditionalFormatting>
  <conditionalFormatting sqref="M27">
    <cfRule type="cellIs" dxfId="307" priority="17" stopIfTrue="1" operator="notEqual">
      <formula>0</formula>
    </cfRule>
  </conditionalFormatting>
  <conditionalFormatting sqref="M29">
    <cfRule type="cellIs" dxfId="306" priority="15" stopIfTrue="1" operator="lessThan">
      <formula>0</formula>
    </cfRule>
    <cfRule type="cellIs" dxfId="305" priority="16" stopIfTrue="1" operator="greaterThan">
      <formula>0</formula>
    </cfRule>
  </conditionalFormatting>
  <conditionalFormatting sqref="S17">
    <cfRule type="cellIs" dxfId="304" priority="14" stopIfTrue="1" operator="greaterThan">
      <formula>1</formula>
    </cfRule>
  </conditionalFormatting>
  <conditionalFormatting sqref="N19:S22">
    <cfRule type="cellIs" dxfId="303" priority="12" operator="equal">
      <formula>"Achtung Vorfruchtwirkung beachten! Wurden im Vorjahr Ackerbohnen, Erbsen, Ackerfutterflächen und Grünbrachen oder Grünland umgebrochen ist eine Vorfruchtwirkung einzugeben!"</formula>
    </cfRule>
  </conditionalFormatting>
  <conditionalFormatting sqref="E5:E17">
    <cfRule type="expression" dxfId="302" priority="6">
      <formula>AND($C5&lt;&gt;"",$E5="",$BQ3=1)</formula>
    </cfRule>
  </conditionalFormatting>
  <conditionalFormatting sqref="F5:F17">
    <cfRule type="expression" dxfId="301" priority="5">
      <formula>AND($C5&lt;&gt;"",$E5&lt;&gt;"",$F5="",$BQ3=1)</formula>
    </cfRule>
  </conditionalFormatting>
  <conditionalFormatting sqref="E20:E25">
    <cfRule type="expression" dxfId="300" priority="3">
      <formula>AND($C20&lt;&gt;"",$E20="",$BQ17=1)</formula>
    </cfRule>
  </conditionalFormatting>
  <conditionalFormatting sqref="F20:F25">
    <cfRule type="expression" dxfId="299" priority="2">
      <formula>AND($C20&lt;&gt;"",$E20&lt;&gt;"",$F20="",$BQ17=1)</formula>
    </cfRule>
  </conditionalFormatting>
  <dataValidations xWindow="197" yWindow="470" count="31">
    <dataValidation operator="equal" allowBlank="1" showInputMessage="1" promptTitle="Hinweis" prompt="Kultur auswählen, nicht angezeigte (zB Gemüse und Heilkräuter) eintippen!" sqref="C19"/>
    <dataValidation type="list" operator="equal" allowBlank="1" showErrorMessage="1" sqref="F5:F18 G18">
      <formula1>Liste_Ertrag</formula1>
    </dataValidation>
    <dataValidation type="whole" allowBlank="1" showErrorMessage="1" promptTitle="Hinweis" prompt="Wird der N-Bedarfswert nicht automatisch eingespielt, muss er hier eingetragen werden (bei allen eingetippten Kulturen)." sqref="H5:H18 H21:H25">
      <formula1>0</formula1>
      <formula2>500</formula2>
    </dataValidation>
    <dataValidation operator="equal" allowBlank="1" showInputMessage="1" showErrorMessage="1" promptTitle="Hinweis" prompt="Dieser Wert wird berechnet." sqref="I5">
      <formula1>0</formula1>
      <formula2>0</formula2>
    </dataValidation>
    <dataValidation type="whole" allowBlank="1" showInputMessage="1" showErrorMessage="1" promptTitle="Hinweis" prompt="Der P-Bedarfswert kann hier auf die Ertrags- und Versorgungssituation angepasst, oder muss eingegeben werden, wenn kein Wert vorgegeben ist." sqref="K19">
      <formula1>0</formula1>
      <formula2>160</formula2>
    </dataValidation>
    <dataValidation type="list" operator="equal" allowBlank="1" showErrorMessage="1" sqref="F20:F25">
      <formula1>Liste_Grünland</formula1>
    </dataValidation>
    <dataValidation type="whole" allowBlank="1" showInputMessage="1" showErrorMessage="1" promptTitle="Hinweis" prompt="Wird der N-Bedarfswert nicht automatisch eingespielt, muss er hier eingetragen werden (bei allen eingetippten Kulturen)." sqref="H20">
      <formula1>0</formula1>
      <formula2>500</formula2>
    </dataValidation>
    <dataValidation type="whole" allowBlank="1" showInputMessage="1" showErrorMessage="1" promptTitle="Hinweis" prompt="Der P-Bedarfswert kann hier auf die Ertrags- und Versorgungssituation angepasst, oder muss eingegeben werden, wenn kein Wert vorgegeben ist." sqref="K20:K25">
      <formula1>0</formula1>
      <formula2>180</formula2>
    </dataValidation>
    <dataValidation type="whole" allowBlank="1" showInputMessage="1" showErrorMessage="1" promptTitle="Hinweis" prompt="Der P-Bedarfswert kann hier auf die Ertrags- und Versorgungssituation angepasst, oder muss eingegeben werden, wenn kein Wert vorgegeben ist." sqref="K5:K18">
      <formula1>0</formula1>
      <formula2>205</formula2>
    </dataValidation>
    <dataValidation type="list" allowBlank="1" showInputMessage="1" sqref="C18:D18">
      <formula1>Liste_Kulturen</formula1>
    </dataValidation>
    <dataValidation operator="equal" allowBlank="1" promptTitle="Hinweis" prompt="Kultur auswählen, nicht angezeigte (zB Gemüse und Heilkräuter) eintippen!" sqref="D19"/>
    <dataValidation operator="equal" allowBlank="1" showErrorMessage="1" sqref="G20:G25"/>
    <dataValidation type="list" allowBlank="1" sqref="C25:D25">
      <formula1>N_Bedarf_C25</formula1>
    </dataValidation>
    <dataValidation type="list" showInputMessage="1" sqref="C5:D5">
      <formula1>N_Bedarf_C5</formula1>
    </dataValidation>
    <dataValidation type="list" allowBlank="1" showInputMessage="1" sqref="C6:D6">
      <formula1>N_Bedarf_C6</formula1>
    </dataValidation>
    <dataValidation type="list" allowBlank="1" showInputMessage="1" sqref="C7:D7">
      <formula1>N_Bedarf_C7</formula1>
    </dataValidation>
    <dataValidation type="list" allowBlank="1" sqref="C8:D8">
      <formula1>N_Bedarf_C8</formula1>
    </dataValidation>
    <dataValidation type="list" allowBlank="1" showInputMessage="1" sqref="C9:D9">
      <formula1>N_Bedarf_C9</formula1>
    </dataValidation>
    <dataValidation type="list" allowBlank="1" showInputMessage="1" sqref="C10:D10">
      <formula1>N_Bedarf_C10</formula1>
    </dataValidation>
    <dataValidation type="list" allowBlank="1" showInputMessage="1" sqref="C11:D11">
      <formula1>N_Bedarf_C11</formula1>
    </dataValidation>
    <dataValidation type="list" allowBlank="1" showInputMessage="1" sqref="C12:D12">
      <formula1>N_Bedarf_C12</formula1>
    </dataValidation>
    <dataValidation type="list" allowBlank="1" showInputMessage="1" sqref="C13:D13">
      <formula1>N_Bedarf_C13</formula1>
    </dataValidation>
    <dataValidation type="list" allowBlank="1" showInputMessage="1" sqref="C14:D14">
      <formula1>N_Bedarf_C14</formula1>
    </dataValidation>
    <dataValidation type="list" allowBlank="1" showInputMessage="1" sqref="C15:D15">
      <formula1>N_Bedarf_C15</formula1>
    </dataValidation>
    <dataValidation type="list" allowBlank="1" showInputMessage="1" sqref="C16:D16">
      <formula1>N_Bedarf_C16</formula1>
    </dataValidation>
    <dataValidation type="list" allowBlank="1" showInputMessage="1" sqref="C17:D17">
      <formula1>N_Bedarf_C17</formula1>
    </dataValidation>
    <dataValidation type="list" allowBlank="1" sqref="C20:D20">
      <formula1>N_Bedarf_C20</formula1>
    </dataValidation>
    <dataValidation type="list" allowBlank="1" sqref="C21:D21">
      <formula1>N_Bedarf_C21</formula1>
    </dataValidation>
    <dataValidation type="list" allowBlank="1" sqref="C22:D22">
      <formula1>N_Bedarf_C22</formula1>
    </dataValidation>
    <dataValidation type="list" allowBlank="1" sqref="C23:D23">
      <formula1>N_Bedarf_C23</formula1>
    </dataValidation>
    <dataValidation type="list" allowBlank="1" sqref="C24:D24">
      <formula1>N_Bedarf_C24</formula1>
    </dataValidation>
  </dataValidations>
  <hyperlinks>
    <hyperlink ref="M1" location="Mineral!B3" display="◄"/>
    <hyperlink ref="O1" location="Ergebnis!H2" display="  ►"/>
    <hyperlink ref="O1:P1" location="Tiere!H2" display="  ►"/>
    <hyperlink ref="M1:N1" location="Betrieb!A2" display="◄"/>
  </hyperlinks>
  <printOptions horizontalCentered="1" verticalCentered="1"/>
  <pageMargins left="0.47244094488188981" right="0.43307086614173229" top="0.63" bottom="0.43307086614173229" header="0.28000000000000003" footer="0.23622047244094491"/>
  <pageSetup paperSize="9" scale="69" firstPageNumber="0" orientation="landscape" blackAndWhite="1" horizontalDpi="300" verticalDpi="300" r:id="rId1"/>
  <headerFooter alignWithMargins="0">
    <oddHeader>&amp;R&amp;O</oddHeader>
    <oddFooter>&amp;L&amp;F&amp;C&amp;A&amp;R&amp;P von &amp;N</oddFooter>
  </headerFooter>
  <ignoredErrors>
    <ignoredError sqref="AE21:AE25 AE5:AE17" unlockedFormula="1"/>
  </ignoredErrors>
  <legacyDrawing r:id="rId2"/>
  <legacyDrawingHF r:id="rId3"/>
  <tableParts count="2">
    <tablePart r:id="rId4"/>
    <tablePart r:id="rId5"/>
  </tableParts>
  <extLst>
    <ext xmlns:x14="http://schemas.microsoft.com/office/spreadsheetml/2009/9/main" uri="{78C0D931-6437-407d-A8EE-F0AAD7539E65}">
      <x14:conditionalFormattings>
        <x14:conditionalFormatting xmlns:xm="http://schemas.microsoft.com/office/excel/2006/main">
          <x14:cfRule type="expression" priority="9" id="{6C09EB09-447A-4909-B208-85A74B8F9138}">
            <xm:f>(Betrieb!D18=0)</xm:f>
            <x14:dxf>
              <font>
                <color rgb="FFFF0000"/>
              </font>
            </x14:dxf>
          </x14:cfRule>
          <xm:sqref>N26:S28</xm:sqref>
        </x14:conditionalFormatting>
        <x14:conditionalFormatting xmlns:xm="http://schemas.microsoft.com/office/excel/2006/main">
          <x14:cfRule type="expression" priority="8" id="{DE0B41C0-E960-46BC-98F9-5C8ABE417137}">
            <xm:f>AND(Betrieb!$D$14&gt;0,OR($C$5="",$C$5=0,$BQ3&lt;&gt;1))</xm:f>
            <x14:dxf>
              <fill>
                <patternFill>
                  <bgColor rgb="FF66FF33"/>
                </patternFill>
              </fill>
            </x14:dxf>
          </x14:cfRule>
          <xm:sqref>C5:D5</xm:sqref>
        </x14:conditionalFormatting>
        <x14:conditionalFormatting xmlns:xm="http://schemas.microsoft.com/office/excel/2006/main">
          <x14:cfRule type="expression" priority="7" id="{84708E4A-4BD5-4735-86DB-7EFA4700143E}">
            <xm:f>AND($C5&lt;&gt;"",$E5&lt;&gt;"",$F5&lt;&gt;"",$X$23&lt;Betrieb!$D$14,OR($C6="",$C6=0,$BQ4&lt;&gt;1))</xm:f>
            <x14:dxf>
              <fill>
                <patternFill>
                  <bgColor rgb="FF66FF33"/>
                </patternFill>
              </fill>
            </x14:dxf>
          </x14:cfRule>
          <xm:sqref>C6:D17</xm:sqref>
        </x14:conditionalFormatting>
        <x14:conditionalFormatting xmlns:xm="http://schemas.microsoft.com/office/excel/2006/main">
          <x14:cfRule type="expression" priority="4" id="{BE379444-C715-4C4C-8BEB-2947110620FB}">
            <xm:f>AND(Betrieb!$D$15&gt;0,OR($C20=0,$C20="",$BQ17&lt;&gt;1))</xm:f>
            <x14:dxf>
              <fill>
                <patternFill>
                  <bgColor rgb="FF66FF33"/>
                </patternFill>
              </fill>
            </x14:dxf>
          </x14:cfRule>
          <xm:sqref>C20:D20</xm:sqref>
        </x14:conditionalFormatting>
        <x14:conditionalFormatting xmlns:xm="http://schemas.microsoft.com/office/excel/2006/main">
          <x14:cfRule type="expression" priority="1" id="{BFDB17CD-02F0-4F4C-99B6-2AFBFBA201E2}">
            <xm:f>AND($C20&lt;&gt;"",$E20&lt;&gt;"",$F20&lt;&gt;"",$X$27&lt;Betrieb!$D$15,OR($C21="",$C21=0,$BQ18&lt;&gt;1))</xm:f>
            <x14:dxf>
              <fill>
                <patternFill>
                  <bgColor rgb="FF66FF33"/>
                </patternFill>
              </fill>
            </x14:dxf>
          </x14:cfRule>
          <xm:sqref>C21:D25</xm:sqref>
        </x14:conditionalFormatting>
      </x14:conditionalFormatting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5">
    <tabColor rgb="FFFFFF00"/>
    <pageSetUpPr fitToPage="1"/>
  </sheetPr>
  <dimension ref="A1:IT146"/>
  <sheetViews>
    <sheetView showZeros="0" tabSelected="1" zoomScale="80" zoomScaleNormal="80" workbookViewId="0">
      <selection activeCell="B5" sqref="B5:H5"/>
    </sheetView>
  </sheetViews>
  <sheetFormatPr baseColWidth="10" defaultColWidth="12.6640625" defaultRowHeight="11.4"/>
  <cols>
    <col min="1" max="1" width="6.33203125" style="183" customWidth="1"/>
    <col min="2" max="2" width="28.109375" style="183" customWidth="1"/>
    <col min="3" max="8" width="8.6640625" style="183" customWidth="1"/>
    <col min="9" max="9" width="9.33203125" style="183" customWidth="1"/>
    <col min="10" max="10" width="8.88671875" style="183" customWidth="1"/>
    <col min="11" max="14" width="6.6640625" style="183" customWidth="1"/>
    <col min="15" max="19" width="8.88671875" style="183" customWidth="1"/>
    <col min="20" max="21" width="7.6640625" style="183" customWidth="1"/>
    <col min="22" max="24" width="7.44140625" style="183" customWidth="1"/>
    <col min="25" max="25" width="7.109375" style="183" customWidth="1"/>
    <col min="26" max="26" width="86.88671875" style="183" customWidth="1"/>
    <col min="27" max="27" width="10.44140625" style="183" customWidth="1"/>
    <col min="28" max="31" width="12.6640625" style="183"/>
    <col min="32" max="32" width="0" style="183" hidden="1" customWidth="1"/>
    <col min="33" max="33" width="12.6640625" style="183" hidden="1" customWidth="1"/>
    <col min="34" max="34" width="21.44140625" style="183" hidden="1" customWidth="1"/>
    <col min="35" max="35" width="12.6640625" style="183" hidden="1" customWidth="1"/>
    <col min="36" max="36" width="17.44140625" style="183" hidden="1" customWidth="1"/>
    <col min="37" max="37" width="15.44140625" style="183" hidden="1" customWidth="1"/>
    <col min="38" max="38" width="12.6640625" style="183" hidden="1" customWidth="1"/>
    <col min="39" max="39" width="16.6640625" style="183" hidden="1" customWidth="1"/>
    <col min="40" max="40" width="12.6640625" style="183" hidden="1" customWidth="1"/>
    <col min="41" max="41" width="16.6640625" style="183" hidden="1" customWidth="1"/>
    <col min="42" max="42" width="12.6640625" style="183" hidden="1" customWidth="1"/>
    <col min="43" max="43" width="16.6640625" style="183" hidden="1" customWidth="1"/>
    <col min="44" max="44" width="12.6640625" style="183" hidden="1" customWidth="1"/>
    <col min="45" max="45" width="16.6640625" style="183" hidden="1" customWidth="1"/>
    <col min="46" max="46" width="12.6640625" style="183" hidden="1" customWidth="1"/>
    <col min="47" max="47" width="16.6640625" style="183" hidden="1" customWidth="1"/>
    <col min="48" max="48" width="12.6640625" style="183" hidden="1" customWidth="1"/>
    <col min="49" max="49" width="16.6640625" style="183" hidden="1" customWidth="1"/>
    <col min="50" max="50" width="12.6640625" style="183" hidden="1" customWidth="1"/>
    <col min="51" max="51" width="16.6640625" style="183" hidden="1" customWidth="1"/>
    <col min="52" max="52" width="12.6640625" style="183" hidden="1" customWidth="1"/>
    <col min="53" max="53" width="16.6640625" style="183" hidden="1" customWidth="1"/>
    <col min="54" max="54" width="12.6640625" style="183" hidden="1" customWidth="1"/>
    <col min="55" max="55" width="17.6640625" style="183" hidden="1" customWidth="1"/>
    <col min="56" max="56" width="12.6640625" style="183" hidden="1" customWidth="1"/>
    <col min="57" max="57" width="17.33203125" style="183" hidden="1" customWidth="1"/>
    <col min="58" max="58" width="12.6640625" style="183" hidden="1" customWidth="1"/>
    <col min="59" max="59" width="17.6640625" style="183" hidden="1" customWidth="1"/>
    <col min="60" max="60" width="12.6640625" style="183" hidden="1" customWidth="1"/>
    <col min="61" max="61" width="17.6640625" style="183" hidden="1" customWidth="1"/>
    <col min="62" max="62" width="12.6640625" style="183" hidden="1" customWidth="1"/>
    <col min="63" max="63" width="17.6640625" style="183" hidden="1" customWidth="1"/>
    <col min="64" max="64" width="12.6640625" style="183" hidden="1" customWidth="1"/>
    <col min="65" max="65" width="19" style="183" hidden="1" customWidth="1"/>
    <col min="66" max="66" width="82.5546875" style="183" hidden="1" customWidth="1"/>
    <col min="67" max="67" width="52.6640625" style="183" hidden="1" customWidth="1"/>
    <col min="68" max="68" width="82.5546875" style="183" hidden="1" customWidth="1"/>
    <col min="69" max="69" width="56.109375" style="183" hidden="1" customWidth="1"/>
    <col min="70" max="70" width="28.88671875" style="183" hidden="1" customWidth="1"/>
    <col min="71" max="71" width="49.88671875" style="183" hidden="1" customWidth="1"/>
    <col min="72" max="72" width="58.88671875" style="183" hidden="1" customWidth="1"/>
    <col min="73" max="73" width="68.5546875" style="183" hidden="1" customWidth="1"/>
    <col min="74" max="16384" width="12.6640625" style="183"/>
  </cols>
  <sheetData>
    <row r="1" spans="1:254" ht="36.75" customHeight="1" thickBot="1">
      <c r="A1" s="533"/>
      <c r="B1" s="1315" t="s">
        <v>1397</v>
      </c>
      <c r="C1" s="1316"/>
      <c r="D1" s="1317"/>
      <c r="E1" s="1317"/>
      <c r="F1" s="1317"/>
      <c r="G1" s="1317"/>
      <c r="H1" s="1317"/>
      <c r="I1" s="1317"/>
      <c r="J1" s="1317"/>
      <c r="K1" s="1317"/>
      <c r="L1" s="1317"/>
      <c r="M1" s="1317"/>
      <c r="N1" s="1317"/>
      <c r="O1" s="2727" t="s">
        <v>1383</v>
      </c>
      <c r="P1" s="2728"/>
      <c r="Q1" s="2727" t="s">
        <v>1355</v>
      </c>
      <c r="R1" s="2728"/>
      <c r="S1" s="2725"/>
      <c r="T1" s="2726"/>
      <c r="U1" s="2726"/>
      <c r="V1" s="2726"/>
      <c r="W1" s="2726"/>
      <c r="X1" s="2726"/>
      <c r="Y1" s="536"/>
      <c r="Z1" s="184" t="s">
        <v>1398</v>
      </c>
      <c r="AA1"/>
      <c r="AB1"/>
      <c r="AC1"/>
      <c r="AD1"/>
      <c r="AE1"/>
      <c r="AF1" s="2538" t="s">
        <v>2496</v>
      </c>
      <c r="AG1" s="2509" t="s">
        <v>2475</v>
      </c>
      <c r="AH1" s="2510" t="s">
        <v>2474</v>
      </c>
      <c r="AI1"/>
      <c r="AJ1" s="2473" t="s">
        <v>2435</v>
      </c>
      <c r="AK1" s="2437" t="s">
        <v>2320</v>
      </c>
      <c r="AL1" s="2474" t="s">
        <v>2436</v>
      </c>
      <c r="AM1" s="2437" t="s">
        <v>2415</v>
      </c>
      <c r="AN1" s="2474" t="s">
        <v>2437</v>
      </c>
      <c r="AO1" s="2437" t="s">
        <v>2416</v>
      </c>
      <c r="AP1" s="2474" t="s">
        <v>2438</v>
      </c>
      <c r="AQ1" s="2437" t="s">
        <v>2417</v>
      </c>
      <c r="AR1" s="2474" t="s">
        <v>2439</v>
      </c>
      <c r="AS1" s="2437" t="s">
        <v>2418</v>
      </c>
      <c r="AT1" s="2474" t="s">
        <v>2440</v>
      </c>
      <c r="AU1" s="2437" t="s">
        <v>2419</v>
      </c>
      <c r="AV1" s="2474" t="s">
        <v>2441</v>
      </c>
      <c r="AW1" s="2437" t="s">
        <v>2420</v>
      </c>
      <c r="AX1" s="2474" t="s">
        <v>2442</v>
      </c>
      <c r="AY1" s="2437" t="s">
        <v>2421</v>
      </c>
      <c r="AZ1" s="2474" t="s">
        <v>2443</v>
      </c>
      <c r="BA1" s="2437" t="s">
        <v>2422</v>
      </c>
      <c r="BB1" s="2474" t="s">
        <v>2444</v>
      </c>
      <c r="BC1" s="2437" t="s">
        <v>2423</v>
      </c>
      <c r="BD1" s="2474" t="s">
        <v>2445</v>
      </c>
      <c r="BE1" s="2437" t="s">
        <v>2424</v>
      </c>
      <c r="BF1" s="2474" t="s">
        <v>2446</v>
      </c>
      <c r="BG1" s="2437" t="s">
        <v>2425</v>
      </c>
      <c r="BH1" s="2474" t="s">
        <v>2447</v>
      </c>
      <c r="BI1" s="2437" t="s">
        <v>2426</v>
      </c>
      <c r="BJ1" s="2474" t="s">
        <v>2448</v>
      </c>
      <c r="BK1" s="2437" t="s">
        <v>2433</v>
      </c>
      <c r="BL1" s="2474" t="s">
        <v>2449</v>
      </c>
      <c r="BM1" s="2437" t="s">
        <v>2434</v>
      </c>
      <c r="BN1" s="2480" t="s">
        <v>2465</v>
      </c>
      <c r="BO1" s="2440" t="s">
        <v>907</v>
      </c>
      <c r="BP1" s="2440" t="s">
        <v>1166</v>
      </c>
      <c r="BQ1" s="2440" t="s">
        <v>1233</v>
      </c>
      <c r="BR1" s="2440" t="s">
        <v>2469</v>
      </c>
      <c r="BS1" s="2440" t="s">
        <v>1673</v>
      </c>
      <c r="BT1" s="2440" t="s">
        <v>1267</v>
      </c>
      <c r="BU1" s="2440" t="s">
        <v>1283</v>
      </c>
      <c r="BV1"/>
      <c r="BW1"/>
      <c r="BX1" s="20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row>
    <row r="2" spans="1:254" ht="15" customHeight="1" thickTop="1" thickBot="1">
      <c r="A2" s="533"/>
      <c r="B2" s="958"/>
      <c r="C2" s="958"/>
      <c r="D2" s="959"/>
      <c r="E2" s="959"/>
      <c r="F2" s="959"/>
      <c r="G2" s="959"/>
      <c r="H2" s="959"/>
      <c r="I2" s="960"/>
      <c r="J2" s="961"/>
      <c r="K2" s="959"/>
      <c r="L2" s="962" t="s">
        <v>1399</v>
      </c>
      <c r="M2" s="959"/>
      <c r="N2" s="959"/>
      <c r="O2" s="959"/>
      <c r="P2" s="959"/>
      <c r="Q2" s="959"/>
      <c r="R2" s="959"/>
      <c r="S2" s="959"/>
      <c r="T2" s="963"/>
      <c r="U2" s="963"/>
      <c r="V2" s="963"/>
      <c r="W2" s="963"/>
      <c r="X2" s="963"/>
      <c r="Y2" s="536"/>
      <c r="Z2"/>
      <c r="AA2"/>
      <c r="AB2"/>
      <c r="AC2"/>
      <c r="AD2"/>
      <c r="AE2"/>
      <c r="AF2" s="2445">
        <f>IF(AND(COUNTIF(Liste_Tiere[Tiere gesamt],$B5)=1,$B5&lt;&gt;"",$B5&lt;&gt;0),1,0)</f>
        <v>0</v>
      </c>
      <c r="AG2" s="2507" t="str">
        <f>IF(AND($B5&lt;&gt;"",$AH2=0),1,"")</f>
        <v/>
      </c>
      <c r="AH2" s="2504">
        <f>IF(AND($B5&lt;&gt;"",$B5&lt;&gt;"ZURÜCK ZUR AUSWAHL"),COUNTIF(TiereDropDown[B5],$B5),0)</f>
        <v>0</v>
      </c>
      <c r="AJ2" s="2472" t="str">
        <f>IFERROR(IF(AK$2="","",IF(AK$2=$BO$1,"ZURÜCK ZUR AUSWAHL",IF($BO3="","ZURÜCK ZUR AUSWAHL",IF(AK$2=$BP$1,"ZURÜCK ZUR AUSWAHL",IF($BP3="","ZURÜCK ZUR AUSWAHL",IF(AK$2=$BQ$1,"ZURÜCK ZUR AUSWAHL",IF($BQ3="","ZURÜCK ZUR AUSWAHL",IF(AK$2=$BR$1,"ZURÜCK ZUR AUSWAHL",IF($BR3="","ZURÜCK ZUR AUSWAHL",IF(AK$2=$BS$1,"ZURÜCK ZUR AUSWAHL",IF($BS3="","ZURÜCK ZUR AUSWAHL",IF(AK$2=$BT$1,"ZURÜCK ZUR AUSWAHL",IF($BT3="","ZURÜCK ZUR AUSWAHL",IF(AK$2=$BU$1,"ZURÜCK ZUR AUSWAHL",IF($BU3="","ZURÜCK ZUR AUSWAHL",INDEX(Tiere!$BN$2:$BN$145,_xlfn.AGGREGATE(15,6,(ROW(Tiere!$BN$2:$BN$145)-1)/(--(SEARCH(AK$2,Tiere!$BN$2:$BN$145)&gt;0)),ROW()-2),1)))))))))))))))),"")</f>
        <v/>
      </c>
      <c r="AK2" s="2475" t="str">
        <f>IF(AND($B5&lt;&gt;"",$B5&lt;&gt;"ZURÜCK ZUR AUSWAHL",COUNTIF(Liste_Tiere[Rinder],$B5)),$BO$1,IF(AND($B5&lt;&gt;"",COUNTIF(Liste_Tiere[Schweine],$B5)),$BP$1,IF(AND($B5&lt;&gt;"",COUNTIF(Liste_Tiere[Geflügel],$B5)),$BQ$1,IF(AND($B5&lt;&gt;"",COUNTIF(Liste_Tiere[Schafe, Ziegen],$B5)),$BR$1,IF(AND($B5&lt;&gt;"",COUNTIF(Liste_Tiere[Pferde],$B5)),$BS$1,IF(AND($B5&lt;&gt;"",COUNTIF(Liste_Tiere[Weitere Tierarten],$B5)),$BT$1,IF(AND($B5&lt;&gt;"",COUNTIF(Liste_Tiere[Zwergrinder],$B5)),$BU$1,IF(OR($B5="",$B5=0),"",$B5))))))))</f>
        <v/>
      </c>
      <c r="AL2" s="2472" t="str">
        <f>IFERROR(IF(AM$2="","",IF(AM$2=$BO$1,"ZURÜCK ZUR AUSWAHL",IF($BO3="","ZURÜCK ZUR AUSWAHL",IF(AM$2=$BP$1,"ZURÜCK ZUR AUSWAHL",IF($BP3="","ZURÜCK ZUR AUSWAHL",IF(AM$2=$BQ$1,"ZURÜCK ZUR AUSWAHL",IF($BQ3="","ZURÜCK ZUR AUSWAHL",IF(AM$2=$BR$1,"ZURÜCK ZUR AUSWAHL",IF($BR3="","ZURÜCK ZUR AUSWAHL",IF(AM$2=$BS$1,"ZURÜCK ZUR AUSWAHL",IF($BS3="","ZURÜCK ZUR AUSWAHL",IF(AM$2=$BT$1,"ZURÜCK ZUR AUSWAHL",IF($BT3="","ZURÜCK ZUR AUSWAHL",IF(AM$2=$BU$1,"ZURÜCK ZUR AUSWAHL",IF($BU3="","ZURÜCK ZUR AUSWAHL",INDEX(Tiere!$BN$2:$BN$145,_xlfn.AGGREGATE(15,6,(ROW(Tiere!$BN$2:$BN$145)-1)/(--(SEARCH(AM$2,Tiere!$BN$2:$BN$145)&gt;0)),ROW()-1),1)))))))))))))))),"")</f>
        <v/>
      </c>
      <c r="AM2" s="2475" t="str">
        <f>IF(AND($B6&lt;&gt;"",COUNTIF(Liste_Tiere[Rinder],$B6)),$BO$1,IF(AND($B6&lt;&gt;"",COUNTIF(Liste_Tiere[Schweine],$B6)),$BP$1,IF(AND($B6&lt;&gt;"",COUNTIF(Liste_Tiere[Geflügel],$B6)),$BQ$1,IF(AND($B6&lt;&gt;"",COUNTIF(Liste_Tiere[Schafe, Ziegen],$B6)),$BR$1,IF(AND($B6&lt;&gt;"",COUNTIF(Liste_Tiere[Pferde],$B6)),$BS$1,IF(AND($B6&lt;&gt;"",COUNTIF(Liste_Tiere[Weitere Tierarten],$B6)),$BT$1,IF(AND($B6&lt;&gt;"",COUNTIF(Liste_Tiere[Zwergrinder],$B6)),$BU$1,IF(OR($B6="",$B6=0),"",$B6))))))))</f>
        <v/>
      </c>
      <c r="AN2" s="2472" t="str">
        <f>IFERROR(IF(AO$2="","",IF(AO$2=$BO$1,"ZURÜCK ZUR AUSWAHL",IF($BO3="","ZURÜCK ZUR AUSWAHL",IF(AO$2=$BP$1,"ZURÜCK ZUR AUSWAHL",IF($BP3="","ZURÜCK ZUR AUSWAHL",IF(AO$2=$BQ$1,"ZURÜCK ZUR AUSWAHL",IF($BQ3="","ZURÜCK ZUR AUSWAHL",IF(AO$2=$BR$1,"ZURÜCK ZUR AUSWAHL",IF($BR3="","ZURÜCK ZUR AUSWAHL",IF(AO$2=$BS$1,"ZURÜCK ZUR AUSWAHL",IF($BS3="","ZURÜCK ZUR AUSWAHL",IF(AO$2=$BT$1,"ZURÜCK ZUR AUSWAHL",IF($BT3="","ZURÜCK ZUR AUSWAHL",IF(AO$2=$BU$1,"ZURÜCK ZUR AUSWAHL",IF($BU3="","ZURÜCK ZUR AUSWAHL",INDEX(Tiere!$BN$2:$BN$145,_xlfn.AGGREGATE(15,6,(ROW(Tiere!$BN$2:$BN$145)-1)/(--(SEARCH(AO$2,Tiere!$BN$2:$BN$145)&gt;0)),ROW()-1),1)))))))))))))))),"")</f>
        <v/>
      </c>
      <c r="AO2" s="2475" t="str">
        <f>IF(AND($B7&lt;&gt;"",COUNTIF(Liste_Tiere[Rinder],$B7)),$BO$1,IF(AND($B7&lt;&gt;"",COUNTIF(Liste_Tiere[Schweine],$B7)),$BP$1,IF(AND($B7&lt;&gt;"",COUNTIF(Liste_Tiere[Geflügel],$B7)),$BQ$1,IF(AND($B7&lt;&gt;"",COUNTIF(Liste_Tiere[Schafe, Ziegen],$B7)),$BR$1,IF(AND($B7&lt;&gt;"",COUNTIF(Liste_Tiere[Pferde],$B7)),$BS$1,IF(AND($B7&lt;&gt;"",COUNTIF(Liste_Tiere[Weitere Tierarten],$B7)),$BT$1,IF(AND($B7&lt;&gt;"",COUNTIF(Liste_Tiere[Zwergrinder],$B7)),$BU$1,IF(OR($B7="",$B7=0),"",$B7))))))))</f>
        <v/>
      </c>
      <c r="AP2" s="2472" t="str">
        <f>IFERROR(IF(AQ$2="","",IF(AQ$2=$BO$1,"ZURÜCK ZUR AUSWAHL",IF($BO3="","ZURÜCK ZUR AUSWAHL",IF(AQ$2=$BP$1,"ZURÜCK ZUR AUSWAHL",IF($BP3="","ZURÜCK ZUR AUSWAHL",IF(AQ$2=$BQ$1,"ZURÜCK ZUR AUSWAHL",IF($BQ3="","ZURÜCK ZUR AUSWAHL",IF(AQ$2=$BR$1,"ZURÜCK ZUR AUSWAHL",IF($BR3="","ZURÜCK ZUR AUSWAHL",IF(AQ$2=$BS$1,"ZURÜCK ZUR AUSWAHL",IF($BS3="","ZURÜCK ZUR AUSWAHL",IF(AQ$2=$BT$1,"ZURÜCK ZUR AUSWAHL",IF($BT3="","ZURÜCK ZUR AUSWAHL",IF(AQ$2=$BU$1,"ZURÜCK ZUR AUSWAHL",IF($BU3="","ZURÜCK ZUR AUSWAHL",INDEX(Tiere!$BN$2:$BN$145,_xlfn.AGGREGATE(15,6,(ROW(Tiere!$BN$2:$BN$145)-1)/(--(SEARCH(AQ$2,Tiere!$BN$2:$BN$145)&gt;0)),ROW()-1),1)))))))))))))))),"")</f>
        <v/>
      </c>
      <c r="AQ2" s="2475" t="str">
        <f>IF(AND($B8&lt;&gt;"",COUNTIF(Liste_Tiere[Rinder],$B8)),$BO$1,IF(AND($B8&lt;&gt;"",COUNTIF(Liste_Tiere[Schweine],$B8)),$BP$1,IF(AND($B8&lt;&gt;"",COUNTIF(Liste_Tiere[Geflügel],$B8)),$BQ$1,IF(AND($B8&lt;&gt;"",COUNTIF(Liste_Tiere[Schafe, Ziegen],$B8)),$BR$1,IF(AND($B8&lt;&gt;"",COUNTIF(Liste_Tiere[Pferde],$B8)),$BS$1,IF(AND($B8&lt;&gt;"",COUNTIF(Liste_Tiere[Weitere Tierarten],$B8)),$BT$1,IF(AND($B8&lt;&gt;"",COUNTIF(Liste_Tiere[Zwergrinder],$B8)),$BU$1,IF(OR($B8="",$B8=0),"",$B8))))))))</f>
        <v/>
      </c>
      <c r="AR2" s="2472" t="str">
        <f>IFERROR(IF(AS$2="","",IF(AS$2=$BO$1,"ZURÜCK ZUR AUSWAHL",IF($BO3="","ZURÜCK ZUR AUSWAHL",IF(AS$2=$BP$1,"ZURÜCK ZUR AUSWAHL",IF($BP3="","ZURÜCK ZUR AUSWAHL",IF(AS$2=$BQ$1,"ZURÜCK ZUR AUSWAHL",IF($BQ3="","ZURÜCK ZUR AUSWAHL",IF(AS$2=$BR$1,"ZURÜCK ZUR AUSWAHL",IF($BR3="","ZURÜCK ZUR AUSWAHL",IF(AS$2=$BS$1,"ZURÜCK ZUR AUSWAHL",IF($BS3="","ZURÜCK ZUR AUSWAHL",IF(AS$2=$BT$1,"ZURÜCK ZUR AUSWAHL",IF($BT3="","ZURÜCK ZUR AUSWAHL",IF(AS$2=$BU$1,"ZURÜCK ZUR AUSWAHL",IF($BU3="","ZURÜCK ZUR AUSWAHL",INDEX(Tiere!$BN$2:$BN$145,_xlfn.AGGREGATE(15,6,(ROW(Tiere!$BN$2:$BN$145)-1)/(--(SEARCH(AS$2,Tiere!$BN$2:$BN$145)&gt;0)),ROW()-1),1)))))))))))))))),"")</f>
        <v/>
      </c>
      <c r="AS2" s="2475" t="str">
        <f>IF(AND($B9&lt;&gt;"",COUNTIF(Liste_Tiere[Rinder],$B9)),$BO$1,IF(AND($B9&lt;&gt;"",COUNTIF(Liste_Tiere[Schweine],$B9)),$BP$1,IF(AND($B9&lt;&gt;"",COUNTIF(Liste_Tiere[Geflügel],$B9)),$BQ$1,IF(AND($B9&lt;&gt;"",COUNTIF(Liste_Tiere[Schafe, Ziegen],$B9)),$BR$1,IF(AND($B9&lt;&gt;"",COUNTIF(Liste_Tiere[Pferde],$B9)),$BS$1,IF(AND($B9&lt;&gt;"",COUNTIF(Liste_Tiere[Weitere Tierarten],$B9)),$BT$1,IF(AND($B9&lt;&gt;"",COUNTIF(Liste_Tiere[Zwergrinder],$B9)),$BU$1,IF(OR($B9="",$B9=0),"",$B9))))))))</f>
        <v/>
      </c>
      <c r="AT2" s="2472" t="str">
        <f>IFERROR(IF(AU$2="","",IF(AU$2=$BO$1,"ZURÜCK ZUR AUSWAHL",IF($BO3="","ZURÜCK ZUR AUSWAHL",IF(AU$2=$BP$1,"ZURÜCK ZUR AUSWAHL",IF($BP3="","ZURÜCK ZUR AUSWAHL",IF(AU$2=$BQ$1,"ZURÜCK ZUR AUSWAHL",IF($BQ3="","ZURÜCK ZUR AUSWAHL",IF(AU$2=$BR$1,"ZURÜCK ZUR AUSWAHL",IF($BR3="","ZURÜCK ZUR AUSWAHL",IF(AU$2=$BS$1,"ZURÜCK ZUR AUSWAHL",IF($BS3="","ZURÜCK ZUR AUSWAHL",IF(AU$2=$BT$1,"ZURÜCK ZUR AUSWAHL",IF($BT3="","ZURÜCK ZUR AUSWAHL",IF(AU$2=$BU$1,"ZURÜCK ZUR AUSWAHL",IF($BU3="","ZURÜCK ZUR AUSWAHL",INDEX(Tiere!$BN$2:$BN$145,_xlfn.AGGREGATE(15,6,(ROW(Tiere!$BN$2:$BN$145)-1)/(--(SEARCH(AU$2,Tiere!$BN$2:$BN$145)&gt;0)),ROW()-1),1)))))))))))))))),"")</f>
        <v/>
      </c>
      <c r="AU2" s="2475" t="str">
        <f>IF(AND($B10&lt;&gt;"",COUNTIF(Liste_Tiere[Rinder],$B10)),$BO$1,IF(AND($B10&lt;&gt;"",COUNTIF(Liste_Tiere[Schweine],$B10)),$BP$1,IF(AND($B10&lt;&gt;"",COUNTIF(Liste_Tiere[Geflügel],$B10)),$BQ$1,IF(AND($B10&lt;&gt;"",COUNTIF(Liste_Tiere[Schafe, Ziegen],$B10)),$BR$1,IF(AND($B10&lt;&gt;"",COUNTIF(Liste_Tiere[Pferde],$B10)),$BS$1,IF(AND($B10&lt;&gt;"",COUNTIF(Liste_Tiere[Weitere Tierarten],$B10)),$BT$1,IF(AND($B10&lt;&gt;"",COUNTIF(Liste_Tiere[Zwergrinder],$B10)),$BU$1,IF(OR($B10="",$B10=0),"",$B10))))))))</f>
        <v/>
      </c>
      <c r="AV2" s="2472" t="str">
        <f>IFERROR(IF(AW$2="","",IF(AW$2=$BO$1,"ZURÜCK ZUR AUSWAHL",IF($BO3="","ZURÜCK ZUR AUSWAHL",IF(AW$2=$BP$1,"ZURÜCK ZUR AUSWAHL",IF($BP3="","ZURÜCK ZUR AUSWAHL",IF(AW$2=$BQ$1,"ZURÜCK ZUR AUSWAHL",IF($BQ3="","ZURÜCK ZUR AUSWAHL",IF(AW$2=$BR$1,"ZURÜCK ZUR AUSWAHL",IF($BR3="","ZURÜCK ZUR AUSWAHL",IF(AW$2=$BS$1,"ZURÜCK ZUR AUSWAHL",IF($BS3="","ZURÜCK ZUR AUSWAHL",IF(AW$2=$BT$1,"ZURÜCK ZUR AUSWAHL",IF($BT3="","ZURÜCK ZUR AUSWAHL",IF(AW$2=$BU$1,"ZURÜCK ZUR AUSWAHL",IF($BU3="","ZURÜCK ZUR AUSWAHL",INDEX(Tiere!$BN$2:$BN$145,_xlfn.AGGREGATE(15,6,(ROW(Tiere!$BN$2:$BN$145)-1)/(--(SEARCH(AW$2,Tiere!$BN$2:$BN$145)&gt;0)),ROW()-1),1)))))))))))))))),"")</f>
        <v/>
      </c>
      <c r="AW2" s="2475" t="str">
        <f>IF(AND($B11&lt;&gt;"",COUNTIF(Liste_Tiere[Rinder],$B11)),$BO$1,IF(AND($B11&lt;&gt;"",COUNTIF(Liste_Tiere[Schweine],$B11)),$BP$1,IF(AND($B11&lt;&gt;"",COUNTIF(Liste_Tiere[Geflügel],$B11)),$BQ$1,IF(AND($B11&lt;&gt;"",COUNTIF(Liste_Tiere[Schafe, Ziegen],$B11)),$BR$1,IF(AND($B11&lt;&gt;"",COUNTIF(Liste_Tiere[Pferde],$B11)),$BS$1,IF(AND($B11&lt;&gt;"",COUNTIF(Liste_Tiere[Weitere Tierarten],$B11)),$BT$1,IF(AND($B11&lt;&gt;"",COUNTIF(Liste_Tiere[Zwergrinder],$B11)),$BU$1,IF(OR($B11="",$B11=0),"",$B11))))))))</f>
        <v/>
      </c>
      <c r="AX2" s="2472" t="str">
        <f>IFERROR(IF(AY$2="","",IF(AY$2=$BO$1,"ZURÜCK ZUR AUSWAHL",IF($BO3="","ZURÜCK ZUR AUSWAHL",IF(AY$2=$BP$1,"ZURÜCK ZUR AUSWAHL",IF($BP3="","ZURÜCK ZUR AUSWAHL",IF(AY$2=$BQ$1,"ZURÜCK ZUR AUSWAHL",IF($BQ3="","ZURÜCK ZUR AUSWAHL",IF(AY$2=$BR$1,"ZURÜCK ZUR AUSWAHL",IF($BR3="","ZURÜCK ZUR AUSWAHL",IF(AY$2=$BS$1,"ZURÜCK ZUR AUSWAHL",IF($BS3="","ZURÜCK ZUR AUSWAHL",IF(AY$2=$BT$1,"ZURÜCK ZUR AUSWAHL",IF($BT3="","ZURÜCK ZUR AUSWAHL",IF(AY$2=$BU$1,"ZURÜCK ZUR AUSWAHL",IF($BU3="","ZURÜCK ZUR AUSWAHL",INDEX(Tiere!$BN$2:$BN$145,_xlfn.AGGREGATE(15,6,(ROW(Tiere!$BN$2:$BN$145)-1)/(--(SEARCH(AY$2,Tiere!$BN$2:$BN$145)&gt;0)),ROW()-1),1)))))))))))))))),"")</f>
        <v/>
      </c>
      <c r="AY2" s="2475" t="str">
        <f>IF(AND($B12&lt;&gt;"",COUNTIF(Liste_Tiere[Rinder],$B12)),$BO$1,IF(AND($B12&lt;&gt;"",COUNTIF(Liste_Tiere[Schweine],$B12)),$BP$1,IF(AND($B12&lt;&gt;"",COUNTIF(Liste_Tiere[Geflügel],$B12)),$BQ$1,IF(AND($B12&lt;&gt;"",COUNTIF(Liste_Tiere[Schafe, Ziegen],$B12)),$BR$1,IF(AND($B12&lt;&gt;"",COUNTIF(Liste_Tiere[Pferde],$B12)),$BS$1,IF(AND($B12&lt;&gt;"",COUNTIF(Liste_Tiere[Weitere Tierarten],$B12)),$BT$1,IF(AND($B12&lt;&gt;"",COUNTIF(Liste_Tiere[Zwergrinder],$B12)),$BU$1,IF(OR($B12="",$B12=0),"",$B12))))))))</f>
        <v/>
      </c>
      <c r="AZ2" s="2472" t="str">
        <f>IFERROR(IF(BA$2="","",IF(BA$2=$BO$1,"ZURÜCK ZUR AUSWAHL",IF($BO3="","ZURÜCK ZUR AUSWAHL",IF(BA$2=$BP$1,"ZURÜCK ZUR AUSWAHL",IF($BP3="","ZURÜCK ZUR AUSWAHL",IF(BA$2=$BQ$1,"ZURÜCK ZUR AUSWAHL",IF($BQ3="","ZURÜCK ZUR AUSWAHL",IF(BA$2=$BR$1,"ZURÜCK ZUR AUSWAHL",IF($BR3="","ZURÜCK ZUR AUSWAHL",IF(BA$2=$BS$1,"ZURÜCK ZUR AUSWAHL",IF($BS3="","ZURÜCK ZUR AUSWAHL",IF(BA$2=$BT$1,"ZURÜCK ZUR AUSWAHL",IF($BT3="","ZURÜCK ZUR AUSWAHL",IF(BA$2=$BU$1,"ZURÜCK ZUR AUSWAHL",IF($BU3="","ZURÜCK ZUR AUSWAHL",INDEX(Tiere!$BN$2:$BN$145,_xlfn.AGGREGATE(15,6,(ROW(Tiere!$BN$2:$BN$145)-1)/(--(SEARCH(BA$2,Tiere!$BN$2:$BN$145)&gt;0)),ROW()-1),1)))))))))))))))),"")</f>
        <v/>
      </c>
      <c r="BA2" s="2475" t="str">
        <f>IF(AND($B13&lt;&gt;"",COUNTIF(Liste_Tiere[Rinder],$B13)),$BO$1,IF(AND($B13&lt;&gt;"",COUNTIF(Liste_Tiere[Schweine],$B13)),$BP$1,IF(AND($B13&lt;&gt;"",COUNTIF(Liste_Tiere[Geflügel],$B13)),$BQ$1,IF(AND($B13&lt;&gt;"",COUNTIF(Liste_Tiere[Schafe, Ziegen],$B13)),$BR$1,IF(AND($B13&lt;&gt;"",COUNTIF(Liste_Tiere[Pferde],$B13)),$BS$1,IF(AND($B13&lt;&gt;"",COUNTIF(Liste_Tiere[Weitere Tierarten],$B13)),$BT$1,IF(AND($B13&lt;&gt;"",COUNTIF(Liste_Tiere[Zwergrinder],$B13)),$BU$1,IF(OR($B13="",$B13=0),"",$B13))))))))</f>
        <v/>
      </c>
      <c r="BB2" s="2472" t="str">
        <f>IFERROR(IF(BC$2="","",IF(BC$2=$BO$1,"ZURÜCK ZUR AUSWAHL",IF($BO3="","ZURÜCK ZUR AUSWAHL",IF(BC$2=$BP$1,"ZURÜCK ZUR AUSWAHL",IF($BP3="","ZURÜCK ZUR AUSWAHL",IF(BC$2=$BQ$1,"ZURÜCK ZUR AUSWAHL",IF($BQ3="","ZURÜCK ZUR AUSWAHL",IF(BC$2=$BR$1,"ZURÜCK ZUR AUSWAHL",IF($BR3="","ZURÜCK ZUR AUSWAHL",IF(BC$2=$BS$1,"ZURÜCK ZUR AUSWAHL",IF($BS3="","ZURÜCK ZUR AUSWAHL",IF(BC$2=$BT$1,"ZURÜCK ZUR AUSWAHL",IF($BT3="","ZURÜCK ZUR AUSWAHL",IF(BC$2=$BU$1,"ZURÜCK ZUR AUSWAHL",IF($BU3="","ZURÜCK ZUR AUSWAHL",INDEX(Tiere!$BN$2:$BN$145,_xlfn.AGGREGATE(15,6,(ROW(Tiere!$BN$2:$BN$145)-1)/(--(SEARCH(BC$2,Tiere!$BN$2:$BN$145)&gt;0)),ROW()-1),1)))))))))))))))),"")</f>
        <v/>
      </c>
      <c r="BC2" s="2475" t="str">
        <f>IF(AND($B14&lt;&gt;"",COUNTIF(Liste_Tiere[Rinder],$B14)),$BO$1,IF(AND($B14&lt;&gt;"",COUNTIF(Liste_Tiere[Schweine],$B14)),$BP$1,IF(AND($B14&lt;&gt;"",COUNTIF(Liste_Tiere[Geflügel],$B14)),$BQ$1,IF(AND($B14&lt;&gt;"",COUNTIF(Liste_Tiere[Schafe, Ziegen],$B14)),$BR$1,IF(AND($B14&lt;&gt;"",COUNTIF(Liste_Tiere[Pferde],$B14)),$BS$1,IF(AND($B14&lt;&gt;"",COUNTIF(Liste_Tiere[Weitere Tierarten],$B14)),$BT$1,IF(AND($B14&lt;&gt;"",COUNTIF(Liste_Tiere[Zwergrinder],$B14)),$BU$1,IF(OR($B14="",$B14=0),"",$B14))))))))</f>
        <v/>
      </c>
      <c r="BD2" s="2472" t="str">
        <f>IFERROR(IF(BE$2="","",IF(BE$2=$BO$1,"ZURÜCK ZUR AUSWAHL",IF($BO3="","ZURÜCK ZUR AUSWAHL",IF(BE$2=$BP$1,"ZURÜCK ZUR AUSWAHL",IF($BP3="","ZURÜCK ZUR AUSWAHL",IF(BE$2=$BQ$1,"ZURÜCK ZUR AUSWAHL",IF($BQ3="","ZURÜCK ZUR AUSWAHL",IF(BE$2=$BR$1,"ZURÜCK ZUR AUSWAHL",IF($BR3="","ZURÜCK ZUR AUSWAHL",IF(BE$2=$BS$1,"ZURÜCK ZUR AUSWAHL",IF($BS3="","ZURÜCK ZUR AUSWAHL",IF(BE$2=$BT$1,"ZURÜCK ZUR AUSWAHL",IF($BT3="","ZURÜCK ZUR AUSWAHL",IF(BE$2=$BU$1,"ZURÜCK ZUR AUSWAHL",IF($BU3="","ZURÜCK ZUR AUSWAHL",INDEX(Tiere!$BN$2:$BN$145,_xlfn.AGGREGATE(15,6,(ROW(Tiere!$BN$2:$BN$145)-1)/(--(SEARCH(BE$2,Tiere!$BN$2:$BN$145)&gt;0)),ROW()-1),1)))))))))))))))),"")</f>
        <v/>
      </c>
      <c r="BE2" s="2475" t="str">
        <f>IF(AND($B15&lt;&gt;"",COUNTIF(Liste_Tiere[Rinder],$B15)),$BO$1,IF(AND($B15&lt;&gt;"",COUNTIF(Liste_Tiere[Schweine],$B15)),$BP$1,IF(AND($B15&lt;&gt;"",COUNTIF(Liste_Tiere[Geflügel],$B15)),$BQ$1,IF(AND($B15&lt;&gt;"",COUNTIF(Liste_Tiere[Schafe, Ziegen],$B15)),$BR$1,IF(AND($B15&lt;&gt;"",COUNTIF(Liste_Tiere[Pferde],$B15)),$BS$1,IF(AND($B15&lt;&gt;"",COUNTIF(Liste_Tiere[Weitere Tierarten],$B15)),$BT$1,IF(AND($B15&lt;&gt;"",COUNTIF(Liste_Tiere[Zwergrinder],$B15)),$BU$1,IF(OR($B15="",$B15=0),"",$B15))))))))</f>
        <v/>
      </c>
      <c r="BF2" s="2472" t="str">
        <f>IFERROR(IF(BG$2="","",IF(BG$2=$BO$1,"ZURÜCK ZUR AUSWAHL",IF($BO3="","ZURÜCK ZUR AUSWAHL",IF(BG$2=$BP$1,"ZURÜCK ZUR AUSWAHL",IF($BP3="","ZURÜCK ZUR AUSWAHL",IF(BG$2=$BQ$1,"ZURÜCK ZUR AUSWAHL",IF($BQ3="","ZURÜCK ZUR AUSWAHL",IF(BG$2=$BR$1,"ZURÜCK ZUR AUSWAHL",IF($BR3="","ZURÜCK ZUR AUSWAHL",IF(BG$2=$BS$1,"ZURÜCK ZUR AUSWAHL",IF($BS3="","ZURÜCK ZUR AUSWAHL",IF(BG$2=$BT$1,"ZURÜCK ZUR AUSWAHL",IF($BT3="","ZURÜCK ZUR AUSWAHL",IF(BG$2=$BU$1,"ZURÜCK ZUR AUSWAHL",IF($BU3="","ZURÜCK ZUR AUSWAHL",INDEX(Tiere!$BN$2:$BN$145,_xlfn.AGGREGATE(15,6,(ROW(Tiere!$BN$2:$BN$145)-1)/(--(SEARCH(BG$2,Tiere!$BN$2:$BN$145)&gt;0)),ROW()-1),1)))))))))))))))),"")</f>
        <v/>
      </c>
      <c r="BG2" s="2475" t="str">
        <f>IF(AND($B16&lt;&gt;"",COUNTIF(Liste_Tiere[Rinder],$B16)),$BO$1,IF(AND($B16&lt;&gt;"",COUNTIF(Liste_Tiere[Schweine],$B16)),$BP$1,IF(AND($B16&lt;&gt;"",COUNTIF(Liste_Tiere[Geflügel],$B16)),$BQ$1,IF(AND($B16&lt;&gt;"",COUNTIF(Liste_Tiere[Schafe, Ziegen],$B16)),$BR$1,IF(AND($B16&lt;&gt;"",COUNTIF(Liste_Tiere[Pferde],$B16)),$BS$1,IF(AND($B16&lt;&gt;"",COUNTIF(Liste_Tiere[Weitere Tierarten],$B16)),$BT$1,IF(AND($B16&lt;&gt;"",COUNTIF(Liste_Tiere[Zwergrinder],$B16)),$BU$1,IF(OR($B16="",$B16=0),"",$B16))))))))</f>
        <v/>
      </c>
      <c r="BH2" s="2472" t="str">
        <f>IFERROR(IF(BI$2="","",IF(BI$2=$BO$1,"ZURÜCK ZUR AUSWAHL",IF($BO3="","ZURÜCK ZUR AUSWAHL",IF(BI$2=$BP$1,"ZURÜCK ZUR AUSWAHL",IF($BP3="","ZURÜCK ZUR AUSWAHL",IF(BI$2=$BQ$1,"ZURÜCK ZUR AUSWAHL",IF($BQ3="","ZURÜCK ZUR AUSWAHL",IF(BI$2=$BR$1,"ZURÜCK ZUR AUSWAHL",IF($BR3="","ZURÜCK ZUR AUSWAHL",IF(BI$2=$BS$1,"ZURÜCK ZUR AUSWAHL",IF($BS3="","ZURÜCK ZUR AUSWAHL",IF(BI$2=$BT$1,"ZURÜCK ZUR AUSWAHL",IF($BT3="","ZURÜCK ZUR AUSWAHL",IF(BI$2=$BU$1,"ZURÜCK ZUR AUSWAHL",IF($BU3="","ZURÜCK ZUR AUSWAHL",INDEX(Tiere!$BN$2:$BN$145,_xlfn.AGGREGATE(15,6,(ROW(Tiere!$BN$2:$BN$145)-1)/(--(SEARCH(BI$2,Tiere!$BN$2:$BN$145)&gt;0)),ROW()-1),1)))))))))))))))),"")</f>
        <v/>
      </c>
      <c r="BI2" s="2475" t="str">
        <f>IF(AND($B17&lt;&gt;"",COUNTIF(Liste_Tiere[Rinder],$B17)),$BO$1,IF(AND($B17&lt;&gt;"",COUNTIF(Liste_Tiere[Schweine],$B17)),$BP$1,IF(AND($B17&lt;&gt;"",COUNTIF(Liste_Tiere[Geflügel],$B17)),$BQ$1,IF(AND($B17&lt;&gt;"",COUNTIF(Liste_Tiere[Schafe, Ziegen],$B17)),$BR$1,IF(AND($B17&lt;&gt;"",COUNTIF(Liste_Tiere[Pferde],$B17)),$BS$1,IF(AND($B17&lt;&gt;"",COUNTIF(Liste_Tiere[Weitere Tierarten],$B17)),$BT$1,IF(AND($B17&lt;&gt;"",COUNTIF(Liste_Tiere[Zwergrinder],$B17)),$BU$1,IF(OR($B17="",$B17=0),"",$B17))))))))</f>
        <v/>
      </c>
      <c r="BJ2" s="2472" t="str">
        <f>IFERROR(IF(BK$2="","",IF(BK$2=$BO$1,"ZURÜCK ZUR AUSWAHL",IF($BO3="","ZURÜCK ZUR AUSWAHL",IF(BK$2=$BP$1,"ZURÜCK ZUR AUSWAHL",IF($BP3="","ZURÜCK ZUR AUSWAHL",IF(BK$2=$BQ$1,"ZURÜCK ZUR AUSWAHL",IF($BQ3="","ZURÜCK ZUR AUSWAHL",IF(BK$2=$BR$1,"ZURÜCK ZUR AUSWAHL",IF($BR3="","ZURÜCK ZUR AUSWAHL",IF(BK$2=$BS$1,"ZURÜCK ZUR AUSWAHL",IF($BS3="","ZURÜCK ZUR AUSWAHL",IF(BK$2=$BT$1,"ZURÜCK ZUR AUSWAHL",IF($BT3="","ZURÜCK ZUR AUSWAHL",IF(BK$2=$BU$1,"ZURÜCK ZUR AUSWAHL",IF($BU3="","ZURÜCK ZUR AUSWAHL",INDEX(Tiere!$BN$2:$BN$145,_xlfn.AGGREGATE(15,6,(ROW(Tiere!$BN$2:$BN$145)-1)/(--(SEARCH(BK$2,Tiere!$BN$2:$BN$145)&gt;0)),ROW()-1),1)))))))))))))))),"")</f>
        <v/>
      </c>
      <c r="BK2" s="2475" t="str">
        <f>IF(AND($B18&lt;&gt;"",COUNTIF(Liste_Tiere[Rinder],$B18)),$BO$1,IF(AND($B18&lt;&gt;"",COUNTIF(Liste_Tiere[Schweine],$B18)),$BP$1,IF(AND($B18&lt;&gt;"",COUNTIF(Liste_Tiere[Geflügel],$B18)),$BQ$1,IF(AND($B18&lt;&gt;"",COUNTIF(Liste_Tiere[Schafe, Ziegen],$B18)),$BR$1,IF(AND($B18&lt;&gt;"",COUNTIF(Liste_Tiere[Pferde],$B18)),$BS$1,IF(AND($B18&lt;&gt;"",COUNTIF(Liste_Tiere[Weitere Tierarten],$B18)),$BT$1,IF(AND($B18&lt;&gt;"",COUNTIF(Liste_Tiere[Zwergrinder],$B18)),$BU$1,IF(OR($B18="",$B18=0),"",$B18))))))))</f>
        <v/>
      </c>
      <c r="BL2" s="2472" t="str">
        <f>IFERROR(IF(BM$2="","",IF(BM$2=$BO$1,"ZURÜCK ZUR AUSWAHL",IF($BO3="","ZURÜCK ZUR AUSWAHL",IF(BM$2=$BP$1,"ZURÜCK ZUR AUSWAHL",IF($BP3="","ZURÜCK ZUR AUSWAHL",IF(BM$2=$BQ$1,"ZURÜCK ZUR AUSWAHL",IF($BQ3="","ZURÜCK ZUR AUSWAHL",IF(BM$2=$BR$1,"ZURÜCK ZUR AUSWAHL",IF($BR3="","ZURÜCK ZUR AUSWAHL",IF(BM$2=$BS$1,"ZURÜCK ZUR AUSWAHL",IF($BS3="","ZURÜCK ZUR AUSWAHL",IF(BM$2=$BT$1,"ZURÜCK ZUR AUSWAHL",IF($BT3="","ZURÜCK ZUR AUSWAHL",IF(BM$2=$BU$1,"ZURÜCK ZUR AUSWAHL",IF($BU3="","ZURÜCK ZUR AUSWAHL",INDEX(Tiere!$BN$2:$BN$145,_xlfn.AGGREGATE(15,6,(ROW(Tiere!$BN$2:$BN$145)-1)/(--(SEARCH(BM$2,Tiere!$BN$2:$BN$145)&gt;0)),ROW()-1),1)))))))))))))))),"")</f>
        <v/>
      </c>
      <c r="BM2" s="2475" t="str">
        <f>IF(AND($B19&lt;&gt;"",COUNTIF(Liste_Tiere[Rinder],$B19)),$BO$1,IF(AND($B19&lt;&gt;"",COUNTIF(Liste_Tiere[Schweine],$B19)),$BP$1,IF(AND($B19&lt;&gt;"",COUNTIF(Liste_Tiere[Geflügel],$B19)),$BQ$1,IF(AND($B19&lt;&gt;"",COUNTIF(Liste_Tiere[Schafe, Ziegen],$B19)),$BR$1,IF(AND($B19&lt;&gt;"",COUNTIF(Liste_Tiere[Pferde],$B19)),$BS$1,IF(AND($B19&lt;&gt;"",COUNTIF(Liste_Tiere[Weitere Tierarten],$B19)),$BT$1,IF(AND($B19&lt;&gt;"",COUNTIF(Liste_Tiere[Zwergrinder],$B19)),$BU$1,IF(OR($B19="",$B19=0),"",$B19))))))))</f>
        <v/>
      </c>
      <c r="BN2" s="2481">
        <v>0</v>
      </c>
      <c r="BO2" s="2471"/>
      <c r="BP2" s="2471"/>
      <c r="BQ2" s="2471"/>
      <c r="BR2" s="2471"/>
      <c r="BS2" s="2471"/>
      <c r="BT2" s="2471"/>
      <c r="BU2" s="2471"/>
      <c r="BV2"/>
      <c r="BW2"/>
      <c r="BX2" s="201"/>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c r="IQ2"/>
      <c r="IR2"/>
      <c r="IS2"/>
      <c r="IT2"/>
    </row>
    <row r="3" spans="1:254" s="185" customFormat="1" ht="25.65" customHeight="1" thickBot="1">
      <c r="A3" s="533"/>
      <c r="B3" s="2720" t="s">
        <v>772</v>
      </c>
      <c r="C3" s="2721"/>
      <c r="D3" s="2721"/>
      <c r="E3" s="2721"/>
      <c r="F3" s="2722"/>
      <c r="G3" s="2723" t="s">
        <v>2473</v>
      </c>
      <c r="H3" s="2724"/>
      <c r="I3" s="2729" t="s">
        <v>1007</v>
      </c>
      <c r="J3" s="2714" t="s">
        <v>1400</v>
      </c>
      <c r="K3" s="1790" t="s">
        <v>1008</v>
      </c>
      <c r="L3" s="1790" t="s">
        <v>1009</v>
      </c>
      <c r="M3" s="1790" t="s">
        <v>1008</v>
      </c>
      <c r="N3" s="1790" t="s">
        <v>1009</v>
      </c>
      <c r="O3" s="1791" t="s">
        <v>1401</v>
      </c>
      <c r="P3" s="1792" t="s">
        <v>1010</v>
      </c>
      <c r="Q3" s="1792" t="s">
        <v>1011</v>
      </c>
      <c r="R3" s="1791" t="s">
        <v>950</v>
      </c>
      <c r="S3" s="2717" t="s">
        <v>1402</v>
      </c>
      <c r="T3" s="2717"/>
      <c r="U3" s="2717"/>
      <c r="V3" s="2713" t="s">
        <v>1403</v>
      </c>
      <c r="W3" s="2713"/>
      <c r="X3" s="1793"/>
      <c r="Y3" s="535"/>
      <c r="Z3" s="186" t="s">
        <v>1404</v>
      </c>
      <c r="AF3" s="2445">
        <f>IF(AND(COUNTIF(Liste_Tiere[Tiere gesamt],$B6)=1,$B6&lt;&gt;"",$B6&lt;&gt;0),1,0)</f>
        <v>0</v>
      </c>
      <c r="AG3" s="2507" t="str">
        <f t="shared" ref="AG3:AG16" si="0">IF(AND($B6&lt;&gt;"",$AH3=0),1,"")</f>
        <v/>
      </c>
      <c r="AH3" s="2504">
        <f>IF(AND($B6&lt;&gt;"",$B6&lt;&gt;"ZURÜCK ZUR AUSWAHL"),COUNTIF(TiereDropDown[B6],$B6),0)</f>
        <v>0</v>
      </c>
      <c r="AI3" s="183" t="s">
        <v>2483</v>
      </c>
      <c r="AJ3" s="2472" t="str">
        <f>IFERROR(IF(OR(AK$2="ZURÜCK ZUR AUSWAHL",AK$2="",AK$2=0),$BO$1,IF(AK$2=$BO$1,$BO2,IF(AK$2=$BP$1,$BP2,IF(AK$2=$BQ$1,$BQ2,IF(AK$2=$BR$1,$BR2,IF(AK$2=$BS$1,$BS2,IF(AK$2=$BT$1,$BT2,IF(AK$2=$BU$1,$BU2,INDEX(Tiere!$BN$2:$BN$145,_xlfn.AGGREGATE(15,6,(ROW(Tiere!$BN$2:$BN$145)-1)/(--(SEARCH(AK$2,Tiere!$BN$2:$BN$145)&gt;0)),ROW()-2),1))))))))),"")</f>
        <v>Rinder</v>
      </c>
      <c r="AK3" s="2502"/>
      <c r="AL3" s="2472" t="str">
        <f>IFERROR(IF(OR(AM$2="ZURÜCK ZUR AUSWAHL",AM$2="",AM$2=0),$BO$1,IF(AM$2=$BO$1,$BO2,IF(AM$2=$BP$1,$BP2,IF(AM$2=$BQ$1,$BQ2,IF(AM$2=$BR$1,$BR2,IF(AM$2=$BS$1,$BS2,IF(AM$2=$BT$1,$BT2,IF(AM$2=$BU$1,$BU2,INDEX(Tiere!$BN$2:$BN$145,_xlfn.AGGREGATE(15,6,(ROW(Tiere!$BN$2:$BN$145)-1)/(--(SEARCH(AM$2,Tiere!$BN$2:$BN$145)&gt;0)),ROW()-1),1))))))))),"")</f>
        <v>Rinder</v>
      </c>
      <c r="AM3" s="2477"/>
      <c r="AN3" s="2472" t="str">
        <f>IFERROR(IF(OR(AO$2="ZURÜCK ZUR AUSWAHL",AO$2="",AO$2=0),$BO$1,IF(AO$2=$BO$1,$BO2,IF(AO$2=$BP$1,$BP2,IF(AO$2=$BQ$1,$BQ2,IF(AO$2=$BR$1,$BR2,IF(AO$2=$BS$1,$BS2,IF(AO$2=$BT$1,$BT2,IF(AO$2=$BU$1,$BU2,INDEX(Tiere!$BN$2:$BN$145,_xlfn.AGGREGATE(15,6,(ROW(Tiere!$BN$2:$BN$145)-1)/(--(SEARCH(AO$2,Tiere!$BN$2:$BN$145)&gt;0)),ROW()-1),1))))))))),"")</f>
        <v>Rinder</v>
      </c>
      <c r="AO3" s="2477"/>
      <c r="AP3" s="2472" t="str">
        <f>IFERROR(IF(OR(AQ$2="ZURÜCK ZUR AUSWAHL",AQ$2="",AQ$2=0),$BO$1,IF(AQ$2=$BO$1,$BO2,IF(AQ$2=$BP$1,$BP2,IF(AQ$2=$BQ$1,$BQ2,IF(AQ$2=$BR$1,$BR2,IF(AQ$2=$BS$1,$BS2,IF(AQ$2=$BT$1,$BT2,IF(AQ$2=$BU$1,$BU2,INDEX(Tiere!$BN$2:$BN$145,_xlfn.AGGREGATE(15,6,(ROW(Tiere!$BN$2:$BN$145)-1)/(--(SEARCH(AQ$2,Tiere!$BN$2:$BN$145)&gt;0)),ROW()-1),1))))))))),"")</f>
        <v>Rinder</v>
      </c>
      <c r="AQ3" s="2477"/>
      <c r="AR3" s="2472" t="str">
        <f>IFERROR(IF(OR(AS$2="ZURÜCK ZUR AUSWAHL",AS$2="",AS$2=0),$BO$1,IF(AS$2=$BO$1,$BO2,IF(AS$2=$BP$1,$BP2,IF(AS$2=$BQ$1,$BQ2,IF(AS$2=$BR$1,$BR2,IF(AS$2=$BS$1,$BS2,IF(AS$2=$BT$1,$BT2,IF(AS$2=$BU$1,$BU2,INDEX(Tiere!$BN$2:$BN$145,_xlfn.AGGREGATE(15,6,(ROW(Tiere!$BN$2:$BN$145)-1)/(--(SEARCH(AS$2,Tiere!$BN$2:$BN$145)&gt;0)),ROW()-1),1))))))))),"")</f>
        <v>Rinder</v>
      </c>
      <c r="AS3" s="2477"/>
      <c r="AT3" s="2472" t="str">
        <f>IFERROR(IF(OR(AU$2="ZURÜCK ZUR AUSWAHL",AU$2="",AU$2=0),$BO$1,IF(AU$2=$BO$1,$BO2,IF(AU$2=$BP$1,$BP2,IF(AU$2=$BQ$1,$BQ2,IF(AU$2=$BR$1,$BR2,IF(AU$2=$BS$1,$BS2,IF(AU$2=$BT$1,$BT2,IF(AU$2=$BU$1,$BU2,INDEX(Tiere!$BN$2:$BN$145,_xlfn.AGGREGATE(15,6,(ROW(Tiere!$BN$2:$BN$145)-1)/(--(SEARCH(AU$2,Tiere!$BN$2:$BN$145)&gt;0)),ROW()-1),1))))))))),"")</f>
        <v>Rinder</v>
      </c>
      <c r="AU3" s="2477"/>
      <c r="AV3" s="2472" t="str">
        <f>IFERROR(IF(OR(AW$2="ZURÜCK ZUR AUSWAHL",AW$2="",AW$2=0),$BO$1,IF(AW$2=$BO$1,$BO2,IF(AW$2=$BP$1,$BP2,IF(AW$2=$BQ$1,$BQ2,IF(AW$2=$BR$1,$BR2,IF(AW$2=$BS$1,$BS2,IF(AW$2=$BT$1,$BT2,IF(AW$2=$BU$1,$BU2,INDEX(Tiere!$BN$2:$BN$145,_xlfn.AGGREGATE(15,6,(ROW(Tiere!$BN$2:$BN$145)-1)/(--(SEARCH(AW$2,Tiere!$BN$2:$BN$145)&gt;0)),ROW()-1),1))))))))),"")</f>
        <v>Rinder</v>
      </c>
      <c r="AW3" s="2477"/>
      <c r="AX3" s="2472" t="str">
        <f>IFERROR(IF(OR(AY$2="ZURÜCK ZUR AUSWAHL",AY$2="",AY$2=0),$BO$1,IF(AY$2=$BO$1,$BO2,IF(AY$2=$BP$1,$BP2,IF(AY$2=$BQ$1,$BQ2,IF(AY$2=$BR$1,$BR2,IF(AY$2=$BS$1,$BS2,IF(AY$2=$BT$1,$BT2,IF(AY$2=$BU$1,$BU2,INDEX(Tiere!$BN$2:$BN$145,_xlfn.AGGREGATE(15,6,(ROW(Tiere!$BN$2:$BN$145)-1)/(--(SEARCH(AY$2,Tiere!$BN$2:$BN$145)&gt;0)),ROW()-1),1))))))))),"")</f>
        <v>Rinder</v>
      </c>
      <c r="AY3" s="2477"/>
      <c r="AZ3" s="2472" t="str">
        <f>IFERROR(IF(OR(BA$2="ZURÜCK ZUR AUSWAHL",BA$2="",BA$2=0),$BO$1,IF(BA$2=$BO$1,$BO2,IF(BA$2=$BP$1,$BP2,IF(BA$2=$BQ$1,$BQ2,IF(BA$2=$BR$1,$BR2,IF(BA$2=$BS$1,$BS2,IF(BA$2=$BT$1,$BT2,IF(BA$2=$BU$1,$BU2,INDEX(Tiere!$BN$2:$BN$145,_xlfn.AGGREGATE(15,6,(ROW(Tiere!$BN$2:$BN$145)-1)/(--(SEARCH(BA$2,Tiere!$BN$2:$BN$145)&gt;0)),ROW()-1),1))))))))),"")</f>
        <v>Rinder</v>
      </c>
      <c r="BA3" s="2477"/>
      <c r="BB3" s="2472" t="str">
        <f>IFERROR(IF(OR(BC$2="ZURÜCK ZUR AUSWAHL",BC$2="",BC$2=0),$BO$1,IF(BC$2=$BO$1,$BO2,IF(BC$2=$BP$1,$BP2,IF(BC$2=$BQ$1,$BQ2,IF(BC$2=$BR$1,$BR2,IF(BC$2=$BS$1,$BS2,IF(BC$2=$BT$1,$BT2,IF(BC$2=$BU$1,$BU2,INDEX(Tiere!$BN$2:$BN$145,_xlfn.AGGREGATE(15,6,(ROW(Tiere!$BN$2:$BN$145)-1)/(--(SEARCH(BC$2,Tiere!$BN$2:$BN$145)&gt;0)),ROW()-1),1))))))))),"")</f>
        <v>Rinder</v>
      </c>
      <c r="BC3" s="2477"/>
      <c r="BD3" s="2472" t="str">
        <f>IFERROR(IF(OR(BE$2="ZURÜCK ZUR AUSWAHL",BE$2="",BE$2=0),$BO$1,IF(BE$2=$BO$1,$BO2,IF(BE$2=$BP$1,$BP2,IF(BE$2=$BQ$1,$BQ2,IF(BE$2=$BR$1,$BR2,IF(BE$2=$BS$1,$BS2,IF(BE$2=$BT$1,$BT2,IF(BE$2=$BU$1,$BU2,INDEX(Tiere!$BN$2:$BN$145,_xlfn.AGGREGATE(15,6,(ROW(Tiere!$BN$2:$BN$145)-1)/(--(SEARCH(BE$2,Tiere!$BN$2:$BN$145)&gt;0)),ROW()-1),1))))))))),"")</f>
        <v>Rinder</v>
      </c>
      <c r="BE3" s="2477"/>
      <c r="BF3" s="2472" t="str">
        <f>IFERROR(IF(OR(BG$2="ZURÜCK ZUR AUSWAHL",BG$2="",BG$2=0),$BO$1,IF(BG$2=$BO$1,$BO2,IF(BG$2=$BP$1,$BP2,IF(BG$2=$BQ$1,$BQ2,IF(BG$2=$BR$1,$BR2,IF(BG$2=$BS$1,$BS2,IF(BG$2=$BT$1,$BT2,IF(BG$2=$BU$1,$BU2,INDEX(Tiere!$BN$2:$BN$145,_xlfn.AGGREGATE(15,6,(ROW(Tiere!$BN$2:$BN$145)-1)/(--(SEARCH(BG$2,Tiere!$BN$2:$BN$145)&gt;0)),ROW()-1),1))))))))),"")</f>
        <v>Rinder</v>
      </c>
      <c r="BG3" s="2477"/>
      <c r="BH3" s="2472" t="str">
        <f>IFERROR(IF(OR(BI$2="ZURÜCK ZUR AUSWAHL",BI$2="",BI$2=0),$BO$1,IF(BI$2=$BO$1,$BO2,IF(BI$2=$BP$1,$BP2,IF(BI$2=$BQ$1,$BQ2,IF(BI$2=$BR$1,$BR2,IF(BI$2=$BS$1,$BS2,IF(BI$2=$BT$1,$BT2,IF(BI$2=$BU$1,$BU2,INDEX(Tiere!$BN$2:$BN$145,_xlfn.AGGREGATE(15,6,(ROW(Tiere!$BN$2:$BN$145)-1)/(--(SEARCH(BI$2,Tiere!$BN$2:$BN$145)&gt;0)),ROW()-1),1))))))))),"")</f>
        <v>Rinder</v>
      </c>
      <c r="BI3" s="2477"/>
      <c r="BJ3" s="2472" t="str">
        <f>IFERROR(IF(OR(BK$2="ZURÜCK ZUR AUSWAHL",BK$2="",BK$2=0),$BO$1,IF(BK$2=$BO$1,$BO2,IF(BK$2=$BP$1,$BP2,IF(BK$2=$BQ$1,$BQ2,IF(BK$2=$BR$1,$BR2,IF(BK$2=$BS$1,$BS2,IF(BK$2=$BT$1,$BT2,IF(BK$2=$BU$1,$BU2,INDEX(Tiere!$BN$2:$BN$145,_xlfn.AGGREGATE(15,6,(ROW(Tiere!$BN$2:$BN$145)-1)/(--(SEARCH(BK$2,Tiere!$BN$2:$BN$145)&gt;0)),ROW()-1),1))))))))),"")</f>
        <v>Rinder</v>
      </c>
      <c r="BK3" s="2477"/>
      <c r="BL3" s="2472" t="str">
        <f>IFERROR(IF(OR(BM$2="ZURÜCK ZUR AUSWAHL",BM$2="",BM$2=0),$BO$1,IF(BM$2=$BO$1,$BO2,IF(BM$2=$BP$1,$BP2,IF(BM$2=$BQ$1,$BQ2,IF(BM$2=$BR$1,$BR2,IF(BM$2=$BS$1,$BS2,IF(BM$2=$BT$1,$BT2,IF(BM$2=$BU$1,$BU2,INDEX(Tiere!$BN$2:$BN$145,_xlfn.AGGREGATE(15,6,(ROW(Tiere!$BN$2:$BN$145)-1)/(--(SEARCH(BM$2,Tiere!$BN$2:$BN$145)&gt;0)),ROW()-1),1))))))))),"")</f>
        <v>Rinder</v>
      </c>
      <c r="BM3" s="2477"/>
      <c r="BN3" s="2478" t="s">
        <v>965</v>
      </c>
      <c r="BO3" s="2518" t="s">
        <v>965</v>
      </c>
      <c r="BP3" s="2518" t="s">
        <v>1168</v>
      </c>
      <c r="BQ3" s="2518" t="s">
        <v>719</v>
      </c>
      <c r="BR3" s="2518" t="s">
        <v>1261</v>
      </c>
      <c r="BS3" s="2518" t="s">
        <v>1252</v>
      </c>
      <c r="BT3" s="2518" t="s">
        <v>1268</v>
      </c>
      <c r="BU3" s="2518" t="s">
        <v>1284</v>
      </c>
      <c r="BX3" s="201"/>
    </row>
    <row r="4" spans="1:254" ht="20.25" customHeight="1" thickBot="1">
      <c r="A4" s="533"/>
      <c r="B4" s="2718" t="s">
        <v>2467</v>
      </c>
      <c r="C4" s="2719"/>
      <c r="D4" s="2719"/>
      <c r="E4" s="2719"/>
      <c r="F4" s="2719"/>
      <c r="G4" s="2441" t="s">
        <v>966</v>
      </c>
      <c r="H4" s="2500" t="s">
        <v>2470</v>
      </c>
      <c r="I4" s="2729"/>
      <c r="J4" s="2729"/>
      <c r="K4" s="2730" t="s">
        <v>1405</v>
      </c>
      <c r="L4" s="2730"/>
      <c r="M4" s="2731" t="s">
        <v>1406</v>
      </c>
      <c r="N4" s="2731"/>
      <c r="O4" s="2714" t="s">
        <v>1407</v>
      </c>
      <c r="P4" s="2714"/>
      <c r="Q4" s="2714"/>
      <c r="R4" s="1793" t="s">
        <v>929</v>
      </c>
      <c r="S4" s="1794" t="s">
        <v>928</v>
      </c>
      <c r="T4" s="1794" t="s">
        <v>926</v>
      </c>
      <c r="U4" s="1794" t="s">
        <v>927</v>
      </c>
      <c r="V4" s="1790" t="s">
        <v>1408</v>
      </c>
      <c r="W4" s="1794" t="s">
        <v>1409</v>
      </c>
      <c r="X4" s="1790"/>
      <c r="Y4" s="535"/>
      <c r="Z4" s="187" t="s">
        <v>1410</v>
      </c>
      <c r="AD4"/>
      <c r="AF4" s="2445">
        <f>IF(AND(COUNTIF(Liste_Tiere[Tiere gesamt],$B7)=1,$B7&lt;&gt;"",$B7&lt;&gt;0),1,0)</f>
        <v>0</v>
      </c>
      <c r="AG4" s="2507" t="str">
        <f t="shared" si="0"/>
        <v/>
      </c>
      <c r="AH4" s="2504">
        <f>IF(AND($B7&lt;&gt;"",$B7&lt;&gt;"ZURÜCK ZUR AUSWAHL"),COUNTIF(TiereDropDown[B7],$B7),0)</f>
        <v>0</v>
      </c>
      <c r="AI4" s="183" t="s">
        <v>2485</v>
      </c>
      <c r="AJ4" s="2472" t="str">
        <f>IFERROR(IF(OR(AK$2="ZURÜCK ZUR AUSWAHL",AK$2="",AK$2=0),$BP$1,IF(AK$2=$BO$1,$BO3,IF(AK$2=$BP$1,$BP3,IF(AK$2=$BQ$1,$BQ3,IF(AK$2=$BR$1,$BR3,IF(AK$2=$BS$1,$BS3,IF(AK$2=$BT$1,$BT3,IF(AK$2=$BU$1,$BU3,INDEX(Tiere!$BN$2:$BN$145,_xlfn.AGGREGATE(15,6,(ROW(Tiere!$BN$2:$BN$145)-1)/(--(SEARCH(AK$2,Tiere!$BN$2:$BN$145)&gt;0)),ROW()-2),1))))))))),"")</f>
        <v>Schweine</v>
      </c>
      <c r="AK4" s="2503"/>
      <c r="AL4" s="2472" t="str">
        <f>IFERROR(IF(OR(AM$2="ZURÜCK ZUR AUSWAHL",AM$2="",AM$2=0),$BP$1,IF(AM$2=$BO$1,$BO3,IF(AM$2=$BP$1,$BP3,IF(AM$2=$BQ$1,$BQ3,IF(AM$2=$BR$1,$BR3,IF(AM$2=$BS$1,$BS3,IF(AM$2=$BT$1,$BT3,IF(AM$2=$BU$1,$BU3,INDEX(Tiere!$BN$2:$BN$145,_xlfn.AGGREGATE(15,6,(ROW(Tiere!$BN$2:$BN$145)-1)/(--(SEARCH(AM$2,Tiere!$BN$2:$BN$145)&gt;0)),ROW()-1),1))))))))),"")</f>
        <v>Schweine</v>
      </c>
      <c r="AM4" s="2436"/>
      <c r="AN4" s="2472" t="str">
        <f>IFERROR(IF(OR(AO$2="ZURÜCK ZUR AUSWAHL",AO$2="",AO$2=0),$BP$1,IF(AO$2=$BO$1,$BO3,IF(AO$2=$BP$1,$BP3,IF(AO$2=$BQ$1,$BQ3,IF(AO$2=$BR$1,$BR3,IF(AO$2=$BS$1,$BS3,IF(AO$2=$BT$1,$BT3,IF(AO$2=$BU$1,$BU3,INDEX(Tiere!$BN$2:$BN$145,_xlfn.AGGREGATE(15,6,(ROW(Tiere!$BN$2:$BN$145)-1)/(--(SEARCH(AO$2,Tiere!$BN$2:$BN$145)&gt;0)),ROW()-1),1))))))))),"")</f>
        <v>Schweine</v>
      </c>
      <c r="AO4" s="2436"/>
      <c r="AP4" s="2472" t="str">
        <f>IFERROR(IF(OR(AQ$2="ZURÜCK ZUR AUSWAHL",AQ$2="",AQ$2=0),$BP$1,IF(AQ$2=$BO$1,$BO3,IF(AQ$2=$BP$1,$BP3,IF(AQ$2=$BQ$1,$BQ3,IF(AQ$2=$BR$1,$BR3,IF(AQ$2=$BS$1,$BS3,IF(AQ$2=$BT$1,$BT3,IF(AQ$2=$BU$1,$BU3,INDEX(Tiere!$BN$2:$BN$145,_xlfn.AGGREGATE(15,6,(ROW(Tiere!$BN$2:$BN$145)-1)/(--(SEARCH(AQ$2,Tiere!$BN$2:$BN$145)&gt;0)),ROW()-1),1))))))))),"")</f>
        <v>Schweine</v>
      </c>
      <c r="AQ4" s="2476"/>
      <c r="AR4" s="2472" t="str">
        <f>IFERROR(IF(OR(AS$2="ZURÜCK ZUR AUSWAHL",AS$2="",AS$2=0),$BP$1,IF(AS$2=$BO$1,$BO3,IF(AS$2=$BP$1,$BP3,IF(AS$2=$BQ$1,$BQ3,IF(AS$2=$BR$1,$BR3,IF(AS$2=$BS$1,$BS3,IF(AS$2=$BT$1,$BT3,IF(AS$2=$BU$1,$BU3,INDEX(Tiere!$BN$2:$BN$145,_xlfn.AGGREGATE(15,6,(ROW(Tiere!$BN$2:$BN$145)-1)/(--(SEARCH(AS$2,Tiere!$BN$2:$BN$145)&gt;0)),ROW()-1),1))))))))),"")</f>
        <v>Schweine</v>
      </c>
      <c r="AS4" s="2436"/>
      <c r="AT4" s="2472" t="str">
        <f>IFERROR(IF(OR(AU$2="ZURÜCK ZUR AUSWAHL",AU$2="",AU$2=0),$BP$1,IF(AU$2=$BO$1,$BO3,IF(AU$2=$BP$1,$BP3,IF(AU$2=$BQ$1,$BQ3,IF(AU$2=$BR$1,$BR3,IF(AU$2=$BS$1,$BS3,IF(AU$2=$BT$1,$BT3,IF(AU$2=$BU$1,$BU3,INDEX(Tiere!$BN$2:$BN$145,_xlfn.AGGREGATE(15,6,(ROW(Tiere!$BN$2:$BN$145)-1)/(--(SEARCH(AU$2,Tiere!$BN$2:$BN$145)&gt;0)),ROW()-1),1))))))))),"")</f>
        <v>Schweine</v>
      </c>
      <c r="AU4" s="2436"/>
      <c r="AV4" s="2472" t="str">
        <f>IFERROR(IF(OR(AW$2="ZURÜCK ZUR AUSWAHL",AW$2="",AW$2=0),$BP$1,IF(AW$2=$BO$1,$BO3,IF(AW$2=$BP$1,$BP3,IF(AW$2=$BQ$1,$BQ3,IF(AW$2=$BR$1,$BR3,IF(AW$2=$BS$1,$BS3,IF(AW$2=$BT$1,$BT3,IF(AW$2=$BU$1,$BU3,INDEX(Tiere!$BN$2:$BN$145,_xlfn.AGGREGATE(15,6,(ROW(Tiere!$BN$2:$BN$145)-1)/(--(SEARCH(AW$2,Tiere!$BN$2:$BN$145)&gt;0)),ROW()-1),1))))))))),"")</f>
        <v>Schweine</v>
      </c>
      <c r="AW4" s="2436"/>
      <c r="AX4" s="2472" t="str">
        <f>IFERROR(IF(OR(AY$2="ZURÜCK ZUR AUSWAHL",AY$2="",AY$2=0),$BP$1,IF(AY$2=$BO$1,$BO3,IF(AY$2=$BP$1,$BP3,IF(AY$2=$BQ$1,$BQ3,IF(AY$2=$BR$1,$BR3,IF(AY$2=$BS$1,$BS3,IF(AY$2=$BT$1,$BT3,IF(AY$2=$BU$1,$BU3,INDEX(Tiere!$BN$2:$BN$145,_xlfn.AGGREGATE(15,6,(ROW(Tiere!$BN$2:$BN$145)-1)/(--(SEARCH(AY$2,Tiere!$BN$2:$BN$145)&gt;0)),ROW()-1),1))))))))),"")</f>
        <v>Schweine</v>
      </c>
      <c r="AY4" s="2436"/>
      <c r="AZ4" s="2472" t="str">
        <f>IFERROR(IF(OR(BA$2="ZURÜCK ZUR AUSWAHL",BA$2="",BA$2=0),$BP$1,IF(BA$2=$BO$1,$BO3,IF(BA$2=$BP$1,$BP3,IF(BA$2=$BQ$1,$BQ3,IF(BA$2=$BR$1,$BR3,IF(BA$2=$BS$1,$BS3,IF(BA$2=$BT$1,$BT3,IF(BA$2=$BU$1,$BU3,INDEX(Tiere!$BN$2:$BN$145,_xlfn.AGGREGATE(15,6,(ROW(Tiere!$BN$2:$BN$145)-1)/(--(SEARCH(BA$2,Tiere!$BN$2:$BN$145)&gt;0)),ROW()-1),1))))))))),"")</f>
        <v>Schweine</v>
      </c>
      <c r="BA4" s="2436"/>
      <c r="BB4" s="2472" t="str">
        <f>IFERROR(IF(OR(BC$2="ZURÜCK ZUR AUSWAHL",BC$2="",BC$2=0),$BP$1,IF(BC$2=$BO$1,$BO3,IF(BC$2=$BP$1,$BP3,IF(BC$2=$BQ$1,$BQ3,IF(BC$2=$BR$1,$BR3,IF(BC$2=$BS$1,$BS3,IF(BC$2=$BT$1,$BT3,IF(BC$2=$BU$1,$BU3,INDEX(Tiere!$BN$2:$BN$145,_xlfn.AGGREGATE(15,6,(ROW(Tiere!$BN$2:$BN$145)-1)/(--(SEARCH(BC$2,Tiere!$BN$2:$BN$145)&gt;0)),ROW()-1),1))))))))),"")</f>
        <v>Schweine</v>
      </c>
      <c r="BC4" s="2436"/>
      <c r="BD4" s="2472" t="str">
        <f>IFERROR(IF(OR(BE$2="ZURÜCK ZUR AUSWAHL",BE$2="",BE$2=0),$BP$1,IF(BE$2=$BO$1,$BO3,IF(BE$2=$BP$1,$BP3,IF(BE$2=$BQ$1,$BQ3,IF(BE$2=$BR$1,$BR3,IF(BE$2=$BS$1,$BS3,IF(BE$2=$BT$1,$BT3,IF(BE$2=$BU$1,$BU3,INDEX(Tiere!$BN$2:$BN$145,_xlfn.AGGREGATE(15,6,(ROW(Tiere!$BN$2:$BN$145)-1)/(--(SEARCH(BE$2,Tiere!$BN$2:$BN$145)&gt;0)),ROW()-1),1))))))))),"")</f>
        <v>Schweine</v>
      </c>
      <c r="BE4" s="2436"/>
      <c r="BF4" s="2472" t="str">
        <f>IFERROR(IF(OR(BG$2="ZURÜCK ZUR AUSWAHL",BG$2="",BG$2=0),$BP$1,IF(BG$2=$BO$1,$BO3,IF(BG$2=$BP$1,$BP3,IF(BG$2=$BQ$1,$BQ3,IF(BG$2=$BR$1,$BR3,IF(BG$2=$BS$1,$BS3,IF(BG$2=$BT$1,$BT3,IF(BG$2=$BU$1,$BU3,INDEX(Tiere!$BN$2:$BN$145,_xlfn.AGGREGATE(15,6,(ROW(Tiere!$BN$2:$BN$145)-1)/(--(SEARCH(BG$2,Tiere!$BN$2:$BN$145)&gt;0)),ROW()-1),1))))))))),"")</f>
        <v>Schweine</v>
      </c>
      <c r="BG4" s="2436"/>
      <c r="BH4" s="2472" t="str">
        <f>IFERROR(IF(OR(BI$2="ZURÜCK ZUR AUSWAHL",BI$2="",BI$2=0),$BP$1,IF(BI$2=$BO$1,$BO3,IF(BI$2=$BP$1,$BP3,IF(BI$2=$BQ$1,$BQ3,IF(BI$2=$BR$1,$BR3,IF(BI$2=$BS$1,$BS3,IF(BI$2=$BT$1,$BT3,IF(BI$2=$BU$1,$BU3,INDEX(Tiere!$BN$2:$BN$145,_xlfn.AGGREGATE(15,6,(ROW(Tiere!$BN$2:$BN$145)-1)/(--(SEARCH(BI$2,Tiere!$BN$2:$BN$145)&gt;0)),ROW()-1),1))))))))),"")</f>
        <v>Schweine</v>
      </c>
      <c r="BI4" s="2436"/>
      <c r="BJ4" s="2472" t="str">
        <f>IFERROR(IF(OR(BK$2="ZURÜCK ZUR AUSWAHL",BK$2="",BK$2=0),$BP$1,IF(BK$2=$BO$1,$BO3,IF(BK$2=$BP$1,$BP3,IF(BK$2=$BQ$1,$BQ3,IF(BK$2=$BR$1,$BR3,IF(BK$2=$BS$1,$BS3,IF(BK$2=$BT$1,$BT3,IF(BK$2=$BU$1,$BU3,INDEX(Tiere!$BN$2:$BN$145,_xlfn.AGGREGATE(15,6,(ROW(Tiere!$BN$2:$BN$145)-1)/(--(SEARCH(BK$2,Tiere!$BN$2:$BN$145)&gt;0)),ROW()-1),1))))))))),"")</f>
        <v>Schweine</v>
      </c>
      <c r="BK4" s="2436"/>
      <c r="BL4" s="2472" t="str">
        <f>IFERROR(IF(OR(BM$2="ZURÜCK ZUR AUSWAHL",BM$2="",BM$2=0),$BP$1,IF(BM$2=$BO$1,$BO3,IF(BM$2=$BP$1,$BP3,IF(BM$2=$BQ$1,$BQ3,IF(BM$2=$BR$1,$BR3,IF(BM$2=$BS$1,$BS3,IF(BM$2=$BT$1,$BT3,IF(BM$2=$BU$1,$BU3,INDEX(Tiere!$BN$2:$BN$145,_xlfn.AGGREGATE(15,6,(ROW(Tiere!$BN$2:$BN$145)-1)/(--(SEARCH(BM$2,Tiere!$BN$2:$BN$145)&gt;0)),ROW()-1),1))))))))),"")</f>
        <v>Schweine</v>
      </c>
      <c r="BM4" s="2436"/>
      <c r="BN4" s="2478" t="s">
        <v>967</v>
      </c>
      <c r="BO4" s="2518" t="s">
        <v>967</v>
      </c>
      <c r="BP4" s="2518" t="s">
        <v>1172</v>
      </c>
      <c r="BQ4" s="2518" t="s">
        <v>1234</v>
      </c>
      <c r="BR4" s="2518" t="s">
        <v>1262</v>
      </c>
      <c r="BS4" s="2518" t="s">
        <v>1254</v>
      </c>
      <c r="BT4" s="2518" t="s">
        <v>1269</v>
      </c>
      <c r="BU4" s="2518" t="s">
        <v>1286</v>
      </c>
      <c r="BX4" s="201"/>
    </row>
    <row r="5" spans="1:254" ht="22.5" customHeight="1" thickBot="1">
      <c r="A5" s="2501" t="str">
        <f>IF(OR(AND($AH2=0,$B5&lt;&gt;"",$B5&lt;&gt;0),AND($AH2=1,$B5&lt;&gt;"",$I5="")),"»",IF(AND($AH2=1,$I5&gt;0),"✔",""))</f>
        <v/>
      </c>
      <c r="B5" s="2715"/>
      <c r="C5" s="2715"/>
      <c r="D5" s="2715"/>
      <c r="E5" s="2715"/>
      <c r="F5" s="2715"/>
      <c r="G5" s="2715"/>
      <c r="H5" s="2716"/>
      <c r="I5" s="1174"/>
      <c r="J5" s="1175">
        <f>IFERROR(Tabelle1!AR5,0)</f>
        <v>0</v>
      </c>
      <c r="K5" s="1176"/>
      <c r="L5" s="1177"/>
      <c r="M5" s="1176"/>
      <c r="N5" s="1177"/>
      <c r="O5" s="1178">
        <f>IFERROR(Tabelle1!AX5,0)</f>
        <v>0</v>
      </c>
      <c r="P5" s="1178">
        <f>IFERROR(Tabelle1!BI5,0)</f>
        <v>0</v>
      </c>
      <c r="Q5" s="1178">
        <f>IFERROR(Tabelle1!BO5,0)</f>
        <v>0</v>
      </c>
      <c r="R5" s="1179">
        <f>IFERROR(Tabelle1!BB5,0)</f>
        <v>0</v>
      </c>
      <c r="S5" s="1179">
        <f>IFERROR(Tabelle1!AY5,0)</f>
        <v>0</v>
      </c>
      <c r="T5" s="1179">
        <f>IFERROR(Tabelle1!AZ5,0)</f>
        <v>0</v>
      </c>
      <c r="U5" s="1179">
        <f>IFERROR(Tabelle1!BA5,0)</f>
        <v>0</v>
      </c>
      <c r="V5" s="1179">
        <f>IFERROR(Tabelle1!CA5,0)</f>
        <v>0</v>
      </c>
      <c r="W5" s="1179">
        <f>IFERROR(Tabelle1!CG5,0)</f>
        <v>0</v>
      </c>
      <c r="X5" s="1179"/>
      <c r="Y5" s="535"/>
      <c r="Z5" s="186" t="s">
        <v>2471</v>
      </c>
      <c r="AD5"/>
      <c r="AF5" s="2445">
        <f>IF(AND(COUNTIF(Liste_Tiere[Tiere gesamt],$B8)=1,$B8&lt;&gt;"",$B8&lt;&gt;0),1,0)</f>
        <v>0</v>
      </c>
      <c r="AG5" s="2507" t="str">
        <f t="shared" si="0"/>
        <v/>
      </c>
      <c r="AH5" s="2504">
        <f>IF(AND($B8&lt;&gt;"",$B8&lt;&gt;"ZURÜCK ZUR AUSWAHL"),COUNTIF(TiereDropDown[B8],$B8),0)</f>
        <v>0</v>
      </c>
      <c r="AI5" s="183" t="s">
        <v>2484</v>
      </c>
      <c r="AJ5" s="2472" t="str">
        <f>IFERROR(IF(OR(AK$2="ZURÜCK ZUR AUSWAHL",AK$2="",AK$2=0),$BQ$1,IF(AK$2=$BO$1,$BO4,IF(AK$2=$BP$1,$BP4,IF(AK$2=$BQ$1,$BQ4,IF(AK$2=$BR$1,$BR4,IF(AK$2=$BS$1,$BS4,IF(AK$2=$BT$1,$BT4,IF(AK$2=$BU$1,$BU4,INDEX(Tiere!$BN$2:$BN$145,_xlfn.AGGREGATE(15,6,(ROW(Tiere!$BN$2:$BN$145)-1)/(--(SEARCH(AK$2,Tiere!$BN$2:$BN$145)&gt;0)),ROW()-2),1))))))))),"")</f>
        <v>Geflügel</v>
      </c>
      <c r="AK5" s="2503"/>
      <c r="AL5" s="2472" t="str">
        <f>IFERROR(IF(OR(AM$2="ZURÜCK ZUR AUSWAHL",AM$2="",AM$2=0),$BQ$1,IF(AM$2=$BO$1,$BO4,IF(AM$2=$BP$1,$BP4,IF(AM$2=$BQ$1,$BQ4,IF(AM$2=$BR$1,$BR4,IF(AM$2=$BS$1,$BS4,IF(AM$2=$BT$1,$BT4,IF(AM$2=$BU$1,$BU4,INDEX(Tiere!$BN$2:$BN$145,_xlfn.AGGREGATE(15,6,(ROW(Tiere!$BN$2:$BN$145)-1)/(--(SEARCH(AM$2,Tiere!$BN$2:$BN$145)&gt;0)),ROW()-1),1))))))))),"")</f>
        <v>Geflügel</v>
      </c>
      <c r="AM5" s="2438"/>
      <c r="AN5" s="2472" t="str">
        <f>IFERROR(IF(OR(AO$2="ZURÜCK ZUR AUSWAHL",AO$2="",AO$2=0),$BQ$1,IF(AO$2=$BO$1,$BO4,IF(AO$2=$BP$1,$BP4,IF(AO$2=$BQ$1,$BQ4,IF(AO$2=$BR$1,$BR4,IF(AO$2=$BS$1,$BS4,IF(AO$2=$BT$1,$BT4,IF(AO$2=$BU$1,$BU4,INDEX(Tiere!$BN$2:$BN$145,_xlfn.AGGREGATE(15,6,(ROW(Tiere!$BN$2:$BN$145)-1)/(--(SEARCH(AO$2,Tiere!$BN$2:$BN$145)&gt;0)),ROW()-1),1))))))))),"")</f>
        <v>Geflügel</v>
      </c>
      <c r="AO5" s="2438"/>
      <c r="AP5" s="2472" t="str">
        <f>IFERROR(IF(OR(AQ$2="ZURÜCK ZUR AUSWAHL",AQ$2="",AQ$2=0),$BQ$1,IF(AQ$2=$BO$1,$BO4,IF(AQ$2=$BP$1,$BP4,IF(AQ$2=$BQ$1,$BQ4,IF(AQ$2=$BR$1,$BR4,IF(AQ$2=$BS$1,$BS4,IF(AQ$2=$BT$1,$BT4,IF(AQ$2=$BU$1,$BU4,INDEX(Tiere!$BN$2:$BN$145,_xlfn.AGGREGATE(15,6,(ROW(Tiere!$BN$2:$BN$145)-1)/(--(SEARCH(AQ$2,Tiere!$BN$2:$BN$145)&gt;0)),ROW()-1),1))))))))),"")</f>
        <v>Geflügel</v>
      </c>
      <c r="AQ5" s="2438"/>
      <c r="AR5" s="2472" t="str">
        <f>IFERROR(IF(OR(AS$2="ZURÜCK ZUR AUSWAHL",AS$2="",AS$2=0),$BQ$1,IF(AS$2=$BO$1,$BO4,IF(AS$2=$BP$1,$BP4,IF(AS$2=$BQ$1,$BQ4,IF(AS$2=$BR$1,$BR4,IF(AS$2=$BS$1,$BS4,IF(AS$2=$BT$1,$BT4,IF(AS$2=$BU$1,$BU4,INDEX(Tiere!$BN$2:$BN$145,_xlfn.AGGREGATE(15,6,(ROW(Tiere!$BN$2:$BN$145)-1)/(--(SEARCH(AS$2,Tiere!$BN$2:$BN$145)&gt;0)),ROW()-1),1))))))))),"")</f>
        <v>Geflügel</v>
      </c>
      <c r="AS5" s="2438"/>
      <c r="AT5" s="2472" t="str">
        <f>IFERROR(IF(OR(AU$2="ZURÜCK ZUR AUSWAHL",AU$2="",AU$2=0),$BQ$1,IF(AU$2=$BO$1,$BO4,IF(AU$2=$BP$1,$BP4,IF(AU$2=$BQ$1,$BQ4,IF(AU$2=$BR$1,$BR4,IF(AU$2=$BS$1,$BS4,IF(AU$2=$BT$1,$BT4,IF(AU$2=$BU$1,$BU4,INDEX(Tiere!$BN$2:$BN$145,_xlfn.AGGREGATE(15,6,(ROW(Tiere!$BN$2:$BN$145)-1)/(--(SEARCH(AU$2,Tiere!$BN$2:$BN$145)&gt;0)),ROW()-1),1))))))))),"")</f>
        <v>Geflügel</v>
      </c>
      <c r="AU5" s="2438"/>
      <c r="AV5" s="2472" t="str">
        <f>IFERROR(IF(OR(AW$2="ZURÜCK ZUR AUSWAHL",AW$2="",AW$2=0),$BQ$1,IF(AW$2=$BO$1,$BO4,IF(AW$2=$BP$1,$BP4,IF(AW$2=$BQ$1,$BQ4,IF(AW$2=$BR$1,$BR4,IF(AW$2=$BS$1,$BS4,IF(AW$2=$BT$1,$BT4,IF(AW$2=$BU$1,$BU4,INDEX(Tiere!$BN$2:$BN$145,_xlfn.AGGREGATE(15,6,(ROW(Tiere!$BN$2:$BN$145)-1)/(--(SEARCH(AW$2,Tiere!$BN$2:$BN$145)&gt;0)),ROW()-1),1))))))))),"")</f>
        <v>Geflügel</v>
      </c>
      <c r="AW5" s="2438"/>
      <c r="AX5" s="2472" t="str">
        <f>IFERROR(IF(OR(AY$2="ZURÜCK ZUR AUSWAHL",AY$2="",AY$2=0),$BQ$1,IF(AY$2=$BO$1,$BO4,IF(AY$2=$BP$1,$BP4,IF(AY$2=$BQ$1,$BQ4,IF(AY$2=$BR$1,$BR4,IF(AY$2=$BS$1,$BS4,IF(AY$2=$BT$1,$BT4,IF(AY$2=$BU$1,$BU4,INDEX(Tiere!$BN$2:$BN$145,_xlfn.AGGREGATE(15,6,(ROW(Tiere!$BN$2:$BN$145)-1)/(--(SEARCH(AY$2,Tiere!$BN$2:$BN$145)&gt;0)),ROW()-1),1))))))))),"")</f>
        <v>Geflügel</v>
      </c>
      <c r="AY5" s="2438"/>
      <c r="AZ5" s="2472" t="str">
        <f>IFERROR(IF(OR(BA$2="ZURÜCK ZUR AUSWAHL",BA$2="",BA$2=0),$BQ$1,IF(BA$2=$BO$1,$BO4,IF(BA$2=$BP$1,$BP4,IF(BA$2=$BQ$1,$BQ4,IF(BA$2=$BR$1,$BR4,IF(BA$2=$BS$1,$BS4,IF(BA$2=$BT$1,$BT4,IF(BA$2=$BU$1,$BU4,INDEX(Tiere!$BN$2:$BN$145,_xlfn.AGGREGATE(15,6,(ROW(Tiere!$BN$2:$BN$145)-1)/(--(SEARCH(BA$2,Tiere!$BN$2:$BN$145)&gt;0)),ROW()-1),1))))))))),"")</f>
        <v>Geflügel</v>
      </c>
      <c r="BA5" s="2438"/>
      <c r="BB5" s="2472" t="str">
        <f>IFERROR(IF(OR(BC$2="ZURÜCK ZUR AUSWAHL",BC$2="",BC$2=0),$BQ$1,IF(BC$2=$BO$1,$BO4,IF(BC$2=$BP$1,$BP4,IF(BC$2=$BQ$1,$BQ4,IF(BC$2=$BR$1,$BR4,IF(BC$2=$BS$1,$BS4,IF(BC$2=$BT$1,$BT4,IF(BC$2=$BU$1,$BU4,INDEX(Tiere!$BN$2:$BN$145,_xlfn.AGGREGATE(15,6,(ROW(Tiere!$BN$2:$BN$145)-1)/(--(SEARCH(BC$2,Tiere!$BN$2:$BN$145)&gt;0)),ROW()-1),1))))))))),"")</f>
        <v>Geflügel</v>
      </c>
      <c r="BC5" s="2438"/>
      <c r="BD5" s="2472" t="str">
        <f>IFERROR(IF(OR(BE$2="ZURÜCK ZUR AUSWAHL",BE$2="",BE$2=0),$BQ$1,IF(BE$2=$BO$1,$BO4,IF(BE$2=$BP$1,$BP4,IF(BE$2=$BQ$1,$BQ4,IF(BE$2=$BR$1,$BR4,IF(BE$2=$BS$1,$BS4,IF(BE$2=$BT$1,$BT4,IF(BE$2=$BU$1,$BU4,INDEX(Tiere!$BN$2:$BN$145,_xlfn.AGGREGATE(15,6,(ROW(Tiere!$BN$2:$BN$145)-1)/(--(SEARCH(BE$2,Tiere!$BN$2:$BN$145)&gt;0)),ROW()-1),1))))))))),"")</f>
        <v>Geflügel</v>
      </c>
      <c r="BE5" s="2438"/>
      <c r="BF5" s="2472" t="str">
        <f>IFERROR(IF(OR(BG$2="ZURÜCK ZUR AUSWAHL",BG$2="",BG$2=0),$BQ$1,IF(BG$2=$BO$1,$BO4,IF(BG$2=$BP$1,$BP4,IF(BG$2=$BQ$1,$BQ4,IF(BG$2=$BR$1,$BR4,IF(BG$2=$BS$1,$BS4,IF(BG$2=$BT$1,$BT4,IF(BG$2=$BU$1,$BU4,INDEX(Tiere!$BN$2:$BN$145,_xlfn.AGGREGATE(15,6,(ROW(Tiere!$BN$2:$BN$145)-1)/(--(SEARCH(BG$2,Tiere!$BN$2:$BN$145)&gt;0)),ROW()-1),1))))))))),"")</f>
        <v>Geflügel</v>
      </c>
      <c r="BG5" s="2438"/>
      <c r="BH5" s="2472" t="str">
        <f>IFERROR(IF(OR(BI$2="ZURÜCK ZUR AUSWAHL",BI$2="",BI$2=0),$BQ$1,IF(BI$2=$BO$1,$BO4,IF(BI$2=$BP$1,$BP4,IF(BI$2=$BQ$1,$BQ4,IF(BI$2=$BR$1,$BR4,IF(BI$2=$BS$1,$BS4,IF(BI$2=$BT$1,$BT4,IF(BI$2=$BU$1,$BU4,INDEX(Tiere!$BN$2:$BN$145,_xlfn.AGGREGATE(15,6,(ROW(Tiere!$BN$2:$BN$145)-1)/(--(SEARCH(BI$2,Tiere!$BN$2:$BN$145)&gt;0)),ROW()-1),1))))))))),"")</f>
        <v>Geflügel</v>
      </c>
      <c r="BI5" s="2438"/>
      <c r="BJ5" s="2472" t="str">
        <f>IFERROR(IF(OR(BK$2="ZURÜCK ZUR AUSWAHL",BK$2="",BK$2=0),$BQ$1,IF(BK$2=$BO$1,$BO4,IF(BK$2=$BP$1,$BP4,IF(BK$2=$BQ$1,$BQ4,IF(BK$2=$BR$1,$BR4,IF(BK$2=$BS$1,$BS4,IF(BK$2=$BT$1,$BT4,IF(BK$2=$BU$1,$BU4,INDEX(Tiere!$BN$2:$BN$145,_xlfn.AGGREGATE(15,6,(ROW(Tiere!$BN$2:$BN$145)-1)/(--(SEARCH(BK$2,Tiere!$BN$2:$BN$145)&gt;0)),ROW()-1),1))))))))),"")</f>
        <v>Geflügel</v>
      </c>
      <c r="BK5" s="2438"/>
      <c r="BL5" s="2472" t="str">
        <f>IFERROR(IF(OR(BM$2="ZURÜCK ZUR AUSWAHL",BM$2="",BM$2=0),$BQ$1,IF(BM$2=$BO$1,$BO4,IF(BM$2=$BP$1,$BP4,IF(BM$2=$BQ$1,$BQ4,IF(BM$2=$BR$1,$BR4,IF(BM$2=$BS$1,$BS4,IF(BM$2=$BT$1,$BT4,IF(BM$2=$BU$1,$BU4,INDEX(Tiere!$BN$2:$BN$145,_xlfn.AGGREGATE(15,6,(ROW(Tiere!$BN$2:$BN$145)-1)/(--(SEARCH(BM$2,Tiere!$BN$2:$BN$145)&gt;0)),ROW()-1),1))))))))),"")</f>
        <v>Geflügel</v>
      </c>
      <c r="BM5" s="2438"/>
      <c r="BN5" s="2478" t="s">
        <v>968</v>
      </c>
      <c r="BO5" s="2518" t="s">
        <v>968</v>
      </c>
      <c r="BP5" s="2518" t="s">
        <v>1178</v>
      </c>
      <c r="BQ5" s="2518" t="s">
        <v>1236</v>
      </c>
      <c r="BR5" s="2518" t="s">
        <v>1263</v>
      </c>
      <c r="BS5" s="2518" t="s">
        <v>1255</v>
      </c>
      <c r="BT5" s="2518" t="s">
        <v>2266</v>
      </c>
      <c r="BU5" s="2518" t="s">
        <v>1287</v>
      </c>
      <c r="BX5" s="201"/>
    </row>
    <row r="6" spans="1:254" ht="22.5" customHeight="1" thickBot="1">
      <c r="A6" s="2501" t="str">
        <f t="shared" ref="A6:A19" si="1">IF(OR(AND($AH3=0,$B6&lt;&gt;"",$B6&lt;&gt;0),AND($AH3=1,$B6&lt;&gt;"",$I6="")),"»",IF(AND($AH3=1,$I6&gt;0),"✔",""))</f>
        <v/>
      </c>
      <c r="B6" s="2710"/>
      <c r="C6" s="2711"/>
      <c r="D6" s="2711"/>
      <c r="E6" s="2711"/>
      <c r="F6" s="2711"/>
      <c r="G6" s="2711"/>
      <c r="H6" s="2712"/>
      <c r="I6" s="1174"/>
      <c r="J6" s="1175">
        <f>IFERROR(Tabelle1!AR6,0)</f>
        <v>0</v>
      </c>
      <c r="K6" s="1176"/>
      <c r="L6" s="1177"/>
      <c r="M6" s="1176"/>
      <c r="N6" s="1177"/>
      <c r="O6" s="1178">
        <f>IFERROR(Tabelle1!AX6,0)</f>
        <v>0</v>
      </c>
      <c r="P6" s="1178">
        <f>IFERROR(Tabelle1!BI6,0)</f>
        <v>0</v>
      </c>
      <c r="Q6" s="1178">
        <f>IFERROR(Tabelle1!BO6,0)</f>
        <v>0</v>
      </c>
      <c r="R6" s="1179">
        <f>IFERROR(Tabelle1!BB6,0)</f>
        <v>0</v>
      </c>
      <c r="S6" s="1179">
        <f>IFERROR(Tabelle1!AY6,0)</f>
        <v>0</v>
      </c>
      <c r="T6" s="1179">
        <f>IFERROR(Tabelle1!AZ6,0)</f>
        <v>0</v>
      </c>
      <c r="U6" s="1179">
        <f>IFERROR(Tabelle1!BA6,0)</f>
        <v>0</v>
      </c>
      <c r="V6" s="1179">
        <f>IFERROR(Tabelle1!CA6,0)</f>
        <v>0</v>
      </c>
      <c r="W6" s="1179">
        <f>IFERROR(Tabelle1!CG6,0)</f>
        <v>0</v>
      </c>
      <c r="X6" s="1179"/>
      <c r="Y6" s="535"/>
      <c r="Z6" s="188" t="s">
        <v>2472</v>
      </c>
      <c r="AD6"/>
      <c r="AF6" s="2445">
        <f>IF(AND(COUNTIF(Liste_Tiere[Tiere gesamt],$B9)=1,$B9&lt;&gt;"",$B9&lt;&gt;0),1,0)</f>
        <v>0</v>
      </c>
      <c r="AG6" s="2507" t="str">
        <f t="shared" si="0"/>
        <v/>
      </c>
      <c r="AH6" s="2504">
        <f>IF(AND($B9&lt;&gt;"",$B9&lt;&gt;"ZURÜCK ZUR AUSWAHL"),COUNTIF(TiereDropDown[B9],$B9),0)</f>
        <v>0</v>
      </c>
      <c r="AI6" s="183" t="s">
        <v>2486</v>
      </c>
      <c r="AJ6" s="2472" t="str">
        <f>IFERROR(IF(OR(AK$2="ZURÜCK ZUR AUSWAHL",AK$2="",AK$2=0),$BR$1,IF(AK$2=$BO$1,$BO5,IF(AK$2=$BP$1,$BP5,IF(AK$2=$BQ$1,$BQ5,IF(AK$2=$BR$1,$BR5,IF(AK$2=$BS$1,$BS5,IF(AK$2=$BT$1,$BT5,IF(AK$2=$BU$1,$BU5,INDEX(Tiere!$BN$2:$BN$145,_xlfn.AGGREGATE(15,6,(ROW(Tiere!$BN$2:$BN$145)-1)/(--(SEARCH(AK$2,Tiere!$BN$2:$BN$145)&gt;0)),ROW()-2),1))))))))),"")</f>
        <v>Schafe, Ziegen</v>
      </c>
      <c r="AK6" s="2503"/>
      <c r="AL6" s="2472" t="str">
        <f>IFERROR(IF(OR(AM$2="ZURÜCK ZUR AUSWAHL",AM$2="",AM$2=0),$BR$1,IF(AM$2=$BO$1,$BO5,IF(AM$2=$BP$1,$BP5,IF(AM$2=$BQ$1,$BQ5,IF(AM$2=$BR$1,$BR5,IF(AM$2=$BS$1,$BS5,IF(AM$2=$BT$1,$BT5,IF(AM$2=$BU$1,$BU5,INDEX(Tiere!$BN$2:$BN$145,_xlfn.AGGREGATE(15,6,(ROW(Tiere!$BN$2:$BN$145)-1)/(--(SEARCH(AM$2,Tiere!$BN$2:$BN$145)&gt;0)),ROW()-1),1))))))))),"")</f>
        <v>Schafe, Ziegen</v>
      </c>
      <c r="AM6" s="2436"/>
      <c r="AN6" s="2472" t="str">
        <f>IFERROR(IF(OR(AO$2="ZURÜCK ZUR AUSWAHL",AO$2="",AO$2=0),$BR$1,IF(AO$2=$BO$1,$BO5,IF(AO$2=$BP$1,$BP5,IF(AO$2=$BQ$1,$BQ5,IF(AO$2=$BR$1,$BR5,IF(AO$2=$BS$1,$BS5,IF(AO$2=$BT$1,$BT5,IF(AO$2=$BU$1,$BU5,INDEX(Tiere!$BN$2:$BN$145,_xlfn.AGGREGATE(15,6,(ROW(Tiere!$BN$2:$BN$145)-1)/(--(SEARCH(AO$2,Tiere!$BN$2:$BN$145)&gt;0)),ROW()-1),1))))))))),"")</f>
        <v>Schafe, Ziegen</v>
      </c>
      <c r="AO6" s="2436"/>
      <c r="AP6" s="2472" t="str">
        <f>IFERROR(IF(OR(AQ$2="ZURÜCK ZUR AUSWAHL",AQ$2="",AQ$2=0),$BR$1,IF(AQ$2=$BO$1,$BO5,IF(AQ$2=$BP$1,$BP5,IF(AQ$2=$BQ$1,$BQ5,IF(AQ$2=$BR$1,$BR5,IF(AQ$2=$BS$1,$BS5,IF(AQ$2=$BT$1,$BT5,IF(AQ$2=$BU$1,$BU5,INDEX(Tiere!$BN$2:$BN$145,_xlfn.AGGREGATE(15,6,(ROW(Tiere!$BN$2:$BN$145)-1)/(--(SEARCH(AQ$2,Tiere!$BN$2:$BN$145)&gt;0)),ROW()-1),1))))))))),"")</f>
        <v>Schafe, Ziegen</v>
      </c>
      <c r="AQ6" s="2436"/>
      <c r="AR6" s="2472" t="str">
        <f>IFERROR(IF(OR(AS$2="ZURÜCK ZUR AUSWAHL",AS$2="",AS$2=0),$BR$1,IF(AS$2=$BO$1,$BO5,IF(AS$2=$BP$1,$BP5,IF(AS$2=$BQ$1,$BQ5,IF(AS$2=$BR$1,$BR5,IF(AS$2=$BS$1,$BS5,IF(AS$2=$BT$1,$BT5,IF(AS$2=$BU$1,$BU5,INDEX(Tiere!$BN$2:$BN$145,_xlfn.AGGREGATE(15,6,(ROW(Tiere!$BN$2:$BN$145)-1)/(--(SEARCH(AS$2,Tiere!$BN$2:$BN$145)&gt;0)),ROW()-1),1))))))))),"")</f>
        <v>Schafe, Ziegen</v>
      </c>
      <c r="AS6" s="2436"/>
      <c r="AT6" s="2472" t="str">
        <f>IFERROR(IF(OR(AU$2="ZURÜCK ZUR AUSWAHL",AU$2="",AU$2=0),$BR$1,IF(AU$2=$BO$1,$BO5,IF(AU$2=$BP$1,$BP5,IF(AU$2=$BQ$1,$BQ5,IF(AU$2=$BR$1,$BR5,IF(AU$2=$BS$1,$BS5,IF(AU$2=$BT$1,$BT5,IF(AU$2=$BU$1,$BU5,INDEX(Tiere!$BN$2:$BN$145,_xlfn.AGGREGATE(15,6,(ROW(Tiere!$BN$2:$BN$145)-1)/(--(SEARCH(AU$2,Tiere!$BN$2:$BN$145)&gt;0)),ROW()-1),1))))))))),"")</f>
        <v>Schafe, Ziegen</v>
      </c>
      <c r="AU6" s="2436"/>
      <c r="AV6" s="2472" t="str">
        <f>IFERROR(IF(OR(AW$2="ZURÜCK ZUR AUSWAHL",AW$2="",AW$2=0),$BR$1,IF(AW$2=$BO$1,$BO5,IF(AW$2=$BP$1,$BP5,IF(AW$2=$BQ$1,$BQ5,IF(AW$2=$BR$1,$BR5,IF(AW$2=$BS$1,$BS5,IF(AW$2=$BT$1,$BT5,IF(AW$2=$BU$1,$BU5,INDEX(Tiere!$BN$2:$BN$145,_xlfn.AGGREGATE(15,6,(ROW(Tiere!$BN$2:$BN$145)-1)/(--(SEARCH(AW$2,Tiere!$BN$2:$BN$145)&gt;0)),ROW()-1),1))))))))),"")</f>
        <v>Schafe, Ziegen</v>
      </c>
      <c r="AW6" s="2436"/>
      <c r="AX6" s="2472" t="str">
        <f>IFERROR(IF(OR(AY$2="ZURÜCK ZUR AUSWAHL",AY$2="",AY$2=0),$BR$1,IF(AY$2=$BO$1,$BO5,IF(AY$2=$BP$1,$BP5,IF(AY$2=$BQ$1,$BQ5,IF(AY$2=$BR$1,$BR5,IF(AY$2=$BS$1,$BS5,IF(AY$2=$BT$1,$BT5,IF(AY$2=$BU$1,$BU5,INDEX(Tiere!$BN$2:$BN$145,_xlfn.AGGREGATE(15,6,(ROW(Tiere!$BN$2:$BN$145)-1)/(--(SEARCH(AY$2,Tiere!$BN$2:$BN$145)&gt;0)),ROW()-1),1))))))))),"")</f>
        <v>Schafe, Ziegen</v>
      </c>
      <c r="AY6" s="2436"/>
      <c r="AZ6" s="2472" t="str">
        <f>IFERROR(IF(OR(BA$2="ZURÜCK ZUR AUSWAHL",BA$2="",BA$2=0),$BR$1,IF(BA$2=$BO$1,$BO5,IF(BA$2=$BP$1,$BP5,IF(BA$2=$BQ$1,$BQ5,IF(BA$2=$BR$1,$BR5,IF(BA$2=$BS$1,$BS5,IF(BA$2=$BT$1,$BT5,IF(BA$2=$BU$1,$BU5,INDEX(Tiere!$BN$2:$BN$145,_xlfn.AGGREGATE(15,6,(ROW(Tiere!$BN$2:$BN$145)-1)/(--(SEARCH(BA$2,Tiere!$BN$2:$BN$145)&gt;0)),ROW()-1),1))))))))),"")</f>
        <v>Schafe, Ziegen</v>
      </c>
      <c r="BA6" s="2436"/>
      <c r="BB6" s="2472" t="str">
        <f>IFERROR(IF(OR(BC$2="ZURÜCK ZUR AUSWAHL",BC$2="",BC$2=0),$BR$1,IF(BC$2=$BO$1,$BO5,IF(BC$2=$BP$1,$BP5,IF(BC$2=$BQ$1,$BQ5,IF(BC$2=$BR$1,$BR5,IF(BC$2=$BS$1,$BS5,IF(BC$2=$BT$1,$BT5,IF(BC$2=$BU$1,$BU5,INDEX(Tiere!$BN$2:$BN$145,_xlfn.AGGREGATE(15,6,(ROW(Tiere!$BN$2:$BN$145)-1)/(--(SEARCH(BC$2,Tiere!$BN$2:$BN$145)&gt;0)),ROW()-1),1))))))))),"")</f>
        <v>Schafe, Ziegen</v>
      </c>
      <c r="BC6" s="2436"/>
      <c r="BD6" s="2472" t="str">
        <f>IFERROR(IF(OR(BE$2="ZURÜCK ZUR AUSWAHL",BE$2="",BE$2=0),$BR$1,IF(BE$2=$BO$1,$BO5,IF(BE$2=$BP$1,$BP5,IF(BE$2=$BQ$1,$BQ5,IF(BE$2=$BR$1,$BR5,IF(BE$2=$BS$1,$BS5,IF(BE$2=$BT$1,$BT5,IF(BE$2=$BU$1,$BU5,INDEX(Tiere!$BN$2:$BN$145,_xlfn.AGGREGATE(15,6,(ROW(Tiere!$BN$2:$BN$145)-1)/(--(SEARCH(BE$2,Tiere!$BN$2:$BN$145)&gt;0)),ROW()-1),1))))))))),"")</f>
        <v>Schafe, Ziegen</v>
      </c>
      <c r="BE6" s="2436"/>
      <c r="BF6" s="2472" t="str">
        <f>IFERROR(IF(OR(BG$2="ZURÜCK ZUR AUSWAHL",BG$2="",BG$2=0),$BR$1,IF(BG$2=$BO$1,$BO5,IF(BG$2=$BP$1,$BP5,IF(BG$2=$BQ$1,$BQ5,IF(BG$2=$BR$1,$BR5,IF(BG$2=$BS$1,$BS5,IF(BG$2=$BT$1,$BT5,IF(BG$2=$BU$1,$BU5,INDEX(Tiere!$BN$2:$BN$145,_xlfn.AGGREGATE(15,6,(ROW(Tiere!$BN$2:$BN$145)-1)/(--(SEARCH(BG$2,Tiere!$BN$2:$BN$145)&gt;0)),ROW()-1),1))))))))),"")</f>
        <v>Schafe, Ziegen</v>
      </c>
      <c r="BG6" s="2436"/>
      <c r="BH6" s="2472" t="str">
        <f>IFERROR(IF(OR(BI$2="ZURÜCK ZUR AUSWAHL",BI$2="",BI$2=0),$BR$1,IF(BI$2=$BO$1,$BO5,IF(BI$2=$BP$1,$BP5,IF(BI$2=$BQ$1,$BQ5,IF(BI$2=$BR$1,$BR5,IF(BI$2=$BS$1,$BS5,IF(BI$2=$BT$1,$BT5,IF(BI$2=$BU$1,$BU5,INDEX(Tiere!$BN$2:$BN$145,_xlfn.AGGREGATE(15,6,(ROW(Tiere!$BN$2:$BN$145)-1)/(--(SEARCH(BI$2,Tiere!$BN$2:$BN$145)&gt;0)),ROW()-1),1))))))))),"")</f>
        <v>Schafe, Ziegen</v>
      </c>
      <c r="BI6" s="2436"/>
      <c r="BJ6" s="2472" t="str">
        <f>IFERROR(IF(OR(BK$2="ZURÜCK ZUR AUSWAHL",BK$2="",BK$2=0),$BR$1,IF(BK$2=$BO$1,$BO5,IF(BK$2=$BP$1,$BP5,IF(BK$2=$BQ$1,$BQ5,IF(BK$2=$BR$1,$BR5,IF(BK$2=$BS$1,$BS5,IF(BK$2=$BT$1,$BT5,IF(BK$2=$BU$1,$BU5,INDEX(Tiere!$BN$2:$BN$145,_xlfn.AGGREGATE(15,6,(ROW(Tiere!$BN$2:$BN$145)-1)/(--(SEARCH(BK$2,Tiere!$BN$2:$BN$145)&gt;0)),ROW()-1),1))))))))),"")</f>
        <v>Schafe, Ziegen</v>
      </c>
      <c r="BK6" s="2436"/>
      <c r="BL6" s="2472" t="str">
        <f>IFERROR(IF(OR(BM$2="ZURÜCK ZUR AUSWAHL",BM$2="",BM$2=0),$BR$1,IF(BM$2=$BO$1,$BO5,IF(BM$2=$BP$1,$BP5,IF(BM$2=$BQ$1,$BQ5,IF(BM$2=$BR$1,$BR5,IF(BM$2=$BS$1,$BS5,IF(BM$2=$BT$1,$BT5,IF(BM$2=$BU$1,$BU5,INDEX(Tiere!$BN$2:$BN$145,_xlfn.AGGREGATE(15,6,(ROW(Tiere!$BN$2:$BN$145)-1)/(--(SEARCH(BM$2,Tiere!$BN$2:$BN$145)&gt;0)),ROW()-1),1))))))))),"")</f>
        <v>Schafe, Ziegen</v>
      </c>
      <c r="BM6" s="2436"/>
      <c r="BN6" s="2478" t="s">
        <v>971</v>
      </c>
      <c r="BO6" s="2518" t="s">
        <v>971</v>
      </c>
      <c r="BP6" s="2518" t="s">
        <v>1182</v>
      </c>
      <c r="BQ6" s="2518" t="s">
        <v>1238</v>
      </c>
      <c r="BR6" s="2518" t="s">
        <v>1264</v>
      </c>
      <c r="BS6" s="2518" t="s">
        <v>1257</v>
      </c>
      <c r="BT6" s="2518" t="s">
        <v>2267</v>
      </c>
      <c r="BU6" s="2518" t="s">
        <v>1288</v>
      </c>
      <c r="BX6" s="201"/>
    </row>
    <row r="7" spans="1:254" ht="22.5" customHeight="1" thickBot="1">
      <c r="A7" s="2501" t="str">
        <f t="shared" si="1"/>
        <v/>
      </c>
      <c r="B7" s="2710"/>
      <c r="C7" s="2711"/>
      <c r="D7" s="2711"/>
      <c r="E7" s="2711"/>
      <c r="F7" s="2711"/>
      <c r="G7" s="2711"/>
      <c r="H7" s="2712"/>
      <c r="I7" s="1174"/>
      <c r="J7" s="1175">
        <f>IFERROR(Tabelle1!AR7,0)</f>
        <v>0</v>
      </c>
      <c r="K7" s="1176"/>
      <c r="L7" s="1177"/>
      <c r="M7" s="1176"/>
      <c r="N7" s="1177"/>
      <c r="O7" s="1178">
        <f>IFERROR(Tabelle1!AX7,0)</f>
        <v>0</v>
      </c>
      <c r="P7" s="1178">
        <f>IFERROR(Tabelle1!BI7,0)</f>
        <v>0</v>
      </c>
      <c r="Q7" s="1178">
        <f>IFERROR(Tabelle1!BO7,0)</f>
        <v>0</v>
      </c>
      <c r="R7" s="1179">
        <f>IFERROR(Tabelle1!BB7,0)</f>
        <v>0</v>
      </c>
      <c r="S7" s="1179">
        <f>IFERROR(Tabelle1!AY7,0)</f>
        <v>0</v>
      </c>
      <c r="T7" s="1179">
        <f>IFERROR(Tabelle1!AZ7,0)</f>
        <v>0</v>
      </c>
      <c r="U7" s="1179">
        <f>IFERROR(Tabelle1!BA7,0)</f>
        <v>0</v>
      </c>
      <c r="V7" s="1179">
        <f>IFERROR(Tabelle1!CA7,0)</f>
        <v>0</v>
      </c>
      <c r="W7" s="1179">
        <f>IFERROR(Tabelle1!CG7,0)</f>
        <v>0</v>
      </c>
      <c r="X7" s="1179"/>
      <c r="Y7" s="535"/>
      <c r="Z7" s="189" t="s">
        <v>1411</v>
      </c>
      <c r="AA7" s="185"/>
      <c r="AD7"/>
      <c r="AF7" s="2445">
        <f>IF(AND(COUNTIF(Liste_Tiere[Tiere gesamt],$B10)=1,$B10&lt;&gt;"",$B10&lt;&gt;0),1,0)</f>
        <v>0</v>
      </c>
      <c r="AG7" s="2507" t="str">
        <f t="shared" si="0"/>
        <v/>
      </c>
      <c r="AH7" s="2504">
        <f>IF(AND($B10&lt;&gt;"",$B10&lt;&gt;"ZURÜCK ZUR AUSWAHL"),COUNTIF(TiereDropDown[B10],$B10),0)</f>
        <v>0</v>
      </c>
      <c r="AI7" s="183" t="s">
        <v>2487</v>
      </c>
      <c r="AJ7" s="2472" t="str">
        <f>IFERROR(IF(OR(AK$2="ZURÜCK ZUR AUSWAHL",AK$2="",AK$2=0),$BS$1,IF(AK$2=$BO$1,$BO6,IF(AK$2=$BP$1,$BP6,IF(AK$2=$BQ$1,$BQ6,IF(AK$2=$BR$1,$BR6,IF(AK$2=$BS$1,$BS6,IF(AK$2=$BT$1,$BT6,IF(AK$2=$BU$1,$BU6,INDEX(Tiere!$BN$2:$BN$145,_xlfn.AGGREGATE(15,6,(ROW(Tiere!$BN$2:$BN$145)-1)/(--(SEARCH(AK$2,Tiere!$BN$2:$BN$145)&gt;0)),ROW()-2),1))))))))),"")</f>
        <v>Pferde</v>
      </c>
      <c r="AK7" s="2503"/>
      <c r="AL7" s="2472" t="str">
        <f>IFERROR(IF(OR(AM$2="ZURÜCK ZUR AUSWAHL",AM$2="",AM$2=0),$BS$1,IF(AM$2=$BO$1,$BO6,IF(AM$2=$BP$1,$BP6,IF(AM$2=$BQ$1,$BQ6,IF(AM$2=$BR$1,$BR6,IF(AM$2=$BS$1,$BS6,IF(AM$2=$BT$1,$BT6,IF(AM$2=$BU$1,$BU6,INDEX(Tiere!$BN$2:$BN$145,_xlfn.AGGREGATE(15,6,(ROW(Tiere!$BN$2:$BN$145)-1)/(--(SEARCH(AM$2,Tiere!$BN$2:$BN$145)&gt;0)),ROW()-1),1))))))))),"")</f>
        <v>Pferde</v>
      </c>
      <c r="AM7" s="2438"/>
      <c r="AN7" s="2472" t="str">
        <f>IFERROR(IF(OR(AO$2="ZURÜCK ZUR AUSWAHL",AO$2="",AO$2=0),$BS$1,IF(AO$2=$BO$1,$BO6,IF(AO$2=$BP$1,$BP6,IF(AO$2=$BQ$1,$BQ6,IF(AO$2=$BR$1,$BR6,IF(AO$2=$BS$1,$BS6,IF(AO$2=$BT$1,$BT6,IF(AO$2=$BU$1,$BU6,INDEX(Tiere!$BN$2:$BN$145,_xlfn.AGGREGATE(15,6,(ROW(Tiere!$BN$2:$BN$145)-1)/(--(SEARCH(AO$2,Tiere!$BN$2:$BN$145)&gt;0)),ROW()-1),1))))))))),"")</f>
        <v>Pferde</v>
      </c>
      <c r="AO7" s="2438"/>
      <c r="AP7" s="2472" t="str">
        <f>IFERROR(IF(OR(AQ$2="ZURÜCK ZUR AUSWAHL",AQ$2="",AQ$2=0),$BS$1,IF(AQ$2=$BO$1,$BO6,IF(AQ$2=$BP$1,$BP6,IF(AQ$2=$BQ$1,$BQ6,IF(AQ$2=$BR$1,$BR6,IF(AQ$2=$BS$1,$BS6,IF(AQ$2=$BT$1,$BT6,IF(AQ$2=$BU$1,$BU6,INDEX(Tiere!$BN$2:$BN$145,_xlfn.AGGREGATE(15,6,(ROW(Tiere!$BN$2:$BN$145)-1)/(--(SEARCH(AQ$2,Tiere!$BN$2:$BN$145)&gt;0)),ROW()-1),1))))))))),"")</f>
        <v>Pferde</v>
      </c>
      <c r="AQ7" s="2438"/>
      <c r="AR7" s="2472" t="str">
        <f>IFERROR(IF(OR(AS$2="ZURÜCK ZUR AUSWAHL",AS$2="",AS$2=0),$BS$1,IF(AS$2=$BO$1,$BO6,IF(AS$2=$BP$1,$BP6,IF(AS$2=$BQ$1,$BQ6,IF(AS$2=$BR$1,$BR6,IF(AS$2=$BS$1,$BS6,IF(AS$2=$BT$1,$BT6,IF(AS$2=$BU$1,$BU6,INDEX(Tiere!$BN$2:$BN$145,_xlfn.AGGREGATE(15,6,(ROW(Tiere!$BN$2:$BN$145)-1)/(--(SEARCH(AS$2,Tiere!$BN$2:$BN$145)&gt;0)),ROW()-1),1))))))))),"")</f>
        <v>Pferde</v>
      </c>
      <c r="AS7" s="2438"/>
      <c r="AT7" s="2472" t="str">
        <f>IFERROR(IF(OR(AU$2="ZURÜCK ZUR AUSWAHL",AU$2="",AU$2=0),$BS$1,IF(AU$2=$BO$1,$BO6,IF(AU$2=$BP$1,$BP6,IF(AU$2=$BQ$1,$BQ6,IF(AU$2=$BR$1,$BR6,IF(AU$2=$BS$1,$BS6,IF(AU$2=$BT$1,$BT6,IF(AU$2=$BU$1,$BU6,INDEX(Tiere!$BN$2:$BN$145,_xlfn.AGGREGATE(15,6,(ROW(Tiere!$BN$2:$BN$145)-1)/(--(SEARCH(AU$2,Tiere!$BN$2:$BN$145)&gt;0)),ROW()-1),1))))))))),"")</f>
        <v>Pferde</v>
      </c>
      <c r="AU7" s="2438"/>
      <c r="AV7" s="2472" t="str">
        <f>IFERROR(IF(OR(AW$2="ZURÜCK ZUR AUSWAHL",AW$2="",AW$2=0),$BS$1,IF(AW$2=$BO$1,$BO6,IF(AW$2=$BP$1,$BP6,IF(AW$2=$BQ$1,$BQ6,IF(AW$2=$BR$1,$BR6,IF(AW$2=$BS$1,$BS6,IF(AW$2=$BT$1,$BT6,IF(AW$2=$BU$1,$BU6,INDEX(Tiere!$BN$2:$BN$145,_xlfn.AGGREGATE(15,6,(ROW(Tiere!$BN$2:$BN$145)-1)/(--(SEARCH(AW$2,Tiere!$BN$2:$BN$145)&gt;0)),ROW()-1),1))))))))),"")</f>
        <v>Pferde</v>
      </c>
      <c r="AW7" s="2438"/>
      <c r="AX7" s="2472" t="str">
        <f>IFERROR(IF(OR(AY$2="ZURÜCK ZUR AUSWAHL",AY$2="",AY$2=0),$BS$1,IF(AY$2=$BO$1,$BO6,IF(AY$2=$BP$1,$BP6,IF(AY$2=$BQ$1,$BQ6,IF(AY$2=$BR$1,$BR6,IF(AY$2=$BS$1,$BS6,IF(AY$2=$BT$1,$BT6,IF(AY$2=$BU$1,$BU6,INDEX(Tiere!$BN$2:$BN$145,_xlfn.AGGREGATE(15,6,(ROW(Tiere!$BN$2:$BN$145)-1)/(--(SEARCH(AY$2,Tiere!$BN$2:$BN$145)&gt;0)),ROW()-1),1))))))))),"")</f>
        <v>Pferde</v>
      </c>
      <c r="AY7" s="2438"/>
      <c r="AZ7" s="2472" t="str">
        <f>IFERROR(IF(OR(BA$2="ZURÜCK ZUR AUSWAHL",BA$2="",BA$2=0),$BS$1,IF(BA$2=$BO$1,$BO6,IF(BA$2=$BP$1,$BP6,IF(BA$2=$BQ$1,$BQ6,IF(BA$2=$BR$1,$BR6,IF(BA$2=$BS$1,$BS6,IF(BA$2=$BT$1,$BT6,IF(BA$2=$BU$1,$BU6,INDEX(Tiere!$BN$2:$BN$145,_xlfn.AGGREGATE(15,6,(ROW(Tiere!$BN$2:$BN$145)-1)/(--(SEARCH(BA$2,Tiere!$BN$2:$BN$145)&gt;0)),ROW()-1),1))))))))),"")</f>
        <v>Pferde</v>
      </c>
      <c r="BA7" s="2438"/>
      <c r="BB7" s="2472" t="str">
        <f>IFERROR(IF(OR(BC$2="ZURÜCK ZUR AUSWAHL",BC$2="",BC$2=0),$BS$1,IF(BC$2=$BO$1,$BO6,IF(BC$2=$BP$1,$BP6,IF(BC$2=$BQ$1,$BQ6,IF(BC$2=$BR$1,$BR6,IF(BC$2=$BS$1,$BS6,IF(BC$2=$BT$1,$BT6,IF(BC$2=$BU$1,$BU6,INDEX(Tiere!$BN$2:$BN$145,_xlfn.AGGREGATE(15,6,(ROW(Tiere!$BN$2:$BN$145)-1)/(--(SEARCH(BC$2,Tiere!$BN$2:$BN$145)&gt;0)),ROW()-1),1))))))))),"")</f>
        <v>Pferde</v>
      </c>
      <c r="BC7" s="2438"/>
      <c r="BD7" s="2472" t="str">
        <f>IFERROR(IF(OR(BE$2="ZURÜCK ZUR AUSWAHL",BE$2="",BE$2=0),$BS$1,IF(BE$2=$BO$1,$BO6,IF(BE$2=$BP$1,$BP6,IF(BE$2=$BQ$1,$BQ6,IF(BE$2=$BR$1,$BR6,IF(BE$2=$BS$1,$BS6,IF(BE$2=$BT$1,$BT6,IF(BE$2=$BU$1,$BU6,INDEX(Tiere!$BN$2:$BN$145,_xlfn.AGGREGATE(15,6,(ROW(Tiere!$BN$2:$BN$145)-1)/(--(SEARCH(BE$2,Tiere!$BN$2:$BN$145)&gt;0)),ROW()-1),1))))))))),"")</f>
        <v>Pferde</v>
      </c>
      <c r="BE7" s="2438"/>
      <c r="BF7" s="2472" t="str">
        <f>IFERROR(IF(OR(BG$2="ZURÜCK ZUR AUSWAHL",BG$2="",BG$2=0),$BS$1,IF(BG$2=$BO$1,$BO6,IF(BG$2=$BP$1,$BP6,IF(BG$2=$BQ$1,$BQ6,IF(BG$2=$BR$1,$BR6,IF(BG$2=$BS$1,$BS6,IF(BG$2=$BT$1,$BT6,IF(BG$2=$BU$1,$BU6,INDEX(Tiere!$BN$2:$BN$145,_xlfn.AGGREGATE(15,6,(ROW(Tiere!$BN$2:$BN$145)-1)/(--(SEARCH(BG$2,Tiere!$BN$2:$BN$145)&gt;0)),ROW()-1),1))))))))),"")</f>
        <v>Pferde</v>
      </c>
      <c r="BG7" s="2438"/>
      <c r="BH7" s="2472" t="str">
        <f>IFERROR(IF(OR(BI$2="ZURÜCK ZUR AUSWAHL",BI$2="",BI$2=0),$BS$1,IF(BI$2=$BO$1,$BO6,IF(BI$2=$BP$1,$BP6,IF(BI$2=$BQ$1,$BQ6,IF(BI$2=$BR$1,$BR6,IF(BI$2=$BS$1,$BS6,IF(BI$2=$BT$1,$BT6,IF(BI$2=$BU$1,$BU6,INDEX(Tiere!$BN$2:$BN$145,_xlfn.AGGREGATE(15,6,(ROW(Tiere!$BN$2:$BN$145)-1)/(--(SEARCH(BI$2,Tiere!$BN$2:$BN$145)&gt;0)),ROW()-1),1))))))))),"")</f>
        <v>Pferde</v>
      </c>
      <c r="BI7" s="2438"/>
      <c r="BJ7" s="2472" t="str">
        <f>IFERROR(IF(OR(BK$2="ZURÜCK ZUR AUSWAHL",BK$2="",BK$2=0),$BS$1,IF(BK$2=$BO$1,$BO6,IF(BK$2=$BP$1,$BP6,IF(BK$2=$BQ$1,$BQ6,IF(BK$2=$BR$1,$BR6,IF(BK$2=$BS$1,$BS6,IF(BK$2=$BT$1,$BT6,IF(BK$2=$BU$1,$BU6,INDEX(Tiere!$BN$2:$BN$145,_xlfn.AGGREGATE(15,6,(ROW(Tiere!$BN$2:$BN$145)-1)/(--(SEARCH(BK$2,Tiere!$BN$2:$BN$145)&gt;0)),ROW()-1),1))))))))),"")</f>
        <v>Pferde</v>
      </c>
      <c r="BK7" s="2438"/>
      <c r="BL7" s="2472" t="str">
        <f>IFERROR(IF(OR(BM$2="ZURÜCK ZUR AUSWAHL",BM$2="",BM$2=0),$BS$1,IF(BM$2=$BO$1,$BO6,IF(BM$2=$BP$1,$BP6,IF(BM$2=$BQ$1,$BQ6,IF(BM$2=$BR$1,$BR6,IF(BM$2=$BS$1,$BS6,IF(BM$2=$BT$1,$BT6,IF(BM$2=$BU$1,$BU6,INDEX(Tiere!$BN$2:$BN$145,_xlfn.AGGREGATE(15,6,(ROW(Tiere!$BN$2:$BN$145)-1)/(--(SEARCH(BM$2,Tiere!$BN$2:$BN$145)&gt;0)),ROW()-1),1))))))))),"")</f>
        <v>Pferde</v>
      </c>
      <c r="BM7" s="2438"/>
      <c r="BN7" s="2478" t="s">
        <v>973</v>
      </c>
      <c r="BO7" s="2518" t="s">
        <v>973</v>
      </c>
      <c r="BP7" s="2518" t="s">
        <v>1184</v>
      </c>
      <c r="BQ7" s="2518" t="s">
        <v>1240</v>
      </c>
      <c r="BR7" s="2518" t="s">
        <v>1265</v>
      </c>
      <c r="BS7" s="2518" t="s">
        <v>1258</v>
      </c>
      <c r="BT7" s="2518" t="s">
        <v>1272</v>
      </c>
      <c r="BU7" s="2518" t="s">
        <v>1289</v>
      </c>
      <c r="BX7" s="201"/>
    </row>
    <row r="8" spans="1:254" ht="22.5" customHeight="1" thickBot="1">
      <c r="A8" s="2501" t="str">
        <f t="shared" si="1"/>
        <v/>
      </c>
      <c r="B8" s="2710"/>
      <c r="C8" s="2711"/>
      <c r="D8" s="2711"/>
      <c r="E8" s="2711"/>
      <c r="F8" s="2711"/>
      <c r="G8" s="2711"/>
      <c r="H8" s="2712"/>
      <c r="I8" s="1174"/>
      <c r="J8" s="1175">
        <f>IFERROR(Tabelle1!AR8,0)</f>
        <v>0</v>
      </c>
      <c r="K8" s="1176"/>
      <c r="L8" s="1177"/>
      <c r="M8" s="1176"/>
      <c r="N8" s="1177"/>
      <c r="O8" s="1178">
        <f>IFERROR(Tabelle1!AX8,0)</f>
        <v>0</v>
      </c>
      <c r="P8" s="1178">
        <f>IFERROR(Tabelle1!BI8,0)</f>
        <v>0</v>
      </c>
      <c r="Q8" s="1178">
        <f>IFERROR(Tabelle1!BO8,0)</f>
        <v>0</v>
      </c>
      <c r="R8" s="1179">
        <f>IFERROR(Tabelle1!BB8,0)</f>
        <v>0</v>
      </c>
      <c r="S8" s="1179">
        <f>IFERROR(Tabelle1!AY8,0)</f>
        <v>0</v>
      </c>
      <c r="T8" s="1179">
        <f>IFERROR(Tabelle1!AZ8,0)</f>
        <v>0</v>
      </c>
      <c r="U8" s="1179">
        <f>IFERROR(Tabelle1!BA8,0)</f>
        <v>0</v>
      </c>
      <c r="V8" s="1179">
        <f>IFERROR(Tabelle1!CA8,0)</f>
        <v>0</v>
      </c>
      <c r="W8" s="1179">
        <f>IFERROR(Tabelle1!CG8,0)</f>
        <v>0</v>
      </c>
      <c r="X8" s="1179"/>
      <c r="Y8" s="535"/>
      <c r="Z8" s="187" t="s">
        <v>1412</v>
      </c>
      <c r="AB8" s="2506"/>
      <c r="AD8"/>
      <c r="AF8" s="2445">
        <f>IF(AND(COUNTIF(Liste_Tiere[Tiere gesamt],$B11)=1,$B11&lt;&gt;"",$B11&lt;&gt;0),1,0)</f>
        <v>0</v>
      </c>
      <c r="AG8" s="2507" t="str">
        <f t="shared" si="0"/>
        <v/>
      </c>
      <c r="AH8" s="2504">
        <f>IF(AND($B11&lt;&gt;"",$B11&lt;&gt;"ZURÜCK ZUR AUSWAHL"),COUNTIF(TiereDropDown[B11],$B11),0)</f>
        <v>0</v>
      </c>
      <c r="AI8" s="183" t="s">
        <v>2488</v>
      </c>
      <c r="AJ8" s="2472" t="str">
        <f>IFERROR(IF(OR(AK$2="ZURÜCK ZUR AUSWAHL",AK$2="",AK$2=0),$BT$1,IF(AK$2=$BO$1,$BO7,IF(AK$2=$BP$1,$BP7,IF(AK$2=$BQ$1,$BQ7,IF(AK$2=$BR$1,$BR7,IF(AK$2=$BS$1,$BS7,IF(AK$2=$BT$1,$BT7,IF(AK$2=$BU$1,$BU7,INDEX(Tiere!$BN$2:$BN$145,_xlfn.AGGREGATE(15,6,(ROW(Tiere!$BN$2:$BN$145)-1)/(--(SEARCH(AK$2,Tiere!$BN$2:$BN$145)&gt;0)),ROW()-2),1))))))))),"")</f>
        <v>Weitere Tierarten</v>
      </c>
      <c r="AK8" s="2503"/>
      <c r="AL8" s="2472" t="str">
        <f>IFERROR(IF(OR(AM$2="ZURÜCK ZUR AUSWAHL",AM$2="",AM$2=0),$BT$1,IF(AM$2=$BO$1,$BO7,IF(AM$2=$BP$1,$BP7,IF(AM$2=$BQ$1,$BQ7,IF(AM$2=$BR$1,$BR7,IF(AM$2=$BS$1,$BS7,IF(AM$2=$BT$1,$BT7,IF(AM$2=$BU$1,$BU7,INDEX(Tiere!$BN$2:$BN$145,_xlfn.AGGREGATE(15,6,(ROW(Tiere!$BN$2:$BN$145)-1)/(--(SEARCH(AM$2,Tiere!$BN$2:$BN$145)&gt;0)),ROW()-1),1))))))))),"")</f>
        <v>Weitere Tierarten</v>
      </c>
      <c r="AM8" s="2436"/>
      <c r="AN8" s="2472" t="str">
        <f>IFERROR(IF(OR(AO$2="ZURÜCK ZUR AUSWAHL",AO$2="",AO$2=0),$BT$1,IF(AO$2=$BO$1,$BO7,IF(AO$2=$BP$1,$BP7,IF(AO$2=$BQ$1,$BQ7,IF(AO$2=$BR$1,$BR7,IF(AO$2=$BS$1,$BS7,IF(AO$2=$BT$1,$BT7,IF(AO$2=$BU$1,$BU7,INDEX(Tiere!$BN$2:$BN$145,_xlfn.AGGREGATE(15,6,(ROW(Tiere!$BN$2:$BN$145)-1)/(--(SEARCH(AO$2,Tiere!$BN$2:$BN$145)&gt;0)),ROW()-1),1))))))))),"")</f>
        <v>Weitere Tierarten</v>
      </c>
      <c r="AO8" s="2436"/>
      <c r="AP8" s="2472" t="str">
        <f>IFERROR(IF(OR(AQ$2="ZURÜCK ZUR AUSWAHL",AQ$2="",AQ$2=0),$BT$1,IF(AQ$2=$BO$1,$BO7,IF(AQ$2=$BP$1,$BP7,IF(AQ$2=$BQ$1,$BQ7,IF(AQ$2=$BR$1,$BR7,IF(AQ$2=$BS$1,$BS7,IF(AQ$2=$BT$1,$BT7,IF(AQ$2=$BU$1,$BU7,INDEX(Tiere!$BN$2:$BN$145,_xlfn.AGGREGATE(15,6,(ROW(Tiere!$BN$2:$BN$145)-1)/(--(SEARCH(AQ$2,Tiere!$BN$2:$BN$145)&gt;0)),ROW()-1),1))))))))),"")</f>
        <v>Weitere Tierarten</v>
      </c>
      <c r="AQ8" s="2436"/>
      <c r="AR8" s="2472" t="str">
        <f>IFERROR(IF(OR(AS$2="ZURÜCK ZUR AUSWAHL",AS$2="",AS$2=0),$BT$1,IF(AS$2=$BO$1,$BO7,IF(AS$2=$BP$1,$BP7,IF(AS$2=$BQ$1,$BQ7,IF(AS$2=$BR$1,$BR7,IF(AS$2=$BS$1,$BS7,IF(AS$2=$BT$1,$BT7,IF(AS$2=$BU$1,$BU7,INDEX(Tiere!$BN$2:$BN$145,_xlfn.AGGREGATE(15,6,(ROW(Tiere!$BN$2:$BN$145)-1)/(--(SEARCH(AS$2,Tiere!$BN$2:$BN$145)&gt;0)),ROW()-1),1))))))))),"")</f>
        <v>Weitere Tierarten</v>
      </c>
      <c r="AS8" s="2436"/>
      <c r="AT8" s="2472" t="str">
        <f>IFERROR(IF(OR(AU$2="ZURÜCK ZUR AUSWAHL",AU$2="",AU$2=0),$BT$1,IF(AU$2=$BO$1,$BO7,IF(AU$2=$BP$1,$BP7,IF(AU$2=$BQ$1,$BQ7,IF(AU$2=$BR$1,$BR7,IF(AU$2=$BS$1,$BS7,IF(AU$2=$BT$1,$BT7,IF(AU$2=$BU$1,$BU7,INDEX(Tiere!$BN$2:$BN$145,_xlfn.AGGREGATE(15,6,(ROW(Tiere!$BN$2:$BN$145)-1)/(--(SEARCH(AU$2,Tiere!$BN$2:$BN$145)&gt;0)),ROW()-1),1))))))))),"")</f>
        <v>Weitere Tierarten</v>
      </c>
      <c r="AU8" s="2436"/>
      <c r="AV8" s="2472" t="str">
        <f>IFERROR(IF(OR(AW$2="ZURÜCK ZUR AUSWAHL",AW$2="",AW$2=0),$BT$1,IF(AW$2=$BO$1,$BO7,IF(AW$2=$BP$1,$BP7,IF(AW$2=$BQ$1,$BQ7,IF(AW$2=$BR$1,$BR7,IF(AW$2=$BS$1,$BS7,IF(AW$2=$BT$1,$BT7,IF(AW$2=$BU$1,$BU7,INDEX(Tiere!$BN$2:$BN$145,_xlfn.AGGREGATE(15,6,(ROW(Tiere!$BN$2:$BN$145)-1)/(--(SEARCH(AW$2,Tiere!$BN$2:$BN$145)&gt;0)),ROW()-1),1))))))))),"")</f>
        <v>Weitere Tierarten</v>
      </c>
      <c r="AW8" s="2436"/>
      <c r="AX8" s="2472" t="str">
        <f>IFERROR(IF(OR(AY$2="ZURÜCK ZUR AUSWAHL",AY$2="",AY$2=0),$BT$1,IF(AY$2=$BO$1,$BO7,IF(AY$2=$BP$1,$BP7,IF(AY$2=$BQ$1,$BQ7,IF(AY$2=$BR$1,$BR7,IF(AY$2=$BS$1,$BS7,IF(AY$2=$BT$1,$BT7,IF(AY$2=$BU$1,$BU7,INDEX(Tiere!$BN$2:$BN$145,_xlfn.AGGREGATE(15,6,(ROW(Tiere!$BN$2:$BN$145)-1)/(--(SEARCH(AY$2,Tiere!$BN$2:$BN$145)&gt;0)),ROW()-1),1))))))))),"")</f>
        <v>Weitere Tierarten</v>
      </c>
      <c r="AY8" s="2436"/>
      <c r="AZ8" s="2472" t="str">
        <f>IFERROR(IF(OR(BA$2="ZURÜCK ZUR AUSWAHL",BA$2="",BA$2=0),$BT$1,IF(BA$2=$BO$1,$BO7,IF(BA$2=$BP$1,$BP7,IF(BA$2=$BQ$1,$BQ7,IF(BA$2=$BR$1,$BR7,IF(BA$2=$BS$1,$BS7,IF(BA$2=$BT$1,$BT7,IF(BA$2=$BU$1,$BU7,INDEX(Tiere!$BN$2:$BN$145,_xlfn.AGGREGATE(15,6,(ROW(Tiere!$BN$2:$BN$145)-1)/(--(SEARCH(BA$2,Tiere!$BN$2:$BN$145)&gt;0)),ROW()-1),1))))))))),"")</f>
        <v>Weitere Tierarten</v>
      </c>
      <c r="BA8" s="2436"/>
      <c r="BB8" s="2472" t="str">
        <f>IFERROR(IF(OR(BC$2="ZURÜCK ZUR AUSWAHL",BC$2="",BC$2=0),$BT$1,IF(BC$2=$BO$1,$BO7,IF(BC$2=$BP$1,$BP7,IF(BC$2=$BQ$1,$BQ7,IF(BC$2=$BR$1,$BR7,IF(BC$2=$BS$1,$BS7,IF(BC$2=$BT$1,$BT7,IF(BC$2=$BU$1,$BU7,INDEX(Tiere!$BN$2:$BN$145,_xlfn.AGGREGATE(15,6,(ROW(Tiere!$BN$2:$BN$145)-1)/(--(SEARCH(BC$2,Tiere!$BN$2:$BN$145)&gt;0)),ROW()-1),1))))))))),"")</f>
        <v>Weitere Tierarten</v>
      </c>
      <c r="BC8" s="2436"/>
      <c r="BD8" s="2472" t="str">
        <f>IFERROR(IF(OR(BE$2="ZURÜCK ZUR AUSWAHL",BE$2="",BE$2=0),$BT$1,IF(BE$2=$BO$1,$BO7,IF(BE$2=$BP$1,$BP7,IF(BE$2=$BQ$1,$BQ7,IF(BE$2=$BR$1,$BR7,IF(BE$2=$BS$1,$BS7,IF(BE$2=$BT$1,$BT7,IF(BE$2=$BU$1,$BU7,INDEX(Tiere!$BN$2:$BN$145,_xlfn.AGGREGATE(15,6,(ROW(Tiere!$BN$2:$BN$145)-1)/(--(SEARCH(BE$2,Tiere!$BN$2:$BN$145)&gt;0)),ROW()-1),1))))))))),"")</f>
        <v>Weitere Tierarten</v>
      </c>
      <c r="BE8" s="2436"/>
      <c r="BF8" s="2472" t="str">
        <f>IFERROR(IF(OR(BG$2="ZURÜCK ZUR AUSWAHL",BG$2="",BG$2=0),$BT$1,IF(BG$2=$BO$1,$BO7,IF(BG$2=$BP$1,$BP7,IF(BG$2=$BQ$1,$BQ7,IF(BG$2=$BR$1,$BR7,IF(BG$2=$BS$1,$BS7,IF(BG$2=$BT$1,$BT7,IF(BG$2=$BU$1,$BU7,INDEX(Tiere!$BN$2:$BN$145,_xlfn.AGGREGATE(15,6,(ROW(Tiere!$BN$2:$BN$145)-1)/(--(SEARCH(BG$2,Tiere!$BN$2:$BN$145)&gt;0)),ROW()-1),1))))))))),"")</f>
        <v>Weitere Tierarten</v>
      </c>
      <c r="BG8" s="2436"/>
      <c r="BH8" s="2472" t="str">
        <f>IFERROR(IF(OR(BI$2="ZURÜCK ZUR AUSWAHL",BI$2="",BI$2=0),$BT$1,IF(BI$2=$BO$1,$BO7,IF(BI$2=$BP$1,$BP7,IF(BI$2=$BQ$1,$BQ7,IF(BI$2=$BR$1,$BR7,IF(BI$2=$BS$1,$BS7,IF(BI$2=$BT$1,$BT7,IF(BI$2=$BU$1,$BU7,INDEX(Tiere!$BN$2:$BN$145,_xlfn.AGGREGATE(15,6,(ROW(Tiere!$BN$2:$BN$145)-1)/(--(SEARCH(BI$2,Tiere!$BN$2:$BN$145)&gt;0)),ROW()-1),1))))))))),"")</f>
        <v>Weitere Tierarten</v>
      </c>
      <c r="BI8" s="2436"/>
      <c r="BJ8" s="2472" t="str">
        <f>IFERROR(IF(OR(BK$2="ZURÜCK ZUR AUSWAHL",BK$2="",BK$2=0),$BT$1,IF(BK$2=$BO$1,$BO7,IF(BK$2=$BP$1,$BP7,IF(BK$2=$BQ$1,$BQ7,IF(BK$2=$BR$1,$BR7,IF(BK$2=$BS$1,$BS7,IF(BK$2=$BT$1,$BT7,IF(BK$2=$BU$1,$BU7,INDEX(Tiere!$BN$2:$BN$145,_xlfn.AGGREGATE(15,6,(ROW(Tiere!$BN$2:$BN$145)-1)/(--(SEARCH(BK$2,Tiere!$BN$2:$BN$145)&gt;0)),ROW()-1),1))))))))),"")</f>
        <v>Weitere Tierarten</v>
      </c>
      <c r="BK8" s="2436"/>
      <c r="BL8" s="2472" t="str">
        <f>IFERROR(IF(OR(BM$2="ZURÜCK ZUR AUSWAHL",BM$2="",BM$2=0),$BT$1,IF(BM$2=$BO$1,$BO7,IF(BM$2=$BP$1,$BP7,IF(BM$2=$BQ$1,$BQ7,IF(BM$2=$BR$1,$BR7,IF(BM$2=$BS$1,$BS7,IF(BM$2=$BT$1,$BT7,IF(BM$2=$BU$1,$BU7,INDEX(Tiere!$BN$2:$BN$145,_xlfn.AGGREGATE(15,6,(ROW(Tiere!$BN$2:$BN$145)-1)/(--(SEARCH(BM$2,Tiere!$BN$2:$BN$145)&gt;0)),ROW()-1),1))))))))),"")</f>
        <v>Weitere Tierarten</v>
      </c>
      <c r="BM8" s="2436"/>
      <c r="BN8" s="2478" t="s">
        <v>975</v>
      </c>
      <c r="BO8" s="2518" t="s">
        <v>975</v>
      </c>
      <c r="BP8" s="2518" t="s">
        <v>1186</v>
      </c>
      <c r="BQ8" s="2518" t="s">
        <v>1243</v>
      </c>
      <c r="BR8" s="2518" t="s">
        <v>1266</v>
      </c>
      <c r="BS8" s="2518" t="s">
        <v>1260</v>
      </c>
      <c r="BT8" s="2518" t="s">
        <v>1273</v>
      </c>
      <c r="BU8" s="2518" t="s">
        <v>1290</v>
      </c>
      <c r="BX8" s="201"/>
    </row>
    <row r="9" spans="1:254" ht="22.5" customHeight="1" thickBot="1">
      <c r="A9" s="2501" t="str">
        <f t="shared" si="1"/>
        <v/>
      </c>
      <c r="B9" s="2710"/>
      <c r="C9" s="2711"/>
      <c r="D9" s="2711"/>
      <c r="E9" s="2711"/>
      <c r="F9" s="2711"/>
      <c r="G9" s="2711"/>
      <c r="H9" s="2712"/>
      <c r="I9" s="1174"/>
      <c r="J9" s="1175">
        <f>IFERROR(Tabelle1!AR9,0)</f>
        <v>0</v>
      </c>
      <c r="K9" s="1176"/>
      <c r="L9" s="1177"/>
      <c r="M9" s="1176"/>
      <c r="N9" s="1177"/>
      <c r="O9" s="1178">
        <f>IFERROR(Tabelle1!AX9,0)</f>
        <v>0</v>
      </c>
      <c r="P9" s="1178">
        <f>IFERROR(Tabelle1!BI9,0)</f>
        <v>0</v>
      </c>
      <c r="Q9" s="1178">
        <f>IFERROR(Tabelle1!BO9,0)</f>
        <v>0</v>
      </c>
      <c r="R9" s="1179">
        <f>IFERROR(Tabelle1!BB9,0)</f>
        <v>0</v>
      </c>
      <c r="S9" s="1179">
        <f>IFERROR(Tabelle1!AY9,0)</f>
        <v>0</v>
      </c>
      <c r="T9" s="1179">
        <f>IFERROR(Tabelle1!AZ9,0)</f>
        <v>0</v>
      </c>
      <c r="U9" s="1179">
        <f>IFERROR(Tabelle1!BA9,0)</f>
        <v>0</v>
      </c>
      <c r="V9" s="1179">
        <f>IFERROR(Tabelle1!CA9,0)</f>
        <v>0</v>
      </c>
      <c r="W9" s="1179">
        <f>IFERROR(Tabelle1!CG9,0)</f>
        <v>0</v>
      </c>
      <c r="X9" s="1179"/>
      <c r="Y9" s="535"/>
      <c r="Z9" s="186" t="s">
        <v>1413</v>
      </c>
      <c r="AB9" s="2506"/>
      <c r="AD9"/>
      <c r="AF9" s="2445">
        <f>IF(AND(COUNTIF(Liste_Tiere[Tiere gesamt],$B12)=1,$B12&lt;&gt;"",$B12&lt;&gt;0),1,0)</f>
        <v>0</v>
      </c>
      <c r="AG9" s="2507" t="str">
        <f t="shared" si="0"/>
        <v/>
      </c>
      <c r="AH9" s="2504">
        <f>IF(AND($B12&lt;&gt;"",$B12&lt;&gt;"ZURÜCK ZUR AUSWAHL"),COUNTIF(TiereDropDown[B12],$B12),0)</f>
        <v>0</v>
      </c>
      <c r="AI9" s="183" t="s">
        <v>2489</v>
      </c>
      <c r="AJ9" s="2472" t="str">
        <f>IFERROR(IF(OR(AK$2="ZURÜCK ZUR AUSWAHL",AK$2="",AK$2=0),$BU$1,IF(AK$2=$BO$1,$BO8,IF(AK$2=$BP$1,$BP8,IF(AK$2=$BQ$1,$BQ8,IF(AK$2=$BR$1,$BR8,IF(AK$2=$BS$1,$BS8,IF(AK$2=$BT$1,$BT8,IF(AK$2=$BU$1,$BU8,INDEX(Tiere!$BN$2:$BN$145,_xlfn.AGGREGATE(15,6,(ROW(Tiere!$BN$2:$BN$145)-1)/(--(SEARCH(AK$2,Tiere!$BN$2:$BN$145)&gt;0)),ROW()-2),1))))))))),"")</f>
        <v>Zwergrinder</v>
      </c>
      <c r="AK9" s="2503"/>
      <c r="AL9" s="2472" t="str">
        <f>IFERROR(IF(OR(AM$2="ZURÜCK ZUR AUSWAHL",AM$2="",AM$2=0),$BU$1,IF(AM$2=$BO$1,$BO8,IF(AM$2=$BP$1,$BP8,IF(AM$2=$BQ$1,$BQ8,IF(AM$2=$BR$1,$BR8,IF(AM$2=$BS$1,$BS8,IF(AM$2=$BT$1,$BT8,IF(AM$2=$BU$1,$BU8,INDEX(Tiere!$BN$2:$BN$145,_xlfn.AGGREGATE(15,6,(ROW(Tiere!$BN$2:$BN$145)-1)/(--(SEARCH(AM$2,Tiere!$BN$2:$BN$145)&gt;0)),ROW()-1),1))))))))),"")</f>
        <v>Zwergrinder</v>
      </c>
      <c r="AM9" s="2438"/>
      <c r="AN9" s="2472" t="str">
        <f>IFERROR(IF(OR(AO$2="ZURÜCK ZUR AUSWAHL",AO$2="",AO$2=0),$BU$1,IF(AO$2=$BO$1,$BO8,IF(AO$2=$BP$1,$BP8,IF(AO$2=$BQ$1,$BQ8,IF(AO$2=$BR$1,$BR8,IF(AO$2=$BS$1,$BS8,IF(AO$2=$BT$1,$BT8,IF(AO$2=$BU$1,$BU8,INDEX(Tiere!$BN$2:$BN$145,_xlfn.AGGREGATE(15,6,(ROW(Tiere!$BN$2:$BN$145)-1)/(--(SEARCH(AO$2,Tiere!$BN$2:$BN$145)&gt;0)),ROW()-1),1))))))))),"")</f>
        <v>Zwergrinder</v>
      </c>
      <c r="AO9" s="2438"/>
      <c r="AP9" s="2472" t="str">
        <f>IFERROR(IF(OR(AQ$2="ZURÜCK ZUR AUSWAHL",AQ$2="",AQ$2=0),$BU$1,IF(AQ$2=$BO$1,$BO8,IF(AQ$2=$BP$1,$BP8,IF(AQ$2=$BQ$1,$BQ8,IF(AQ$2=$BR$1,$BR8,IF(AQ$2=$BS$1,$BS8,IF(AQ$2=$BT$1,$BT8,IF(AQ$2=$BU$1,$BU8,INDEX(Tiere!$BN$2:$BN$145,_xlfn.AGGREGATE(15,6,(ROW(Tiere!$BN$2:$BN$145)-1)/(--(SEARCH(AQ$2,Tiere!$BN$2:$BN$145)&gt;0)),ROW()-1),1))))))))),"")</f>
        <v>Zwergrinder</v>
      </c>
      <c r="AQ9" s="2438"/>
      <c r="AR9" s="2472" t="str">
        <f>IFERROR(IF(OR(AS$2="ZURÜCK ZUR AUSWAHL",AS$2="",AS$2=0),$BU$1,IF(AS$2=$BO$1,$BO8,IF(AS$2=$BP$1,$BP8,IF(AS$2=$BQ$1,$BQ8,IF(AS$2=$BR$1,$BR8,IF(AS$2=$BS$1,$BS8,IF(AS$2=$BT$1,$BT8,IF(AS$2=$BU$1,$BU8,INDEX(Tiere!$BN$2:$BN$145,_xlfn.AGGREGATE(15,6,(ROW(Tiere!$BN$2:$BN$145)-1)/(--(SEARCH(AS$2,Tiere!$BN$2:$BN$145)&gt;0)),ROW()-1),1))))))))),"")</f>
        <v>Zwergrinder</v>
      </c>
      <c r="AS9" s="2438"/>
      <c r="AT9" s="2472" t="str">
        <f>IFERROR(IF(OR(AU$2="ZURÜCK ZUR AUSWAHL",AU$2="",AU$2=0),$BU$1,IF(AU$2=$BO$1,$BO8,IF(AU$2=$BP$1,$BP8,IF(AU$2=$BQ$1,$BQ8,IF(AU$2=$BR$1,$BR8,IF(AU$2=$BS$1,$BS8,IF(AU$2=$BT$1,$BT8,IF(AU$2=$BU$1,$BU8,INDEX(Tiere!$BN$2:$BN$145,_xlfn.AGGREGATE(15,6,(ROW(Tiere!$BN$2:$BN$145)-1)/(--(SEARCH(AU$2,Tiere!$BN$2:$BN$145)&gt;0)),ROW()-1),1))))))))),"")</f>
        <v>Zwergrinder</v>
      </c>
      <c r="AU9" s="2438"/>
      <c r="AV9" s="2472" t="str">
        <f>IFERROR(IF(OR(AW$2="ZURÜCK ZUR AUSWAHL",AW$2="",AW$2=0),$BU$1,IF(AW$2=$BO$1,$BO8,IF(AW$2=$BP$1,$BP8,IF(AW$2=$BQ$1,$BQ8,IF(AW$2=$BR$1,$BR8,IF(AW$2=$BS$1,$BS8,IF(AW$2=$BT$1,$BT8,IF(AW$2=$BU$1,$BU8,INDEX(Tiere!$BN$2:$BN$145,_xlfn.AGGREGATE(15,6,(ROW(Tiere!$BN$2:$BN$145)-1)/(--(SEARCH(AW$2,Tiere!$BN$2:$BN$145)&gt;0)),ROW()-1),1))))))))),"")</f>
        <v>Zwergrinder</v>
      </c>
      <c r="AW9" s="2438"/>
      <c r="AX9" s="2472" t="str">
        <f>IFERROR(IF(OR(AY$2="ZURÜCK ZUR AUSWAHL",AY$2="",AY$2=0),$BU$1,IF(AY$2=$BO$1,$BO8,IF(AY$2=$BP$1,$BP8,IF(AY$2=$BQ$1,$BQ8,IF(AY$2=$BR$1,$BR8,IF(AY$2=$BS$1,$BS8,IF(AY$2=$BT$1,$BT8,IF(AY$2=$BU$1,$BU8,INDEX(Tiere!$BN$2:$BN$145,_xlfn.AGGREGATE(15,6,(ROW(Tiere!$BN$2:$BN$145)-1)/(--(SEARCH(AY$2,Tiere!$BN$2:$BN$145)&gt;0)),ROW()-1),1))))))))),"")</f>
        <v>Zwergrinder</v>
      </c>
      <c r="AY9" s="2438"/>
      <c r="AZ9" s="2472" t="str">
        <f>IFERROR(IF(OR(BA$2="ZURÜCK ZUR AUSWAHL",BA$2="",BA$2=0),$BU$1,IF(BA$2=$BO$1,$BO8,IF(BA$2=$BP$1,$BP8,IF(BA$2=$BQ$1,$BQ8,IF(BA$2=$BR$1,$BR8,IF(BA$2=$BS$1,$BS8,IF(BA$2=$BT$1,$BT8,IF(BA$2=$BU$1,$BU8,INDEX(Tiere!$BN$2:$BN$145,_xlfn.AGGREGATE(15,6,(ROW(Tiere!$BN$2:$BN$145)-1)/(--(SEARCH(BA$2,Tiere!$BN$2:$BN$145)&gt;0)),ROW()-1),1))))))))),"")</f>
        <v>Zwergrinder</v>
      </c>
      <c r="BA9" s="2438"/>
      <c r="BB9" s="2472" t="str">
        <f>IFERROR(IF(OR(BC$2="ZURÜCK ZUR AUSWAHL",BC$2="",BC$2=0),$BU$1,IF(BC$2=$BO$1,$BO8,IF(BC$2=$BP$1,$BP8,IF(BC$2=$BQ$1,$BQ8,IF(BC$2=$BR$1,$BR8,IF(BC$2=$BS$1,$BS8,IF(BC$2=$BT$1,$BT8,IF(BC$2=$BU$1,$BU8,INDEX(Tiere!$BN$2:$BN$145,_xlfn.AGGREGATE(15,6,(ROW(Tiere!$BN$2:$BN$145)-1)/(--(SEARCH(BC$2,Tiere!$BN$2:$BN$145)&gt;0)),ROW()-1),1))))))))),"")</f>
        <v>Zwergrinder</v>
      </c>
      <c r="BC9" s="2438"/>
      <c r="BD9" s="2472" t="str">
        <f>IFERROR(IF(OR(BE$2="ZURÜCK ZUR AUSWAHL",BE$2="",BE$2=0),$BU$1,IF(BE$2=$BO$1,$BO8,IF(BE$2=$BP$1,$BP8,IF(BE$2=$BQ$1,$BQ8,IF(BE$2=$BR$1,$BR8,IF(BE$2=$BS$1,$BS8,IF(BE$2=$BT$1,$BT8,IF(BE$2=$BU$1,$BU8,INDEX(Tiere!$BN$2:$BN$145,_xlfn.AGGREGATE(15,6,(ROW(Tiere!$BN$2:$BN$145)-1)/(--(SEARCH(BE$2,Tiere!$BN$2:$BN$145)&gt;0)),ROW()-1),1))))))))),"")</f>
        <v>Zwergrinder</v>
      </c>
      <c r="BE9" s="2438"/>
      <c r="BF9" s="2472" t="str">
        <f>IFERROR(IF(OR(BG$2="ZURÜCK ZUR AUSWAHL",BG$2="",BG$2=0),$BU$1,IF(BG$2=$BO$1,$BO8,IF(BG$2=$BP$1,$BP8,IF(BG$2=$BQ$1,$BQ8,IF(BG$2=$BR$1,$BR8,IF(BG$2=$BS$1,$BS8,IF(BG$2=$BT$1,$BT8,IF(BG$2=$BU$1,$BU8,INDEX(Tiere!$BN$2:$BN$145,_xlfn.AGGREGATE(15,6,(ROW(Tiere!$BN$2:$BN$145)-1)/(--(SEARCH(BG$2,Tiere!$BN$2:$BN$145)&gt;0)),ROW()-1),1))))))))),"")</f>
        <v>Zwergrinder</v>
      </c>
      <c r="BG9" s="2438"/>
      <c r="BH9" s="2472" t="str">
        <f>IFERROR(IF(OR(BI$2="ZURÜCK ZUR AUSWAHL",BI$2="",BI$2=0),$BU$1,IF(BI$2=$BO$1,$BO8,IF(BI$2=$BP$1,$BP8,IF(BI$2=$BQ$1,$BQ8,IF(BI$2=$BR$1,$BR8,IF(BI$2=$BS$1,$BS8,IF(BI$2=$BT$1,$BT8,IF(BI$2=$BU$1,$BU8,INDEX(Tiere!$BN$2:$BN$145,_xlfn.AGGREGATE(15,6,(ROW(Tiere!$BN$2:$BN$145)-1)/(--(SEARCH(BI$2,Tiere!$BN$2:$BN$145)&gt;0)),ROW()-1),1))))))))),"")</f>
        <v>Zwergrinder</v>
      </c>
      <c r="BI9" s="2438"/>
      <c r="BJ9" s="2472" t="str">
        <f>IFERROR(IF(OR(BK$2="ZURÜCK ZUR AUSWAHL",BK$2="",BK$2=0),$BU$1,IF(BK$2=$BO$1,$BO8,IF(BK$2=$BP$1,$BP8,IF(BK$2=$BQ$1,$BQ8,IF(BK$2=$BR$1,$BR8,IF(BK$2=$BS$1,$BS8,IF(BK$2=$BT$1,$BT8,IF(BK$2=$BU$1,$BU8,INDEX(Tiere!$BN$2:$BN$145,_xlfn.AGGREGATE(15,6,(ROW(Tiere!$BN$2:$BN$145)-1)/(--(SEARCH(BK$2,Tiere!$BN$2:$BN$145)&gt;0)),ROW()-1),1))))))))),"")</f>
        <v>Zwergrinder</v>
      </c>
      <c r="BK9" s="2438"/>
      <c r="BL9" s="2472" t="str">
        <f>IFERROR(IF(OR(BM$2="ZURÜCK ZUR AUSWAHL",BM$2="",BM$2=0),$BU$1,IF(BM$2=$BO$1,$BO8,IF(BM$2=$BP$1,$BP8,IF(BM$2=$BQ$1,$BQ8,IF(BM$2=$BR$1,$BR8,IF(BM$2=$BS$1,$BS8,IF(BM$2=$BT$1,$BT8,IF(BM$2=$BU$1,$BU8,INDEX(Tiere!$BN$2:$BN$145,_xlfn.AGGREGATE(15,6,(ROW(Tiere!$BN$2:$BN$145)-1)/(--(SEARCH(BM$2,Tiere!$BN$2:$BN$145)&gt;0)),ROW()-1),1))))))))),"")</f>
        <v>Zwergrinder</v>
      </c>
      <c r="BM9" s="2438"/>
      <c r="BN9" s="2478" t="s">
        <v>978</v>
      </c>
      <c r="BO9" s="2518" t="s">
        <v>978</v>
      </c>
      <c r="BP9" s="2518" t="s">
        <v>1188</v>
      </c>
      <c r="BQ9" s="2518" t="s">
        <v>1246</v>
      </c>
      <c r="BR9" s="2518"/>
      <c r="BS9" s="2518"/>
      <c r="BT9" s="2518" t="s">
        <v>1274</v>
      </c>
      <c r="BU9" s="2518" t="s">
        <v>1291</v>
      </c>
      <c r="BX9" s="201"/>
    </row>
    <row r="10" spans="1:254" ht="22.5" customHeight="1" thickBot="1">
      <c r="A10" s="2501" t="str">
        <f t="shared" si="1"/>
        <v/>
      </c>
      <c r="B10" s="2710"/>
      <c r="C10" s="2711"/>
      <c r="D10" s="2711"/>
      <c r="E10" s="2711"/>
      <c r="F10" s="2711"/>
      <c r="G10" s="2711"/>
      <c r="H10" s="2712"/>
      <c r="I10" s="1174"/>
      <c r="J10" s="1175">
        <f>IFERROR(Tabelle1!AR10,0)</f>
        <v>0</v>
      </c>
      <c r="K10" s="1176"/>
      <c r="L10" s="1177"/>
      <c r="M10" s="1176"/>
      <c r="N10" s="1177"/>
      <c r="O10" s="1178">
        <f>IFERROR(Tabelle1!AX10,0)</f>
        <v>0</v>
      </c>
      <c r="P10" s="1178">
        <f>IFERROR(Tabelle1!BI10,0)</f>
        <v>0</v>
      </c>
      <c r="Q10" s="1178">
        <f>IFERROR(Tabelle1!BO10,0)</f>
        <v>0</v>
      </c>
      <c r="R10" s="1179">
        <f>IFERROR(Tabelle1!BB10,0)</f>
        <v>0</v>
      </c>
      <c r="S10" s="1179">
        <f>IFERROR(Tabelle1!AY10,0)</f>
        <v>0</v>
      </c>
      <c r="T10" s="1179">
        <f>IFERROR(Tabelle1!AZ10,0)</f>
        <v>0</v>
      </c>
      <c r="U10" s="1179">
        <f>IFERROR(Tabelle1!BA10,0)</f>
        <v>0</v>
      </c>
      <c r="V10" s="1179">
        <f>IFERROR(Tabelle1!CA10,0)</f>
        <v>0</v>
      </c>
      <c r="W10" s="1179">
        <f>IFERROR(Tabelle1!CG10,0)</f>
        <v>0</v>
      </c>
      <c r="X10" s="1179"/>
      <c r="Y10" s="535"/>
      <c r="Z10" s="186" t="s">
        <v>1414</v>
      </c>
      <c r="AB10" s="2506"/>
      <c r="AD10"/>
      <c r="AF10" s="2445">
        <f>IF(AND(COUNTIF(Liste_Tiere[Tiere gesamt],$B13)=1,$B13&lt;&gt;"",$B13&lt;&gt;0),1,0)</f>
        <v>0</v>
      </c>
      <c r="AG10" s="2507" t="str">
        <f t="shared" si="0"/>
        <v/>
      </c>
      <c r="AH10" s="2504">
        <f>IF(AND($B13&lt;&gt;"",$B13&lt;&gt;"ZURÜCK ZUR AUSWAHL"),COUNTIF(TiereDropDown[B13],$B13),0)</f>
        <v>0</v>
      </c>
      <c r="AJ10" s="2472" t="str">
        <f>IFERROR(IF(OR(AK$2="ZURÜCK ZUR AUSWAHL",AK$2="",AK$2=0),"",IF(AK$2=$BO$1,$BO9,IF(AK$2=$BP$1,$BP9,IF(AK$2=$BQ$1,$BQ9,IF(AK$2=$BR$1,$BR9,IF(AK$2=$BS$1,$BS9,IF(AK$2=$BT$1,$BT9,IF(AK$2=$BU$1,$BU9,INDEX(Tiere!$BN$2:$BN$145,_xlfn.AGGREGATE(15,6,(ROW(Tiere!$BN$2:$BN$145)-1)/(--(SEARCH(AK$2,Tiere!$BN$2:$BN$145)&gt;0)),ROW()-2),1))))))))),"")</f>
        <v/>
      </c>
      <c r="AK10" s="2503"/>
      <c r="AL10" s="2472" t="str">
        <f>IFERROR(IF(OR(AM$2="ZURÜCK ZUR AUSWAHL",AM$2="",AM$2=0),"",IF(AM$2=$BO$1,$BO9,IF(AM$2=$BP$1,$BP9,IF(AM$2=$BQ$1,$BQ9,IF(AM$2=$BR$1,$BR9,IF(AM$2=$BS$1,$BS9,IF(AM$2=$BT$1,$BT9,IF(AM$2=$BU$1,$BU9,INDEX(Tiere!$BN$2:$BN$145,_xlfn.AGGREGATE(15,6,(ROW(Tiere!$BN$2:$BN$145)-1)/(--(SEARCH(AM$2,Tiere!$BN$2:$BN$145)&gt;0)),ROW()-1),1))))))))),"")</f>
        <v/>
      </c>
      <c r="AM10" s="2436"/>
      <c r="AN10" s="2472" t="str">
        <f>IFERROR(IF(OR(AO$2="ZURÜCK ZUR AUSWAHL",AO$2="",AO$2=0),"",IF(AO$2=$BO$1,$BO9,IF(AO$2=$BP$1,$BP9,IF(AO$2=$BQ$1,$BQ9,IF(AO$2=$BR$1,$BR9,IF(AO$2=$BS$1,$BS9,IF(AO$2=$BT$1,$BT9,IF(AO$2=$BU$1,$BU9,INDEX(Tiere!$BN$2:$BN$145,_xlfn.AGGREGATE(15,6,(ROW(Tiere!$BN$2:$BN$145)-1)/(--(SEARCH(AO$2,Tiere!$BN$2:$BN$145)&gt;0)),ROW()-1),1))))))))),"")</f>
        <v/>
      </c>
      <c r="AO10" s="2436"/>
      <c r="AP10" s="2472" t="str">
        <f>IFERROR(IF(OR(AQ$2="ZURÜCK ZUR AUSWAHL",AQ$2="",AQ$2=0),"",IF(AQ$2=$BO$1,$BO9,IF(AQ$2=$BP$1,$BP9,IF(AQ$2=$BQ$1,$BQ9,IF(AQ$2=$BR$1,$BR9,IF(AQ$2=$BS$1,$BS9,IF(AQ$2=$BT$1,$BT9,IF(AQ$2=$BU$1,$BU9,INDEX(Tiere!$BN$2:$BN$145,_xlfn.AGGREGATE(15,6,(ROW(Tiere!$BN$2:$BN$145)-1)/(--(SEARCH(AQ$2,Tiere!$BN$2:$BN$145)&gt;0)),ROW()-1),1))))))))),"")</f>
        <v/>
      </c>
      <c r="AQ10" s="2436"/>
      <c r="AR10" s="2472" t="str">
        <f>IFERROR(IF(OR(AS$2="ZURÜCK ZUR AUSWAHL",AS$2="",AS$2=0),"",IF(AS$2=$BO$1,$BO9,IF(AS$2=$BP$1,$BP9,IF(AS$2=$BQ$1,$BQ9,IF(AS$2=$BR$1,$BR9,IF(AS$2=$BS$1,$BS9,IF(AS$2=$BT$1,$BT9,IF(AS$2=$BU$1,$BU9,INDEX(Tiere!$BN$2:$BN$145,_xlfn.AGGREGATE(15,6,(ROW(Tiere!$BN$2:$BN$145)-1)/(--(SEARCH(AS$2,Tiere!$BN$2:$BN$145)&gt;0)),ROW()-1),1))))))))),"")</f>
        <v/>
      </c>
      <c r="AS10" s="2436"/>
      <c r="AT10" s="2472" t="str">
        <f>IFERROR(IF(OR(AU$2="ZURÜCK ZUR AUSWAHL",AU$2="",AU$2=0),"",IF(AU$2=$BO$1,$BO9,IF(AU$2=$BP$1,$BP9,IF(AU$2=$BQ$1,$BQ9,IF(AU$2=$BR$1,$BR9,IF(AU$2=$BS$1,$BS9,IF(AU$2=$BT$1,$BT9,IF(AU$2=$BU$1,$BU9,INDEX(Tiere!$BN$2:$BN$145,_xlfn.AGGREGATE(15,6,(ROW(Tiere!$BN$2:$BN$145)-1)/(--(SEARCH(AU$2,Tiere!$BN$2:$BN$145)&gt;0)),ROW()-1),1))))))))),"")</f>
        <v/>
      </c>
      <c r="AU10" s="2436"/>
      <c r="AV10" s="2472" t="str">
        <f>IFERROR(IF(OR(AW$2="ZURÜCK ZUR AUSWAHL",AW$2="",AW$2=0),"",IF(AW$2=$BO$1,$BO9,IF(AW$2=$BP$1,$BP9,IF(AW$2=$BQ$1,$BQ9,IF(AW$2=$BR$1,$BR9,IF(AW$2=$BS$1,$BS9,IF(AW$2=$BT$1,$BT9,IF(AW$2=$BU$1,$BU9,INDEX(Tiere!$BN$2:$BN$145,_xlfn.AGGREGATE(15,6,(ROW(Tiere!$BN$2:$BN$145)-1)/(--(SEARCH(AW$2,Tiere!$BN$2:$BN$145)&gt;0)),ROW()-1),1))))))))),"")</f>
        <v/>
      </c>
      <c r="AW10" s="2436"/>
      <c r="AX10" s="2472" t="str">
        <f>IFERROR(IF(OR(AY$2="ZURÜCK ZUR AUSWAHL",AY$2="",AY$2=0),"",IF(AY$2=$BO$1,$BO9,IF(AY$2=$BP$1,$BP9,IF(AY$2=$BQ$1,$BQ9,IF(AY$2=$BR$1,$BR9,IF(AY$2=$BS$1,$BS9,IF(AY$2=$BT$1,$BT9,IF(AY$2=$BU$1,$BU9,INDEX(Tiere!$BN$2:$BN$145,_xlfn.AGGREGATE(15,6,(ROW(Tiere!$BN$2:$BN$145)-1)/(--(SEARCH(AY$2,Tiere!$BN$2:$BN$145)&gt;0)),ROW()-1),1))))))))),"")</f>
        <v/>
      </c>
      <c r="AY10" s="2436"/>
      <c r="AZ10" s="2472" t="str">
        <f>IFERROR(IF(OR(BA$2="ZURÜCK ZUR AUSWAHL",BA$2="",BA$2=0),"",IF(BA$2=$BO$1,$BO9,IF(BA$2=$BP$1,$BP9,IF(BA$2=$BQ$1,$BQ9,IF(BA$2=$BR$1,$BR9,IF(BA$2=$BS$1,$BS9,IF(BA$2=$BT$1,$BT9,IF(BA$2=$BU$1,$BU9,INDEX(Tiere!$BN$2:$BN$145,_xlfn.AGGREGATE(15,6,(ROW(Tiere!$BN$2:$BN$145)-1)/(--(SEARCH(BA$2,Tiere!$BN$2:$BN$145)&gt;0)),ROW()-1),1))))))))),"")</f>
        <v/>
      </c>
      <c r="BA10" s="2436"/>
      <c r="BB10" s="2472" t="str">
        <f>IFERROR(IF(OR(BC$2="ZURÜCK ZUR AUSWAHL",BC$2="",BC$2=0),"",IF(BC$2=$BO$1,$BO9,IF(BC$2=$BP$1,$BP9,IF(BC$2=$BQ$1,$BQ9,IF(BC$2=$BR$1,$BR9,IF(BC$2=$BS$1,$BS9,IF(BC$2=$BT$1,$BT9,IF(BC$2=$BU$1,$BU9,INDEX(Tiere!$BN$2:$BN$145,_xlfn.AGGREGATE(15,6,(ROW(Tiere!$BN$2:$BN$145)-1)/(--(SEARCH(BC$2,Tiere!$BN$2:$BN$145)&gt;0)),ROW()-1),1))))))))),"")</f>
        <v/>
      </c>
      <c r="BC10" s="2436"/>
      <c r="BD10" s="2472" t="str">
        <f>IFERROR(IF(OR(BE$2="ZURÜCK ZUR AUSWAHL",BE$2="",BE$2=0),"",IF(BE$2=$BO$1,$BO9,IF(BE$2=$BP$1,$BP9,IF(BE$2=$BQ$1,$BQ9,IF(BE$2=$BR$1,$BR9,IF(BE$2=$BS$1,$BS9,IF(BE$2=$BT$1,$BT9,IF(BE$2=$BU$1,$BU9,INDEX(Tiere!$BN$2:$BN$145,_xlfn.AGGREGATE(15,6,(ROW(Tiere!$BN$2:$BN$145)-1)/(--(SEARCH(BE$2,Tiere!$BN$2:$BN$145)&gt;0)),ROW()-1),1))))))))),"")</f>
        <v/>
      </c>
      <c r="BE10" s="2436"/>
      <c r="BF10" s="2472" t="str">
        <f>IFERROR(IF(OR(BG$2="ZURÜCK ZUR AUSWAHL",BG$2="",BG$2=0),"",IF(BG$2=$BO$1,$BO9,IF(BG$2=$BP$1,$BP9,IF(BG$2=$BQ$1,$BQ9,IF(BG$2=$BR$1,$BR9,IF(BG$2=$BS$1,$BS9,IF(BG$2=$BT$1,$BT9,IF(BG$2=$BU$1,$BU9,INDEX(Tiere!$BN$2:$BN$145,_xlfn.AGGREGATE(15,6,(ROW(Tiere!$BN$2:$BN$145)-1)/(--(SEARCH(BG$2,Tiere!$BN$2:$BN$145)&gt;0)),ROW()-1),1))))))))),"")</f>
        <v/>
      </c>
      <c r="BG10" s="2436"/>
      <c r="BH10" s="2472" t="str">
        <f>IFERROR(IF(OR(BI$2="ZURÜCK ZUR AUSWAHL",BI$2="",BI$2=0),"",IF(BI$2=$BO$1,$BO9,IF(BI$2=$BP$1,$BP9,IF(BI$2=$BQ$1,$BQ9,IF(BI$2=$BR$1,$BR9,IF(BI$2=$BS$1,$BS9,IF(BI$2=$BT$1,$BT9,IF(BI$2=$BU$1,$BU9,INDEX(Tiere!$BN$2:$BN$145,_xlfn.AGGREGATE(15,6,(ROW(Tiere!$BN$2:$BN$145)-1)/(--(SEARCH(BI$2,Tiere!$BN$2:$BN$145)&gt;0)),ROW()-1),1))))))))),"")</f>
        <v/>
      </c>
      <c r="BI10" s="2436"/>
      <c r="BJ10" s="2472" t="str">
        <f>IFERROR(IF(OR(BK$2="ZURÜCK ZUR AUSWAHL",BK$2="",BK$2=0),"",IF(BK$2=$BO$1,$BO9,IF(BK$2=$BP$1,$BP9,IF(BK$2=$BQ$1,$BQ9,IF(BK$2=$BR$1,$BR9,IF(BK$2=$BS$1,$BS9,IF(BK$2=$BT$1,$BT9,IF(BK$2=$BU$1,$BU9,INDEX(Tiere!$BN$2:$BN$145,_xlfn.AGGREGATE(15,6,(ROW(Tiere!$BN$2:$BN$145)-1)/(--(SEARCH(BK$2,Tiere!$BN$2:$BN$145)&gt;0)),ROW()-1),1))))))))),"")</f>
        <v/>
      </c>
      <c r="BK10" s="2436"/>
      <c r="BL10" s="2472" t="str">
        <f>IFERROR(IF(OR(BM$2="ZURÜCK ZUR AUSWAHL",BM$2="",BM$2=0),"",IF(BM$2=$BO$1,$BO9,IF(BM$2=$BP$1,$BP9,IF(BM$2=$BQ$1,$BQ9,IF(BM$2=$BR$1,$BR9,IF(BM$2=$BS$1,$BS9,IF(BM$2=$BT$1,$BT9,IF(BM$2=$BU$1,$BU9,INDEX(Tiere!$BN$2:$BN$145,_xlfn.AGGREGATE(15,6,(ROW(Tiere!$BN$2:$BN$145)-1)/(--(SEARCH(BM$2,Tiere!$BN$2:$BN$145)&gt;0)),ROW()-1),1))))))))),"")</f>
        <v/>
      </c>
      <c r="BM10" s="2436"/>
      <c r="BN10" s="2478" t="s">
        <v>981</v>
      </c>
      <c r="BO10" s="2518" t="s">
        <v>981</v>
      </c>
      <c r="BP10" s="2518" t="s">
        <v>1190</v>
      </c>
      <c r="BQ10" s="2518" t="s">
        <v>1248</v>
      </c>
      <c r="BR10" s="2518"/>
      <c r="BS10" s="2518"/>
      <c r="BT10" s="2518" t="s">
        <v>1275</v>
      </c>
      <c r="BU10" s="2518" t="s">
        <v>1292</v>
      </c>
      <c r="BX10" s="201"/>
    </row>
    <row r="11" spans="1:254" ht="22.5" customHeight="1" thickBot="1">
      <c r="A11" s="2501" t="str">
        <f t="shared" si="1"/>
        <v/>
      </c>
      <c r="B11" s="2710"/>
      <c r="C11" s="2711"/>
      <c r="D11" s="2711"/>
      <c r="E11" s="2711"/>
      <c r="F11" s="2711"/>
      <c r="G11" s="2711"/>
      <c r="H11" s="2712"/>
      <c r="I11" s="1174"/>
      <c r="J11" s="1175">
        <f>IFERROR(Tabelle1!AR11,0)</f>
        <v>0</v>
      </c>
      <c r="K11" s="1176"/>
      <c r="L11" s="1177"/>
      <c r="M11" s="1176"/>
      <c r="N11" s="1177"/>
      <c r="O11" s="1178">
        <f>IFERROR(Tabelle1!AX11,0)</f>
        <v>0</v>
      </c>
      <c r="P11" s="1178">
        <f>IFERROR(Tabelle1!BI11,0)</f>
        <v>0</v>
      </c>
      <c r="Q11" s="1178">
        <f>IFERROR(Tabelle1!BO11,0)</f>
        <v>0</v>
      </c>
      <c r="R11" s="1179">
        <f>IFERROR(Tabelle1!BB11,0)</f>
        <v>0</v>
      </c>
      <c r="S11" s="1179">
        <f>IFERROR(Tabelle1!AY11,0)</f>
        <v>0</v>
      </c>
      <c r="T11" s="1179">
        <f>IFERROR(Tabelle1!AZ11,0)</f>
        <v>0</v>
      </c>
      <c r="U11" s="1179">
        <f>IFERROR(Tabelle1!BA11,0)</f>
        <v>0</v>
      </c>
      <c r="V11" s="1179">
        <f>IFERROR(Tabelle1!CA11,0)</f>
        <v>0</v>
      </c>
      <c r="W11" s="1179">
        <f>IFERROR(Tabelle1!CG11,0)</f>
        <v>0</v>
      </c>
      <c r="X11" s="1179"/>
      <c r="Y11" s="535"/>
      <c r="Z11" s="186" t="s">
        <v>1415</v>
      </c>
      <c r="AB11" s="2505"/>
      <c r="AD11"/>
      <c r="AF11" s="2445">
        <f>IF(AND(COUNTIF(Liste_Tiere[Tiere gesamt],$B14)=1,$B14&lt;&gt;"",$B14&lt;&gt;0),1,0)</f>
        <v>0</v>
      </c>
      <c r="AG11" s="2507" t="str">
        <f t="shared" si="0"/>
        <v/>
      </c>
      <c r="AH11" s="2504">
        <f>IF(AND($B14&lt;&gt;"",$B14&lt;&gt;"ZURÜCK ZUR AUSWAHL"),COUNTIF(TiereDropDown[B14],$B14),0)</f>
        <v>0</v>
      </c>
      <c r="AJ11" s="2472" t="str">
        <f>IFERROR(IF(OR(AK$2="ZURÜCK ZUR AUSWAHL",AK$2="",AK$2=0),"",IF(AK$2=$BO$1,$BO10,IF(AK$2=$BP$1,$BP10,IF(AK$2=$BQ$1,$BQ10,IF(AK$2=$BR$1,"ZURÜCK ZUR AUSWAHL",IF(AK$2=$BS$1,"ZURÜCK ZUR AUSWAHL",IF(AK$2=$BT$1,$BT10,IF(AK$2=$BU$1,$BU10,INDEX(Tiere!$BN$2:$BN$145,_xlfn.AGGREGATE(15,6,(ROW(Tiere!$BN$2:$BN$145)-1)/(--(SEARCH(AK$2,Tiere!$BN$2:$BN$145)&gt;0)),ROW()-2),1))))))))),"")</f>
        <v/>
      </c>
      <c r="AK11" s="2503"/>
      <c r="AL11" s="2472" t="str">
        <f>IFERROR(IF(OR(AM$2="ZURÜCK ZUR AUSWAHL",AM$2="",AM$2=0),"",IF(AM$2=$BO$1,$BO10,IF(AM$2=$BP$1,$BP10,IF(AM$2=$BQ$1,$BQ10,IF(AM$2=$BR$1,"ZURÜCK ZUR AUSWAHL",IF(AM$2=$BS$1,"ZURÜCK ZUR AUSWAHL",IF(AM$2=$BT$1,$BT10,IF(AM$2=$BU$1,$BU10,INDEX(Tiere!$BN$2:$BN$145,_xlfn.AGGREGATE(15,6,(ROW(Tiere!$BN$2:$BN$145)-1)/(--(SEARCH(AM$2,Tiere!$BN$2:$BN$145)&gt;0)),ROW()-1),1))))))))),"")</f>
        <v/>
      </c>
      <c r="AM11" s="2438"/>
      <c r="AN11" s="2472" t="str">
        <f>IFERROR(IF(OR(AO$2="ZURÜCK ZUR AUSWAHL",AO$2="",AO$2=0),"",IF(AO$2=$BO$1,$BO10,IF(AO$2=$BP$1,$BP10,IF(AO$2=$BQ$1,$BQ10,IF(AO$2=$BR$1,"ZURÜCK ZUR AUSWAHL",IF(AO$2=$BS$1,"ZURÜCK ZUR AUSWAHL",IF(AO$2=$BT$1,$BT10,IF(AO$2=$BU$1,$BU10,INDEX(Tiere!$BN$2:$BN$145,_xlfn.AGGREGATE(15,6,(ROW(Tiere!$BN$2:$BN$145)-1)/(--(SEARCH(AO$2,Tiere!$BN$2:$BN$145)&gt;0)),ROW()-1),1))))))))),"")</f>
        <v/>
      </c>
      <c r="AO11" s="2438"/>
      <c r="AP11" s="2472" t="str">
        <f>IFERROR(IF(OR(AQ$2="ZURÜCK ZUR AUSWAHL",AQ$2="",AQ$2=0),"",IF(AQ$2=$BO$1,$BO10,IF(AQ$2=$BP$1,$BP10,IF(AQ$2=$BQ$1,$BQ10,IF(AQ$2=$BR$1,"ZURÜCK ZUR AUSWAHL",IF(AQ$2=$BS$1,"ZURÜCK ZUR AUSWAHL",IF(AQ$2=$BT$1,$BT10,IF(AQ$2=$BU$1,$BU10,INDEX(Tiere!$BN$2:$BN$145,_xlfn.AGGREGATE(15,6,(ROW(Tiere!$BN$2:$BN$145)-1)/(--(SEARCH(AQ$2,Tiere!$BN$2:$BN$145)&gt;0)),ROW()-1),1))))))))),"")</f>
        <v/>
      </c>
      <c r="AQ11" s="2438"/>
      <c r="AR11" s="2472" t="str">
        <f>IFERROR(IF(OR(AS$2="ZURÜCK ZUR AUSWAHL",AS$2="",AS$2=0),"",IF(AS$2=$BO$1,$BO10,IF(AS$2=$BP$1,$BP10,IF(AS$2=$BQ$1,$BQ10,IF(AS$2=$BR$1,"ZURÜCK ZUR AUSWAHL",IF(AS$2=$BS$1,"ZURÜCK ZUR AUSWAHL",IF(AS$2=$BT$1,$BT10,IF(AS$2=$BU$1,$BU10,INDEX(Tiere!$BN$2:$BN$145,_xlfn.AGGREGATE(15,6,(ROW(Tiere!$BN$2:$BN$145)-1)/(--(SEARCH(AS$2,Tiere!$BN$2:$BN$145)&gt;0)),ROW()-1),1))))))))),"")</f>
        <v/>
      </c>
      <c r="AS11" s="2438"/>
      <c r="AT11" s="2472" t="str">
        <f>IFERROR(IF(OR(AU$2="ZURÜCK ZUR AUSWAHL",AU$2="",AU$2=0),"",IF(AU$2=$BO$1,$BO10,IF(AU$2=$BP$1,$BP10,IF(AU$2=$BQ$1,$BQ10,IF(AU$2=$BR$1,"ZURÜCK ZUR AUSWAHL",IF(AU$2=$BS$1,"ZURÜCK ZUR AUSWAHL",IF(AU$2=$BT$1,$BT10,IF(AU$2=$BU$1,$BU10,INDEX(Tiere!$BN$2:$BN$145,_xlfn.AGGREGATE(15,6,(ROW(Tiere!$BN$2:$BN$145)-1)/(--(SEARCH(AU$2,Tiere!$BN$2:$BN$145)&gt;0)),ROW()-1),1))))))))),"")</f>
        <v/>
      </c>
      <c r="AU11" s="2438"/>
      <c r="AV11" s="2472" t="str">
        <f>IFERROR(IF(OR(AW$2="ZURÜCK ZUR AUSWAHL",AW$2="",AW$2=0),"",IF(AW$2=$BO$1,$BO10,IF(AW$2=$BP$1,$BP10,IF(AW$2=$BQ$1,$BQ10,IF(AW$2=$BR$1,"ZURÜCK ZUR AUSWAHL",IF(AW$2=$BS$1,"ZURÜCK ZUR AUSWAHL",IF(AW$2=$BT$1,$BT10,IF(AW$2=$BU$1,$BU10,INDEX(Tiere!$BN$2:$BN$145,_xlfn.AGGREGATE(15,6,(ROW(Tiere!$BN$2:$BN$145)-1)/(--(SEARCH(AW$2,Tiere!$BN$2:$BN$145)&gt;0)),ROW()-1),1))))))))),"")</f>
        <v/>
      </c>
      <c r="AW11" s="2438"/>
      <c r="AX11" s="2472" t="str">
        <f>IFERROR(IF(OR(AY$2="ZURÜCK ZUR AUSWAHL",AY$2="",AY$2=0),"",IF(AY$2=$BO$1,$BO10,IF(AY$2=$BP$1,$BP10,IF(AY$2=$BQ$1,$BQ10,IF(AY$2=$BR$1,"ZURÜCK ZUR AUSWAHL",IF(AY$2=$BS$1,"ZURÜCK ZUR AUSWAHL",IF(AY$2=$BT$1,$BT10,IF(AY$2=$BU$1,$BU10,INDEX(Tiere!$BN$2:$BN$145,_xlfn.AGGREGATE(15,6,(ROW(Tiere!$BN$2:$BN$145)-1)/(--(SEARCH(AY$2,Tiere!$BN$2:$BN$145)&gt;0)),ROW()-1),1))))))))),"")</f>
        <v/>
      </c>
      <c r="AY11" s="2438"/>
      <c r="AZ11" s="2472" t="str">
        <f>IFERROR(IF(OR(BA$2="ZURÜCK ZUR AUSWAHL",BA$2="",BA$2=0),"",IF(BA$2=$BO$1,$BO10,IF(BA$2=$BP$1,$BP10,IF(BA$2=$BQ$1,$BQ10,IF(BA$2=$BR$1,"ZURÜCK ZUR AUSWAHL",IF(BA$2=$BS$1,"ZURÜCK ZUR AUSWAHL",IF(BA$2=$BT$1,$BT10,IF(BA$2=$BU$1,$BU10,INDEX(Tiere!$BN$2:$BN$145,_xlfn.AGGREGATE(15,6,(ROW(Tiere!$BN$2:$BN$145)-1)/(--(SEARCH(BA$2,Tiere!$BN$2:$BN$145)&gt;0)),ROW()-1),1))))))))),"")</f>
        <v/>
      </c>
      <c r="BA11" s="2438"/>
      <c r="BB11" s="2472" t="str">
        <f>IFERROR(IF(OR(BC$2="ZURÜCK ZUR AUSWAHL",BC$2="",BC$2=0),"",IF(BC$2=$BO$1,$BO10,IF(BC$2=$BP$1,$BP10,IF(BC$2=$BQ$1,$BQ10,IF(BC$2=$BR$1,"ZURÜCK ZUR AUSWAHL",IF(BC$2=$BS$1,"ZURÜCK ZUR AUSWAHL",IF(BC$2=$BT$1,$BT10,IF(BC$2=$BU$1,$BU10,INDEX(Tiere!$BN$2:$BN$145,_xlfn.AGGREGATE(15,6,(ROW(Tiere!$BN$2:$BN$145)-1)/(--(SEARCH(BC$2,Tiere!$BN$2:$BN$145)&gt;0)),ROW()-1),1))))))))),"")</f>
        <v/>
      </c>
      <c r="BC11" s="2438"/>
      <c r="BD11" s="2472" t="str">
        <f>IFERROR(IF(OR(BE$2="ZURÜCK ZUR AUSWAHL",BE$2="",BE$2=0),"",IF(BE$2=$BO$1,$BO10,IF(BE$2=$BP$1,$BP10,IF(BE$2=$BQ$1,$BQ10,IF(BE$2=$BR$1,"ZURÜCK ZUR AUSWAHL",IF(BE$2=$BS$1,"ZURÜCK ZUR AUSWAHL",IF(BE$2=$BT$1,$BT10,IF(BE$2=$BU$1,$BU10,INDEX(Tiere!$BN$2:$BN$145,_xlfn.AGGREGATE(15,6,(ROW(Tiere!$BN$2:$BN$145)-1)/(--(SEARCH(BE$2,Tiere!$BN$2:$BN$145)&gt;0)),ROW()-1),1))))))))),"")</f>
        <v/>
      </c>
      <c r="BE11" s="2438"/>
      <c r="BF11" s="2472" t="str">
        <f>IFERROR(IF(OR(BG$2="ZURÜCK ZUR AUSWAHL",BG$2="",BG$2=0),"",IF(BG$2=$BO$1,$BO10,IF(BG$2=$BP$1,$BP10,IF(BG$2=$BQ$1,$BQ10,IF(BG$2=$BR$1,"ZURÜCK ZUR AUSWAHL",IF(BG$2=$BS$1,"ZURÜCK ZUR AUSWAHL",IF(BG$2=$BT$1,$BT10,IF(BG$2=$BU$1,$BU10,INDEX(Tiere!$BN$2:$BN$145,_xlfn.AGGREGATE(15,6,(ROW(Tiere!$BN$2:$BN$145)-1)/(--(SEARCH(BG$2,Tiere!$BN$2:$BN$145)&gt;0)),ROW()-1),1))))))))),"")</f>
        <v/>
      </c>
      <c r="BG11" s="2438"/>
      <c r="BH11" s="2472" t="str">
        <f>IFERROR(IF(OR(BI$2="ZURÜCK ZUR AUSWAHL",BI$2="",BI$2=0),"",IF(BI$2=$BO$1,$BO10,IF(BI$2=$BP$1,$BP10,IF(BI$2=$BQ$1,$BQ10,IF(BI$2=$BR$1,"ZURÜCK ZUR AUSWAHL",IF(BI$2=$BS$1,"ZURÜCK ZUR AUSWAHL",IF(BI$2=$BT$1,$BT10,IF(BI$2=$BU$1,$BU10,INDEX(Tiere!$BN$2:$BN$145,_xlfn.AGGREGATE(15,6,(ROW(Tiere!$BN$2:$BN$145)-1)/(--(SEARCH(BI$2,Tiere!$BN$2:$BN$145)&gt;0)),ROW()-1),1))))))))),"")</f>
        <v/>
      </c>
      <c r="BI11" s="2438"/>
      <c r="BJ11" s="2472" t="str">
        <f>IFERROR(IF(OR(BK$2="ZURÜCK ZUR AUSWAHL",BK$2="",BK$2=0),"",IF(BK$2=$BO$1,$BO10,IF(BK$2=$BP$1,$BP10,IF(BK$2=$BQ$1,$BQ10,IF(BK$2=$BR$1,"ZURÜCK ZUR AUSWAHL",IF(BK$2=$BS$1,"ZURÜCK ZUR AUSWAHL",IF(BK$2=$BT$1,$BT10,IF(BK$2=$BU$1,$BU10,INDEX(Tiere!$BN$2:$BN$145,_xlfn.AGGREGATE(15,6,(ROW(Tiere!$BN$2:$BN$145)-1)/(--(SEARCH(BK$2,Tiere!$BN$2:$BN$145)&gt;0)),ROW()-1),1))))))))),"")</f>
        <v/>
      </c>
      <c r="BK11" s="2438"/>
      <c r="BL11" s="2472" t="str">
        <f>IFERROR(IF(OR(BM$2="ZURÜCK ZUR AUSWAHL",BM$2="",BM$2=0),"",IF(BM$2=$BO$1,$BO10,IF(BM$2=$BP$1,$BP10,IF(BM$2=$BQ$1,$BQ10,IF(BM$2=$BR$1,"ZURÜCK ZUR AUSWAHL",IF(BM$2=$BS$1,"ZURÜCK ZUR AUSWAHL",IF(BM$2=$BT$1,$BT10,IF(BM$2=$BU$1,$BU10,INDEX(Tiere!$BN$2:$BN$145,_xlfn.AGGREGATE(15,6,(ROW(Tiere!$BN$2:$BN$145)-1)/(--(SEARCH(BM$2,Tiere!$BN$2:$BN$145)&gt;0)),ROW()-1),1))))))))),"")</f>
        <v/>
      </c>
      <c r="BM11" s="2438"/>
      <c r="BN11" s="2478" t="s">
        <v>984</v>
      </c>
      <c r="BO11" s="2518" t="s">
        <v>984</v>
      </c>
      <c r="BP11" s="2518" t="s">
        <v>1192</v>
      </c>
      <c r="BQ11" s="2518" t="s">
        <v>1249</v>
      </c>
      <c r="BR11" s="2520"/>
      <c r="BS11" s="2520"/>
      <c r="BT11" s="2518" t="s">
        <v>1276</v>
      </c>
      <c r="BU11" s="2518" t="s">
        <v>1293</v>
      </c>
      <c r="BX11" s="201"/>
    </row>
    <row r="12" spans="1:254" ht="22.5" customHeight="1" thickTop="1" thickBot="1">
      <c r="A12" s="2501" t="str">
        <f t="shared" si="1"/>
        <v/>
      </c>
      <c r="B12" s="2710"/>
      <c r="C12" s="2711"/>
      <c r="D12" s="2711"/>
      <c r="E12" s="2711"/>
      <c r="F12" s="2711"/>
      <c r="G12" s="2711"/>
      <c r="H12" s="2712"/>
      <c r="I12" s="1174"/>
      <c r="J12" s="1175">
        <f>IFERROR(Tabelle1!AR12,0)</f>
        <v>0</v>
      </c>
      <c r="K12" s="1176"/>
      <c r="L12" s="1177"/>
      <c r="M12" s="1176"/>
      <c r="N12" s="1177"/>
      <c r="O12" s="1178">
        <f>IFERROR(Tabelle1!AX12,0)</f>
        <v>0</v>
      </c>
      <c r="P12" s="1178">
        <f>IFERROR(Tabelle1!BI12,0)</f>
        <v>0</v>
      </c>
      <c r="Q12" s="1178">
        <f>IFERROR(Tabelle1!BO12,0)</f>
        <v>0</v>
      </c>
      <c r="R12" s="1179">
        <f>IFERROR(Tabelle1!BB12,0)</f>
        <v>0</v>
      </c>
      <c r="S12" s="1179">
        <f>IFERROR(Tabelle1!AY12,0)</f>
        <v>0</v>
      </c>
      <c r="T12" s="1179">
        <f>IFERROR(Tabelle1!AZ12,0)</f>
        <v>0</v>
      </c>
      <c r="U12" s="1179">
        <f>IFERROR(Tabelle1!BA12,0)</f>
        <v>0</v>
      </c>
      <c r="V12" s="1179">
        <f>IFERROR(Tabelle1!CA12,0)</f>
        <v>0</v>
      </c>
      <c r="W12" s="1179">
        <f>IFERROR(Tabelle1!CG12,0)</f>
        <v>0</v>
      </c>
      <c r="X12" s="1179"/>
      <c r="Y12" s="535"/>
      <c r="Z12" s="190" t="s">
        <v>1416</v>
      </c>
      <c r="AD12" s="191"/>
      <c r="AF12" s="2445">
        <f>IF(AND(COUNTIF(Liste_Tiere[Tiere gesamt],$B15)=1,$B15&lt;&gt;"",$B15&lt;&gt;0),1,0)</f>
        <v>0</v>
      </c>
      <c r="AG12" s="2507" t="str">
        <f t="shared" si="0"/>
        <v/>
      </c>
      <c r="AH12" s="2504">
        <f>IF(AND($B15&lt;&gt;"",$B15&lt;&gt;"ZURÜCK ZUR AUSWAHL"),COUNTIF(TiereDropDown[B15],$B15),0)</f>
        <v>0</v>
      </c>
      <c r="AJ12" s="2472" t="str">
        <f>IFERROR(IF(OR(AK$2="ZURÜCK ZUR AUSWAHL",AK$2="",AK$2=0),"",IF(AK$2=$BO$1,$BO11,IF(AK$2=$BP$1,$BP11,IF(AK$2=$BQ$1,$BQ11,IF(AK$2=$BR$1,$BR11,IF(AK$2=$BS$1,$BS11,IF(AK$2=$BT$1,$BT11,IF(AK$2=$BU$1,$BU11,INDEX(Tiere!$BN$2:$BN$145,_xlfn.AGGREGATE(15,6,(ROW(Tiere!$BN$2:$BN$145)-1)/(--(SEARCH(AK$2,Tiere!$BN$2:$BN$145)&gt;0)),ROW()-2),1))))))))),"")</f>
        <v/>
      </c>
      <c r="AK12" s="2503"/>
      <c r="AL12" s="2472" t="str">
        <f>IFERROR(IF(OR(AM$2="ZURÜCK ZUR AUSWAHL",AM$2="",AM$2=0),"",IF(AM$2=$BO$1,$BO11,IF(AM$2=$BP$1,$BP11,IF(AM$2=$BQ$1,$BQ11,IF(AM$2=$BR$1,$BR11,IF(AM$2=$BS$1,$BS11,IF(AM$2=$BT$1,$BT11,IF(AM$2=$BU$1,$BU11,INDEX(Tiere!$BN$2:$BN$145,_xlfn.AGGREGATE(15,6,(ROW(Tiere!$BN$2:$BN$145)-1)/(--(SEARCH(AM$2,Tiere!$BN$2:$BN$145)&gt;0)),ROW()-1),1))))))))),"")</f>
        <v/>
      </c>
      <c r="AM12" s="2436"/>
      <c r="AN12" s="2472" t="str">
        <f>IFERROR(IF(OR(AO$2="ZURÜCK ZUR AUSWAHL",AO$2="",AO$2=0),"",IF(AO$2=$BO$1,$BO11,IF(AO$2=$BP$1,$BP11,IF(AO$2=$BQ$1,$BQ11,IF(AO$2=$BR$1,$BR11,IF(AO$2=$BS$1,$BS11,IF(AO$2=$BT$1,$BT11,IF(AO$2=$BU$1,$BU11,INDEX(Tiere!$BN$2:$BN$145,_xlfn.AGGREGATE(15,6,(ROW(Tiere!$BN$2:$BN$145)-1)/(--(SEARCH(AO$2,Tiere!$BN$2:$BN$145)&gt;0)),ROW()-1),1))))))))),"")</f>
        <v/>
      </c>
      <c r="AO12" s="2436"/>
      <c r="AP12" s="2472" t="str">
        <f>IFERROR(IF(OR(AQ$2="ZURÜCK ZUR AUSWAHL",AQ$2="",AQ$2=0),"",IF(AQ$2=$BO$1,$BO11,IF(AQ$2=$BP$1,$BP11,IF(AQ$2=$BQ$1,$BQ11,IF(AQ$2=$BR$1,$BR11,IF(AQ$2=$BS$1,$BS11,IF(AQ$2=$BT$1,$BT11,IF(AQ$2=$BU$1,$BU11,INDEX(Tiere!$BN$2:$BN$145,_xlfn.AGGREGATE(15,6,(ROW(Tiere!$BN$2:$BN$145)-1)/(--(SEARCH(AQ$2,Tiere!$BN$2:$BN$145)&gt;0)),ROW()-1),1))))))))),"")</f>
        <v/>
      </c>
      <c r="AQ12" s="2436"/>
      <c r="AR12" s="2472" t="str">
        <f>IFERROR(IF(OR(AS$2="ZURÜCK ZUR AUSWAHL",AS$2="",AS$2=0),"",IF(AS$2=$BO$1,$BO11,IF(AS$2=$BP$1,$BP11,IF(AS$2=$BQ$1,$BQ11,IF(AS$2=$BR$1,$BR11,IF(AS$2=$BS$1,$BS11,IF(AS$2=$BT$1,$BT11,IF(AS$2=$BU$1,$BU11,INDEX(Tiere!$BN$2:$BN$145,_xlfn.AGGREGATE(15,6,(ROW(Tiere!$BN$2:$BN$145)-1)/(--(SEARCH(AS$2,Tiere!$BN$2:$BN$145)&gt;0)),ROW()-1),1))))))))),"")</f>
        <v/>
      </c>
      <c r="AS12" s="2436"/>
      <c r="AT12" s="2472" t="str">
        <f>IFERROR(IF(OR(AU$2="ZURÜCK ZUR AUSWAHL",AU$2="",AU$2=0),"",IF(AU$2=$BO$1,$BO11,IF(AU$2=$BP$1,$BP11,IF(AU$2=$BQ$1,$BQ11,IF(AU$2=$BR$1,$BR11,IF(AU$2=$BS$1,$BS11,IF(AU$2=$BT$1,$BT11,IF(AU$2=$BU$1,$BU11,INDEX(Tiere!$BN$2:$BN$145,_xlfn.AGGREGATE(15,6,(ROW(Tiere!$BN$2:$BN$145)-1)/(--(SEARCH(AU$2,Tiere!$BN$2:$BN$145)&gt;0)),ROW()-1),1))))))))),"")</f>
        <v/>
      </c>
      <c r="AU12" s="2436"/>
      <c r="AV12" s="2472" t="str">
        <f>IFERROR(IF(OR(AW$2="ZURÜCK ZUR AUSWAHL",AW$2="",AW$2=0),"",IF(AW$2=$BO$1,$BO11,IF(AW$2=$BP$1,$BP11,IF(AW$2=$BQ$1,$BQ11,IF(AW$2=$BR$1,$BR11,IF(AW$2=$BS$1,$BS11,IF(AW$2=$BT$1,$BT11,IF(AW$2=$BU$1,$BU11,INDEX(Tiere!$BN$2:$BN$145,_xlfn.AGGREGATE(15,6,(ROW(Tiere!$BN$2:$BN$145)-1)/(--(SEARCH(AW$2,Tiere!$BN$2:$BN$145)&gt;0)),ROW()-1),1))))))))),"")</f>
        <v/>
      </c>
      <c r="AW12" s="2436"/>
      <c r="AX12" s="2472" t="str">
        <f>IFERROR(IF(OR(AY$2="ZURÜCK ZUR AUSWAHL",AY$2="",AY$2=0),"",IF(AY$2=$BO$1,$BO11,IF(AY$2=$BP$1,$BP11,IF(AY$2=$BQ$1,$BQ11,IF(AY$2=$BR$1,$BR11,IF(AY$2=$BS$1,$BS11,IF(AY$2=$BT$1,$BT11,IF(AY$2=$BU$1,$BU11,INDEX(Tiere!$BN$2:$BN$145,_xlfn.AGGREGATE(15,6,(ROW(Tiere!$BN$2:$BN$145)-1)/(--(SEARCH(AY$2,Tiere!$BN$2:$BN$145)&gt;0)),ROW()-1),1))))))))),"")</f>
        <v/>
      </c>
      <c r="AY12" s="2436"/>
      <c r="AZ12" s="2472" t="str">
        <f>IFERROR(IF(OR(BA$2="ZURÜCK ZUR AUSWAHL",BA$2="",BA$2=0),"",IF(BA$2=$BO$1,$BO11,IF(BA$2=$BP$1,$BP11,IF(BA$2=$BQ$1,$BQ11,IF(BA$2=$BR$1,$BR11,IF(BA$2=$BS$1,$BS11,IF(BA$2=$BT$1,$BT11,IF(BA$2=$BU$1,$BU11,INDEX(Tiere!$BN$2:$BN$145,_xlfn.AGGREGATE(15,6,(ROW(Tiere!$BN$2:$BN$145)-1)/(--(SEARCH(BA$2,Tiere!$BN$2:$BN$145)&gt;0)),ROW()-1),1))))))))),"")</f>
        <v/>
      </c>
      <c r="BA12" s="2436"/>
      <c r="BB12" s="2472" t="str">
        <f>IFERROR(IF(OR(BC$2="ZURÜCK ZUR AUSWAHL",BC$2="",BC$2=0),"",IF(BC$2=$BO$1,$BO11,IF(BC$2=$BP$1,$BP11,IF(BC$2=$BQ$1,$BQ11,IF(BC$2=$BR$1,$BR11,IF(BC$2=$BS$1,$BS11,IF(BC$2=$BT$1,$BT11,IF(BC$2=$BU$1,$BU11,INDEX(Tiere!$BN$2:$BN$145,_xlfn.AGGREGATE(15,6,(ROW(Tiere!$BN$2:$BN$145)-1)/(--(SEARCH(BC$2,Tiere!$BN$2:$BN$145)&gt;0)),ROW()-1),1))))))))),"")</f>
        <v/>
      </c>
      <c r="BC12" s="2436"/>
      <c r="BD12" s="2472" t="str">
        <f>IFERROR(IF(OR(BE$2="ZURÜCK ZUR AUSWAHL",BE$2="",BE$2=0),"",IF(BE$2=$BO$1,$BO11,IF(BE$2=$BP$1,$BP11,IF(BE$2=$BQ$1,$BQ11,IF(BE$2=$BR$1,$BR11,IF(BE$2=$BS$1,$BS11,IF(BE$2=$BT$1,$BT11,IF(BE$2=$BU$1,$BU11,INDEX(Tiere!$BN$2:$BN$145,_xlfn.AGGREGATE(15,6,(ROW(Tiere!$BN$2:$BN$145)-1)/(--(SEARCH(BE$2,Tiere!$BN$2:$BN$145)&gt;0)),ROW()-1),1))))))))),"")</f>
        <v/>
      </c>
      <c r="BE12" s="2436"/>
      <c r="BF12" s="2472" t="str">
        <f>IFERROR(IF(OR(BG$2="ZURÜCK ZUR AUSWAHL",BG$2="",BG$2=0),"",IF(BG$2=$BO$1,$BO11,IF(BG$2=$BP$1,$BP11,IF(BG$2=$BQ$1,$BQ11,IF(BG$2=$BR$1,$BR11,IF(BG$2=$BS$1,$BS11,IF(BG$2=$BT$1,$BT11,IF(BG$2=$BU$1,$BU11,INDEX(Tiere!$BN$2:$BN$145,_xlfn.AGGREGATE(15,6,(ROW(Tiere!$BN$2:$BN$145)-1)/(--(SEARCH(BG$2,Tiere!$BN$2:$BN$145)&gt;0)),ROW()-1),1))))))))),"")</f>
        <v/>
      </c>
      <c r="BG12" s="2436"/>
      <c r="BH12" s="2472" t="str">
        <f>IFERROR(IF(OR(BI$2="ZURÜCK ZUR AUSWAHL",BI$2="",BI$2=0),"",IF(BI$2=$BO$1,$BO11,IF(BI$2=$BP$1,$BP11,IF(BI$2=$BQ$1,$BQ11,IF(BI$2=$BR$1,$BR11,IF(BI$2=$BS$1,$BS11,IF(BI$2=$BT$1,$BT11,IF(BI$2=$BU$1,$BU11,INDEX(Tiere!$BN$2:$BN$145,_xlfn.AGGREGATE(15,6,(ROW(Tiere!$BN$2:$BN$145)-1)/(--(SEARCH(BI$2,Tiere!$BN$2:$BN$145)&gt;0)),ROW()-1),1))))))))),"")</f>
        <v/>
      </c>
      <c r="BI12" s="2436"/>
      <c r="BJ12" s="2472" t="str">
        <f>IFERROR(IF(OR(BK$2="ZURÜCK ZUR AUSWAHL",BK$2="",BK$2=0),"",IF(BK$2=$BO$1,$BO11,IF(BK$2=$BP$1,$BP11,IF(BK$2=$BQ$1,$BQ11,IF(BK$2=$BR$1,$BR11,IF(BK$2=$BS$1,$BS11,IF(BK$2=$BT$1,$BT11,IF(BK$2=$BU$1,$BU11,INDEX(Tiere!$BN$2:$BN$145,_xlfn.AGGREGATE(15,6,(ROW(Tiere!$BN$2:$BN$145)-1)/(--(SEARCH(BK$2,Tiere!$BN$2:$BN$145)&gt;0)),ROW()-1),1))))))))),"")</f>
        <v/>
      </c>
      <c r="BK12" s="2436"/>
      <c r="BL12" s="2472" t="str">
        <f>IFERROR(IF(OR(BM$2="ZURÜCK ZUR AUSWAHL",BM$2="",BM$2=0),"",IF(BM$2=$BO$1,$BO11,IF(BM$2=$BP$1,$BP11,IF(BM$2=$BQ$1,$BQ11,IF(BM$2=$BR$1,$BR11,IF(BM$2=$BS$1,$BS11,IF(BM$2=$BT$1,$BT11,IF(BM$2=$BU$1,$BU11,INDEX(Tiere!$BN$2:$BN$145,_xlfn.AGGREGATE(15,6,(ROW(Tiere!$BN$2:$BN$145)-1)/(--(SEARCH(BM$2,Tiere!$BN$2:$BN$145)&gt;0)),ROW()-1),1))))))))),"")</f>
        <v/>
      </c>
      <c r="BM12" s="2436"/>
      <c r="BN12" s="2478" t="s">
        <v>986</v>
      </c>
      <c r="BO12" s="2518" t="s">
        <v>986</v>
      </c>
      <c r="BP12" s="2518" t="s">
        <v>1195</v>
      </c>
      <c r="BQ12" s="2518" t="s">
        <v>1250</v>
      </c>
      <c r="BR12" s="2470"/>
      <c r="BS12" s="2470"/>
      <c r="BT12" s="2519" t="s">
        <v>1277</v>
      </c>
      <c r="BU12" s="2519" t="s">
        <v>1294</v>
      </c>
      <c r="BX12" s="201"/>
    </row>
    <row r="13" spans="1:254" ht="22.5" customHeight="1" thickTop="1" thickBot="1">
      <c r="A13" s="2501" t="str">
        <f t="shared" si="1"/>
        <v/>
      </c>
      <c r="B13" s="2710"/>
      <c r="C13" s="2711"/>
      <c r="D13" s="2711"/>
      <c r="E13" s="2711"/>
      <c r="F13" s="2711"/>
      <c r="G13" s="2711"/>
      <c r="H13" s="2712"/>
      <c r="I13" s="1174"/>
      <c r="J13" s="1175">
        <f>IFERROR(Tabelle1!AR13,0)</f>
        <v>0</v>
      </c>
      <c r="K13" s="1176"/>
      <c r="L13" s="1177"/>
      <c r="M13" s="1176"/>
      <c r="N13" s="1177"/>
      <c r="O13" s="1178">
        <f>IFERROR(Tabelle1!AX13,0)</f>
        <v>0</v>
      </c>
      <c r="P13" s="1178">
        <f>IFERROR(Tabelle1!BI13,0)</f>
        <v>0</v>
      </c>
      <c r="Q13" s="1178">
        <f>IFERROR(Tabelle1!BO13,0)</f>
        <v>0</v>
      </c>
      <c r="R13" s="1179">
        <f>IFERROR(Tabelle1!BB13,0)</f>
        <v>0</v>
      </c>
      <c r="S13" s="1179">
        <f>IFERROR(Tabelle1!AY13,0)</f>
        <v>0</v>
      </c>
      <c r="T13" s="1179">
        <f>IFERROR(Tabelle1!AZ13,0)</f>
        <v>0</v>
      </c>
      <c r="U13" s="1179">
        <f>IFERROR(Tabelle1!BA13,0)</f>
        <v>0</v>
      </c>
      <c r="V13" s="1179">
        <f>IFERROR(Tabelle1!CA13,0)</f>
        <v>0</v>
      </c>
      <c r="W13" s="1179">
        <f>IFERROR(Tabelle1!CG13,0)</f>
        <v>0</v>
      </c>
      <c r="X13" s="1179"/>
      <c r="Y13" s="535"/>
      <c r="Z13" s="186" t="s">
        <v>1417</v>
      </c>
      <c r="AF13" s="2445">
        <f>IF(AND(COUNTIF(Liste_Tiere[Tiere gesamt],$B16)=1,$B16&lt;&gt;"",$B16&lt;&gt;0),1,0)</f>
        <v>0</v>
      </c>
      <c r="AG13" s="2507" t="str">
        <f t="shared" si="0"/>
        <v/>
      </c>
      <c r="AH13" s="2504">
        <f>IF(AND($B16&lt;&gt;"",$B16&lt;&gt;"ZURÜCK ZUR AUSWAHL"),COUNTIF(TiereDropDown[B16],$B16),0)</f>
        <v>0</v>
      </c>
      <c r="AJ13" s="2472" t="str">
        <f>IFERROR(IF(OR(AK$2="ZURÜCK ZUR AUSWAHL",AK$2="",AK$2=0),"",IF(AK$2=$BO$1,$BO12,IF(AK$2=$BP$1,$BP12,IF(AK$2=$BQ$1,$BQ12,IF(AK$2=$BR$1,$BR12,IF(AK$2=$BS$1,$BS12,IF(AK$2=$BT$1,$BT12,IF(AK$2=$BU$1,$BU12,INDEX(Tiere!$BN$2:$BN$145,_xlfn.AGGREGATE(15,6,(ROW(Tiere!$BN$2:$BN$145)-1)/(--(SEARCH(AK$2,Tiere!$BN$2:$BN$145)&gt;0)),ROW()-2),1))))))))),"")</f>
        <v/>
      </c>
      <c r="AK13" s="2503"/>
      <c r="AL13" s="2472" t="str">
        <f>IFERROR(IF(OR(AM$2="ZURÜCK ZUR AUSWAHL",AM$2="",AM$2=0),"",IF(AM$2=$BO$1,$BO12,IF(AM$2=$BP$1,$BP12,IF(AM$2=$BQ$1,$BQ12,IF(AM$2=$BR$1,$BR12,IF(AM$2=$BS$1,$BS12,IF(AM$2=$BT$1,$BT12,IF(AM$2=$BU$1,$BU12,INDEX(Tiere!$BN$2:$BN$145,_xlfn.AGGREGATE(15,6,(ROW(Tiere!$BN$2:$BN$145)-1)/(--(SEARCH(AM$2,Tiere!$BN$2:$BN$145)&gt;0)),ROW()-1),1))))))))),"")</f>
        <v/>
      </c>
      <c r="AM13" s="2438"/>
      <c r="AN13" s="2472" t="str">
        <f>IFERROR(IF(OR(AO$2="ZURÜCK ZUR AUSWAHL",AO$2="",AO$2=0),"",IF(AO$2=$BO$1,$BO12,IF(AO$2=$BP$1,$BP12,IF(AO$2=$BQ$1,$BQ12,IF(AO$2=$BR$1,$BR12,IF(AO$2=$BS$1,$BS12,IF(AO$2=$BT$1,$BT12,IF(AO$2=$BU$1,$BU12,INDEX(Tiere!$BN$2:$BN$145,_xlfn.AGGREGATE(15,6,(ROW(Tiere!$BN$2:$BN$145)-1)/(--(SEARCH(AO$2,Tiere!$BN$2:$BN$145)&gt;0)),ROW()-1),1))))))))),"")</f>
        <v/>
      </c>
      <c r="AO13" s="2438"/>
      <c r="AP13" s="2472" t="str">
        <f>IFERROR(IF(OR(AQ$2="ZURÜCK ZUR AUSWAHL",AQ$2="",AQ$2=0),"",IF(AQ$2=$BO$1,$BO12,IF(AQ$2=$BP$1,$BP12,IF(AQ$2=$BQ$1,$BQ12,IF(AQ$2=$BR$1,$BR12,IF(AQ$2=$BS$1,$BS12,IF(AQ$2=$BT$1,$BT12,IF(AQ$2=$BU$1,$BU12,INDEX(Tiere!$BN$2:$BN$145,_xlfn.AGGREGATE(15,6,(ROW(Tiere!$BN$2:$BN$145)-1)/(--(SEARCH(AQ$2,Tiere!$BN$2:$BN$145)&gt;0)),ROW()-1),1))))))))),"")</f>
        <v/>
      </c>
      <c r="AQ13" s="2438"/>
      <c r="AR13" s="2472" t="str">
        <f>IFERROR(IF(OR(AS$2="ZURÜCK ZUR AUSWAHL",AS$2="",AS$2=0),"",IF(AS$2=$BO$1,$BO12,IF(AS$2=$BP$1,$BP12,IF(AS$2=$BQ$1,$BQ12,IF(AS$2=$BR$1,$BR12,IF(AS$2=$BS$1,$BS12,IF(AS$2=$BT$1,$BT12,IF(AS$2=$BU$1,$BU12,INDEX(Tiere!$BN$2:$BN$145,_xlfn.AGGREGATE(15,6,(ROW(Tiere!$BN$2:$BN$145)-1)/(--(SEARCH(AS$2,Tiere!$BN$2:$BN$145)&gt;0)),ROW()-1),1))))))))),"")</f>
        <v/>
      </c>
      <c r="AS13" s="2438"/>
      <c r="AT13" s="2472" t="str">
        <f>IFERROR(IF(OR(AU$2="ZURÜCK ZUR AUSWAHL",AU$2="",AU$2=0),"",IF(AU$2=$BO$1,$BO12,IF(AU$2=$BP$1,$BP12,IF(AU$2=$BQ$1,$BQ12,IF(AU$2=$BR$1,$BR12,IF(AU$2=$BS$1,$BS12,IF(AU$2=$BT$1,$BT12,IF(AU$2=$BU$1,$BU12,INDEX(Tiere!$BN$2:$BN$145,_xlfn.AGGREGATE(15,6,(ROW(Tiere!$BN$2:$BN$145)-1)/(--(SEARCH(AU$2,Tiere!$BN$2:$BN$145)&gt;0)),ROW()-1),1))))))))),"")</f>
        <v/>
      </c>
      <c r="AU13" s="2438"/>
      <c r="AV13" s="2472" t="str">
        <f>IFERROR(IF(OR(AW$2="ZURÜCK ZUR AUSWAHL",AW$2="",AW$2=0),"",IF(AW$2=$BO$1,$BO12,IF(AW$2=$BP$1,$BP12,IF(AW$2=$BQ$1,$BQ12,IF(AW$2=$BR$1,$BR12,IF(AW$2=$BS$1,$BS12,IF(AW$2=$BT$1,$BT12,IF(AW$2=$BU$1,$BU12,INDEX(Tiere!$BN$2:$BN$145,_xlfn.AGGREGATE(15,6,(ROW(Tiere!$BN$2:$BN$145)-1)/(--(SEARCH(AW$2,Tiere!$BN$2:$BN$145)&gt;0)),ROW()-1),1))))))))),"")</f>
        <v/>
      </c>
      <c r="AW13" s="2438"/>
      <c r="AX13" s="2472" t="str">
        <f>IFERROR(IF(OR(AY$2="ZURÜCK ZUR AUSWAHL",AY$2="",AY$2=0),"",IF(AY$2=$BO$1,$BO12,IF(AY$2=$BP$1,$BP12,IF(AY$2=$BQ$1,$BQ12,IF(AY$2=$BR$1,$BR12,IF(AY$2=$BS$1,$BS12,IF(AY$2=$BT$1,$BT12,IF(AY$2=$BU$1,$BU12,INDEX(Tiere!$BN$2:$BN$145,_xlfn.AGGREGATE(15,6,(ROW(Tiere!$BN$2:$BN$145)-1)/(--(SEARCH(AY$2,Tiere!$BN$2:$BN$145)&gt;0)),ROW()-1),1))))))))),"")</f>
        <v/>
      </c>
      <c r="AY13" s="2438"/>
      <c r="AZ13" s="2472" t="str">
        <f>IFERROR(IF(OR(BA$2="ZURÜCK ZUR AUSWAHL",BA$2="",BA$2=0),"",IF(BA$2=$BO$1,$BO12,IF(BA$2=$BP$1,$BP12,IF(BA$2=$BQ$1,$BQ12,IF(BA$2=$BR$1,$BR12,IF(BA$2=$BS$1,$BS12,IF(BA$2=$BT$1,$BT12,IF(BA$2=$BU$1,$BU12,INDEX(Tiere!$BN$2:$BN$145,_xlfn.AGGREGATE(15,6,(ROW(Tiere!$BN$2:$BN$145)-1)/(--(SEARCH(BA$2,Tiere!$BN$2:$BN$145)&gt;0)),ROW()-1),1))))))))),"")</f>
        <v/>
      </c>
      <c r="BA13" s="2438"/>
      <c r="BB13" s="2472" t="str">
        <f>IFERROR(IF(OR(BC$2="ZURÜCK ZUR AUSWAHL",BC$2="",BC$2=0),"",IF(BC$2=$BO$1,$BO12,IF(BC$2=$BP$1,$BP12,IF(BC$2=$BQ$1,$BQ12,IF(BC$2=$BR$1,$BR12,IF(BC$2=$BS$1,$BS12,IF(BC$2=$BT$1,$BT12,IF(BC$2=$BU$1,$BU12,INDEX(Tiere!$BN$2:$BN$145,_xlfn.AGGREGATE(15,6,(ROW(Tiere!$BN$2:$BN$145)-1)/(--(SEARCH(BC$2,Tiere!$BN$2:$BN$145)&gt;0)),ROW()-1),1))))))))),"")</f>
        <v/>
      </c>
      <c r="BC13" s="2438"/>
      <c r="BD13" s="2472" t="str">
        <f>IFERROR(IF(OR(BE$2="ZURÜCK ZUR AUSWAHL",BE$2="",BE$2=0),"",IF(BE$2=$BO$1,$BO12,IF(BE$2=$BP$1,$BP12,IF(BE$2=$BQ$1,$BQ12,IF(BE$2=$BR$1,$BR12,IF(BE$2=$BS$1,$BS12,IF(BE$2=$BT$1,$BT12,IF(BE$2=$BU$1,$BU12,INDEX(Tiere!$BN$2:$BN$145,_xlfn.AGGREGATE(15,6,(ROW(Tiere!$BN$2:$BN$145)-1)/(--(SEARCH(BE$2,Tiere!$BN$2:$BN$145)&gt;0)),ROW()-1),1))))))))),"")</f>
        <v/>
      </c>
      <c r="BE13" s="2438"/>
      <c r="BF13" s="2472" t="str">
        <f>IFERROR(IF(OR(BG$2="ZURÜCK ZUR AUSWAHL",BG$2="",BG$2=0),"",IF(BG$2=$BO$1,$BO12,IF(BG$2=$BP$1,$BP12,IF(BG$2=$BQ$1,$BQ12,IF(BG$2=$BR$1,$BR12,IF(BG$2=$BS$1,$BS12,IF(BG$2=$BT$1,$BT12,IF(BG$2=$BU$1,$BU12,INDEX(Tiere!$BN$2:$BN$145,_xlfn.AGGREGATE(15,6,(ROW(Tiere!$BN$2:$BN$145)-1)/(--(SEARCH(BG$2,Tiere!$BN$2:$BN$145)&gt;0)),ROW()-1),1))))))))),"")</f>
        <v/>
      </c>
      <c r="BG13" s="2438"/>
      <c r="BH13" s="2472" t="str">
        <f>IFERROR(IF(OR(BI$2="ZURÜCK ZUR AUSWAHL",BI$2="",BI$2=0),"",IF(BI$2=$BO$1,$BO12,IF(BI$2=$BP$1,$BP12,IF(BI$2=$BQ$1,$BQ12,IF(BI$2=$BR$1,$BR12,IF(BI$2=$BS$1,$BS12,IF(BI$2=$BT$1,$BT12,IF(BI$2=$BU$1,$BU12,INDEX(Tiere!$BN$2:$BN$145,_xlfn.AGGREGATE(15,6,(ROW(Tiere!$BN$2:$BN$145)-1)/(--(SEARCH(BI$2,Tiere!$BN$2:$BN$145)&gt;0)),ROW()-1),1))))))))),"")</f>
        <v/>
      </c>
      <c r="BI13" s="2438"/>
      <c r="BJ13" s="2472" t="str">
        <f>IFERROR(IF(OR(BK$2="ZURÜCK ZUR AUSWAHL",BK$2="",BK$2=0),"",IF(BK$2=$BO$1,$BO12,IF(BK$2=$BP$1,$BP12,IF(BK$2=$BQ$1,$BQ12,IF(BK$2=$BR$1,$BR12,IF(BK$2=$BS$1,$BS12,IF(BK$2=$BT$1,$BT12,IF(BK$2=$BU$1,$BU12,INDEX(Tiere!$BN$2:$BN$145,_xlfn.AGGREGATE(15,6,(ROW(Tiere!$BN$2:$BN$145)-1)/(--(SEARCH(BK$2,Tiere!$BN$2:$BN$145)&gt;0)),ROW()-1),1))))))))),"")</f>
        <v/>
      </c>
      <c r="BK13" s="2438"/>
      <c r="BL13" s="2472" t="str">
        <f>IFERROR(IF(OR(BM$2="ZURÜCK ZUR AUSWAHL",BM$2="",BM$2=0),"",IF(BM$2=$BO$1,$BO12,IF(BM$2=$BP$1,$BP12,IF(BM$2=$BQ$1,$BQ12,IF(BM$2=$BR$1,$BR12,IF(BM$2=$BS$1,$BS12,IF(BM$2=$BT$1,$BT12,IF(BM$2=$BU$1,$BU12,INDEX(Tiere!$BN$2:$BN$145,_xlfn.AGGREGATE(15,6,(ROW(Tiere!$BN$2:$BN$145)-1)/(--(SEARCH(BM$2,Tiere!$BN$2:$BN$145)&gt;0)),ROW()-1),1))))))))),"")</f>
        <v/>
      </c>
      <c r="BM13" s="2438"/>
      <c r="BN13" s="2478" t="s">
        <v>1024</v>
      </c>
      <c r="BO13" s="2518" t="s">
        <v>1024</v>
      </c>
      <c r="BP13" s="2518" t="s">
        <v>1198</v>
      </c>
      <c r="BQ13" s="2518"/>
      <c r="BR13" s="2470"/>
      <c r="BS13" s="2471"/>
      <c r="BT13" s="2518" t="s">
        <v>1278</v>
      </c>
      <c r="BU13" s="2518" t="s">
        <v>1295</v>
      </c>
      <c r="BX13" s="201"/>
    </row>
    <row r="14" spans="1:254" ht="22.5" customHeight="1" thickTop="1" thickBot="1">
      <c r="A14" s="2501" t="str">
        <f t="shared" si="1"/>
        <v/>
      </c>
      <c r="B14" s="2710"/>
      <c r="C14" s="2711"/>
      <c r="D14" s="2711"/>
      <c r="E14" s="2711"/>
      <c r="F14" s="2711"/>
      <c r="G14" s="2711"/>
      <c r="H14" s="2712"/>
      <c r="I14" s="1174"/>
      <c r="J14" s="1175">
        <f>IFERROR(Tabelle1!AR14,0)</f>
        <v>0</v>
      </c>
      <c r="K14" s="1176"/>
      <c r="L14" s="1177"/>
      <c r="M14" s="1176"/>
      <c r="N14" s="1177"/>
      <c r="O14" s="1178">
        <f>IFERROR(Tabelle1!AX14,0)</f>
        <v>0</v>
      </c>
      <c r="P14" s="1178">
        <f>IFERROR(Tabelle1!BI14,0)</f>
        <v>0</v>
      </c>
      <c r="Q14" s="1178">
        <f>IFERROR(Tabelle1!BO14,0)</f>
        <v>0</v>
      </c>
      <c r="R14" s="1179">
        <f>IFERROR(Tabelle1!BB14,0)</f>
        <v>0</v>
      </c>
      <c r="S14" s="1179">
        <f>IFERROR(Tabelle1!AY14,0)</f>
        <v>0</v>
      </c>
      <c r="T14" s="1179">
        <f>IFERROR(Tabelle1!AZ14,0)</f>
        <v>0</v>
      </c>
      <c r="U14" s="1179">
        <f>IFERROR(Tabelle1!BA14,0)</f>
        <v>0</v>
      </c>
      <c r="V14" s="1179">
        <f>IFERROR(Tabelle1!CA14,0)</f>
        <v>0</v>
      </c>
      <c r="W14" s="1179">
        <f>IFERROR(Tabelle1!CG14,0)</f>
        <v>0</v>
      </c>
      <c r="X14" s="1179"/>
      <c r="Y14" s="535"/>
      <c r="Z14" s="192" t="s">
        <v>1418</v>
      </c>
      <c r="AF14" s="2445">
        <f>IF(AND(COUNTIF(Liste_Tiere[Tiere gesamt],$B17)=1,$B17&lt;&gt;"",$B17&lt;&gt;0),1,0)</f>
        <v>0</v>
      </c>
      <c r="AG14" s="2507" t="str">
        <f t="shared" si="0"/>
        <v/>
      </c>
      <c r="AH14" s="2504">
        <f>IF(AND($B17&lt;&gt;"",$B17&lt;&gt;"ZURÜCK ZUR AUSWAHL"),COUNTIF(TiereDropDown[B17],$B17),0)</f>
        <v>0</v>
      </c>
      <c r="AJ14" s="2472" t="str">
        <f>IFERROR(IF(OR(AK$2="ZURÜCK ZUR AUSWAHL",AK$2="",AK$2=0),"",IF(AK$2=$BO$1,$BO13,IF(AK$2=$BP$1,$BP13,IF(AK$2=$BQ$1,$BQ13,IF(AK$2=$BR$1,$BR13,IF(AK$2=$BS$1,$BS13,IF(AK$2=$BT$1,$BT13,IF(AK$2=$BU$1,$BU13,INDEX(Tiere!$BN$2:$BN$145,_xlfn.AGGREGATE(15,6,(ROW(Tiere!$BN$2:$BN$145)-1)/(--(SEARCH(AK$2,Tiere!$BN$2:$BN$145)&gt;0)),ROW()-2),1))))))))),"")</f>
        <v/>
      </c>
      <c r="AK14" s="2503"/>
      <c r="AL14" s="2472" t="str">
        <f>IFERROR(IF(OR(AM$2="ZURÜCK ZUR AUSWAHL",AM$2="",AM$2=0),"",IF(AM$2=$BO$1,$BO13,IF(AM$2=$BP$1,$BP13,IF(AM$2=$BQ$1,$BQ13,IF(AM$2=$BR$1,$BR13,IF(AM$2=$BS$1,$BS13,IF(AM$2=$BT$1,$BT13,IF(AM$2=$BU$1,$BU13,INDEX(Tiere!$BN$2:$BN$145,_xlfn.AGGREGATE(15,6,(ROW(Tiere!$BN$2:$BN$145)-1)/(--(SEARCH(AM$2,Tiere!$BN$2:$BN$145)&gt;0)),ROW()-1),1))))))))),"")</f>
        <v/>
      </c>
      <c r="AM14" s="2436"/>
      <c r="AN14" s="2472" t="str">
        <f>IFERROR(IF(OR(AO$2="ZURÜCK ZUR AUSWAHL",AO$2="",AO$2=0),"",IF(AO$2=$BO$1,$BO13,IF(AO$2=$BP$1,$BP13,IF(AO$2=$BQ$1,$BQ13,IF(AO$2=$BR$1,$BR13,IF(AO$2=$BS$1,$BS13,IF(AO$2=$BT$1,$BT13,IF(AO$2=$BU$1,$BU13,INDEX(Tiere!$BN$2:$BN$145,_xlfn.AGGREGATE(15,6,(ROW(Tiere!$BN$2:$BN$145)-1)/(--(SEARCH(AO$2,Tiere!$BN$2:$BN$145)&gt;0)),ROW()-1),1))))))))),"")</f>
        <v/>
      </c>
      <c r="AO14" s="2436"/>
      <c r="AP14" s="2472" t="str">
        <f>IFERROR(IF(OR(AQ$2="ZURÜCK ZUR AUSWAHL",AQ$2="",AQ$2=0),"",IF(AQ$2=$BO$1,$BO13,IF(AQ$2=$BP$1,$BP13,IF(AQ$2=$BQ$1,$BQ13,IF(AQ$2=$BR$1,$BR13,IF(AQ$2=$BS$1,$BS13,IF(AQ$2=$BT$1,$BT13,IF(AQ$2=$BU$1,$BU13,INDEX(Tiere!$BN$2:$BN$145,_xlfn.AGGREGATE(15,6,(ROW(Tiere!$BN$2:$BN$145)-1)/(--(SEARCH(AQ$2,Tiere!$BN$2:$BN$145)&gt;0)),ROW()-1),1))))))))),"")</f>
        <v/>
      </c>
      <c r="AQ14" s="2436"/>
      <c r="AR14" s="2472" t="str">
        <f>IFERROR(IF(OR(AS$2="ZURÜCK ZUR AUSWAHL",AS$2="",AS$2=0),"",IF(AS$2=$BO$1,$BO13,IF(AS$2=$BP$1,$BP13,IF(AS$2=$BQ$1,$BQ13,IF(AS$2=$BR$1,$BR13,IF(AS$2=$BS$1,$BS13,IF(AS$2=$BT$1,$BT13,IF(AS$2=$BU$1,$BU13,INDEX(Tiere!$BN$2:$BN$145,_xlfn.AGGREGATE(15,6,(ROW(Tiere!$BN$2:$BN$145)-1)/(--(SEARCH(AS$2,Tiere!$BN$2:$BN$145)&gt;0)),ROW()-1),1))))))))),"")</f>
        <v/>
      </c>
      <c r="AS14" s="2436"/>
      <c r="AT14" s="2472" t="str">
        <f>IFERROR(IF(OR(AU$2="ZURÜCK ZUR AUSWAHL",AU$2="",AU$2=0),"",IF(AU$2=$BO$1,$BO13,IF(AU$2=$BP$1,$BP13,IF(AU$2=$BQ$1,$BQ13,IF(AU$2=$BR$1,$BR13,IF(AU$2=$BS$1,$BS13,IF(AU$2=$BT$1,$BT13,IF(AU$2=$BU$1,$BU13,INDEX(Tiere!$BN$2:$BN$145,_xlfn.AGGREGATE(15,6,(ROW(Tiere!$BN$2:$BN$145)-1)/(--(SEARCH(AU$2,Tiere!$BN$2:$BN$145)&gt;0)),ROW()-1),1))))))))),"")</f>
        <v/>
      </c>
      <c r="AU14" s="2436"/>
      <c r="AV14" s="2472" t="str">
        <f>IFERROR(IF(OR(AW$2="ZURÜCK ZUR AUSWAHL",AW$2="",AW$2=0),"",IF(AW$2=$BO$1,$BO13,IF(AW$2=$BP$1,$BP13,IF(AW$2=$BQ$1,$BQ13,IF(AW$2=$BR$1,$BR13,IF(AW$2=$BS$1,$BS13,IF(AW$2=$BT$1,$BT13,IF(AW$2=$BU$1,$BU13,INDEX(Tiere!$BN$2:$BN$145,_xlfn.AGGREGATE(15,6,(ROW(Tiere!$BN$2:$BN$145)-1)/(--(SEARCH(AW$2,Tiere!$BN$2:$BN$145)&gt;0)),ROW()-1),1))))))))),"")</f>
        <v/>
      </c>
      <c r="AW14" s="2436"/>
      <c r="AX14" s="2472" t="str">
        <f>IFERROR(IF(OR(AY$2="ZURÜCK ZUR AUSWAHL",AY$2="",AY$2=0),"",IF(AY$2=$BO$1,$BO13,IF(AY$2=$BP$1,$BP13,IF(AY$2=$BQ$1,$BQ13,IF(AY$2=$BR$1,$BR13,IF(AY$2=$BS$1,$BS13,IF(AY$2=$BT$1,$BT13,IF(AY$2=$BU$1,$BU13,INDEX(Tiere!$BN$2:$BN$145,_xlfn.AGGREGATE(15,6,(ROW(Tiere!$BN$2:$BN$145)-1)/(--(SEARCH(AY$2,Tiere!$BN$2:$BN$145)&gt;0)),ROW()-1),1))))))))),"")</f>
        <v/>
      </c>
      <c r="AY14" s="2436"/>
      <c r="AZ14" s="2472" t="str">
        <f>IFERROR(IF(OR(BA$2="ZURÜCK ZUR AUSWAHL",BA$2="",BA$2=0),"",IF(BA$2=$BO$1,$BO13,IF(BA$2=$BP$1,$BP13,IF(BA$2=$BQ$1,$BQ13,IF(BA$2=$BR$1,$BR13,IF(BA$2=$BS$1,$BS13,IF(BA$2=$BT$1,$BT13,IF(BA$2=$BU$1,$BU13,INDEX(Tiere!$BN$2:$BN$145,_xlfn.AGGREGATE(15,6,(ROW(Tiere!$BN$2:$BN$145)-1)/(--(SEARCH(BA$2,Tiere!$BN$2:$BN$145)&gt;0)),ROW()-1),1))))))))),"")</f>
        <v/>
      </c>
      <c r="BA14" s="2436"/>
      <c r="BB14" s="2472" t="str">
        <f>IFERROR(IF(OR(BC$2="ZURÜCK ZUR AUSWAHL",BC$2="",BC$2=0),"",IF(BC$2=$BO$1,$BO13,IF(BC$2=$BP$1,$BP13,IF(BC$2=$BQ$1,$BQ13,IF(BC$2=$BR$1,$BR13,IF(BC$2=$BS$1,$BS13,IF(BC$2=$BT$1,$BT13,IF(BC$2=$BU$1,$BU13,INDEX(Tiere!$BN$2:$BN$145,_xlfn.AGGREGATE(15,6,(ROW(Tiere!$BN$2:$BN$145)-1)/(--(SEARCH(BC$2,Tiere!$BN$2:$BN$145)&gt;0)),ROW()-1),1))))))))),"")</f>
        <v/>
      </c>
      <c r="BC14" s="2436"/>
      <c r="BD14" s="2472" t="str">
        <f>IFERROR(IF(OR(BE$2="ZURÜCK ZUR AUSWAHL",BE$2="",BE$2=0),"",IF(BE$2=$BO$1,$BO13,IF(BE$2=$BP$1,$BP13,IF(BE$2=$BQ$1,$BQ13,IF(BE$2=$BR$1,$BR13,IF(BE$2=$BS$1,$BS13,IF(BE$2=$BT$1,$BT13,IF(BE$2=$BU$1,$BU13,INDEX(Tiere!$BN$2:$BN$145,_xlfn.AGGREGATE(15,6,(ROW(Tiere!$BN$2:$BN$145)-1)/(--(SEARCH(BE$2,Tiere!$BN$2:$BN$145)&gt;0)),ROW()-1),1))))))))),"")</f>
        <v/>
      </c>
      <c r="BE14" s="2436"/>
      <c r="BF14" s="2472" t="str">
        <f>IFERROR(IF(OR(BG$2="ZURÜCK ZUR AUSWAHL",BG$2="",BG$2=0),"",IF(BG$2=$BO$1,$BO13,IF(BG$2=$BP$1,$BP13,IF(BG$2=$BQ$1,$BQ13,IF(BG$2=$BR$1,$BR13,IF(BG$2=$BS$1,$BS13,IF(BG$2=$BT$1,$BT13,IF(BG$2=$BU$1,$BU13,INDEX(Tiere!$BN$2:$BN$145,_xlfn.AGGREGATE(15,6,(ROW(Tiere!$BN$2:$BN$145)-1)/(--(SEARCH(BG$2,Tiere!$BN$2:$BN$145)&gt;0)),ROW()-1),1))))))))),"")</f>
        <v/>
      </c>
      <c r="BG14" s="2436"/>
      <c r="BH14" s="2472" t="str">
        <f>IFERROR(IF(OR(BI$2="ZURÜCK ZUR AUSWAHL",BI$2="",BI$2=0),"",IF(BI$2=$BO$1,$BO13,IF(BI$2=$BP$1,$BP13,IF(BI$2=$BQ$1,$BQ13,IF(BI$2=$BR$1,$BR13,IF(BI$2=$BS$1,$BS13,IF(BI$2=$BT$1,$BT13,IF(BI$2=$BU$1,$BU13,INDEX(Tiere!$BN$2:$BN$145,_xlfn.AGGREGATE(15,6,(ROW(Tiere!$BN$2:$BN$145)-1)/(--(SEARCH(BI$2,Tiere!$BN$2:$BN$145)&gt;0)),ROW()-1),1))))))))),"")</f>
        <v/>
      </c>
      <c r="BI14" s="2436"/>
      <c r="BJ14" s="2472" t="str">
        <f>IFERROR(IF(OR(BK$2="ZURÜCK ZUR AUSWAHL",BK$2="",BK$2=0),"",IF(BK$2=$BO$1,$BO13,IF(BK$2=$BP$1,$BP13,IF(BK$2=$BQ$1,$BQ13,IF(BK$2=$BR$1,$BR13,IF(BK$2=$BS$1,$BS13,IF(BK$2=$BT$1,$BT13,IF(BK$2=$BU$1,$BU13,INDEX(Tiere!$BN$2:$BN$145,_xlfn.AGGREGATE(15,6,(ROW(Tiere!$BN$2:$BN$145)-1)/(--(SEARCH(BK$2,Tiere!$BN$2:$BN$145)&gt;0)),ROW()-1),1))))))))),"")</f>
        <v/>
      </c>
      <c r="BK14" s="2436"/>
      <c r="BL14" s="2472" t="str">
        <f>IFERROR(IF(OR(BM$2="ZURÜCK ZUR AUSWAHL",BM$2="",BM$2=0),"",IF(BM$2=$BO$1,$BO13,IF(BM$2=$BP$1,$BP13,IF(BM$2=$BQ$1,$BQ13,IF(BM$2=$BR$1,$BR13,IF(BM$2=$BS$1,$BS13,IF(BM$2=$BT$1,$BT13,IF(BM$2=$BU$1,$BU13,INDEX(Tiere!$BN$2:$BN$145,_xlfn.AGGREGATE(15,6,(ROW(Tiere!$BN$2:$BN$145)-1)/(--(SEARCH(BM$2,Tiere!$BN$2:$BN$145)&gt;0)),ROW()-1),1))))))))),"")</f>
        <v/>
      </c>
      <c r="BM14" s="2436"/>
      <c r="BN14" s="2478" t="s">
        <v>1026</v>
      </c>
      <c r="BO14" s="2518" t="s">
        <v>1026</v>
      </c>
      <c r="BP14" s="2518" t="s">
        <v>1200</v>
      </c>
      <c r="BQ14" s="2518"/>
      <c r="BR14" s="2470"/>
      <c r="BS14" s="2470"/>
      <c r="BT14" s="2519" t="s">
        <v>1279</v>
      </c>
      <c r="BU14" s="2519" t="s">
        <v>1296</v>
      </c>
      <c r="BX14" s="201"/>
    </row>
    <row r="15" spans="1:254" ht="22.5" customHeight="1" thickBot="1">
      <c r="A15" s="2501" t="str">
        <f t="shared" si="1"/>
        <v/>
      </c>
      <c r="B15" s="2710"/>
      <c r="C15" s="2711"/>
      <c r="D15" s="2711"/>
      <c r="E15" s="2711"/>
      <c r="F15" s="2711"/>
      <c r="G15" s="2711"/>
      <c r="H15" s="2712"/>
      <c r="I15" s="1174"/>
      <c r="J15" s="1175">
        <f>IFERROR(Tabelle1!AR15,0)</f>
        <v>0</v>
      </c>
      <c r="K15" s="1176"/>
      <c r="L15" s="1177"/>
      <c r="M15" s="1176"/>
      <c r="N15" s="1177"/>
      <c r="O15" s="1178">
        <f>IFERROR(Tabelle1!AX15,0)</f>
        <v>0</v>
      </c>
      <c r="P15" s="1178">
        <f>IFERROR(Tabelle1!BI15,0)</f>
        <v>0</v>
      </c>
      <c r="Q15" s="1178">
        <f>IFERROR(Tabelle1!BO15,0)</f>
        <v>0</v>
      </c>
      <c r="R15" s="1179">
        <f>IFERROR(Tabelle1!BB15,0)</f>
        <v>0</v>
      </c>
      <c r="S15" s="1179">
        <f>IFERROR(Tabelle1!AY15,0)</f>
        <v>0</v>
      </c>
      <c r="T15" s="1179">
        <f>IFERROR(Tabelle1!AZ15,0)</f>
        <v>0</v>
      </c>
      <c r="U15" s="1179">
        <f>IFERROR(Tabelle1!BA15,0)</f>
        <v>0</v>
      </c>
      <c r="V15" s="1179">
        <f>IFERROR(Tabelle1!CA15,0)</f>
        <v>0</v>
      </c>
      <c r="W15" s="1179">
        <f>IFERROR(Tabelle1!CG15,0)</f>
        <v>0</v>
      </c>
      <c r="X15" s="1179"/>
      <c r="Y15" s="535"/>
      <c r="Z15" s="193" t="s">
        <v>1419</v>
      </c>
      <c r="AF15" s="2445">
        <f>IF(AND(COUNTIF(Liste_Tiere[Tiere gesamt],$B18)=1,$B18&lt;&gt;"",$B18&lt;&gt;0),1,0)</f>
        <v>0</v>
      </c>
      <c r="AG15" s="2507" t="str">
        <f t="shared" si="0"/>
        <v/>
      </c>
      <c r="AH15" s="2504">
        <f>IF(AND($B18&lt;&gt;"",$B18&lt;&gt;"ZURÜCK ZUR AUSWAHL"),COUNTIF(TiereDropDown[B18],$B18),0)</f>
        <v>0</v>
      </c>
      <c r="AJ15" s="2472" t="str">
        <f>IFERROR(IF(OR(AK$2="ZURÜCK ZUR AUSWAHL",AK$2="",AK$2=0),"",IF(AK$2=$BO$1,$BO14,IF(AK$2=$BP$1,$BP14,IF(AK$2=$BQ$1,"ZURÜCK ZUR AUSWAHL",IF(AK$2=$BR$1,$BR14,IF(AK$2=$BS$1,$BS14,IF(AK$2=$BT$1,$BT14,IF(AK$2=$BU$1,$BU14,INDEX(Tiere!$BN$2:$BN$145,_xlfn.AGGREGATE(15,6,(ROW(Tiere!$BN$2:$BN$145)-1)/(--(SEARCH(AK$2,Tiere!$BN$2:$BN$145)&gt;0)),ROW()-2),1))))))))),"")</f>
        <v/>
      </c>
      <c r="AK15" s="2503"/>
      <c r="AL15" s="2472" t="str">
        <f>IFERROR(IF(OR(AM$2="ZURÜCK ZUR AUSWAHL",AM$2="",AM$2=0),"",IF(AM$2=$BO$1,$BO14,IF(AM$2=$BP$1,$BP14,IF(AM$2=$BQ$1,"ZURÜCK ZUR AUSWAHL",IF(AM$2=$BR$1,$BR14,IF(AM$2=$BS$1,$BS14,IF(AM$2=$BT$1,$BT14,IF(AM$2=$BU$1,$BU14,INDEX(Tiere!$BN$2:$BN$145,_xlfn.AGGREGATE(15,6,(ROW(Tiere!$BN$2:$BN$145)-1)/(--(SEARCH(AM$2,Tiere!$BN$2:$BN$145)&gt;0)),ROW()-1),1))))))))),"")</f>
        <v/>
      </c>
      <c r="AM15" s="2438"/>
      <c r="AN15" s="2472" t="str">
        <f>IFERROR(IF(OR(AO$2="ZURÜCK ZUR AUSWAHL",AO$2="",AO$2=0),"",IF(AO$2=$BO$1,$BO14,IF(AO$2=$BP$1,$BP14,IF(AO$2=$BQ$1,"ZURÜCK ZUR AUSWAHL",IF(AO$2=$BR$1,$BR14,IF(AO$2=$BS$1,$BS14,IF(AO$2=$BT$1,$BT14,IF(AO$2=$BU$1,$BU14,INDEX(Tiere!$BN$2:$BN$145,_xlfn.AGGREGATE(15,6,(ROW(Tiere!$BN$2:$BN$145)-1)/(--(SEARCH(AO$2,Tiere!$BN$2:$BN$145)&gt;0)),ROW()-1),1))))))))),"")</f>
        <v/>
      </c>
      <c r="AO15" s="2438"/>
      <c r="AP15" s="2472" t="str">
        <f>IFERROR(IF(OR(AQ$2="ZURÜCK ZUR AUSWAHL",AQ$2="",AQ$2=0),"",IF(AQ$2=$BO$1,$BO14,IF(AQ$2=$BP$1,$BP14,IF(AQ$2=$BQ$1,"ZURÜCK ZUR AUSWAHL",IF(AQ$2=$BR$1,$BR14,IF(AQ$2=$BS$1,$BS14,IF(AQ$2=$BT$1,$BT14,IF(AQ$2=$BU$1,$BU14,INDEX(Tiere!$BN$2:$BN$145,_xlfn.AGGREGATE(15,6,(ROW(Tiere!$BN$2:$BN$145)-1)/(--(SEARCH(AQ$2,Tiere!$BN$2:$BN$145)&gt;0)),ROW()-1),1))))))))),"")</f>
        <v/>
      </c>
      <c r="AQ15" s="2438"/>
      <c r="AR15" s="2472" t="str">
        <f>IFERROR(IF(OR(AS$2="ZURÜCK ZUR AUSWAHL",AS$2="",AS$2=0),"",IF(AS$2=$BO$1,$BO14,IF(AS$2=$BP$1,$BP14,IF(AS$2=$BQ$1,"ZURÜCK ZUR AUSWAHL",IF(AS$2=$BR$1,$BR14,IF(AS$2=$BS$1,$BS14,IF(AS$2=$BT$1,$BT14,IF(AS$2=$BU$1,$BU14,INDEX(Tiere!$BN$2:$BN$145,_xlfn.AGGREGATE(15,6,(ROW(Tiere!$BN$2:$BN$145)-1)/(--(SEARCH(AS$2,Tiere!$BN$2:$BN$145)&gt;0)),ROW()-1),1))))))))),"")</f>
        <v/>
      </c>
      <c r="AS15" s="2438"/>
      <c r="AT15" s="2472" t="str">
        <f>IFERROR(IF(OR(AU$2="ZURÜCK ZUR AUSWAHL",AU$2="",AU$2=0),"",IF(AU$2=$BO$1,$BO14,IF(AU$2=$BP$1,$BP14,IF(AU$2=$BQ$1,"ZURÜCK ZUR AUSWAHL",IF(AU$2=$BR$1,$BR14,IF(AU$2=$BS$1,$BS14,IF(AU$2=$BT$1,$BT14,IF(AU$2=$BU$1,$BU14,INDEX(Tiere!$BN$2:$BN$145,_xlfn.AGGREGATE(15,6,(ROW(Tiere!$BN$2:$BN$145)-1)/(--(SEARCH(AU$2,Tiere!$BN$2:$BN$145)&gt;0)),ROW()-1),1))))))))),"")</f>
        <v/>
      </c>
      <c r="AU15" s="2438"/>
      <c r="AV15" s="2472" t="str">
        <f>IFERROR(IF(OR(AW$2="ZURÜCK ZUR AUSWAHL",AW$2="",AW$2=0),"",IF(AW$2=$BO$1,$BO14,IF(AW$2=$BP$1,$BP14,IF(AW$2=$BQ$1,"ZURÜCK ZUR AUSWAHL",IF(AW$2=$BR$1,$BR14,IF(AW$2=$BS$1,$BS14,IF(AW$2=$BT$1,$BT14,IF(AW$2=$BU$1,$BU14,INDEX(Tiere!$BN$2:$BN$145,_xlfn.AGGREGATE(15,6,(ROW(Tiere!$BN$2:$BN$145)-1)/(--(SEARCH(AW$2,Tiere!$BN$2:$BN$145)&gt;0)),ROW()-1),1))))))))),"")</f>
        <v/>
      </c>
      <c r="AW15" s="2438"/>
      <c r="AX15" s="2472" t="str">
        <f>IFERROR(IF(OR(AY$2="ZURÜCK ZUR AUSWAHL",AY$2="",AY$2=0),"",IF(AY$2=$BO$1,$BO14,IF(AY$2=$BP$1,$BP14,IF(AY$2=$BQ$1,"ZURÜCK ZUR AUSWAHL",IF(AY$2=$BR$1,$BR14,IF(AY$2=$BS$1,$BS14,IF(AY$2=$BT$1,$BT14,IF(AY$2=$BU$1,$BU14,INDEX(Tiere!$BN$2:$BN$145,_xlfn.AGGREGATE(15,6,(ROW(Tiere!$BN$2:$BN$145)-1)/(--(SEARCH(AY$2,Tiere!$BN$2:$BN$145)&gt;0)),ROW()-1),1))))))))),"")</f>
        <v/>
      </c>
      <c r="AY15" s="2438"/>
      <c r="AZ15" s="2472" t="str">
        <f>IFERROR(IF(OR(BA$2="ZURÜCK ZUR AUSWAHL",BA$2="",BA$2=0),"",IF(BA$2=$BO$1,$BO14,IF(BA$2=$BP$1,$BP14,IF(BA$2=$BQ$1,"ZURÜCK ZUR AUSWAHL",IF(BA$2=$BR$1,$BR14,IF(BA$2=$BS$1,$BS14,IF(BA$2=$BT$1,$BT14,IF(BA$2=$BU$1,$BU14,INDEX(Tiere!$BN$2:$BN$145,_xlfn.AGGREGATE(15,6,(ROW(Tiere!$BN$2:$BN$145)-1)/(--(SEARCH(BA$2,Tiere!$BN$2:$BN$145)&gt;0)),ROW()-1),1))))))))),"")</f>
        <v/>
      </c>
      <c r="BA15" s="2438"/>
      <c r="BB15" s="2472" t="str">
        <f>IFERROR(IF(OR(BC$2="ZURÜCK ZUR AUSWAHL",BC$2="",BC$2=0),"",IF(BC$2=$BO$1,$BO14,IF(BC$2=$BP$1,$BP14,IF(BC$2=$BQ$1,"ZURÜCK ZUR AUSWAHL",IF(BC$2=$BR$1,$BR14,IF(BC$2=$BS$1,$BS14,IF(BC$2=$BT$1,$BT14,IF(BC$2=$BU$1,$BU14,INDEX(Tiere!$BN$2:$BN$145,_xlfn.AGGREGATE(15,6,(ROW(Tiere!$BN$2:$BN$145)-1)/(--(SEARCH(BC$2,Tiere!$BN$2:$BN$145)&gt;0)),ROW()-1),1))))))))),"")</f>
        <v/>
      </c>
      <c r="BC15" s="2438"/>
      <c r="BD15" s="2472" t="str">
        <f>IFERROR(IF(OR(BE$2="ZURÜCK ZUR AUSWAHL",BE$2="",BE$2=0),"",IF(BE$2=$BO$1,$BO14,IF(BE$2=$BP$1,$BP14,IF(BE$2=$BQ$1,"ZURÜCK ZUR AUSWAHL",IF(BE$2=$BR$1,$BR14,IF(BE$2=$BS$1,$BS14,IF(BE$2=$BT$1,$BT14,IF(BE$2=$BU$1,$BU14,INDEX(Tiere!$BN$2:$BN$145,_xlfn.AGGREGATE(15,6,(ROW(Tiere!$BN$2:$BN$145)-1)/(--(SEARCH(BE$2,Tiere!$BN$2:$BN$145)&gt;0)),ROW()-1),1))))))))),"")</f>
        <v/>
      </c>
      <c r="BE15" s="2438"/>
      <c r="BF15" s="2472" t="str">
        <f>IFERROR(IF(OR(BG$2="ZURÜCK ZUR AUSWAHL",BG$2="",BG$2=0),"",IF(BG$2=$BO$1,$BO14,IF(BG$2=$BP$1,$BP14,IF(BG$2=$BQ$1,"ZURÜCK ZUR AUSWAHL",IF(BG$2=$BR$1,$BR14,IF(BG$2=$BS$1,$BS14,IF(BG$2=$BT$1,$BT14,IF(BG$2=$BU$1,$BU14,INDEX(Tiere!$BN$2:$BN$145,_xlfn.AGGREGATE(15,6,(ROW(Tiere!$BN$2:$BN$145)-1)/(--(SEARCH(BG$2,Tiere!$BN$2:$BN$145)&gt;0)),ROW()-1),1))))))))),"")</f>
        <v/>
      </c>
      <c r="BG15" s="2438"/>
      <c r="BH15" s="2472" t="str">
        <f>IFERROR(IF(OR(BI$2="ZURÜCK ZUR AUSWAHL",BI$2="",BI$2=0),"",IF(BI$2=$BO$1,$BO14,IF(BI$2=$BP$1,$BP14,IF(BI$2=$BQ$1,"ZURÜCK ZUR AUSWAHL",IF(BI$2=$BR$1,$BR14,IF(BI$2=$BS$1,$BS14,IF(BI$2=$BT$1,$BT14,IF(BI$2=$BU$1,$BU14,INDEX(Tiere!$BN$2:$BN$145,_xlfn.AGGREGATE(15,6,(ROW(Tiere!$BN$2:$BN$145)-1)/(--(SEARCH(BI$2,Tiere!$BN$2:$BN$145)&gt;0)),ROW()-1),1))))))))),"")</f>
        <v/>
      </c>
      <c r="BI15" s="2438"/>
      <c r="BJ15" s="2472" t="str">
        <f>IFERROR(IF(OR(BK$2="ZURÜCK ZUR AUSWAHL",BK$2="",BK$2=0),"",IF(BK$2=$BO$1,$BO14,IF(BK$2=$BP$1,$BP14,IF(BK$2=$BQ$1,"ZURÜCK ZUR AUSWAHL",IF(BK$2=$BR$1,$BR14,IF(BK$2=$BS$1,$BS14,IF(BK$2=$BT$1,$BT14,IF(BK$2=$BU$1,$BU14,INDEX(Tiere!$BN$2:$BN$145,_xlfn.AGGREGATE(15,6,(ROW(Tiere!$BN$2:$BN$145)-1)/(--(SEARCH(BK$2,Tiere!$BN$2:$BN$145)&gt;0)),ROW()-1),1))))))))),"")</f>
        <v/>
      </c>
      <c r="BK15" s="2438"/>
      <c r="BL15" s="2472" t="str">
        <f>IFERROR(IF(OR(BM$2="ZURÜCK ZUR AUSWAHL",BM$2="",BM$2=0),"",IF(BM$2=$BO$1,$BO14,IF(BM$2=$BP$1,$BP14,IF(BM$2=$BQ$1,"ZURÜCK ZUR AUSWAHL",IF(BM$2=$BR$1,$BR14,IF(BM$2=$BS$1,$BS14,IF(BM$2=$BT$1,$BT14,IF(BM$2=$BU$1,$BU14,INDEX(Tiere!$BN$2:$BN$145,_xlfn.AGGREGATE(15,6,(ROW(Tiere!$BN$2:$BN$145)-1)/(--(SEARCH(BM$2,Tiere!$BN$2:$BN$145)&gt;0)),ROW()-1),1))))))))),"")</f>
        <v/>
      </c>
      <c r="BM15" s="2438"/>
      <c r="BN15" s="2478" t="s">
        <v>1027</v>
      </c>
      <c r="BO15" s="2518" t="s">
        <v>1027</v>
      </c>
      <c r="BP15" s="2518" t="s">
        <v>1203</v>
      </c>
      <c r="BQ15" s="2520"/>
      <c r="BR15" s="2470"/>
      <c r="BS15" s="2470"/>
      <c r="BT15" s="2518" t="s">
        <v>1280</v>
      </c>
      <c r="BU15" s="2518" t="s">
        <v>1297</v>
      </c>
      <c r="BX15" s="201"/>
    </row>
    <row r="16" spans="1:254" ht="22.5" customHeight="1" thickBot="1">
      <c r="A16" s="2501" t="str">
        <f t="shared" si="1"/>
        <v/>
      </c>
      <c r="B16" s="2710"/>
      <c r="C16" s="2711"/>
      <c r="D16" s="2711"/>
      <c r="E16" s="2711"/>
      <c r="F16" s="2711"/>
      <c r="G16" s="2711"/>
      <c r="H16" s="2712"/>
      <c r="I16" s="1174"/>
      <c r="J16" s="1175">
        <f>IFERROR(Tabelle1!AR16,0)</f>
        <v>0</v>
      </c>
      <c r="K16" s="1176"/>
      <c r="L16" s="1177"/>
      <c r="M16" s="1176"/>
      <c r="N16" s="1177"/>
      <c r="O16" s="1178">
        <f>IFERROR(Tabelle1!AX16,0)</f>
        <v>0</v>
      </c>
      <c r="P16" s="1178">
        <f>IFERROR(Tabelle1!BI16,0)</f>
        <v>0</v>
      </c>
      <c r="Q16" s="1178">
        <f>IFERROR(Tabelle1!BO16,0)</f>
        <v>0</v>
      </c>
      <c r="R16" s="1179">
        <f>IFERROR(Tabelle1!BB16,0)</f>
        <v>0</v>
      </c>
      <c r="S16" s="1179">
        <f>IFERROR(Tabelle1!AY16,0)</f>
        <v>0</v>
      </c>
      <c r="T16" s="1179">
        <f>IFERROR(Tabelle1!AZ16,0)</f>
        <v>0</v>
      </c>
      <c r="U16" s="1179">
        <f>IFERROR(Tabelle1!BA16,0)</f>
        <v>0</v>
      </c>
      <c r="V16" s="1179">
        <f>IFERROR(Tabelle1!CA16,0)</f>
        <v>0</v>
      </c>
      <c r="W16" s="1179">
        <f>IFERROR(Tabelle1!CG16,0)</f>
        <v>0</v>
      </c>
      <c r="X16" s="1179"/>
      <c r="Y16" s="535"/>
      <c r="Z16" s="190" t="s">
        <v>1420</v>
      </c>
      <c r="AF16" s="2446">
        <f>IF(AND(COUNTIF(Liste_Tiere[Tiere gesamt],$B19)=1,$B19&lt;&gt;"",$B19&lt;&gt;0),1,0)</f>
        <v>0</v>
      </c>
      <c r="AG16" s="2508" t="str">
        <f t="shared" si="0"/>
        <v/>
      </c>
      <c r="AH16" s="2504">
        <f>IF(AND($B19&lt;&gt;"",$B19&lt;&gt;"ZURÜCK ZUR AUSWAHL"),COUNTIF(TiereDropDown[B19],$B19),0)</f>
        <v>0</v>
      </c>
      <c r="AJ16" s="2472" t="str">
        <f>IFERROR(IF(OR(AK$2="ZURÜCK ZUR AUSWAHL",AK$2="",AK$2=0),"",IF(AK$2=$BO$1,$BO15,IF(AK$2=$BP$1,$BP15,IF(AK$2=$BQ$1,$BQ15,IF(AK$2=$BR$1,$BR15,IF(AK$2=$BS$1,$BS15,IF(AK$2=$BT$1,$BT15,IF(AK$2=$BU$1,$BU15,INDEX(Tiere!$BN$2:$BN$145,_xlfn.AGGREGATE(15,6,(ROW(Tiere!$BN$2:$BN$145)-1)/(--(SEARCH(AK$2,Tiere!$BN$2:$BN$145)&gt;0)),ROW()-2),1))))))))),"")</f>
        <v/>
      </c>
      <c r="AK16" s="2503"/>
      <c r="AL16" s="2472" t="str">
        <f>IFERROR(IF(OR(AM$2="ZURÜCK ZUR AUSWAHL",AM$2="",AM$2=0),"",IF(AM$2=$BO$1,$BO15,IF(AM$2=$BP$1,$BP15,IF(AM$2=$BQ$1,$BQ15,IF(AM$2=$BR$1,$BR15,IF(AM$2=$BS$1,$BS15,IF(AM$2=$BT$1,$BT15,IF(AM$2=$BU$1,$BU15,INDEX(Tiere!$BN$2:$BN$145,_xlfn.AGGREGATE(15,6,(ROW(Tiere!$BN$2:$BN$145)-1)/(--(SEARCH(AM$2,Tiere!$BN$2:$BN$145)&gt;0)),ROW()-1),1))))))))),"")</f>
        <v/>
      </c>
      <c r="AM16" s="2436"/>
      <c r="AN16" s="2472" t="str">
        <f>IFERROR(IF(OR(AO$2="ZURÜCK ZUR AUSWAHL",AO$2="",AO$2=0),"",IF(AO$2=$BO$1,$BO15,IF(AO$2=$BP$1,$BP15,IF(AO$2=$BQ$1,$BQ15,IF(AO$2=$BR$1,$BR15,IF(AO$2=$BS$1,$BS15,IF(AO$2=$BT$1,$BT15,IF(AO$2=$BU$1,$BU15,INDEX(Tiere!$BN$2:$BN$145,_xlfn.AGGREGATE(15,6,(ROW(Tiere!$BN$2:$BN$145)-1)/(--(SEARCH(AO$2,Tiere!$BN$2:$BN$145)&gt;0)),ROW()-1),1))))))))),"")</f>
        <v/>
      </c>
      <c r="AO16" s="2436"/>
      <c r="AP16" s="2472" t="str">
        <f>IFERROR(IF(OR(AQ$2="ZURÜCK ZUR AUSWAHL",AQ$2="",AQ$2=0),"",IF(AQ$2=$BO$1,$BO15,IF(AQ$2=$BP$1,$BP15,IF(AQ$2=$BQ$1,$BQ15,IF(AQ$2=$BR$1,$BR15,IF(AQ$2=$BS$1,$BS15,IF(AQ$2=$BT$1,$BT15,IF(AQ$2=$BU$1,$BU15,INDEX(Tiere!$BN$2:$BN$145,_xlfn.AGGREGATE(15,6,(ROW(Tiere!$BN$2:$BN$145)-1)/(--(SEARCH(AQ$2,Tiere!$BN$2:$BN$145)&gt;0)),ROW()-1),1))))))))),"")</f>
        <v/>
      </c>
      <c r="AQ16" s="2436"/>
      <c r="AR16" s="2472" t="str">
        <f>IFERROR(IF(OR(AS$2="ZURÜCK ZUR AUSWAHL",AS$2="",AS$2=0),"",IF(AS$2=$BO$1,$BO15,IF(AS$2=$BP$1,$BP15,IF(AS$2=$BQ$1,$BQ15,IF(AS$2=$BR$1,$BR15,IF(AS$2=$BS$1,$BS15,IF(AS$2=$BT$1,$BT15,IF(AS$2=$BU$1,$BU15,INDEX(Tiere!$BN$2:$BN$145,_xlfn.AGGREGATE(15,6,(ROW(Tiere!$BN$2:$BN$145)-1)/(--(SEARCH(AS$2,Tiere!$BN$2:$BN$145)&gt;0)),ROW()-1),1))))))))),"")</f>
        <v/>
      </c>
      <c r="AS16" s="2436"/>
      <c r="AT16" s="2472" t="str">
        <f>IFERROR(IF(OR(AU$2="ZURÜCK ZUR AUSWAHL",AU$2="",AU$2=0),"",IF(AU$2=$BO$1,$BO15,IF(AU$2=$BP$1,$BP15,IF(AU$2=$BQ$1,$BQ15,IF(AU$2=$BR$1,$BR15,IF(AU$2=$BS$1,$BS15,IF(AU$2=$BT$1,$BT15,IF(AU$2=$BU$1,$BU15,INDEX(Tiere!$BN$2:$BN$145,_xlfn.AGGREGATE(15,6,(ROW(Tiere!$BN$2:$BN$145)-1)/(--(SEARCH(AU$2,Tiere!$BN$2:$BN$145)&gt;0)),ROW()-1),1))))))))),"")</f>
        <v/>
      </c>
      <c r="AU16" s="2436"/>
      <c r="AV16" s="2472" t="str">
        <f>IFERROR(IF(OR(AW$2="ZURÜCK ZUR AUSWAHL",AW$2="",AW$2=0),"",IF(AW$2=$BO$1,$BO15,IF(AW$2=$BP$1,$BP15,IF(AW$2=$BQ$1,$BQ15,IF(AW$2=$BR$1,$BR15,IF(AW$2=$BS$1,$BS15,IF(AW$2=$BT$1,$BT15,IF(AW$2=$BU$1,$BU15,INDEX(Tiere!$BN$2:$BN$145,_xlfn.AGGREGATE(15,6,(ROW(Tiere!$BN$2:$BN$145)-1)/(--(SEARCH(AW$2,Tiere!$BN$2:$BN$145)&gt;0)),ROW()-1),1))))))))),"")</f>
        <v/>
      </c>
      <c r="AW16" s="2436"/>
      <c r="AX16" s="2472" t="str">
        <f>IFERROR(IF(OR(AY$2="ZURÜCK ZUR AUSWAHL",AY$2="",AY$2=0),"",IF(AY$2=$BO$1,$BO15,IF(AY$2=$BP$1,$BP15,IF(AY$2=$BQ$1,$BQ15,IF(AY$2=$BR$1,$BR15,IF(AY$2=$BS$1,$BS15,IF(AY$2=$BT$1,$BT15,IF(AY$2=$BU$1,$BU15,INDEX(Tiere!$BN$2:$BN$145,_xlfn.AGGREGATE(15,6,(ROW(Tiere!$BN$2:$BN$145)-1)/(--(SEARCH(AY$2,Tiere!$BN$2:$BN$145)&gt;0)),ROW()-1),1))))))))),"")</f>
        <v/>
      </c>
      <c r="AY16" s="2436"/>
      <c r="AZ16" s="2472" t="str">
        <f>IFERROR(IF(OR(BA$2="ZURÜCK ZUR AUSWAHL",BA$2="",BA$2=0),"",IF(BA$2=$BO$1,$BO15,IF(BA$2=$BP$1,$BP15,IF(BA$2=$BQ$1,$BQ15,IF(BA$2=$BR$1,$BR15,IF(BA$2=$BS$1,$BS15,IF(BA$2=$BT$1,$BT15,IF(BA$2=$BU$1,$BU15,INDEX(Tiere!$BN$2:$BN$145,_xlfn.AGGREGATE(15,6,(ROW(Tiere!$BN$2:$BN$145)-1)/(--(SEARCH(BA$2,Tiere!$BN$2:$BN$145)&gt;0)),ROW()-1),1))))))))),"")</f>
        <v/>
      </c>
      <c r="BA16" s="2436"/>
      <c r="BB16" s="2472" t="str">
        <f>IFERROR(IF(OR(BC$2="ZURÜCK ZUR AUSWAHL",BC$2="",BC$2=0),"",IF(BC$2=$BO$1,$BO15,IF(BC$2=$BP$1,$BP15,IF(BC$2=$BQ$1,$BQ15,IF(BC$2=$BR$1,$BR15,IF(BC$2=$BS$1,$BS15,IF(BC$2=$BT$1,$BT15,IF(BC$2=$BU$1,$BU15,INDEX(Tiere!$BN$2:$BN$145,_xlfn.AGGREGATE(15,6,(ROW(Tiere!$BN$2:$BN$145)-1)/(--(SEARCH(BC$2,Tiere!$BN$2:$BN$145)&gt;0)),ROW()-1),1))))))))),"")</f>
        <v/>
      </c>
      <c r="BC16" s="2436"/>
      <c r="BD16" s="2472" t="str">
        <f>IFERROR(IF(OR(BE$2="ZURÜCK ZUR AUSWAHL",BE$2="",BE$2=0),"",IF(BE$2=$BO$1,$BO15,IF(BE$2=$BP$1,$BP15,IF(BE$2=$BQ$1,$BQ15,IF(BE$2=$BR$1,$BR15,IF(BE$2=$BS$1,$BS15,IF(BE$2=$BT$1,$BT15,IF(BE$2=$BU$1,$BU15,INDEX(Tiere!$BN$2:$BN$145,_xlfn.AGGREGATE(15,6,(ROW(Tiere!$BN$2:$BN$145)-1)/(--(SEARCH(BE$2,Tiere!$BN$2:$BN$145)&gt;0)),ROW()-1),1))))))))),"")</f>
        <v/>
      </c>
      <c r="BE16" s="2436"/>
      <c r="BF16" s="2472" t="str">
        <f>IFERROR(IF(OR(BG$2="ZURÜCK ZUR AUSWAHL",BG$2="",BG$2=0),"",IF(BG$2=$BO$1,$BO15,IF(BG$2=$BP$1,$BP15,IF(BG$2=$BQ$1,$BQ15,IF(BG$2=$BR$1,$BR15,IF(BG$2=$BS$1,$BS15,IF(BG$2=$BT$1,$BT15,IF(BG$2=$BU$1,$BU15,INDEX(Tiere!$BN$2:$BN$145,_xlfn.AGGREGATE(15,6,(ROW(Tiere!$BN$2:$BN$145)-1)/(--(SEARCH(BG$2,Tiere!$BN$2:$BN$145)&gt;0)),ROW()-1),1))))))))),"")</f>
        <v/>
      </c>
      <c r="BG16" s="2436"/>
      <c r="BH16" s="2472" t="str">
        <f>IFERROR(IF(OR(BI$2="ZURÜCK ZUR AUSWAHL",BI$2="",BI$2=0),"",IF(BI$2=$BO$1,$BO15,IF(BI$2=$BP$1,$BP15,IF(BI$2=$BQ$1,$BQ15,IF(BI$2=$BR$1,$BR15,IF(BI$2=$BS$1,$BS15,IF(BI$2=$BT$1,$BT15,IF(BI$2=$BU$1,$BU15,INDEX(Tiere!$BN$2:$BN$145,_xlfn.AGGREGATE(15,6,(ROW(Tiere!$BN$2:$BN$145)-1)/(--(SEARCH(BI$2,Tiere!$BN$2:$BN$145)&gt;0)),ROW()-1),1))))))))),"")</f>
        <v/>
      </c>
      <c r="BI16" s="2436"/>
      <c r="BJ16" s="2472" t="str">
        <f>IFERROR(IF(OR(BK$2="ZURÜCK ZUR AUSWAHL",BK$2="",BK$2=0),"",IF(BK$2=$BO$1,$BO15,IF(BK$2=$BP$1,$BP15,IF(BK$2=$BQ$1,$BQ15,IF(BK$2=$BR$1,$BR15,IF(BK$2=$BS$1,$BS15,IF(BK$2=$BT$1,$BT15,IF(BK$2=$BU$1,$BU15,INDEX(Tiere!$BN$2:$BN$145,_xlfn.AGGREGATE(15,6,(ROW(Tiere!$BN$2:$BN$145)-1)/(--(SEARCH(BK$2,Tiere!$BN$2:$BN$145)&gt;0)),ROW()-1),1))))))))),"")</f>
        <v/>
      </c>
      <c r="BK16" s="2436"/>
      <c r="BL16" s="2472" t="str">
        <f>IFERROR(IF(OR(BM$2="ZURÜCK ZUR AUSWAHL",BM$2="",BM$2=0),"",IF(BM$2=$BO$1,$BO15,IF(BM$2=$BP$1,$BP15,IF(BM$2=$BQ$1,$BQ15,IF(BM$2=$BR$1,$BR15,IF(BM$2=$BS$1,$BS15,IF(BM$2=$BT$1,$BT15,IF(BM$2=$BU$1,$BU15,INDEX(Tiere!$BN$2:$BN$145,_xlfn.AGGREGATE(15,6,(ROW(Tiere!$BN$2:$BN$145)-1)/(--(SEARCH(BM$2,Tiere!$BN$2:$BN$145)&gt;0)),ROW()-1),1))))))))),"")</f>
        <v/>
      </c>
      <c r="BM16" s="2436"/>
      <c r="BN16" s="2478" t="s">
        <v>1029</v>
      </c>
      <c r="BO16" s="2518" t="s">
        <v>1029</v>
      </c>
      <c r="BP16" s="2518" t="s">
        <v>1204</v>
      </c>
      <c r="BQ16" s="2470"/>
      <c r="BR16" s="2470"/>
      <c r="BS16" s="2470"/>
      <c r="BT16" s="2518" t="s">
        <v>1281</v>
      </c>
      <c r="BU16" s="2518" t="s">
        <v>1298</v>
      </c>
      <c r="BX16" s="201"/>
    </row>
    <row r="17" spans="1:76" ht="22.5" customHeight="1" thickBot="1">
      <c r="A17" s="2501" t="str">
        <f t="shared" si="1"/>
        <v/>
      </c>
      <c r="B17" s="2710"/>
      <c r="C17" s="2711"/>
      <c r="D17" s="2711"/>
      <c r="E17" s="2711"/>
      <c r="F17" s="2711"/>
      <c r="G17" s="2711"/>
      <c r="H17" s="2712"/>
      <c r="I17" s="1174"/>
      <c r="J17" s="1175">
        <f>IFERROR(Tabelle1!AR17,0)</f>
        <v>0</v>
      </c>
      <c r="K17" s="1176"/>
      <c r="L17" s="1177"/>
      <c r="M17" s="1176"/>
      <c r="N17" s="1177"/>
      <c r="O17" s="1178">
        <f>IFERROR(Tabelle1!AX17,0)</f>
        <v>0</v>
      </c>
      <c r="P17" s="1178">
        <f>IFERROR(Tabelle1!BI17,0)</f>
        <v>0</v>
      </c>
      <c r="Q17" s="1178">
        <f>IFERROR(Tabelle1!BO17,0)</f>
        <v>0</v>
      </c>
      <c r="R17" s="1179">
        <f>IFERROR(Tabelle1!BB17,0)</f>
        <v>0</v>
      </c>
      <c r="S17" s="1179">
        <f>IFERROR(Tabelle1!AY17,0)</f>
        <v>0</v>
      </c>
      <c r="T17" s="1179">
        <f>IFERROR(Tabelle1!AZ17,0)</f>
        <v>0</v>
      </c>
      <c r="U17" s="1179">
        <f>IFERROR(Tabelle1!BA17,0)</f>
        <v>0</v>
      </c>
      <c r="V17" s="1179">
        <f>IFERROR(Tabelle1!CA17,0)</f>
        <v>0</v>
      </c>
      <c r="W17" s="1179">
        <f>IFERROR(Tabelle1!CG17,0)</f>
        <v>0</v>
      </c>
      <c r="X17" s="1179"/>
      <c r="Y17" s="535"/>
      <c r="Z17" s="186" t="s">
        <v>1421</v>
      </c>
      <c r="AH17" s="2439"/>
      <c r="AJ17" s="2472" t="str">
        <f>IFERROR(IF(OR(AK$2="ZURÜCK ZUR AUSWAHL",AK$2="",AK$2=0),"",IF(AK$2=$BO$1,$BO16,IF(AK$2=$BP$1,$BP16,IF(AK$2=$BQ$1,$BQ16,IF(AK$2=$BR$1,$BR16,IF(AK$2=$BS$1,$BS16,IF(AK$2=$BT$1,$BT16,IF(AK$2=$BU$1,$BU16,INDEX(Tiere!$BN$2:$BN$145,_xlfn.AGGREGATE(15,6,(ROW(Tiere!$BN$2:$BN$145)-1)/(--(SEARCH(AK$2,Tiere!$BN$2:$BN$145)&gt;0)),ROW()-2),1))))))))),"")</f>
        <v/>
      </c>
      <c r="AK17" s="2475"/>
      <c r="AL17" s="2472" t="str">
        <f>IFERROR(IF(OR(AM$2="ZURÜCK ZUR AUSWAHL",AM$2="",AM$2=0),"",IF(AM$2=$BO$1,$BO16,IF(AM$2=$BP$1,$BP16,IF(AM$2=$BQ$1,$BQ16,IF(AM$2=$BR$1,$BR16,IF(AM$2=$BS$1,$BS16,IF(AM$2=$BT$1,$BT16,IF(AM$2=$BU$1,$BU16,INDEX(Tiere!$BN$2:$BN$145,_xlfn.AGGREGATE(15,6,(ROW(Tiere!$BN$2:$BN$145)-1)/(--(SEARCH(AM$2,Tiere!$BN$2:$BN$145)&gt;0)),ROW()-1),1))))))))),"")</f>
        <v/>
      </c>
      <c r="AM17" s="2438"/>
      <c r="AN17" s="2472" t="str">
        <f>IFERROR(IF(OR(AO$2="ZURÜCK ZUR AUSWAHL",AO$2="",AO$2=0),"",IF(AO$2=$BO$1,$BO16,IF(AO$2=$BP$1,$BP16,IF(AO$2=$BQ$1,$BQ16,IF(AO$2=$BR$1,$BR16,IF(AO$2=$BS$1,$BS16,IF(AO$2=$BT$1,$BT16,IF(AO$2=$BU$1,$BU16,INDEX(Tiere!$BN$2:$BN$145,_xlfn.AGGREGATE(15,6,(ROW(Tiere!$BN$2:$BN$145)-1)/(--(SEARCH(AO$2,Tiere!$BN$2:$BN$145)&gt;0)),ROW()-1),1))))))))),"")</f>
        <v/>
      </c>
      <c r="AO17" s="2438"/>
      <c r="AP17" s="2472" t="str">
        <f>IFERROR(IF(OR(AQ$2="ZURÜCK ZUR AUSWAHL",AQ$2="",AQ$2=0),"",IF(AQ$2=$BO$1,$BO16,IF(AQ$2=$BP$1,$BP16,IF(AQ$2=$BQ$1,$BQ16,IF(AQ$2=$BR$1,$BR16,IF(AQ$2=$BS$1,$BS16,IF(AQ$2=$BT$1,$BT16,IF(AQ$2=$BU$1,$BU16,INDEX(Tiere!$BN$2:$BN$145,_xlfn.AGGREGATE(15,6,(ROW(Tiere!$BN$2:$BN$145)-1)/(--(SEARCH(AQ$2,Tiere!$BN$2:$BN$145)&gt;0)),ROW()-1),1))))))))),"")</f>
        <v/>
      </c>
      <c r="AQ17" s="2438"/>
      <c r="AR17" s="2472" t="str">
        <f>IFERROR(IF(OR(AS$2="ZURÜCK ZUR AUSWAHL",AS$2="",AS$2=0),"",IF(AS$2=$BO$1,$BO16,IF(AS$2=$BP$1,$BP16,IF(AS$2=$BQ$1,$BQ16,IF(AS$2=$BR$1,$BR16,IF(AS$2=$BS$1,$BS16,IF(AS$2=$BT$1,$BT16,IF(AS$2=$BU$1,$BU16,INDEX(Tiere!$BN$2:$BN$145,_xlfn.AGGREGATE(15,6,(ROW(Tiere!$BN$2:$BN$145)-1)/(--(SEARCH(AS$2,Tiere!$BN$2:$BN$145)&gt;0)),ROW()-1),1))))))))),"")</f>
        <v/>
      </c>
      <c r="AS17" s="2438"/>
      <c r="AT17" s="2472" t="str">
        <f>IFERROR(IF(OR(AU$2="ZURÜCK ZUR AUSWAHL",AU$2="",AU$2=0),"",IF(AU$2=$BO$1,$BO16,IF(AU$2=$BP$1,$BP16,IF(AU$2=$BQ$1,$BQ16,IF(AU$2=$BR$1,$BR16,IF(AU$2=$BS$1,$BS16,IF(AU$2=$BT$1,$BT16,IF(AU$2=$BU$1,$BU16,INDEX(Tiere!$BN$2:$BN$145,_xlfn.AGGREGATE(15,6,(ROW(Tiere!$BN$2:$BN$145)-1)/(--(SEARCH(AU$2,Tiere!$BN$2:$BN$145)&gt;0)),ROW()-1),1))))))))),"")</f>
        <v/>
      </c>
      <c r="AU17" s="2438"/>
      <c r="AV17" s="2472" t="str">
        <f>IFERROR(IF(OR(AW$2="ZURÜCK ZUR AUSWAHL",AW$2="",AW$2=0),"",IF(AW$2=$BO$1,$BO16,IF(AW$2=$BP$1,$BP16,IF(AW$2=$BQ$1,$BQ16,IF(AW$2=$BR$1,$BR16,IF(AW$2=$BS$1,$BS16,IF(AW$2=$BT$1,$BT16,IF(AW$2=$BU$1,$BU16,INDEX(Tiere!$BN$2:$BN$145,_xlfn.AGGREGATE(15,6,(ROW(Tiere!$BN$2:$BN$145)-1)/(--(SEARCH(AW$2,Tiere!$BN$2:$BN$145)&gt;0)),ROW()-1),1))))))))),"")</f>
        <v/>
      </c>
      <c r="AW17" s="2438"/>
      <c r="AX17" s="2472" t="str">
        <f>IFERROR(IF(OR(AY$2="ZURÜCK ZUR AUSWAHL",AY$2="",AY$2=0),"",IF(AY$2=$BO$1,$BO16,IF(AY$2=$BP$1,$BP16,IF(AY$2=$BQ$1,$BQ16,IF(AY$2=$BR$1,$BR16,IF(AY$2=$BS$1,$BS16,IF(AY$2=$BT$1,$BT16,IF(AY$2=$BU$1,$BU16,INDEX(Tiere!$BN$2:$BN$145,_xlfn.AGGREGATE(15,6,(ROW(Tiere!$BN$2:$BN$145)-1)/(--(SEARCH(AY$2,Tiere!$BN$2:$BN$145)&gt;0)),ROW()-1),1))))))))),"")</f>
        <v/>
      </c>
      <c r="AY17" s="2438"/>
      <c r="AZ17" s="2472" t="str">
        <f>IFERROR(IF(OR(BA$2="ZURÜCK ZUR AUSWAHL",BA$2="",BA$2=0),"",IF(BA$2=$BO$1,$BO16,IF(BA$2=$BP$1,$BP16,IF(BA$2=$BQ$1,$BQ16,IF(BA$2=$BR$1,$BR16,IF(BA$2=$BS$1,$BS16,IF(BA$2=$BT$1,$BT16,IF(BA$2=$BU$1,$BU16,INDEX(Tiere!$BN$2:$BN$145,_xlfn.AGGREGATE(15,6,(ROW(Tiere!$BN$2:$BN$145)-1)/(--(SEARCH(BA$2,Tiere!$BN$2:$BN$145)&gt;0)),ROW()-1),1))))))))),"")</f>
        <v/>
      </c>
      <c r="BA17" s="2438"/>
      <c r="BB17" s="2472" t="str">
        <f>IFERROR(IF(OR(BC$2="ZURÜCK ZUR AUSWAHL",BC$2="",BC$2=0),"",IF(BC$2=$BO$1,$BO16,IF(BC$2=$BP$1,$BP16,IF(BC$2=$BQ$1,$BQ16,IF(BC$2=$BR$1,$BR16,IF(BC$2=$BS$1,$BS16,IF(BC$2=$BT$1,$BT16,IF(BC$2=$BU$1,$BU16,INDEX(Tiere!$BN$2:$BN$145,_xlfn.AGGREGATE(15,6,(ROW(Tiere!$BN$2:$BN$145)-1)/(--(SEARCH(BC$2,Tiere!$BN$2:$BN$145)&gt;0)),ROW()-1),1))))))))),"")</f>
        <v/>
      </c>
      <c r="BC17" s="2438"/>
      <c r="BD17" s="2472" t="str">
        <f>IFERROR(IF(OR(BE$2="ZURÜCK ZUR AUSWAHL",BE$2="",BE$2=0),"",IF(BE$2=$BO$1,$BO16,IF(BE$2=$BP$1,$BP16,IF(BE$2=$BQ$1,$BQ16,IF(BE$2=$BR$1,$BR16,IF(BE$2=$BS$1,$BS16,IF(BE$2=$BT$1,$BT16,IF(BE$2=$BU$1,$BU16,INDEX(Tiere!$BN$2:$BN$145,_xlfn.AGGREGATE(15,6,(ROW(Tiere!$BN$2:$BN$145)-1)/(--(SEARCH(BE$2,Tiere!$BN$2:$BN$145)&gt;0)),ROW()-1),1))))))))),"")</f>
        <v/>
      </c>
      <c r="BE17" s="2438"/>
      <c r="BF17" s="2472" t="str">
        <f>IFERROR(IF(OR(BG$2="ZURÜCK ZUR AUSWAHL",BG$2="",BG$2=0),"",IF(BG$2=$BO$1,$BO16,IF(BG$2=$BP$1,$BP16,IF(BG$2=$BQ$1,$BQ16,IF(BG$2=$BR$1,$BR16,IF(BG$2=$BS$1,$BS16,IF(BG$2=$BT$1,$BT16,IF(BG$2=$BU$1,$BU16,INDEX(Tiere!$BN$2:$BN$145,_xlfn.AGGREGATE(15,6,(ROW(Tiere!$BN$2:$BN$145)-1)/(--(SEARCH(BG$2,Tiere!$BN$2:$BN$145)&gt;0)),ROW()-1),1))))))))),"")</f>
        <v/>
      </c>
      <c r="BG17" s="2438"/>
      <c r="BH17" s="2472" t="str">
        <f>IFERROR(IF(OR(BI$2="ZURÜCK ZUR AUSWAHL",BI$2="",BI$2=0),"",IF(BI$2=$BO$1,$BO16,IF(BI$2=$BP$1,$BP16,IF(BI$2=$BQ$1,$BQ16,IF(BI$2=$BR$1,$BR16,IF(BI$2=$BS$1,$BS16,IF(BI$2=$BT$1,$BT16,IF(BI$2=$BU$1,$BU16,INDEX(Tiere!$BN$2:$BN$145,_xlfn.AGGREGATE(15,6,(ROW(Tiere!$BN$2:$BN$145)-1)/(--(SEARCH(BI$2,Tiere!$BN$2:$BN$145)&gt;0)),ROW()-1),1))))))))),"")</f>
        <v/>
      </c>
      <c r="BI17" s="2438"/>
      <c r="BJ17" s="2472" t="str">
        <f>IFERROR(IF(OR(BK$2="ZURÜCK ZUR AUSWAHL",BK$2="",BK$2=0),"",IF(BK$2=$BO$1,$BO16,IF(BK$2=$BP$1,$BP16,IF(BK$2=$BQ$1,$BQ16,IF(BK$2=$BR$1,$BR16,IF(BK$2=$BS$1,$BS16,IF(BK$2=$BT$1,$BT16,IF(BK$2=$BU$1,$BU16,INDEX(Tiere!$BN$2:$BN$145,_xlfn.AGGREGATE(15,6,(ROW(Tiere!$BN$2:$BN$145)-1)/(--(SEARCH(BK$2,Tiere!$BN$2:$BN$145)&gt;0)),ROW()-1),1))))))))),"")</f>
        <v/>
      </c>
      <c r="BK17" s="2438"/>
      <c r="BL17" s="2472" t="str">
        <f>IFERROR(IF(OR(BM$2="ZURÜCK ZUR AUSWAHL",BM$2="",BM$2=0),"",IF(BM$2=$BO$1,$BO16,IF(BM$2=$BP$1,$BP16,IF(BM$2=$BQ$1,$BQ16,IF(BM$2=$BR$1,$BR16,IF(BM$2=$BS$1,$BS16,IF(BM$2=$BT$1,$BT16,IF(BM$2=$BU$1,$BU16,INDEX(Tiere!$BN$2:$BN$145,_xlfn.AGGREGATE(15,6,(ROW(Tiere!$BN$2:$BN$145)-1)/(--(SEARCH(BM$2,Tiere!$BN$2:$BN$145)&gt;0)),ROW()-1),1))))))))),"")</f>
        <v/>
      </c>
      <c r="BM17" s="2438"/>
      <c r="BN17" s="2478" t="s">
        <v>1031</v>
      </c>
      <c r="BO17" s="2518" t="s">
        <v>1031</v>
      </c>
      <c r="BP17" s="2518" t="s">
        <v>1206</v>
      </c>
      <c r="BQ17" s="2470"/>
      <c r="BR17" s="2470"/>
      <c r="BS17" s="2470"/>
      <c r="BT17" s="2518" t="s">
        <v>1282</v>
      </c>
      <c r="BU17" s="2518" t="s">
        <v>1299</v>
      </c>
      <c r="BX17" s="201"/>
    </row>
    <row r="18" spans="1:76" ht="22.5" customHeight="1" thickBot="1">
      <c r="A18" s="2501" t="str">
        <f t="shared" si="1"/>
        <v/>
      </c>
      <c r="B18" s="2710"/>
      <c r="C18" s="2711"/>
      <c r="D18" s="2711"/>
      <c r="E18" s="2711"/>
      <c r="F18" s="2711"/>
      <c r="G18" s="2711"/>
      <c r="H18" s="2712"/>
      <c r="I18" s="1174"/>
      <c r="J18" s="1175">
        <f>IFERROR(Tabelle1!AR18,0)</f>
        <v>0</v>
      </c>
      <c r="K18" s="1176"/>
      <c r="L18" s="1177"/>
      <c r="M18" s="1176"/>
      <c r="N18" s="1177"/>
      <c r="O18" s="1178">
        <f>IFERROR(Tabelle1!AX18,0)</f>
        <v>0</v>
      </c>
      <c r="P18" s="1178">
        <f>IFERROR(Tabelle1!BI18,0)</f>
        <v>0</v>
      </c>
      <c r="Q18" s="1178">
        <f>IFERROR(Tabelle1!BO18,0)</f>
        <v>0</v>
      </c>
      <c r="R18" s="1179">
        <f>IFERROR(Tabelle1!BB18,0)</f>
        <v>0</v>
      </c>
      <c r="S18" s="1179">
        <f>IFERROR(Tabelle1!AY18,0)</f>
        <v>0</v>
      </c>
      <c r="T18" s="1179">
        <f>IFERROR(Tabelle1!AZ18,0)</f>
        <v>0</v>
      </c>
      <c r="U18" s="1179">
        <f>IFERROR(Tabelle1!BA18,0)</f>
        <v>0</v>
      </c>
      <c r="V18" s="1179">
        <f>IFERROR(Tabelle1!CA18,0)</f>
        <v>0</v>
      </c>
      <c r="W18" s="1179">
        <f>IFERROR(Tabelle1!CG18,0)</f>
        <v>0</v>
      </c>
      <c r="X18" s="1179"/>
      <c r="Y18" s="535"/>
      <c r="Z18" s="186" t="s">
        <v>706</v>
      </c>
      <c r="AH18" s="2439"/>
      <c r="AJ18" s="2472" t="str">
        <f>IFERROR(IF(OR(AK$2="ZURÜCK ZUR AUSWAHL",AK$2="",AK$2=0),"",IF(AK$2=$BO$1,$BO17,IF(AK$2=$BP$1,$BP17,IF(AK$2=$BQ$1,$BQ17,IF(AK$2=$BR$1,$BR17,IF(AK$2=$BS$1,$BS17,IF(AK$2=$BT$1,$BT17,IF(AK$2=$BU$1,$BU17,INDEX(Tiere!$BN$2:$BN$145,_xlfn.AGGREGATE(15,6,(ROW(Tiere!$BN$2:$BN$145)-1)/(--(SEARCH(AK$2,Tiere!$BN$2:$BN$145)&gt;0)),ROW()-2),1))))))))),"")</f>
        <v/>
      </c>
      <c r="AK18" s="2436"/>
      <c r="AL18" s="2472" t="str">
        <f>IFERROR(IF(OR(AM$2="ZURÜCK ZUR AUSWAHL",AM$2="",AM$2=0),"",IF(AM$2=$BO$1,$BO17,IF(AM$2=$BP$1,$BP17,IF(AM$2=$BQ$1,$BQ17,IF(AM$2=$BR$1,$BR17,IF(AM$2=$BS$1,$BS17,IF(AM$2=$BT$1,$BT17,IF(AM$2=$BU$1,$BU17,INDEX(Tiere!$BN$2:$BN$145,_xlfn.AGGREGATE(15,6,(ROW(Tiere!$BN$2:$BN$145)-1)/(--(SEARCH(AM$2,Tiere!$BN$2:$BN$145)&gt;0)),ROW()-1),1))))))))),"")</f>
        <v/>
      </c>
      <c r="AM18" s="2436"/>
      <c r="AN18" s="2472" t="str">
        <f>IFERROR(IF(OR(AO$2="ZURÜCK ZUR AUSWAHL",AO$2="",AO$2=0),"",IF(AO$2=$BO$1,$BO17,IF(AO$2=$BP$1,$BP17,IF(AO$2=$BQ$1,$BQ17,IF(AO$2=$BR$1,$BR17,IF(AO$2=$BS$1,$BS17,IF(AO$2=$BT$1,$BT17,IF(AO$2=$BU$1,$BU17,INDEX(Tiere!$BN$2:$BN$145,_xlfn.AGGREGATE(15,6,(ROW(Tiere!$BN$2:$BN$145)-1)/(--(SEARCH(AO$2,Tiere!$BN$2:$BN$145)&gt;0)),ROW()-1),1))))))))),"")</f>
        <v/>
      </c>
      <c r="AO18" s="2436"/>
      <c r="AP18" s="2472" t="str">
        <f>IFERROR(IF(OR(AQ$2="ZURÜCK ZUR AUSWAHL",AQ$2="",AQ$2=0),"",IF(AQ$2=$BO$1,$BO17,IF(AQ$2=$BP$1,$BP17,IF(AQ$2=$BQ$1,$BQ17,IF(AQ$2=$BR$1,$BR17,IF(AQ$2=$BS$1,$BS17,IF(AQ$2=$BT$1,$BT17,IF(AQ$2=$BU$1,$BU17,INDEX(Tiere!$BN$2:$BN$145,_xlfn.AGGREGATE(15,6,(ROW(Tiere!$BN$2:$BN$145)-1)/(--(SEARCH(AQ$2,Tiere!$BN$2:$BN$145)&gt;0)),ROW()-1),1))))))))),"")</f>
        <v/>
      </c>
      <c r="AQ18" s="2436"/>
      <c r="AR18" s="2472" t="str">
        <f>IFERROR(IF(OR(AS$2="ZURÜCK ZUR AUSWAHL",AS$2="",AS$2=0),"",IF(AS$2=$BO$1,$BO17,IF(AS$2=$BP$1,$BP17,IF(AS$2=$BQ$1,$BQ17,IF(AS$2=$BR$1,$BR17,IF(AS$2=$BS$1,$BS17,IF(AS$2=$BT$1,$BT17,IF(AS$2=$BU$1,$BU17,INDEX(Tiere!$BN$2:$BN$145,_xlfn.AGGREGATE(15,6,(ROW(Tiere!$BN$2:$BN$145)-1)/(--(SEARCH(AS$2,Tiere!$BN$2:$BN$145)&gt;0)),ROW()-1),1))))))))),"")</f>
        <v/>
      </c>
      <c r="AS18" s="2436"/>
      <c r="AT18" s="2472" t="str">
        <f>IFERROR(IF(OR(AU$2="ZURÜCK ZUR AUSWAHL",AU$2="",AU$2=0),"",IF(AU$2=$BO$1,$BO17,IF(AU$2=$BP$1,$BP17,IF(AU$2=$BQ$1,$BQ17,IF(AU$2=$BR$1,$BR17,IF(AU$2=$BS$1,$BS17,IF(AU$2=$BT$1,$BT17,IF(AU$2=$BU$1,$BU17,INDEX(Tiere!$BN$2:$BN$145,_xlfn.AGGREGATE(15,6,(ROW(Tiere!$BN$2:$BN$145)-1)/(--(SEARCH(AU$2,Tiere!$BN$2:$BN$145)&gt;0)),ROW()-1),1))))))))),"")</f>
        <v/>
      </c>
      <c r="AU18" s="2436"/>
      <c r="AV18" s="2472" t="str">
        <f>IFERROR(IF(OR(AW$2="ZURÜCK ZUR AUSWAHL",AW$2="",AW$2=0),"",IF(AW$2=$BO$1,$BO17,IF(AW$2=$BP$1,$BP17,IF(AW$2=$BQ$1,$BQ17,IF(AW$2=$BR$1,$BR17,IF(AW$2=$BS$1,$BS17,IF(AW$2=$BT$1,$BT17,IF(AW$2=$BU$1,$BU17,INDEX(Tiere!$BN$2:$BN$145,_xlfn.AGGREGATE(15,6,(ROW(Tiere!$BN$2:$BN$145)-1)/(--(SEARCH(AW$2,Tiere!$BN$2:$BN$145)&gt;0)),ROW()-1),1))))))))),"")</f>
        <v/>
      </c>
      <c r="AW18" s="2436"/>
      <c r="AX18" s="2472" t="str">
        <f>IFERROR(IF(OR(AY$2="ZURÜCK ZUR AUSWAHL",AY$2="",AY$2=0),"",IF(AY$2=$BO$1,$BO17,IF(AY$2=$BP$1,$BP17,IF(AY$2=$BQ$1,$BQ17,IF(AY$2=$BR$1,$BR17,IF(AY$2=$BS$1,$BS17,IF(AY$2=$BT$1,$BT17,IF(AY$2=$BU$1,$BU17,INDEX(Tiere!$BN$2:$BN$145,_xlfn.AGGREGATE(15,6,(ROW(Tiere!$BN$2:$BN$145)-1)/(--(SEARCH(AY$2,Tiere!$BN$2:$BN$145)&gt;0)),ROW()-1),1))))))))),"")</f>
        <v/>
      </c>
      <c r="AY18" s="2436"/>
      <c r="AZ18" s="2472" t="str">
        <f>IFERROR(IF(OR(BA$2="ZURÜCK ZUR AUSWAHL",BA$2="",BA$2=0),"",IF(BA$2=$BO$1,$BO17,IF(BA$2=$BP$1,$BP17,IF(BA$2=$BQ$1,$BQ17,IF(BA$2=$BR$1,$BR17,IF(BA$2=$BS$1,$BS17,IF(BA$2=$BT$1,$BT17,IF(BA$2=$BU$1,$BU17,INDEX(Tiere!$BN$2:$BN$145,_xlfn.AGGREGATE(15,6,(ROW(Tiere!$BN$2:$BN$145)-1)/(--(SEARCH(BA$2,Tiere!$BN$2:$BN$145)&gt;0)),ROW()-1),1))))))))),"")</f>
        <v/>
      </c>
      <c r="BA18" s="2436"/>
      <c r="BB18" s="2472" t="str">
        <f>IFERROR(IF(OR(BC$2="ZURÜCK ZUR AUSWAHL",BC$2="",BC$2=0),"",IF(BC$2=$BO$1,$BO17,IF(BC$2=$BP$1,$BP17,IF(BC$2=$BQ$1,$BQ17,IF(BC$2=$BR$1,$BR17,IF(BC$2=$BS$1,$BS17,IF(BC$2=$BT$1,$BT17,IF(BC$2=$BU$1,$BU17,INDEX(Tiere!$BN$2:$BN$145,_xlfn.AGGREGATE(15,6,(ROW(Tiere!$BN$2:$BN$145)-1)/(--(SEARCH(BC$2,Tiere!$BN$2:$BN$145)&gt;0)),ROW()-1),1))))))))),"")</f>
        <v/>
      </c>
      <c r="BC18" s="2436"/>
      <c r="BD18" s="2472" t="str">
        <f>IFERROR(IF(OR(BE$2="ZURÜCK ZUR AUSWAHL",BE$2="",BE$2=0),"",IF(BE$2=$BO$1,$BO17,IF(BE$2=$BP$1,$BP17,IF(BE$2=$BQ$1,$BQ17,IF(BE$2=$BR$1,$BR17,IF(BE$2=$BS$1,$BS17,IF(BE$2=$BT$1,$BT17,IF(BE$2=$BU$1,$BU17,INDEX(Tiere!$BN$2:$BN$145,_xlfn.AGGREGATE(15,6,(ROW(Tiere!$BN$2:$BN$145)-1)/(--(SEARCH(BE$2,Tiere!$BN$2:$BN$145)&gt;0)),ROW()-1),1))))))))),"")</f>
        <v/>
      </c>
      <c r="BE18" s="2436"/>
      <c r="BF18" s="2472" t="str">
        <f>IFERROR(IF(OR(BG$2="ZURÜCK ZUR AUSWAHL",BG$2="",BG$2=0),"",IF(BG$2=$BO$1,$BO17,IF(BG$2=$BP$1,$BP17,IF(BG$2=$BQ$1,$BQ17,IF(BG$2=$BR$1,$BR17,IF(BG$2=$BS$1,$BS17,IF(BG$2=$BT$1,$BT17,IF(BG$2=$BU$1,$BU17,INDEX(Tiere!$BN$2:$BN$145,_xlfn.AGGREGATE(15,6,(ROW(Tiere!$BN$2:$BN$145)-1)/(--(SEARCH(BG$2,Tiere!$BN$2:$BN$145)&gt;0)),ROW()-1),1))))))))),"")</f>
        <v/>
      </c>
      <c r="BG18" s="2436"/>
      <c r="BH18" s="2472" t="str">
        <f>IFERROR(IF(OR(BI$2="ZURÜCK ZUR AUSWAHL",BI$2="",BI$2=0),"",IF(BI$2=$BO$1,$BO17,IF(BI$2=$BP$1,$BP17,IF(BI$2=$BQ$1,$BQ17,IF(BI$2=$BR$1,$BR17,IF(BI$2=$BS$1,$BS17,IF(BI$2=$BT$1,$BT17,IF(BI$2=$BU$1,$BU17,INDEX(Tiere!$BN$2:$BN$145,_xlfn.AGGREGATE(15,6,(ROW(Tiere!$BN$2:$BN$145)-1)/(--(SEARCH(BI$2,Tiere!$BN$2:$BN$145)&gt;0)),ROW()-1),1))))))))),"")</f>
        <v/>
      </c>
      <c r="BI18" s="2436"/>
      <c r="BJ18" s="2472" t="str">
        <f>IFERROR(IF(OR(BK$2="ZURÜCK ZUR AUSWAHL",BK$2="",BK$2=0),"",IF(BK$2=$BO$1,$BO17,IF(BK$2=$BP$1,$BP17,IF(BK$2=$BQ$1,$BQ17,IF(BK$2=$BR$1,$BR17,IF(BK$2=$BS$1,$BS17,IF(BK$2=$BT$1,$BT17,IF(BK$2=$BU$1,$BU17,INDEX(Tiere!$BN$2:$BN$145,_xlfn.AGGREGATE(15,6,(ROW(Tiere!$BN$2:$BN$145)-1)/(--(SEARCH(BK$2,Tiere!$BN$2:$BN$145)&gt;0)),ROW()-1),1))))))))),"")</f>
        <v/>
      </c>
      <c r="BK18" s="2436"/>
      <c r="BL18" s="2472" t="str">
        <f>IFERROR(IF(OR(BM$2="ZURÜCK ZUR AUSWAHL",BM$2="",BM$2=0),"",IF(BM$2=$BO$1,$BO17,IF(BM$2=$BP$1,$BP17,IF(BM$2=$BQ$1,$BQ17,IF(BM$2=$BR$1,$BR17,IF(BM$2=$BS$1,$BS17,IF(BM$2=$BT$1,$BT17,IF(BM$2=$BU$1,$BU17,INDEX(Tiere!$BN$2:$BN$145,_xlfn.AGGREGATE(15,6,(ROW(Tiere!$BN$2:$BN$145)-1)/(--(SEARCH(BM$2,Tiere!$BN$2:$BN$145)&gt;0)),ROW()-1),1))))))))),"")</f>
        <v/>
      </c>
      <c r="BM18" s="2436"/>
      <c r="BN18" s="2478" t="s">
        <v>1035</v>
      </c>
      <c r="BO18" s="2518" t="s">
        <v>1035</v>
      </c>
      <c r="BP18" s="2518" t="s">
        <v>1207</v>
      </c>
      <c r="BQ18" s="2470"/>
      <c r="BR18" s="2470"/>
      <c r="BS18" s="2470"/>
      <c r="BT18" s="2518" t="s">
        <v>2466</v>
      </c>
      <c r="BU18" s="2518" t="s">
        <v>1300</v>
      </c>
      <c r="BX18" s="201"/>
    </row>
    <row r="19" spans="1:76" ht="22.5" customHeight="1" thickTop="1" thickBot="1">
      <c r="A19" s="2501" t="str">
        <f t="shared" si="1"/>
        <v/>
      </c>
      <c r="B19" s="2710"/>
      <c r="C19" s="2711"/>
      <c r="D19" s="2711"/>
      <c r="E19" s="2711"/>
      <c r="F19" s="2711"/>
      <c r="G19" s="2711"/>
      <c r="H19" s="2712"/>
      <c r="I19" s="1174"/>
      <c r="J19" s="1175">
        <f>IFERROR(Tabelle1!AR19,0)</f>
        <v>0</v>
      </c>
      <c r="K19" s="1176"/>
      <c r="L19" s="1177"/>
      <c r="M19" s="1176"/>
      <c r="N19" s="1177"/>
      <c r="O19" s="1178">
        <f>IFERROR(Tabelle1!AX19,0)</f>
        <v>0</v>
      </c>
      <c r="P19" s="1178">
        <f>IFERROR(Tabelle1!BI19,0)</f>
        <v>0</v>
      </c>
      <c r="Q19" s="1178">
        <f>IFERROR(Tabelle1!BO19,0)</f>
        <v>0</v>
      </c>
      <c r="R19" s="1179">
        <f>IFERROR(Tabelle1!BB19,0)</f>
        <v>0</v>
      </c>
      <c r="S19" s="1179">
        <f>IFERROR(Tabelle1!AY19,0)</f>
        <v>0</v>
      </c>
      <c r="T19" s="1179">
        <f>IFERROR(Tabelle1!AZ19,0)</f>
        <v>0</v>
      </c>
      <c r="U19" s="1179">
        <f>IFERROR(Tabelle1!BA19,0)</f>
        <v>0</v>
      </c>
      <c r="V19" s="1179">
        <f>IFERROR(Tabelle1!CA19,0)</f>
        <v>0</v>
      </c>
      <c r="W19" s="1179">
        <f>IFERROR(Tabelle1!CG19,0)</f>
        <v>0</v>
      </c>
      <c r="X19" s="1179"/>
      <c r="Y19" s="535"/>
      <c r="Z19" s="186" t="s">
        <v>1422</v>
      </c>
      <c r="AH19" s="2439"/>
      <c r="AJ19" s="2472" t="str">
        <f>IFERROR(IF(OR(AK$2="ZURÜCK ZUR AUSWAHL",AK$2="",AK$2=0),"",IF(AK$2=$BO$1,$BO18,IF(AK$2=$BP$1,$BP18,IF(AK$2=$BQ$1,$BQ18,IF(AK$2=$BR$1,$BR18,IF(AK$2=$BS$1,$BS18,IF(AK$2=$BT$1,$BT18,IF(AK$2=$BU$1,$BU18,INDEX(Tiere!$BN$2:$BN$145,_xlfn.AGGREGATE(15,6,(ROW(Tiere!$BN$2:$BN$145)-1)/(--(SEARCH(AK$2,Tiere!$BN$2:$BN$145)&gt;0)),ROW()-2),1))))))))),"")</f>
        <v/>
      </c>
      <c r="AK19" s="2438"/>
      <c r="AL19" s="2472" t="str">
        <f>IFERROR(IF(OR(AM$2="ZURÜCK ZUR AUSWAHL",AM$2="",AM$2=0),"",IF(AM$2=$BO$1,$BO18,IF(AM$2=$BP$1,$BP18,IF(AM$2=$BQ$1,$BQ18,IF(AM$2=$BR$1,$BR18,IF(AM$2=$BS$1,$BS18,IF(AM$2=$BT$1,$BT18,IF(AM$2=$BU$1,$BU18,INDEX(Tiere!$BN$2:$BN$145,_xlfn.AGGREGATE(15,6,(ROW(Tiere!$BN$2:$BN$145)-1)/(--(SEARCH(AM$2,Tiere!$BN$2:$BN$145)&gt;0)),ROW()-1),1))))))))),"")</f>
        <v/>
      </c>
      <c r="AM19" s="2438"/>
      <c r="AN19" s="2472" t="str">
        <f>IFERROR(IF(OR(AO$2="ZURÜCK ZUR AUSWAHL",AO$2="",AO$2=0),"",IF(AO$2=$BO$1,$BO18,IF(AO$2=$BP$1,$BP18,IF(AO$2=$BQ$1,$BQ18,IF(AO$2=$BR$1,$BR18,IF(AO$2=$BS$1,$BS18,IF(AO$2=$BT$1,$BT18,IF(AO$2=$BU$1,$BU18,INDEX(Tiere!$BN$2:$BN$145,_xlfn.AGGREGATE(15,6,(ROW(Tiere!$BN$2:$BN$145)-1)/(--(SEARCH(AO$2,Tiere!$BN$2:$BN$145)&gt;0)),ROW()-1),1))))))))),"")</f>
        <v/>
      </c>
      <c r="AO19" s="2438"/>
      <c r="AP19" s="2472" t="str">
        <f>IFERROR(IF(OR(AQ$2="ZURÜCK ZUR AUSWAHL",AQ$2="",AQ$2=0),"",IF(AQ$2=$BO$1,$BO18,IF(AQ$2=$BP$1,$BP18,IF(AQ$2=$BQ$1,$BQ18,IF(AQ$2=$BR$1,$BR18,IF(AQ$2=$BS$1,$BS18,IF(AQ$2=$BT$1,$BT18,IF(AQ$2=$BU$1,$BU18,INDEX(Tiere!$BN$2:$BN$145,_xlfn.AGGREGATE(15,6,(ROW(Tiere!$BN$2:$BN$145)-1)/(--(SEARCH(AQ$2,Tiere!$BN$2:$BN$145)&gt;0)),ROW()-1),1))))))))),"")</f>
        <v/>
      </c>
      <c r="AQ19" s="2438"/>
      <c r="AR19" s="2472" t="str">
        <f>IFERROR(IF(OR(AS$2="ZURÜCK ZUR AUSWAHL",AS$2="",AS$2=0),"",IF(AS$2=$BO$1,$BO18,IF(AS$2=$BP$1,$BP18,IF(AS$2=$BQ$1,$BQ18,IF(AS$2=$BR$1,$BR18,IF(AS$2=$BS$1,$BS18,IF(AS$2=$BT$1,$BT18,IF(AS$2=$BU$1,$BU18,INDEX(Tiere!$BN$2:$BN$145,_xlfn.AGGREGATE(15,6,(ROW(Tiere!$BN$2:$BN$145)-1)/(--(SEARCH(AS$2,Tiere!$BN$2:$BN$145)&gt;0)),ROW()-1),1))))))))),"")</f>
        <v/>
      </c>
      <c r="AS19" s="2438"/>
      <c r="AT19" s="2472" t="str">
        <f>IFERROR(IF(OR(AU$2="ZURÜCK ZUR AUSWAHL",AU$2="",AU$2=0),"",IF(AU$2=$BO$1,$BO18,IF(AU$2=$BP$1,$BP18,IF(AU$2=$BQ$1,$BQ18,IF(AU$2=$BR$1,$BR18,IF(AU$2=$BS$1,$BS18,IF(AU$2=$BT$1,$BT18,IF(AU$2=$BU$1,$BU18,INDEX(Tiere!$BN$2:$BN$145,_xlfn.AGGREGATE(15,6,(ROW(Tiere!$BN$2:$BN$145)-1)/(--(SEARCH(AU$2,Tiere!$BN$2:$BN$145)&gt;0)),ROW()-1),1))))))))),"")</f>
        <v/>
      </c>
      <c r="AU19" s="2438"/>
      <c r="AV19" s="2472" t="str">
        <f>IFERROR(IF(OR(AW$2="ZURÜCK ZUR AUSWAHL",AW$2="",AW$2=0),"",IF(AW$2=$BO$1,$BO18,IF(AW$2=$BP$1,$BP18,IF(AW$2=$BQ$1,$BQ18,IF(AW$2=$BR$1,$BR18,IF(AW$2=$BS$1,$BS18,IF(AW$2=$BT$1,$BT18,IF(AW$2=$BU$1,$BU18,INDEX(Tiere!$BN$2:$BN$145,_xlfn.AGGREGATE(15,6,(ROW(Tiere!$BN$2:$BN$145)-1)/(--(SEARCH(AW$2,Tiere!$BN$2:$BN$145)&gt;0)),ROW()-1),1))))))))),"")</f>
        <v/>
      </c>
      <c r="AW19" s="2438"/>
      <c r="AX19" s="2472" t="str">
        <f>IFERROR(IF(OR(AY$2="ZURÜCK ZUR AUSWAHL",AY$2="",AY$2=0),"",IF(AY$2=$BO$1,$BO18,IF(AY$2=$BP$1,$BP18,IF(AY$2=$BQ$1,$BQ18,IF(AY$2=$BR$1,$BR18,IF(AY$2=$BS$1,$BS18,IF(AY$2=$BT$1,$BT18,IF(AY$2=$BU$1,$BU18,INDEX(Tiere!$BN$2:$BN$145,_xlfn.AGGREGATE(15,6,(ROW(Tiere!$BN$2:$BN$145)-1)/(--(SEARCH(AY$2,Tiere!$BN$2:$BN$145)&gt;0)),ROW()-1),1))))))))),"")</f>
        <v/>
      </c>
      <c r="AY19" s="2438"/>
      <c r="AZ19" s="2472" t="str">
        <f>IFERROR(IF(OR(BA$2="ZURÜCK ZUR AUSWAHL",BA$2="",BA$2=0),"",IF(BA$2=$BO$1,$BO18,IF(BA$2=$BP$1,$BP18,IF(BA$2=$BQ$1,$BQ18,IF(BA$2=$BR$1,$BR18,IF(BA$2=$BS$1,$BS18,IF(BA$2=$BT$1,$BT18,IF(BA$2=$BU$1,$BU18,INDEX(Tiere!$BN$2:$BN$145,_xlfn.AGGREGATE(15,6,(ROW(Tiere!$BN$2:$BN$145)-1)/(--(SEARCH(BA$2,Tiere!$BN$2:$BN$145)&gt;0)),ROW()-1),1))))))))),"")</f>
        <v/>
      </c>
      <c r="BA19" s="2438"/>
      <c r="BB19" s="2472" t="str">
        <f>IFERROR(IF(OR(BC$2="ZURÜCK ZUR AUSWAHL",BC$2="",BC$2=0),"",IF(BC$2=$BO$1,$BO18,IF(BC$2=$BP$1,$BP18,IF(BC$2=$BQ$1,$BQ18,IF(BC$2=$BR$1,$BR18,IF(BC$2=$BS$1,$BS18,IF(BC$2=$BT$1,$BT18,IF(BC$2=$BU$1,$BU18,INDEX(Tiere!$BN$2:$BN$145,_xlfn.AGGREGATE(15,6,(ROW(Tiere!$BN$2:$BN$145)-1)/(--(SEARCH(BC$2,Tiere!$BN$2:$BN$145)&gt;0)),ROW()-1),1))))))))),"")</f>
        <v/>
      </c>
      <c r="BC19" s="2438"/>
      <c r="BD19" s="2472" t="str">
        <f>IFERROR(IF(OR(BE$2="ZURÜCK ZUR AUSWAHL",BE$2="",BE$2=0),"",IF(BE$2=$BO$1,$BO18,IF(BE$2=$BP$1,$BP18,IF(BE$2=$BQ$1,$BQ18,IF(BE$2=$BR$1,$BR18,IF(BE$2=$BS$1,$BS18,IF(BE$2=$BT$1,$BT18,IF(BE$2=$BU$1,$BU18,INDEX(Tiere!$BN$2:$BN$145,_xlfn.AGGREGATE(15,6,(ROW(Tiere!$BN$2:$BN$145)-1)/(--(SEARCH(BE$2,Tiere!$BN$2:$BN$145)&gt;0)),ROW()-1),1))))))))),"")</f>
        <v/>
      </c>
      <c r="BE19" s="2438"/>
      <c r="BF19" s="2472" t="str">
        <f>IFERROR(IF(OR(BG$2="ZURÜCK ZUR AUSWAHL",BG$2="",BG$2=0),"",IF(BG$2=$BO$1,$BO18,IF(BG$2=$BP$1,$BP18,IF(BG$2=$BQ$1,$BQ18,IF(BG$2=$BR$1,$BR18,IF(BG$2=$BS$1,$BS18,IF(BG$2=$BT$1,$BT18,IF(BG$2=$BU$1,$BU18,INDEX(Tiere!$BN$2:$BN$145,_xlfn.AGGREGATE(15,6,(ROW(Tiere!$BN$2:$BN$145)-1)/(--(SEARCH(BG$2,Tiere!$BN$2:$BN$145)&gt;0)),ROW()-1),1))))))))),"")</f>
        <v/>
      </c>
      <c r="BG19" s="2438"/>
      <c r="BH19" s="2472" t="str">
        <f>IFERROR(IF(OR(BI$2="ZURÜCK ZUR AUSWAHL",BI$2="",BI$2=0),"",IF(BI$2=$BO$1,$BO18,IF(BI$2=$BP$1,$BP18,IF(BI$2=$BQ$1,$BQ18,IF(BI$2=$BR$1,$BR18,IF(BI$2=$BS$1,$BS18,IF(BI$2=$BT$1,$BT18,IF(BI$2=$BU$1,$BU18,INDEX(Tiere!$BN$2:$BN$145,_xlfn.AGGREGATE(15,6,(ROW(Tiere!$BN$2:$BN$145)-1)/(--(SEARCH(BI$2,Tiere!$BN$2:$BN$145)&gt;0)),ROW()-1),1))))))))),"")</f>
        <v/>
      </c>
      <c r="BI19" s="2438"/>
      <c r="BJ19" s="2472" t="str">
        <f>IFERROR(IF(OR(BK$2="ZURÜCK ZUR AUSWAHL",BK$2="",BK$2=0),"",IF(BK$2=$BO$1,$BO18,IF(BK$2=$BP$1,$BP18,IF(BK$2=$BQ$1,$BQ18,IF(BK$2=$BR$1,$BR18,IF(BK$2=$BS$1,$BS18,IF(BK$2=$BT$1,$BT18,IF(BK$2=$BU$1,$BU18,INDEX(Tiere!$BN$2:$BN$145,_xlfn.AGGREGATE(15,6,(ROW(Tiere!$BN$2:$BN$145)-1)/(--(SEARCH(BK$2,Tiere!$BN$2:$BN$145)&gt;0)),ROW()-1),1))))))))),"")</f>
        <v/>
      </c>
      <c r="BK19" s="2438"/>
      <c r="BL19" s="2472" t="str">
        <f>IFERROR(IF(OR(BM$2="ZURÜCK ZUR AUSWAHL",BM$2="",BM$2=0),"",IF(BM$2=$BO$1,$BO18,IF(BM$2=$BP$1,$BP18,IF(BM$2=$BQ$1,$BQ18,IF(BM$2=$BR$1,$BR18,IF(BM$2=$BS$1,$BS18,IF(BM$2=$BT$1,$BT18,IF(BM$2=$BU$1,$BU18,INDEX(Tiere!$BN$2:$BN$145,_xlfn.AGGREGATE(15,6,(ROW(Tiere!$BN$2:$BN$145)-1)/(--(SEARCH(BM$2,Tiere!$BN$2:$BN$145)&gt;0)),ROW()-1),1))))))))),"")</f>
        <v/>
      </c>
      <c r="BM19" s="2438"/>
      <c r="BN19" s="2478" t="s">
        <v>1043</v>
      </c>
      <c r="BO19" s="2518" t="s">
        <v>1043</v>
      </c>
      <c r="BP19" s="2518" t="s">
        <v>1209</v>
      </c>
      <c r="BQ19" s="2470"/>
      <c r="BR19" s="2470"/>
      <c r="BS19" s="2470"/>
      <c r="BT19" s="2518"/>
      <c r="BU19" s="2519" t="s">
        <v>1301</v>
      </c>
      <c r="BX19" s="201"/>
    </row>
    <row r="20" spans="1:76" ht="22.5" customHeight="1" thickBot="1">
      <c r="A20" s="533"/>
      <c r="B20" s="533"/>
      <c r="C20" s="533"/>
      <c r="D20" s="533"/>
      <c r="E20" s="533"/>
      <c r="F20" s="533"/>
      <c r="G20" s="533"/>
      <c r="H20" s="533"/>
      <c r="I20" s="1441"/>
      <c r="J20" s="1441"/>
      <c r="K20" s="1441"/>
      <c r="L20" s="1441"/>
      <c r="M20" s="1441"/>
      <c r="N20" s="1442" t="s">
        <v>1423</v>
      </c>
      <c r="O20" s="1816">
        <f t="shared" ref="O20:W20" si="2">SUM(O5:O19)</f>
        <v>0</v>
      </c>
      <c r="P20" s="1816">
        <f t="shared" si="2"/>
        <v>0</v>
      </c>
      <c r="Q20" s="1816">
        <f t="shared" si="2"/>
        <v>0</v>
      </c>
      <c r="R20" s="1817">
        <f t="shared" si="2"/>
        <v>0</v>
      </c>
      <c r="S20" s="1817">
        <f t="shared" si="2"/>
        <v>0</v>
      </c>
      <c r="T20" s="1817">
        <f t="shared" si="2"/>
        <v>0</v>
      </c>
      <c r="U20" s="1817">
        <f t="shared" si="2"/>
        <v>0</v>
      </c>
      <c r="V20" s="1817">
        <f t="shared" si="2"/>
        <v>0</v>
      </c>
      <c r="W20" s="1817">
        <f t="shared" si="2"/>
        <v>0</v>
      </c>
      <c r="X20" s="1817"/>
      <c r="Y20" s="535"/>
      <c r="Z20" s="186" t="s">
        <v>707</v>
      </c>
      <c r="AH20" s="2439"/>
      <c r="AJ20" s="2472" t="str">
        <f>IFERROR(IF(OR(AK$2="ZURÜCK ZUR AUSWAHL",AK$2="",AK$2=0),"",IF(AK$2=$BO$1,$BO19,IF(AK$2=$BP$1,$BP19,IF(AK$2=$BQ$1,$BQ19,IF(AK$2=$BR$1,$BR19,IF(AK$2=$BS$1,$BS19,IF(AK$2=$BT$1,$BT19,IF(AK$2=$BU$1,$BU19,INDEX(Tiere!$BN$2:$BN$145,_xlfn.AGGREGATE(15,6,(ROW(Tiere!$BN$2:$BN$145)-1)/(--(SEARCH(AK$2,Tiere!$BN$2:$BN$145)&gt;0)),ROW()-2),1))))))))),"")</f>
        <v/>
      </c>
      <c r="AK20" s="2436"/>
      <c r="AL20" s="2472" t="str">
        <f>IFERROR(IF(OR(AM$2="ZURÜCK ZUR AUSWAHL",AM$2="",AM$2=0),"",IF(AM$2=$BO$1,$BO19,IF(AM$2=$BP$1,$BP19,IF(AM$2=$BQ$1,$BQ19,IF(AM$2=$BR$1,$BR19,IF(AM$2=$BS$1,$BS19,IF(AM$2=$BT$1,$BT19,IF(AM$2=$BU$1,$BU19,INDEX(Tiere!$BN$2:$BN$145,_xlfn.AGGREGATE(15,6,(ROW(Tiere!$BN$2:$BN$145)-1)/(--(SEARCH(AM$2,Tiere!$BN$2:$BN$145)&gt;0)),ROW()-1),1))))))))),"")</f>
        <v/>
      </c>
      <c r="AM20" s="2436"/>
      <c r="AN20" s="2472" t="str">
        <f>IFERROR(IF(OR(AO$2="ZURÜCK ZUR AUSWAHL",AO$2="",AO$2=0),"",IF(AO$2=$BO$1,$BO19,IF(AO$2=$BP$1,$BP19,IF(AO$2=$BQ$1,$BQ19,IF(AO$2=$BR$1,$BR19,IF(AO$2=$BS$1,$BS19,IF(AO$2=$BT$1,$BT19,IF(AO$2=$BU$1,$BU19,INDEX(Tiere!$BN$2:$BN$145,_xlfn.AGGREGATE(15,6,(ROW(Tiere!$BN$2:$BN$145)-1)/(--(SEARCH(AO$2,Tiere!$BN$2:$BN$145)&gt;0)),ROW()-1),1))))))))),"")</f>
        <v/>
      </c>
      <c r="AO20" s="2436"/>
      <c r="AP20" s="2472" t="str">
        <f>IFERROR(IF(OR(AQ$2="ZURÜCK ZUR AUSWAHL",AQ$2="",AQ$2=0),"",IF(AQ$2=$BO$1,$BO19,IF(AQ$2=$BP$1,$BP19,IF(AQ$2=$BQ$1,$BQ19,IF(AQ$2=$BR$1,$BR19,IF(AQ$2=$BS$1,$BS19,IF(AQ$2=$BT$1,$BT19,IF(AQ$2=$BU$1,$BU19,INDEX(Tiere!$BN$2:$BN$145,_xlfn.AGGREGATE(15,6,(ROW(Tiere!$BN$2:$BN$145)-1)/(--(SEARCH(AQ$2,Tiere!$BN$2:$BN$145)&gt;0)),ROW()-1),1))))))))),"")</f>
        <v/>
      </c>
      <c r="AQ20" s="2436"/>
      <c r="AR20" s="2472" t="str">
        <f>IFERROR(IF(OR(AS$2="ZURÜCK ZUR AUSWAHL",AS$2="",AS$2=0),"",IF(AS$2=$BO$1,$BO19,IF(AS$2=$BP$1,$BP19,IF(AS$2=$BQ$1,$BQ19,IF(AS$2=$BR$1,$BR19,IF(AS$2=$BS$1,$BS19,IF(AS$2=$BT$1,$BT19,IF(AS$2=$BU$1,$BU19,INDEX(Tiere!$BN$2:$BN$145,_xlfn.AGGREGATE(15,6,(ROW(Tiere!$BN$2:$BN$145)-1)/(--(SEARCH(AS$2,Tiere!$BN$2:$BN$145)&gt;0)),ROW()-1),1))))))))),"")</f>
        <v/>
      </c>
      <c r="AS20" s="2436"/>
      <c r="AT20" s="2472" t="str">
        <f>IFERROR(IF(OR(AU$2="ZURÜCK ZUR AUSWAHL",AU$2="",AU$2=0),"",IF(AU$2=$BO$1,$BO19,IF(AU$2=$BP$1,$BP19,IF(AU$2=$BQ$1,$BQ19,IF(AU$2=$BR$1,$BR19,IF(AU$2=$BS$1,$BS19,IF(AU$2=$BT$1,$BT19,IF(AU$2=$BU$1,$BU19,INDEX(Tiere!$BN$2:$BN$145,_xlfn.AGGREGATE(15,6,(ROW(Tiere!$BN$2:$BN$145)-1)/(--(SEARCH(AU$2,Tiere!$BN$2:$BN$145)&gt;0)),ROW()-1),1))))))))),"")</f>
        <v/>
      </c>
      <c r="AU20" s="2436"/>
      <c r="AV20" s="2472" t="str">
        <f>IFERROR(IF(OR(AW$2="ZURÜCK ZUR AUSWAHL",AW$2="",AW$2=0),"",IF(AW$2=$BO$1,$BO19,IF(AW$2=$BP$1,$BP19,IF(AW$2=$BQ$1,$BQ19,IF(AW$2=$BR$1,$BR19,IF(AW$2=$BS$1,$BS19,IF(AW$2=$BT$1,$BT19,IF(AW$2=$BU$1,$BU19,INDEX(Tiere!$BN$2:$BN$145,_xlfn.AGGREGATE(15,6,(ROW(Tiere!$BN$2:$BN$145)-1)/(--(SEARCH(AW$2,Tiere!$BN$2:$BN$145)&gt;0)),ROW()-1),1))))))))),"")</f>
        <v/>
      </c>
      <c r="AW20" s="2436"/>
      <c r="AX20" s="2472" t="str">
        <f>IFERROR(IF(OR(AY$2="ZURÜCK ZUR AUSWAHL",AY$2="",AY$2=0),"",IF(AY$2=$BO$1,$BO19,IF(AY$2=$BP$1,$BP19,IF(AY$2=$BQ$1,$BQ19,IF(AY$2=$BR$1,$BR19,IF(AY$2=$BS$1,$BS19,IF(AY$2=$BT$1,$BT19,IF(AY$2=$BU$1,$BU19,INDEX(Tiere!$BN$2:$BN$145,_xlfn.AGGREGATE(15,6,(ROW(Tiere!$BN$2:$BN$145)-1)/(--(SEARCH(AY$2,Tiere!$BN$2:$BN$145)&gt;0)),ROW()-1),1))))))))),"")</f>
        <v/>
      </c>
      <c r="AY20" s="2436"/>
      <c r="AZ20" s="2472" t="str">
        <f>IFERROR(IF(OR(BA$2="ZURÜCK ZUR AUSWAHL",BA$2="",BA$2=0),"",IF(BA$2=$BO$1,$BO19,IF(BA$2=$BP$1,$BP19,IF(BA$2=$BQ$1,$BQ19,IF(BA$2=$BR$1,$BR19,IF(BA$2=$BS$1,$BS19,IF(BA$2=$BT$1,$BT19,IF(BA$2=$BU$1,$BU19,INDEX(Tiere!$BN$2:$BN$145,_xlfn.AGGREGATE(15,6,(ROW(Tiere!$BN$2:$BN$145)-1)/(--(SEARCH(BA$2,Tiere!$BN$2:$BN$145)&gt;0)),ROW()-1),1))))))))),"")</f>
        <v/>
      </c>
      <c r="BA20" s="2436"/>
      <c r="BB20" s="2472" t="str">
        <f>IFERROR(IF(OR(BC$2="ZURÜCK ZUR AUSWAHL",BC$2="",BC$2=0),"",IF(BC$2=$BO$1,$BO19,IF(BC$2=$BP$1,$BP19,IF(BC$2=$BQ$1,$BQ19,IF(BC$2=$BR$1,$BR19,IF(BC$2=$BS$1,$BS19,IF(BC$2=$BT$1,$BT19,IF(BC$2=$BU$1,$BU19,INDEX(Tiere!$BN$2:$BN$145,_xlfn.AGGREGATE(15,6,(ROW(Tiere!$BN$2:$BN$145)-1)/(--(SEARCH(BC$2,Tiere!$BN$2:$BN$145)&gt;0)),ROW()-1),1))))))))),"")</f>
        <v/>
      </c>
      <c r="BC20" s="2436"/>
      <c r="BD20" s="2472" t="str">
        <f>IFERROR(IF(OR(BE$2="ZURÜCK ZUR AUSWAHL",BE$2="",BE$2=0),"",IF(BE$2=$BO$1,$BO19,IF(BE$2=$BP$1,$BP19,IF(BE$2=$BQ$1,$BQ19,IF(BE$2=$BR$1,$BR19,IF(BE$2=$BS$1,$BS19,IF(BE$2=$BT$1,$BT19,IF(BE$2=$BU$1,$BU19,INDEX(Tiere!$BN$2:$BN$145,_xlfn.AGGREGATE(15,6,(ROW(Tiere!$BN$2:$BN$145)-1)/(--(SEARCH(BE$2,Tiere!$BN$2:$BN$145)&gt;0)),ROW()-1),1))))))))),"")</f>
        <v/>
      </c>
      <c r="BE20" s="2436"/>
      <c r="BF20" s="2472" t="str">
        <f>IFERROR(IF(OR(BG$2="ZURÜCK ZUR AUSWAHL",BG$2="",BG$2=0),"",IF(BG$2=$BO$1,$BO19,IF(BG$2=$BP$1,$BP19,IF(BG$2=$BQ$1,$BQ19,IF(BG$2=$BR$1,$BR19,IF(BG$2=$BS$1,$BS19,IF(BG$2=$BT$1,$BT19,IF(BG$2=$BU$1,$BU19,INDEX(Tiere!$BN$2:$BN$145,_xlfn.AGGREGATE(15,6,(ROW(Tiere!$BN$2:$BN$145)-1)/(--(SEARCH(BG$2,Tiere!$BN$2:$BN$145)&gt;0)),ROW()-1),1))))))))),"")</f>
        <v/>
      </c>
      <c r="BG20" s="2436"/>
      <c r="BH20" s="2472" t="str">
        <f>IFERROR(IF(OR(BI$2="ZURÜCK ZUR AUSWAHL",BI$2="",BI$2=0),"",IF(BI$2=$BO$1,$BO19,IF(BI$2=$BP$1,$BP19,IF(BI$2=$BQ$1,$BQ19,IF(BI$2=$BR$1,$BR19,IF(BI$2=$BS$1,$BS19,IF(BI$2=$BT$1,$BT19,IF(BI$2=$BU$1,$BU19,INDEX(Tiere!$BN$2:$BN$145,_xlfn.AGGREGATE(15,6,(ROW(Tiere!$BN$2:$BN$145)-1)/(--(SEARCH(BI$2,Tiere!$BN$2:$BN$145)&gt;0)),ROW()-1),1))))))))),"")</f>
        <v/>
      </c>
      <c r="BI20" s="2436"/>
      <c r="BJ20" s="2472" t="str">
        <f>IFERROR(IF(OR(BK$2="ZURÜCK ZUR AUSWAHL",BK$2="",BK$2=0),"",IF(BK$2=$BO$1,$BO19,IF(BK$2=$BP$1,$BP19,IF(BK$2=$BQ$1,$BQ19,IF(BK$2=$BR$1,$BR19,IF(BK$2=$BS$1,$BS19,IF(BK$2=$BT$1,$BT19,IF(BK$2=$BU$1,$BU19,INDEX(Tiere!$BN$2:$BN$145,_xlfn.AGGREGATE(15,6,(ROW(Tiere!$BN$2:$BN$145)-1)/(--(SEARCH(BK$2,Tiere!$BN$2:$BN$145)&gt;0)),ROW()-1),1))))))))),"")</f>
        <v/>
      </c>
      <c r="BK20" s="2436"/>
      <c r="BL20" s="2472" t="str">
        <f>IFERROR(IF(OR(BM$2="ZURÜCK ZUR AUSWAHL",BM$2="",BM$2=0),"",IF(BM$2=$BO$1,$BO19,IF(BM$2=$BP$1,$BP19,IF(BM$2=$BQ$1,$BQ19,IF(BM$2=$BR$1,$BR19,IF(BM$2=$BS$1,$BS19,IF(BM$2=$BT$1,$BT19,IF(BM$2=$BU$1,$BU19,INDEX(Tiere!$BN$2:$BN$145,_xlfn.AGGREGATE(15,6,(ROW(Tiere!$BN$2:$BN$145)-1)/(--(SEARCH(BM$2,Tiere!$BN$2:$BN$145)&gt;0)),ROW()-1),1))))))))),"")</f>
        <v/>
      </c>
      <c r="BM20" s="2436"/>
      <c r="BN20" s="2478" t="s">
        <v>1051</v>
      </c>
      <c r="BO20" s="2518" t="s">
        <v>1051</v>
      </c>
      <c r="BP20" s="2518" t="s">
        <v>1212</v>
      </c>
      <c r="BQ20" s="2470"/>
      <c r="BR20" s="2470"/>
      <c r="BS20" s="2470"/>
      <c r="BT20" s="2518"/>
      <c r="BU20" s="2518" t="s">
        <v>1302</v>
      </c>
      <c r="BX20" s="1542"/>
    </row>
    <row r="21" spans="1:76" ht="15" customHeight="1" thickBot="1">
      <c r="A21" s="538"/>
      <c r="B21" s="2697" t="s">
        <v>1932</v>
      </c>
      <c r="C21" s="544" t="s">
        <v>1425</v>
      </c>
      <c r="D21" s="543"/>
      <c r="E21" s="543"/>
      <c r="F21" s="543"/>
      <c r="G21" s="543"/>
      <c r="H21" s="543"/>
      <c r="I21" s="543"/>
      <c r="J21" s="543"/>
      <c r="K21" s="543"/>
      <c r="L21" s="543"/>
      <c r="M21" s="543"/>
      <c r="N21" s="535"/>
      <c r="O21" s="535"/>
      <c r="P21" s="535"/>
      <c r="Q21" s="535"/>
      <c r="R21" s="535"/>
      <c r="S21" s="535"/>
      <c r="T21" s="535"/>
      <c r="U21" s="535"/>
      <c r="V21" s="535"/>
      <c r="W21" s="535"/>
      <c r="X21" s="535"/>
      <c r="Y21" s="535"/>
      <c r="Z21" s="186" t="s">
        <v>1424</v>
      </c>
      <c r="AH21" s="2439"/>
      <c r="AJ21" s="2472" t="str">
        <f>IFERROR(IF(OR(AK$2="ZURÜCK ZUR AUSWAHL",AK$2="",AK$2=0),"",IF(AK$2=$BO$1,$BO20,IF(AK$2=$BP$1,$BP20,IF(AK$2=$BQ$1,$BQ20,IF(AK$2=$BR$1,$BR20,IF(AK$2=$BS$1,$BS20,IF(AK$2=$BT$1,"ZURÜCK ZUR AUSWAHL",IF(AK$2=$BU$1,$BU20,INDEX(Tiere!$BN$2:$BN$145,_xlfn.AGGREGATE(15,6,(ROW(Tiere!$BN$2:$BN$145)-1)/(--(SEARCH(AK$2,Tiere!$BN$2:$BN$145)&gt;0)),ROW()-2),1))))))))),"")</f>
        <v/>
      </c>
      <c r="AK21" s="2438"/>
      <c r="AL21" s="2472" t="str">
        <f>IFERROR(IF(OR(AM$2="ZURÜCK ZUR AUSWAHL",AM$2="",AM$2=0),"",IF(AM$2=$BO$1,$BO20,IF(AM$2=$BP$1,$BP20,IF(AM$2=$BQ$1,$BQ20,IF(AM$2=$BR$1,$BR20,IF(AM$2=$BS$1,$BS20,IF(AM$2=$BT$1,"ZURÜCK ZUR AUSWAHL",IF(AM$2=$BU$1,$BU20,INDEX(Tiere!$BN$2:$BN$145,_xlfn.AGGREGATE(15,6,(ROW(Tiere!$BN$2:$BN$145)-1)/(--(SEARCH(AM$2,Tiere!$BN$2:$BN$145)&gt;0)),ROW()-1),1))))))))),"")</f>
        <v/>
      </c>
      <c r="AM21" s="2438"/>
      <c r="AN21" s="2472" t="str">
        <f>IFERROR(IF(OR(AO$2="ZURÜCK ZUR AUSWAHL",AO$2="",AO$2=0),"",IF(AO$2=$BO$1,$BO20,IF(AO$2=$BP$1,$BP20,IF(AO$2=$BQ$1,$BQ20,IF(AO$2=$BR$1,$BR20,IF(AO$2=$BS$1,$BS20,IF(AO$2=$BT$1,"ZURÜCK ZUR AUSWAHL",IF(AO$2=$BU$1,$BU20,INDEX(Tiere!$BN$2:$BN$145,_xlfn.AGGREGATE(15,6,(ROW(Tiere!$BN$2:$BN$145)-1)/(--(SEARCH(AO$2,Tiere!$BN$2:$BN$145)&gt;0)),ROW()-1),1))))))))),"")</f>
        <v/>
      </c>
      <c r="AO21" s="2438"/>
      <c r="AP21" s="2472" t="str">
        <f>IFERROR(IF(OR(AQ$2="ZURÜCK ZUR AUSWAHL",AQ$2="",AQ$2=0),"",IF(AQ$2=$BO$1,$BO20,IF(AQ$2=$BP$1,$BP20,IF(AQ$2=$BQ$1,$BQ20,IF(AQ$2=$BR$1,$BR20,IF(AQ$2=$BS$1,$BS20,IF(AQ$2=$BT$1,"ZURÜCK ZUR AUSWAHL",IF(AQ$2=$BU$1,$BU20,INDEX(Tiere!$BN$2:$BN$145,_xlfn.AGGREGATE(15,6,(ROW(Tiere!$BN$2:$BN$145)-1)/(--(SEARCH(AQ$2,Tiere!$BN$2:$BN$145)&gt;0)),ROW()-1),1))))))))),"")</f>
        <v/>
      </c>
      <c r="AQ21" s="2438"/>
      <c r="AR21" s="2472" t="str">
        <f>IFERROR(IF(OR(AS$2="ZURÜCK ZUR AUSWAHL",AS$2="",AS$2=0),"",IF(AS$2=$BO$1,$BO20,IF(AS$2=$BP$1,$BP20,IF(AS$2=$BQ$1,$BQ20,IF(AS$2=$BR$1,$BR20,IF(AS$2=$BS$1,$BS20,IF(AS$2=$BT$1,"ZURÜCK ZUR AUSWAHL",IF(AS$2=$BU$1,$BU20,INDEX(Tiere!$BN$2:$BN$145,_xlfn.AGGREGATE(15,6,(ROW(Tiere!$BN$2:$BN$145)-1)/(--(SEARCH(AS$2,Tiere!$BN$2:$BN$145)&gt;0)),ROW()-1),1))))))))),"")</f>
        <v/>
      </c>
      <c r="AS21" s="2438"/>
      <c r="AT21" s="2472" t="str">
        <f>IFERROR(IF(OR(AU$2="ZURÜCK ZUR AUSWAHL",AU$2="",AU$2=0),"",IF(AU$2=$BO$1,$BO20,IF(AU$2=$BP$1,$BP20,IF(AU$2=$BQ$1,$BQ20,IF(AU$2=$BR$1,$BR20,IF(AU$2=$BS$1,$BS20,IF(AU$2=$BT$1,"ZURÜCK ZUR AUSWAHL",IF(AU$2=$BU$1,$BU20,INDEX(Tiere!$BN$2:$BN$145,_xlfn.AGGREGATE(15,6,(ROW(Tiere!$BN$2:$BN$145)-1)/(--(SEARCH(AU$2,Tiere!$BN$2:$BN$145)&gt;0)),ROW()-1),1))))))))),"")</f>
        <v/>
      </c>
      <c r="AU21" s="2438"/>
      <c r="AV21" s="2472" t="str">
        <f>IFERROR(IF(OR(AW$2="ZURÜCK ZUR AUSWAHL",AW$2="",AW$2=0),"",IF(AW$2=$BO$1,$BO20,IF(AW$2=$BP$1,$BP20,IF(AW$2=$BQ$1,$BQ20,IF(AW$2=$BR$1,$BR20,IF(AW$2=$BS$1,$BS20,IF(AW$2=$BT$1,"ZURÜCK ZUR AUSWAHL",IF(AW$2=$BU$1,$BU20,INDEX(Tiere!$BN$2:$BN$145,_xlfn.AGGREGATE(15,6,(ROW(Tiere!$BN$2:$BN$145)-1)/(--(SEARCH(AW$2,Tiere!$BN$2:$BN$145)&gt;0)),ROW()-1),1))))))))),"")</f>
        <v/>
      </c>
      <c r="AW21" s="2438"/>
      <c r="AX21" s="2472" t="str">
        <f>IFERROR(IF(OR(AY$2="ZURÜCK ZUR AUSWAHL",AY$2="",AY$2=0),"",IF(AY$2=$BO$1,$BO20,IF(AY$2=$BP$1,$BP20,IF(AY$2=$BQ$1,$BQ20,IF(AY$2=$BR$1,$BR20,IF(AY$2=$BS$1,$BS20,IF(AY$2=$BT$1,"ZURÜCK ZUR AUSWAHL",IF(AY$2=$BU$1,$BU20,INDEX(Tiere!$BN$2:$BN$145,_xlfn.AGGREGATE(15,6,(ROW(Tiere!$BN$2:$BN$145)-1)/(--(SEARCH(AY$2,Tiere!$BN$2:$BN$145)&gt;0)),ROW()-1),1))))))))),"")</f>
        <v/>
      </c>
      <c r="AY21" s="2438"/>
      <c r="AZ21" s="2472" t="str">
        <f>IFERROR(IF(OR(BA$2="ZURÜCK ZUR AUSWAHL",BA$2="",BA$2=0),"",IF(BA$2=$BO$1,$BO20,IF(BA$2=$BP$1,$BP20,IF(BA$2=$BQ$1,$BQ20,IF(BA$2=$BR$1,$BR20,IF(BA$2=$BS$1,$BS20,IF(BA$2=$BT$1,"ZURÜCK ZUR AUSWAHL",IF(BA$2=$BU$1,$BU20,INDEX(Tiere!$BN$2:$BN$145,_xlfn.AGGREGATE(15,6,(ROW(Tiere!$BN$2:$BN$145)-1)/(--(SEARCH(BA$2,Tiere!$BN$2:$BN$145)&gt;0)),ROW()-1),1))))))))),"")</f>
        <v/>
      </c>
      <c r="BA21" s="2438"/>
      <c r="BB21" s="2472" t="str">
        <f>IFERROR(IF(OR(BC$2="ZURÜCK ZUR AUSWAHL",BC$2="",BC$2=0),"",IF(BC$2=$BO$1,$BO20,IF(BC$2=$BP$1,$BP20,IF(BC$2=$BQ$1,$BQ20,IF(BC$2=$BR$1,$BR20,IF(BC$2=$BS$1,$BS20,IF(BC$2=$BT$1,"ZURÜCK ZUR AUSWAHL",IF(BC$2=$BU$1,$BU20,INDEX(Tiere!$BN$2:$BN$145,_xlfn.AGGREGATE(15,6,(ROW(Tiere!$BN$2:$BN$145)-1)/(--(SEARCH(BC$2,Tiere!$BN$2:$BN$145)&gt;0)),ROW()-1),1))))))))),"")</f>
        <v/>
      </c>
      <c r="BC21" s="2438"/>
      <c r="BD21" s="2472" t="str">
        <f>IFERROR(IF(OR(BE$2="ZURÜCK ZUR AUSWAHL",BE$2="",BE$2=0),"",IF(BE$2=$BO$1,$BO20,IF(BE$2=$BP$1,$BP20,IF(BE$2=$BQ$1,$BQ20,IF(BE$2=$BR$1,$BR20,IF(BE$2=$BS$1,$BS20,IF(BE$2=$BT$1,"ZURÜCK ZUR AUSWAHL",IF(BE$2=$BU$1,$BU20,INDEX(Tiere!$BN$2:$BN$145,_xlfn.AGGREGATE(15,6,(ROW(Tiere!$BN$2:$BN$145)-1)/(--(SEARCH(BE$2,Tiere!$BN$2:$BN$145)&gt;0)),ROW()-1),1))))))))),"")</f>
        <v/>
      </c>
      <c r="BE21" s="2438"/>
      <c r="BF21" s="2472" t="str">
        <f>IFERROR(IF(OR(BG$2="ZURÜCK ZUR AUSWAHL",BG$2="",BG$2=0),"",IF(BG$2=$BO$1,$BO20,IF(BG$2=$BP$1,$BP20,IF(BG$2=$BQ$1,$BQ20,IF(BG$2=$BR$1,$BR20,IF(BG$2=$BS$1,$BS20,IF(BG$2=$BT$1,"ZURÜCK ZUR AUSWAHL",IF(BG$2=$BU$1,$BU20,INDEX(Tiere!$BN$2:$BN$145,_xlfn.AGGREGATE(15,6,(ROW(Tiere!$BN$2:$BN$145)-1)/(--(SEARCH(BG$2,Tiere!$BN$2:$BN$145)&gt;0)),ROW()-1),1))))))))),"")</f>
        <v/>
      </c>
      <c r="BG21" s="2438"/>
      <c r="BH21" s="2472" t="str">
        <f>IFERROR(IF(OR(BI$2="ZURÜCK ZUR AUSWAHL",BI$2="",BI$2=0),"",IF(BI$2=$BO$1,$BO20,IF(BI$2=$BP$1,$BP20,IF(BI$2=$BQ$1,$BQ20,IF(BI$2=$BR$1,$BR20,IF(BI$2=$BS$1,$BS20,IF(BI$2=$BT$1,"ZURÜCK ZUR AUSWAHL",IF(BI$2=$BU$1,$BU20,INDEX(Tiere!$BN$2:$BN$145,_xlfn.AGGREGATE(15,6,(ROW(Tiere!$BN$2:$BN$145)-1)/(--(SEARCH(BI$2,Tiere!$BN$2:$BN$145)&gt;0)),ROW()-1),1))))))))),"")</f>
        <v/>
      </c>
      <c r="BI21" s="2438"/>
      <c r="BJ21" s="2472" t="str">
        <f>IFERROR(IF(OR(BK$2="ZURÜCK ZUR AUSWAHL",BK$2="",BK$2=0),"",IF(BK$2=$BO$1,$BO20,IF(BK$2=$BP$1,$BP20,IF(BK$2=$BQ$1,$BQ20,IF(BK$2=$BR$1,$BR20,IF(BK$2=$BS$1,$BS20,IF(BK$2=$BT$1,"ZURÜCK ZUR AUSWAHL",IF(BK$2=$BU$1,$BU20,INDEX(Tiere!$BN$2:$BN$145,_xlfn.AGGREGATE(15,6,(ROW(Tiere!$BN$2:$BN$145)-1)/(--(SEARCH(BK$2,Tiere!$BN$2:$BN$145)&gt;0)),ROW()-1),1))))))))),"")</f>
        <v/>
      </c>
      <c r="BK21" s="2438"/>
      <c r="BL21" s="2472" t="str">
        <f>IFERROR(IF(OR(BM$2="ZURÜCK ZUR AUSWAHL",BM$2="",BM$2=0),"",IF(BM$2=$BO$1,$BO20,IF(BM$2=$BP$1,$BP20,IF(BM$2=$BQ$1,$BQ20,IF(BM$2=$BR$1,$BR20,IF(BM$2=$BS$1,$BS20,IF(BM$2=$BT$1,"ZURÜCK ZUR AUSWAHL",IF(BM$2=$BU$1,$BU20,INDEX(Tiere!$BN$2:$BN$145,_xlfn.AGGREGATE(15,6,(ROW(Tiere!$BN$2:$BN$145)-1)/(--(SEARCH(BM$2,Tiere!$BN$2:$BN$145)&gt;0)),ROW()-1),1))))))))),"")</f>
        <v/>
      </c>
      <c r="BM21" s="2438"/>
      <c r="BN21" s="2478" t="s">
        <v>1090</v>
      </c>
      <c r="BO21" s="2518" t="s">
        <v>1090</v>
      </c>
      <c r="BP21" s="2518" t="s">
        <v>1215</v>
      </c>
      <c r="BQ21" s="2470"/>
      <c r="BR21" s="2470"/>
      <c r="BS21" s="2470"/>
      <c r="BT21" s="2520"/>
      <c r="BU21" s="2518" t="s">
        <v>1303</v>
      </c>
    </row>
    <row r="22" spans="1:76" ht="27.15" customHeight="1" thickBot="1">
      <c r="A22" s="535"/>
      <c r="B22" s="2699"/>
      <c r="C22" s="1795" t="s">
        <v>1152</v>
      </c>
      <c r="D22" s="1796" t="s">
        <v>1014</v>
      </c>
      <c r="E22" s="1797" t="s">
        <v>1015</v>
      </c>
      <c r="F22" s="1796" t="s">
        <v>1016</v>
      </c>
      <c r="G22" s="1798" t="s">
        <v>1017</v>
      </c>
      <c r="H22" s="1796" t="s">
        <v>1018</v>
      </c>
      <c r="I22" s="1799" t="s">
        <v>1019</v>
      </c>
      <c r="J22" s="1800" t="s">
        <v>1426</v>
      </c>
      <c r="K22" s="1799" t="s">
        <v>1020</v>
      </c>
      <c r="L22" s="1799" t="s">
        <v>1021</v>
      </c>
      <c r="M22" s="1799" t="s">
        <v>1022</v>
      </c>
      <c r="N22" s="538"/>
      <c r="O22" s="2697" t="s">
        <v>1427</v>
      </c>
      <c r="P22" s="2697"/>
      <c r="Q22" s="2698"/>
      <c r="R22" s="2694" t="s">
        <v>1428</v>
      </c>
      <c r="S22" s="2694"/>
      <c r="T22" s="2694"/>
      <c r="U22" s="1795" t="s">
        <v>1143</v>
      </c>
      <c r="V22" s="2694" t="s">
        <v>1429</v>
      </c>
      <c r="W22" s="2694"/>
      <c r="X22" s="2694"/>
      <c r="Y22" s="535"/>
      <c r="Z22"/>
      <c r="AH22" s="2439"/>
      <c r="AJ22" s="2472" t="str">
        <f>IFERROR(IF(OR(AK$2="ZURÜCK ZUR AUSWAHL",AK$2="",AK$2=0),"",IF(AK$2=$BO$1,$BO21,IF(AK$2=$BP$1,$BP21,IF(AK$2=$BQ$1,$BQ21,IF(AK$2=$BR$1,$BR21,IF(AK$2=$BS$1,$BS21,IF(AK$2=$BT$1,$BT21,IF(AK$2=$BU$1,$BU21,INDEX(Tiere!$BN$2:$BN$145,_xlfn.AGGREGATE(15,6,(ROW(Tiere!$BN$2:$BN$145)-1)/(--(SEARCH(AK$2,Tiere!$BN$2:$BN$145)&gt;0)),ROW()-2),1))))))))),"")</f>
        <v/>
      </c>
      <c r="AK22" s="2436"/>
      <c r="AL22" s="2472" t="str">
        <f>IFERROR(IF(OR(AM$2="ZURÜCK ZUR AUSWAHL",AM$2="",AM$2=0),"",IF(AM$2=$BO$1,$BO21,IF(AM$2=$BP$1,$BP21,IF(AM$2=$BQ$1,$BQ21,IF(AM$2=$BR$1,$BR21,IF(AM$2=$BS$1,$BS21,IF(AM$2=$BT$1,$BT21,IF(AM$2=$BU$1,$BU21,INDEX(Tiere!$BN$2:$BN$145,_xlfn.AGGREGATE(15,6,(ROW(Tiere!$BN$2:$BN$145)-1)/(--(SEARCH(AM$2,Tiere!$BN$2:$BN$145)&gt;0)),ROW()-1),1))))))))),"")</f>
        <v/>
      </c>
      <c r="AM22" s="2436"/>
      <c r="AN22" s="2472" t="str">
        <f>IFERROR(IF(OR(AO$2="ZURÜCK ZUR AUSWAHL",AO$2="",AO$2=0),"",IF(AO$2=$BO$1,$BO21,IF(AO$2=$BP$1,$BP21,IF(AO$2=$BQ$1,$BQ21,IF(AO$2=$BR$1,$BR21,IF(AO$2=$BS$1,$BS21,IF(AO$2=$BT$1,$BT21,IF(AO$2=$BU$1,$BU21,INDEX(Tiere!$BN$2:$BN$145,_xlfn.AGGREGATE(15,6,(ROW(Tiere!$BN$2:$BN$145)-1)/(--(SEARCH(AO$2,Tiere!$BN$2:$BN$145)&gt;0)),ROW()-1),1))))))))),"")</f>
        <v/>
      </c>
      <c r="AO22" s="2436"/>
      <c r="AP22" s="2472" t="str">
        <f>IFERROR(IF(OR(AQ$2="ZURÜCK ZUR AUSWAHL",AQ$2="",AQ$2=0),"",IF(AQ$2=$BO$1,$BO21,IF(AQ$2=$BP$1,$BP21,IF(AQ$2=$BQ$1,$BQ21,IF(AQ$2=$BR$1,$BR21,IF(AQ$2=$BS$1,$BS21,IF(AQ$2=$BT$1,$BT21,IF(AQ$2=$BU$1,$BU21,INDEX(Tiere!$BN$2:$BN$145,_xlfn.AGGREGATE(15,6,(ROW(Tiere!$BN$2:$BN$145)-1)/(--(SEARCH(AQ$2,Tiere!$BN$2:$BN$145)&gt;0)),ROW()-1),1))))))))),"")</f>
        <v/>
      </c>
      <c r="AQ22" s="2436"/>
      <c r="AR22" s="2472" t="str">
        <f>IFERROR(IF(OR(AS$2="ZURÜCK ZUR AUSWAHL",AS$2="",AS$2=0),"",IF(AS$2=$BO$1,$BO21,IF(AS$2=$BP$1,$BP21,IF(AS$2=$BQ$1,$BQ21,IF(AS$2=$BR$1,$BR21,IF(AS$2=$BS$1,$BS21,IF(AS$2=$BT$1,$BT21,IF(AS$2=$BU$1,$BU21,INDEX(Tiere!$BN$2:$BN$145,_xlfn.AGGREGATE(15,6,(ROW(Tiere!$BN$2:$BN$145)-1)/(--(SEARCH(AS$2,Tiere!$BN$2:$BN$145)&gt;0)),ROW()-1),1))))))))),"")</f>
        <v/>
      </c>
      <c r="AS22" s="2436"/>
      <c r="AT22" s="2472" t="str">
        <f>IFERROR(IF(OR(AU$2="ZURÜCK ZUR AUSWAHL",AU$2="",AU$2=0),"",IF(AU$2=$BO$1,$BO21,IF(AU$2=$BP$1,$BP21,IF(AU$2=$BQ$1,$BQ21,IF(AU$2=$BR$1,$BR21,IF(AU$2=$BS$1,$BS21,IF(AU$2=$BT$1,$BT21,IF(AU$2=$BU$1,$BU21,INDEX(Tiere!$BN$2:$BN$145,_xlfn.AGGREGATE(15,6,(ROW(Tiere!$BN$2:$BN$145)-1)/(--(SEARCH(AU$2,Tiere!$BN$2:$BN$145)&gt;0)),ROW()-1),1))))))))),"")</f>
        <v/>
      </c>
      <c r="AU22" s="2436"/>
      <c r="AV22" s="2472" t="str">
        <f>IFERROR(IF(OR(AW$2="ZURÜCK ZUR AUSWAHL",AW$2="",AW$2=0),"",IF(AW$2=$BO$1,$BO21,IF(AW$2=$BP$1,$BP21,IF(AW$2=$BQ$1,$BQ21,IF(AW$2=$BR$1,$BR21,IF(AW$2=$BS$1,$BS21,IF(AW$2=$BT$1,$BT21,IF(AW$2=$BU$1,$BU21,INDEX(Tiere!$BN$2:$BN$145,_xlfn.AGGREGATE(15,6,(ROW(Tiere!$BN$2:$BN$145)-1)/(--(SEARCH(AW$2,Tiere!$BN$2:$BN$145)&gt;0)),ROW()-1),1))))))))),"")</f>
        <v/>
      </c>
      <c r="AW22" s="2436"/>
      <c r="AX22" s="2472" t="str">
        <f>IFERROR(IF(OR(AY$2="ZURÜCK ZUR AUSWAHL",AY$2="",AY$2=0),"",IF(AY$2=$BO$1,$BO21,IF(AY$2=$BP$1,$BP21,IF(AY$2=$BQ$1,$BQ21,IF(AY$2=$BR$1,$BR21,IF(AY$2=$BS$1,$BS21,IF(AY$2=$BT$1,$BT21,IF(AY$2=$BU$1,$BU21,INDEX(Tiere!$BN$2:$BN$145,_xlfn.AGGREGATE(15,6,(ROW(Tiere!$BN$2:$BN$145)-1)/(--(SEARCH(AY$2,Tiere!$BN$2:$BN$145)&gt;0)),ROW()-1),1))))))))),"")</f>
        <v/>
      </c>
      <c r="AY22" s="2436"/>
      <c r="AZ22" s="2472" t="str">
        <f>IFERROR(IF(OR(BA$2="ZURÜCK ZUR AUSWAHL",BA$2="",BA$2=0),"",IF(BA$2=$BO$1,$BO21,IF(BA$2=$BP$1,$BP21,IF(BA$2=$BQ$1,$BQ21,IF(BA$2=$BR$1,$BR21,IF(BA$2=$BS$1,$BS21,IF(BA$2=$BT$1,$BT21,IF(BA$2=$BU$1,$BU21,INDEX(Tiere!$BN$2:$BN$145,_xlfn.AGGREGATE(15,6,(ROW(Tiere!$BN$2:$BN$145)-1)/(--(SEARCH(BA$2,Tiere!$BN$2:$BN$145)&gt;0)),ROW()-1),1))))))))),"")</f>
        <v/>
      </c>
      <c r="BA22" s="2436"/>
      <c r="BB22" s="2472" t="str">
        <f>IFERROR(IF(OR(BC$2="ZURÜCK ZUR AUSWAHL",BC$2="",BC$2=0),"",IF(BC$2=$BO$1,$BO21,IF(BC$2=$BP$1,$BP21,IF(BC$2=$BQ$1,$BQ21,IF(BC$2=$BR$1,$BR21,IF(BC$2=$BS$1,$BS21,IF(BC$2=$BT$1,$BT21,IF(BC$2=$BU$1,$BU21,INDEX(Tiere!$BN$2:$BN$145,_xlfn.AGGREGATE(15,6,(ROW(Tiere!$BN$2:$BN$145)-1)/(--(SEARCH(BC$2,Tiere!$BN$2:$BN$145)&gt;0)),ROW()-1),1))))))))),"")</f>
        <v/>
      </c>
      <c r="BC22" s="2436"/>
      <c r="BD22" s="2472" t="str">
        <f>IFERROR(IF(OR(BE$2="ZURÜCK ZUR AUSWAHL",BE$2="",BE$2=0),"",IF(BE$2=$BO$1,$BO21,IF(BE$2=$BP$1,$BP21,IF(BE$2=$BQ$1,$BQ21,IF(BE$2=$BR$1,$BR21,IF(BE$2=$BS$1,$BS21,IF(BE$2=$BT$1,$BT21,IF(BE$2=$BU$1,$BU21,INDEX(Tiere!$BN$2:$BN$145,_xlfn.AGGREGATE(15,6,(ROW(Tiere!$BN$2:$BN$145)-1)/(--(SEARCH(BE$2,Tiere!$BN$2:$BN$145)&gt;0)),ROW()-1),1))))))))),"")</f>
        <v/>
      </c>
      <c r="BE22" s="2436"/>
      <c r="BF22" s="2472" t="str">
        <f>IFERROR(IF(OR(BG$2="ZURÜCK ZUR AUSWAHL",BG$2="",BG$2=0),"",IF(BG$2=$BO$1,$BO21,IF(BG$2=$BP$1,$BP21,IF(BG$2=$BQ$1,$BQ21,IF(BG$2=$BR$1,$BR21,IF(BG$2=$BS$1,$BS21,IF(BG$2=$BT$1,$BT21,IF(BG$2=$BU$1,$BU21,INDEX(Tiere!$BN$2:$BN$145,_xlfn.AGGREGATE(15,6,(ROW(Tiere!$BN$2:$BN$145)-1)/(--(SEARCH(BG$2,Tiere!$BN$2:$BN$145)&gt;0)),ROW()-1),1))))))))),"")</f>
        <v/>
      </c>
      <c r="BG22" s="2436"/>
      <c r="BH22" s="2472" t="str">
        <f>IFERROR(IF(OR(BI$2="ZURÜCK ZUR AUSWAHL",BI$2="",BI$2=0),"",IF(BI$2=$BO$1,$BO21,IF(BI$2=$BP$1,$BP21,IF(BI$2=$BQ$1,$BQ21,IF(BI$2=$BR$1,$BR21,IF(BI$2=$BS$1,$BS21,IF(BI$2=$BT$1,$BT21,IF(BI$2=$BU$1,$BU21,INDEX(Tiere!$BN$2:$BN$145,_xlfn.AGGREGATE(15,6,(ROW(Tiere!$BN$2:$BN$145)-1)/(--(SEARCH(BI$2,Tiere!$BN$2:$BN$145)&gt;0)),ROW()-1),1))))))))),"")</f>
        <v/>
      </c>
      <c r="BI22" s="2436"/>
      <c r="BJ22" s="2472" t="str">
        <f>IFERROR(IF(OR(BK$2="ZURÜCK ZUR AUSWAHL",BK$2="",BK$2=0),"",IF(BK$2=$BO$1,$BO21,IF(BK$2=$BP$1,$BP21,IF(BK$2=$BQ$1,$BQ21,IF(BK$2=$BR$1,$BR21,IF(BK$2=$BS$1,$BS21,IF(BK$2=$BT$1,$BT21,IF(BK$2=$BU$1,$BU21,INDEX(Tiere!$BN$2:$BN$145,_xlfn.AGGREGATE(15,6,(ROW(Tiere!$BN$2:$BN$145)-1)/(--(SEARCH(BK$2,Tiere!$BN$2:$BN$145)&gt;0)),ROW()-1),1))))))))),"")</f>
        <v/>
      </c>
      <c r="BK22" s="2436"/>
      <c r="BL22" s="2472" t="str">
        <f>IFERROR(IF(OR(BM$2="ZURÜCK ZUR AUSWAHL",BM$2="",BM$2=0),"",IF(BM$2=$BO$1,$BO21,IF(BM$2=$BP$1,$BP21,IF(BM$2=$BQ$1,$BQ21,IF(BM$2=$BR$1,$BR21,IF(BM$2=$BS$1,$BS21,IF(BM$2=$BT$1,$BT21,IF(BM$2=$BU$1,$BU21,INDEX(Tiere!$BN$2:$BN$145,_xlfn.AGGREGATE(15,6,(ROW(Tiere!$BN$2:$BN$145)-1)/(--(SEARCH(BM$2,Tiere!$BN$2:$BN$145)&gt;0)),ROW()-1),1))))))))),"")</f>
        <v/>
      </c>
      <c r="BM22" s="2436"/>
      <c r="BN22" s="2478" t="s">
        <v>1094</v>
      </c>
      <c r="BO22" s="2518" t="s">
        <v>1094</v>
      </c>
      <c r="BP22" s="2518" t="s">
        <v>1218</v>
      </c>
      <c r="BQ22" s="2470"/>
      <c r="BR22" s="2470"/>
      <c r="BS22" s="2470"/>
      <c r="BT22" s="2470"/>
      <c r="BU22" s="2518" t="s">
        <v>1304</v>
      </c>
    </row>
    <row r="23" spans="1:76" ht="18" customHeight="1" thickBot="1">
      <c r="A23" s="535"/>
      <c r="B23" s="2158" t="str">
        <f>Tabelle1!C159</f>
        <v>Milchviehgülle</v>
      </c>
      <c r="C23" s="1168">
        <f>Hofdung!G13</f>
        <v>0</v>
      </c>
      <c r="D23" s="1169">
        <f>IF($C23=0,0,Hofdung!H13)</f>
        <v>0</v>
      </c>
      <c r="E23" s="1169">
        <f>IF($C23=0,0,Hofdung!I13)</f>
        <v>0</v>
      </c>
      <c r="F23" s="1169">
        <f>IF($C23=0,0,Hofdung!J13)</f>
        <v>0</v>
      </c>
      <c r="G23" s="1169">
        <f>IF($C23=0,0,Hofdung!K13)</f>
        <v>0</v>
      </c>
      <c r="H23" s="1169">
        <f>IF($C23=0,0,Hofdung!L13)</f>
        <v>0</v>
      </c>
      <c r="I23" s="1170">
        <f>Tabelle1!BI43</f>
        <v>0</v>
      </c>
      <c r="J23" s="1170">
        <f>Tabelle1!BN43</f>
        <v>0</v>
      </c>
      <c r="K23" s="1170">
        <f>Tabelle1!BO43</f>
        <v>0</v>
      </c>
      <c r="L23" s="1170">
        <f>Tabelle1!BJ43</f>
        <v>0</v>
      </c>
      <c r="M23" s="1170">
        <f>Tabelle1!BK43</f>
        <v>0</v>
      </c>
      <c r="N23" s="534"/>
      <c r="O23" s="2699"/>
      <c r="P23" s="2699"/>
      <c r="Q23" s="2700"/>
      <c r="R23" s="1795" t="s">
        <v>1012</v>
      </c>
      <c r="S23" s="1798" t="s">
        <v>1013</v>
      </c>
      <c r="T23" s="1795" t="s">
        <v>938</v>
      </c>
      <c r="U23" s="1804" t="s">
        <v>1048</v>
      </c>
      <c r="V23" s="1805" t="s">
        <v>1012</v>
      </c>
      <c r="W23" s="1806" t="s">
        <v>1013</v>
      </c>
      <c r="X23" s="1805" t="s">
        <v>938</v>
      </c>
      <c r="Y23" s="535"/>
      <c r="Z23" s="186" t="s">
        <v>1430</v>
      </c>
      <c r="AH23" s="2439"/>
      <c r="AJ23" s="2472" t="str">
        <f>IFERROR(IF(OR(AK$2="ZURÜCK ZUR AUSWAHL",AK$2="",AK$2=0),"",IF(AK$2=$BO$1,$BO22,IF(AK$2=$BP$1,$BP22,IF(AK$2=$BQ$1,$BQ22,IF(AK$2=$BR$1,$BR22,IF(AK$2=$BS$1,$BS22,IF(AK$2=$BT$1,$BT22,IF(AK$2=$BU$1,$BU22,INDEX(Tiere!$BN$2:$BN$145,_xlfn.AGGREGATE(15,6,(ROW(Tiere!$BN$2:$BN$145)-1)/(--(SEARCH(AK$2,Tiere!$BN$2:$BN$145)&gt;0)),ROW()-2),1))))))))),"")</f>
        <v/>
      </c>
      <c r="AK23" s="2438"/>
      <c r="AL23" s="2472" t="str">
        <f>IFERROR(IF(OR(AM$2="ZURÜCK ZUR AUSWAHL",AM$2="",AM$2=0),"",IF(AM$2=$BO$1,$BO22,IF(AM$2=$BP$1,$BP22,IF(AM$2=$BQ$1,$BQ22,IF(AM$2=$BR$1,$BR22,IF(AM$2=$BS$1,$BS22,IF(AM$2=$BT$1,$BT22,IF(AM$2=$BU$1,$BU22,INDEX(Tiere!$BN$2:$BN$145,_xlfn.AGGREGATE(15,6,(ROW(Tiere!$BN$2:$BN$145)-1)/(--(SEARCH(AM$2,Tiere!$BN$2:$BN$145)&gt;0)),ROW()-1),1))))))))),"")</f>
        <v/>
      </c>
      <c r="AM23" s="2438"/>
      <c r="AN23" s="2472" t="str">
        <f>IFERROR(IF(OR(AO$2="ZURÜCK ZUR AUSWAHL",AO$2="",AO$2=0),"",IF(AO$2=$BO$1,$BO22,IF(AO$2=$BP$1,$BP22,IF(AO$2=$BQ$1,$BQ22,IF(AO$2=$BR$1,$BR22,IF(AO$2=$BS$1,$BS22,IF(AO$2=$BT$1,$BT22,IF(AO$2=$BU$1,$BU22,INDEX(Tiere!$BN$2:$BN$145,_xlfn.AGGREGATE(15,6,(ROW(Tiere!$BN$2:$BN$145)-1)/(--(SEARCH(AO$2,Tiere!$BN$2:$BN$145)&gt;0)),ROW()-1),1))))))))),"")</f>
        <v/>
      </c>
      <c r="AO23" s="2438"/>
      <c r="AP23" s="2472" t="str">
        <f>IFERROR(IF(OR(AQ$2="ZURÜCK ZUR AUSWAHL",AQ$2="",AQ$2=0),"",IF(AQ$2=$BO$1,$BO22,IF(AQ$2=$BP$1,$BP22,IF(AQ$2=$BQ$1,$BQ22,IF(AQ$2=$BR$1,$BR22,IF(AQ$2=$BS$1,$BS22,IF(AQ$2=$BT$1,$BT22,IF(AQ$2=$BU$1,$BU22,INDEX(Tiere!$BN$2:$BN$145,_xlfn.AGGREGATE(15,6,(ROW(Tiere!$BN$2:$BN$145)-1)/(--(SEARCH(AQ$2,Tiere!$BN$2:$BN$145)&gt;0)),ROW()-1),1))))))))),"")</f>
        <v/>
      </c>
      <c r="AQ23" s="2438"/>
      <c r="AR23" s="2472" t="str">
        <f>IFERROR(IF(OR(AS$2="ZURÜCK ZUR AUSWAHL",AS$2="",AS$2=0),"",IF(AS$2=$BO$1,$BO22,IF(AS$2=$BP$1,$BP22,IF(AS$2=$BQ$1,$BQ22,IF(AS$2=$BR$1,$BR22,IF(AS$2=$BS$1,$BS22,IF(AS$2=$BT$1,$BT22,IF(AS$2=$BU$1,$BU22,INDEX(Tiere!$BN$2:$BN$145,_xlfn.AGGREGATE(15,6,(ROW(Tiere!$BN$2:$BN$145)-1)/(--(SEARCH(AS$2,Tiere!$BN$2:$BN$145)&gt;0)),ROW()-1),1))))))))),"")</f>
        <v/>
      </c>
      <c r="AS23" s="2438"/>
      <c r="AT23" s="2472" t="str">
        <f>IFERROR(IF(OR(AU$2="ZURÜCK ZUR AUSWAHL",AU$2="",AU$2=0),"",IF(AU$2=$BO$1,$BO22,IF(AU$2=$BP$1,$BP22,IF(AU$2=$BQ$1,$BQ22,IF(AU$2=$BR$1,$BR22,IF(AU$2=$BS$1,$BS22,IF(AU$2=$BT$1,$BT22,IF(AU$2=$BU$1,$BU22,INDEX(Tiere!$BN$2:$BN$145,_xlfn.AGGREGATE(15,6,(ROW(Tiere!$BN$2:$BN$145)-1)/(--(SEARCH(AU$2,Tiere!$BN$2:$BN$145)&gt;0)),ROW()-1),1))))))))),"")</f>
        <v/>
      </c>
      <c r="AU23" s="2438"/>
      <c r="AV23" s="2472" t="str">
        <f>IFERROR(IF(OR(AW$2="ZURÜCK ZUR AUSWAHL",AW$2="",AW$2=0),"",IF(AW$2=$BO$1,$BO22,IF(AW$2=$BP$1,$BP22,IF(AW$2=$BQ$1,$BQ22,IF(AW$2=$BR$1,$BR22,IF(AW$2=$BS$1,$BS22,IF(AW$2=$BT$1,$BT22,IF(AW$2=$BU$1,$BU22,INDEX(Tiere!$BN$2:$BN$145,_xlfn.AGGREGATE(15,6,(ROW(Tiere!$BN$2:$BN$145)-1)/(--(SEARCH(AW$2,Tiere!$BN$2:$BN$145)&gt;0)),ROW()-1),1))))))))),"")</f>
        <v/>
      </c>
      <c r="AW23" s="2438"/>
      <c r="AX23" s="2472" t="str">
        <f>IFERROR(IF(OR(AY$2="ZURÜCK ZUR AUSWAHL",AY$2="",AY$2=0),"",IF(AY$2=$BO$1,$BO22,IF(AY$2=$BP$1,$BP22,IF(AY$2=$BQ$1,$BQ22,IF(AY$2=$BR$1,$BR22,IF(AY$2=$BS$1,$BS22,IF(AY$2=$BT$1,$BT22,IF(AY$2=$BU$1,$BU22,INDEX(Tiere!$BN$2:$BN$145,_xlfn.AGGREGATE(15,6,(ROW(Tiere!$BN$2:$BN$145)-1)/(--(SEARCH(AY$2,Tiere!$BN$2:$BN$145)&gt;0)),ROW()-1),1))))))))),"")</f>
        <v/>
      </c>
      <c r="AY23" s="2438"/>
      <c r="AZ23" s="2472" t="str">
        <f>IFERROR(IF(OR(BA$2="ZURÜCK ZUR AUSWAHL",BA$2="",BA$2=0),"",IF(BA$2=$BO$1,$BO22,IF(BA$2=$BP$1,$BP22,IF(BA$2=$BQ$1,$BQ22,IF(BA$2=$BR$1,$BR22,IF(BA$2=$BS$1,$BS22,IF(BA$2=$BT$1,$BT22,IF(BA$2=$BU$1,$BU22,INDEX(Tiere!$BN$2:$BN$145,_xlfn.AGGREGATE(15,6,(ROW(Tiere!$BN$2:$BN$145)-1)/(--(SEARCH(BA$2,Tiere!$BN$2:$BN$145)&gt;0)),ROW()-1),1))))))))),"")</f>
        <v/>
      </c>
      <c r="BA23" s="2438"/>
      <c r="BB23" s="2472" t="str">
        <f>IFERROR(IF(OR(BC$2="ZURÜCK ZUR AUSWAHL",BC$2="",BC$2=0),"",IF(BC$2=$BO$1,$BO22,IF(BC$2=$BP$1,$BP22,IF(BC$2=$BQ$1,$BQ22,IF(BC$2=$BR$1,$BR22,IF(BC$2=$BS$1,$BS22,IF(BC$2=$BT$1,$BT22,IF(BC$2=$BU$1,$BU22,INDEX(Tiere!$BN$2:$BN$145,_xlfn.AGGREGATE(15,6,(ROW(Tiere!$BN$2:$BN$145)-1)/(--(SEARCH(BC$2,Tiere!$BN$2:$BN$145)&gt;0)),ROW()-1),1))))))))),"")</f>
        <v/>
      </c>
      <c r="BC23" s="2438"/>
      <c r="BD23" s="2472" t="str">
        <f>IFERROR(IF(OR(BE$2="ZURÜCK ZUR AUSWAHL",BE$2="",BE$2=0),"",IF(BE$2=$BO$1,$BO22,IF(BE$2=$BP$1,$BP22,IF(BE$2=$BQ$1,$BQ22,IF(BE$2=$BR$1,$BR22,IF(BE$2=$BS$1,$BS22,IF(BE$2=$BT$1,$BT22,IF(BE$2=$BU$1,$BU22,INDEX(Tiere!$BN$2:$BN$145,_xlfn.AGGREGATE(15,6,(ROW(Tiere!$BN$2:$BN$145)-1)/(--(SEARCH(BE$2,Tiere!$BN$2:$BN$145)&gt;0)),ROW()-1),1))))))))),"")</f>
        <v/>
      </c>
      <c r="BE23" s="2438"/>
      <c r="BF23" s="2472" t="str">
        <f>IFERROR(IF(OR(BG$2="ZURÜCK ZUR AUSWAHL",BG$2="",BG$2=0),"",IF(BG$2=$BO$1,$BO22,IF(BG$2=$BP$1,$BP22,IF(BG$2=$BQ$1,$BQ22,IF(BG$2=$BR$1,$BR22,IF(BG$2=$BS$1,$BS22,IF(BG$2=$BT$1,$BT22,IF(BG$2=$BU$1,$BU22,INDEX(Tiere!$BN$2:$BN$145,_xlfn.AGGREGATE(15,6,(ROW(Tiere!$BN$2:$BN$145)-1)/(--(SEARCH(BG$2,Tiere!$BN$2:$BN$145)&gt;0)),ROW()-1),1))))))))),"")</f>
        <v/>
      </c>
      <c r="BG23" s="2438"/>
      <c r="BH23" s="2472" t="str">
        <f>IFERROR(IF(OR(BI$2="ZURÜCK ZUR AUSWAHL",BI$2="",BI$2=0),"",IF(BI$2=$BO$1,$BO22,IF(BI$2=$BP$1,$BP22,IF(BI$2=$BQ$1,$BQ22,IF(BI$2=$BR$1,$BR22,IF(BI$2=$BS$1,$BS22,IF(BI$2=$BT$1,$BT22,IF(BI$2=$BU$1,$BU22,INDEX(Tiere!$BN$2:$BN$145,_xlfn.AGGREGATE(15,6,(ROW(Tiere!$BN$2:$BN$145)-1)/(--(SEARCH(BI$2,Tiere!$BN$2:$BN$145)&gt;0)),ROW()-1),1))))))))),"")</f>
        <v/>
      </c>
      <c r="BI23" s="2438"/>
      <c r="BJ23" s="2472" t="str">
        <f>IFERROR(IF(OR(BK$2="ZURÜCK ZUR AUSWAHL",BK$2="",BK$2=0),"",IF(BK$2=$BO$1,$BO22,IF(BK$2=$BP$1,$BP22,IF(BK$2=$BQ$1,$BQ22,IF(BK$2=$BR$1,$BR22,IF(BK$2=$BS$1,$BS22,IF(BK$2=$BT$1,$BT22,IF(BK$2=$BU$1,$BU22,INDEX(Tiere!$BN$2:$BN$145,_xlfn.AGGREGATE(15,6,(ROW(Tiere!$BN$2:$BN$145)-1)/(--(SEARCH(BK$2,Tiere!$BN$2:$BN$145)&gt;0)),ROW()-1),1))))))))),"")</f>
        <v/>
      </c>
      <c r="BK23" s="2438"/>
      <c r="BL23" s="2472" t="str">
        <f>IFERROR(IF(OR(BM$2="ZURÜCK ZUR AUSWAHL",BM$2="",BM$2=0),"",IF(BM$2=$BO$1,$BO22,IF(BM$2=$BP$1,$BP22,IF(BM$2=$BQ$1,$BQ22,IF(BM$2=$BR$1,$BR22,IF(BM$2=$BS$1,$BS22,IF(BM$2=$BT$1,$BT22,IF(BM$2=$BU$1,$BU22,INDEX(Tiere!$BN$2:$BN$145,_xlfn.AGGREGATE(15,6,(ROW(Tiere!$BN$2:$BN$145)-1)/(--(SEARCH(BM$2,Tiere!$BN$2:$BN$145)&gt;0)),ROW()-1),1))))))))),"")</f>
        <v/>
      </c>
      <c r="BM23" s="2438"/>
      <c r="BN23" s="2478" t="s">
        <v>1097</v>
      </c>
      <c r="BO23" s="2518" t="s">
        <v>1097</v>
      </c>
      <c r="BP23" s="2518" t="s">
        <v>1220</v>
      </c>
      <c r="BQ23" s="2470"/>
      <c r="BR23" s="2470"/>
      <c r="BS23" s="2470"/>
      <c r="BT23" s="2470"/>
      <c r="BU23" s="2518" t="s">
        <v>1305</v>
      </c>
    </row>
    <row r="24" spans="1:76" ht="18" customHeight="1" thickBot="1">
      <c r="A24" s="535"/>
      <c r="B24" s="2158" t="str">
        <f>Tabelle1!C160</f>
        <v>Schweinegülle</v>
      </c>
      <c r="C24" s="1168">
        <f>Hofdung!G14</f>
        <v>0</v>
      </c>
      <c r="D24" s="1169">
        <f>IF($C24=0,0,Hofdung!H14)</f>
        <v>0</v>
      </c>
      <c r="E24" s="1169">
        <f>IF($C24=0,0,Hofdung!I14)</f>
        <v>0</v>
      </c>
      <c r="F24" s="1169">
        <f>IF($C24=0,0,Hofdung!J14)</f>
        <v>0</v>
      </c>
      <c r="G24" s="1169">
        <f>IF($C24=0,0,Hofdung!K14)</f>
        <v>0</v>
      </c>
      <c r="H24" s="1169">
        <f>IF($C24=0,0,Hofdung!L14)</f>
        <v>0</v>
      </c>
      <c r="I24" s="1170">
        <f>Tabelle1!BI44</f>
        <v>0</v>
      </c>
      <c r="J24" s="1170">
        <f>Tabelle1!BN44</f>
        <v>0</v>
      </c>
      <c r="K24" s="1170">
        <f>Tabelle1!BO44</f>
        <v>0</v>
      </c>
      <c r="L24" s="1170">
        <f>Tabelle1!BJ44</f>
        <v>0</v>
      </c>
      <c r="M24" s="1170">
        <f>Tabelle1!BK44</f>
        <v>0</v>
      </c>
      <c r="N24" s="534"/>
      <c r="O24" s="1803" t="s">
        <v>1053</v>
      </c>
      <c r="P24" s="1803"/>
      <c r="Q24" s="1803"/>
      <c r="R24" s="1167"/>
      <c r="S24" s="1167"/>
      <c r="T24" s="1167"/>
      <c r="U24" s="1172"/>
      <c r="V24" s="1173">
        <f t="shared" ref="V24:X28" si="3">$U24*R24</f>
        <v>0</v>
      </c>
      <c r="W24" s="1173">
        <f t="shared" si="3"/>
        <v>0</v>
      </c>
      <c r="X24" s="1173">
        <f t="shared" si="3"/>
        <v>0</v>
      </c>
      <c r="Y24" s="535"/>
      <c r="Z24" s="194" t="s">
        <v>1431</v>
      </c>
      <c r="AH24" s="2439"/>
      <c r="AJ24" s="2472" t="str">
        <f>IFERROR(IF(OR(AK$2="ZURÜCK ZUR AUSWAHL",AK$2="",AK$2=0),"",IF(AK$2=$BO$1,$BO23,IF(AK$2=$BP$1,$BP23,IF(AK$2=$BQ$1,$BQ23,IF(AK$2=$BR$1,$BR23,IF(AK$2=$BS$1,$BS23,IF(AK$2=$BT$1,$BT23,IF(AK$2=$BU$1,$BU23,INDEX(Tiere!$BN$2:$BN$145,_xlfn.AGGREGATE(15,6,(ROW(Tiere!$BN$2:$BN$145)-1)/(--(SEARCH(AK$2,Tiere!$BN$2:$BN$145)&gt;0)),ROW()-2),1))))))))),"")</f>
        <v/>
      </c>
      <c r="AK24" s="2436"/>
      <c r="AL24" s="2472" t="str">
        <f>IFERROR(IF(OR(AM$2="ZURÜCK ZUR AUSWAHL",AM$2="",AM$2=0),"",IF(AM$2=$BO$1,$BO23,IF(AM$2=$BP$1,$BP23,IF(AM$2=$BQ$1,$BQ23,IF(AM$2=$BR$1,$BR23,IF(AM$2=$BS$1,$BS23,IF(AM$2=$BT$1,$BT23,IF(AM$2=$BU$1,$BU23,INDEX(Tiere!$BN$2:$BN$145,_xlfn.AGGREGATE(15,6,(ROW(Tiere!$BN$2:$BN$145)-1)/(--(SEARCH(AM$2,Tiere!$BN$2:$BN$145)&gt;0)),ROW()-1),1))))))))),"")</f>
        <v/>
      </c>
      <c r="AM24" s="2436"/>
      <c r="AN24" s="2472" t="str">
        <f>IFERROR(IF(OR(AO$2="ZURÜCK ZUR AUSWAHL",AO$2="",AO$2=0),"",IF(AO$2=$BO$1,$BO23,IF(AO$2=$BP$1,$BP23,IF(AO$2=$BQ$1,$BQ23,IF(AO$2=$BR$1,$BR23,IF(AO$2=$BS$1,$BS23,IF(AO$2=$BT$1,$BT23,IF(AO$2=$BU$1,$BU23,INDEX(Tiere!$BN$2:$BN$145,_xlfn.AGGREGATE(15,6,(ROW(Tiere!$BN$2:$BN$145)-1)/(--(SEARCH(AO$2,Tiere!$BN$2:$BN$145)&gt;0)),ROW()-1),1))))))))),"")</f>
        <v/>
      </c>
      <c r="AO24" s="2436"/>
      <c r="AP24" s="2472" t="str">
        <f>IFERROR(IF(OR(AQ$2="ZURÜCK ZUR AUSWAHL",AQ$2="",AQ$2=0),"",IF(AQ$2=$BO$1,$BO23,IF(AQ$2=$BP$1,$BP23,IF(AQ$2=$BQ$1,$BQ23,IF(AQ$2=$BR$1,$BR23,IF(AQ$2=$BS$1,$BS23,IF(AQ$2=$BT$1,$BT23,IF(AQ$2=$BU$1,$BU23,INDEX(Tiere!$BN$2:$BN$145,_xlfn.AGGREGATE(15,6,(ROW(Tiere!$BN$2:$BN$145)-1)/(--(SEARCH(AQ$2,Tiere!$BN$2:$BN$145)&gt;0)),ROW()-1),1))))))))),"")</f>
        <v/>
      </c>
      <c r="AQ24" s="2436"/>
      <c r="AR24" s="2472" t="str">
        <f>IFERROR(IF(OR(AS$2="ZURÜCK ZUR AUSWAHL",AS$2="",AS$2=0),"",IF(AS$2=$BO$1,$BO23,IF(AS$2=$BP$1,$BP23,IF(AS$2=$BQ$1,$BQ23,IF(AS$2=$BR$1,$BR23,IF(AS$2=$BS$1,$BS23,IF(AS$2=$BT$1,$BT23,IF(AS$2=$BU$1,$BU23,INDEX(Tiere!$BN$2:$BN$145,_xlfn.AGGREGATE(15,6,(ROW(Tiere!$BN$2:$BN$145)-1)/(--(SEARCH(AS$2,Tiere!$BN$2:$BN$145)&gt;0)),ROW()-1),1))))))))),"")</f>
        <v/>
      </c>
      <c r="AS24" s="2436"/>
      <c r="AT24" s="2472" t="str">
        <f>IFERROR(IF(OR(AU$2="ZURÜCK ZUR AUSWAHL",AU$2="",AU$2=0),"",IF(AU$2=$BO$1,$BO23,IF(AU$2=$BP$1,$BP23,IF(AU$2=$BQ$1,$BQ23,IF(AU$2=$BR$1,$BR23,IF(AU$2=$BS$1,$BS23,IF(AU$2=$BT$1,$BT23,IF(AU$2=$BU$1,$BU23,INDEX(Tiere!$BN$2:$BN$145,_xlfn.AGGREGATE(15,6,(ROW(Tiere!$BN$2:$BN$145)-1)/(--(SEARCH(AU$2,Tiere!$BN$2:$BN$145)&gt;0)),ROW()-1),1))))))))),"")</f>
        <v/>
      </c>
      <c r="AU24" s="2436"/>
      <c r="AV24" s="2472" t="str">
        <f>IFERROR(IF(OR(AW$2="ZURÜCK ZUR AUSWAHL",AW$2="",AW$2=0),"",IF(AW$2=$BO$1,$BO23,IF(AW$2=$BP$1,$BP23,IF(AW$2=$BQ$1,$BQ23,IF(AW$2=$BR$1,$BR23,IF(AW$2=$BS$1,$BS23,IF(AW$2=$BT$1,$BT23,IF(AW$2=$BU$1,$BU23,INDEX(Tiere!$BN$2:$BN$145,_xlfn.AGGREGATE(15,6,(ROW(Tiere!$BN$2:$BN$145)-1)/(--(SEARCH(AW$2,Tiere!$BN$2:$BN$145)&gt;0)),ROW()-1),1))))))))),"")</f>
        <v/>
      </c>
      <c r="AW24" s="2436"/>
      <c r="AX24" s="2472" t="str">
        <f>IFERROR(IF(OR(AY$2="ZURÜCK ZUR AUSWAHL",AY$2="",AY$2=0),"",IF(AY$2=$BO$1,$BO23,IF(AY$2=$BP$1,$BP23,IF(AY$2=$BQ$1,$BQ23,IF(AY$2=$BR$1,$BR23,IF(AY$2=$BS$1,$BS23,IF(AY$2=$BT$1,$BT23,IF(AY$2=$BU$1,$BU23,INDEX(Tiere!$BN$2:$BN$145,_xlfn.AGGREGATE(15,6,(ROW(Tiere!$BN$2:$BN$145)-1)/(--(SEARCH(AY$2,Tiere!$BN$2:$BN$145)&gt;0)),ROW()-1),1))))))))),"")</f>
        <v/>
      </c>
      <c r="AY24" s="2436"/>
      <c r="AZ24" s="2472" t="str">
        <f>IFERROR(IF(OR(BA$2="ZURÜCK ZUR AUSWAHL",BA$2="",BA$2=0),"",IF(BA$2=$BO$1,$BO23,IF(BA$2=$BP$1,$BP23,IF(BA$2=$BQ$1,$BQ23,IF(BA$2=$BR$1,$BR23,IF(BA$2=$BS$1,$BS23,IF(BA$2=$BT$1,$BT23,IF(BA$2=$BU$1,$BU23,INDEX(Tiere!$BN$2:$BN$145,_xlfn.AGGREGATE(15,6,(ROW(Tiere!$BN$2:$BN$145)-1)/(--(SEARCH(BA$2,Tiere!$BN$2:$BN$145)&gt;0)),ROW()-1),1))))))))),"")</f>
        <v/>
      </c>
      <c r="BA24" s="2436"/>
      <c r="BB24" s="2472" t="str">
        <f>IFERROR(IF(OR(BC$2="ZURÜCK ZUR AUSWAHL",BC$2="",BC$2=0),"",IF(BC$2=$BO$1,$BO23,IF(BC$2=$BP$1,$BP23,IF(BC$2=$BQ$1,$BQ23,IF(BC$2=$BR$1,$BR23,IF(BC$2=$BS$1,$BS23,IF(BC$2=$BT$1,$BT23,IF(BC$2=$BU$1,$BU23,INDEX(Tiere!$BN$2:$BN$145,_xlfn.AGGREGATE(15,6,(ROW(Tiere!$BN$2:$BN$145)-1)/(--(SEARCH(BC$2,Tiere!$BN$2:$BN$145)&gt;0)),ROW()-1),1))))))))),"")</f>
        <v/>
      </c>
      <c r="BC24" s="2436"/>
      <c r="BD24" s="2472" t="str">
        <f>IFERROR(IF(OR(BE$2="ZURÜCK ZUR AUSWAHL",BE$2="",BE$2=0),"",IF(BE$2=$BO$1,$BO23,IF(BE$2=$BP$1,$BP23,IF(BE$2=$BQ$1,$BQ23,IF(BE$2=$BR$1,$BR23,IF(BE$2=$BS$1,$BS23,IF(BE$2=$BT$1,$BT23,IF(BE$2=$BU$1,$BU23,INDEX(Tiere!$BN$2:$BN$145,_xlfn.AGGREGATE(15,6,(ROW(Tiere!$BN$2:$BN$145)-1)/(--(SEARCH(BE$2,Tiere!$BN$2:$BN$145)&gt;0)),ROW()-1),1))))))))),"")</f>
        <v/>
      </c>
      <c r="BE24" s="2436"/>
      <c r="BF24" s="2472" t="str">
        <f>IFERROR(IF(OR(BG$2="ZURÜCK ZUR AUSWAHL",BG$2="",BG$2=0),"",IF(BG$2=$BO$1,$BO23,IF(BG$2=$BP$1,$BP23,IF(BG$2=$BQ$1,$BQ23,IF(BG$2=$BR$1,$BR23,IF(BG$2=$BS$1,$BS23,IF(BG$2=$BT$1,$BT23,IF(BG$2=$BU$1,$BU23,INDEX(Tiere!$BN$2:$BN$145,_xlfn.AGGREGATE(15,6,(ROW(Tiere!$BN$2:$BN$145)-1)/(--(SEARCH(BG$2,Tiere!$BN$2:$BN$145)&gt;0)),ROW()-1),1))))))))),"")</f>
        <v/>
      </c>
      <c r="BG24" s="2436"/>
      <c r="BH24" s="2472" t="str">
        <f>IFERROR(IF(OR(BI$2="ZURÜCK ZUR AUSWAHL",BI$2="",BI$2=0),"",IF(BI$2=$BO$1,$BO23,IF(BI$2=$BP$1,$BP23,IF(BI$2=$BQ$1,$BQ23,IF(BI$2=$BR$1,$BR23,IF(BI$2=$BS$1,$BS23,IF(BI$2=$BT$1,$BT23,IF(BI$2=$BU$1,$BU23,INDEX(Tiere!$BN$2:$BN$145,_xlfn.AGGREGATE(15,6,(ROW(Tiere!$BN$2:$BN$145)-1)/(--(SEARCH(BI$2,Tiere!$BN$2:$BN$145)&gt;0)),ROW()-1),1))))))))),"")</f>
        <v/>
      </c>
      <c r="BI24" s="2436"/>
      <c r="BJ24" s="2472" t="str">
        <f>IFERROR(IF(OR(BK$2="ZURÜCK ZUR AUSWAHL",BK$2="",BK$2=0),"",IF(BK$2=$BO$1,$BO23,IF(BK$2=$BP$1,$BP23,IF(BK$2=$BQ$1,$BQ23,IF(BK$2=$BR$1,$BR23,IF(BK$2=$BS$1,$BS23,IF(BK$2=$BT$1,$BT23,IF(BK$2=$BU$1,$BU23,INDEX(Tiere!$BN$2:$BN$145,_xlfn.AGGREGATE(15,6,(ROW(Tiere!$BN$2:$BN$145)-1)/(--(SEARCH(BK$2,Tiere!$BN$2:$BN$145)&gt;0)),ROW()-1),1))))))))),"")</f>
        <v/>
      </c>
      <c r="BK24" s="2436"/>
      <c r="BL24" s="2472" t="str">
        <f>IFERROR(IF(OR(BM$2="ZURÜCK ZUR AUSWAHL",BM$2="",BM$2=0),"",IF(BM$2=$BO$1,$BO23,IF(BM$2=$BP$1,$BP23,IF(BM$2=$BQ$1,$BQ23,IF(BM$2=$BR$1,$BR23,IF(BM$2=$BS$1,$BS23,IF(BM$2=$BT$1,$BT23,IF(BM$2=$BU$1,$BU23,INDEX(Tiere!$BN$2:$BN$145,_xlfn.AGGREGATE(15,6,(ROW(Tiere!$BN$2:$BN$145)-1)/(--(SEARCH(BM$2,Tiere!$BN$2:$BN$145)&gt;0)),ROW()-1),1))))))))),"")</f>
        <v/>
      </c>
      <c r="BM24" s="2436"/>
      <c r="BN24" s="2478" t="s">
        <v>1098</v>
      </c>
      <c r="BO24" s="2518" t="s">
        <v>1098</v>
      </c>
      <c r="BP24" s="2518" t="s">
        <v>1222</v>
      </c>
      <c r="BQ24" s="2470"/>
      <c r="BR24" s="2470"/>
      <c r="BS24" s="2470"/>
      <c r="BT24" s="2470"/>
      <c r="BU24" s="2518" t="s">
        <v>1306</v>
      </c>
    </row>
    <row r="25" spans="1:76" ht="18" customHeight="1" thickBot="1">
      <c r="A25" s="535"/>
      <c r="B25" s="2158" t="str">
        <f>Tabelle1!C161</f>
        <v>Geflügelgülle</v>
      </c>
      <c r="C25" s="1168">
        <f>Hofdung!G15</f>
        <v>0</v>
      </c>
      <c r="D25" s="1169">
        <f>IF($C25=0,0,Hofdung!H15)</f>
        <v>0</v>
      </c>
      <c r="E25" s="1169">
        <f>IF($C25=0,0,Hofdung!I15)</f>
        <v>0</v>
      </c>
      <c r="F25" s="1169">
        <f>IF($C25=0,0,Hofdung!J15)</f>
        <v>0</v>
      </c>
      <c r="G25" s="1169">
        <f>IF($C25=0,0,Hofdung!K15)</f>
        <v>0</v>
      </c>
      <c r="H25" s="1169">
        <f>IF($C25=0,0,Hofdung!L15)</f>
        <v>0</v>
      </c>
      <c r="I25" s="1170">
        <f>Tabelle1!BI45</f>
        <v>0</v>
      </c>
      <c r="J25" s="1170">
        <f>Tabelle1!BN45</f>
        <v>0</v>
      </c>
      <c r="K25" s="1170">
        <f>Tabelle1!BO45</f>
        <v>0</v>
      </c>
      <c r="L25" s="1170">
        <f>Tabelle1!BJ45</f>
        <v>0</v>
      </c>
      <c r="M25" s="1170">
        <f>Tabelle1!BK45</f>
        <v>0</v>
      </c>
      <c r="N25" s="534"/>
      <c r="O25" s="1803" t="s">
        <v>1092</v>
      </c>
      <c r="P25" s="1803"/>
      <c r="Q25" s="1803"/>
      <c r="R25" s="1167"/>
      <c r="S25" s="1167"/>
      <c r="T25" s="1167"/>
      <c r="U25" s="1172"/>
      <c r="V25" s="1173">
        <f t="shared" si="3"/>
        <v>0</v>
      </c>
      <c r="W25" s="1173">
        <f t="shared" si="3"/>
        <v>0</v>
      </c>
      <c r="X25" s="1173">
        <f t="shared" si="3"/>
        <v>0</v>
      </c>
      <c r="Y25" s="535"/>
      <c r="Z25"/>
      <c r="AH25" s="2439"/>
      <c r="AJ25" s="2472" t="str">
        <f>IFERROR(IF(OR(AK$2="ZURÜCK ZUR AUSWAHL",AK$2="",AK$2=0),"",IF(AK$2=$BO$1,$BO24,IF(AK$2=$BP$1,$BP24,IF(AK$2=$BQ$1,$BQ24,IF(AK$2=$BR$1,$BR24,IF(AK$2=$BS$1,$BS24,IF(AK$2=$BT$1,$BT24,IF(AK$2=$BU$1,$BU24,INDEX(Tiere!$BN$2:$BN$145,_xlfn.AGGREGATE(15,6,(ROW(Tiere!$BN$2:$BN$145)-1)/(--(SEARCH(AK$2,Tiere!$BN$2:$BN$145)&gt;0)),ROW()-2),1))))))))),"")</f>
        <v/>
      </c>
      <c r="AK25" s="2438"/>
      <c r="AL25" s="2472" t="str">
        <f>IFERROR(IF(OR(AM$2="ZURÜCK ZUR AUSWAHL",AM$2="",AM$2=0),"",IF(AM$2=$BO$1,$BO24,IF(AM$2=$BP$1,$BP24,IF(AM$2=$BQ$1,$BQ24,IF(AM$2=$BR$1,$BR24,IF(AM$2=$BS$1,$BS24,IF(AM$2=$BT$1,$BT24,IF(AM$2=$BU$1,$BU24,INDEX(Tiere!$BN$2:$BN$145,_xlfn.AGGREGATE(15,6,(ROW(Tiere!$BN$2:$BN$145)-1)/(--(SEARCH(AM$2,Tiere!$BN$2:$BN$145)&gt;0)),ROW()-1),1))))))))),"")</f>
        <v/>
      </c>
      <c r="AM25" s="2438"/>
      <c r="AN25" s="2472" t="str">
        <f>IFERROR(IF(OR(AO$2="ZURÜCK ZUR AUSWAHL",AO$2="",AO$2=0),"",IF(AO$2=$BO$1,$BO24,IF(AO$2=$BP$1,$BP24,IF(AO$2=$BQ$1,$BQ24,IF(AO$2=$BR$1,$BR24,IF(AO$2=$BS$1,$BS24,IF(AO$2=$BT$1,$BT24,IF(AO$2=$BU$1,$BU24,INDEX(Tiere!$BN$2:$BN$145,_xlfn.AGGREGATE(15,6,(ROW(Tiere!$BN$2:$BN$145)-1)/(--(SEARCH(AO$2,Tiere!$BN$2:$BN$145)&gt;0)),ROW()-1),1))))))))),"")</f>
        <v/>
      </c>
      <c r="AO25" s="2438"/>
      <c r="AP25" s="2472" t="str">
        <f>IFERROR(IF(OR(AQ$2="ZURÜCK ZUR AUSWAHL",AQ$2="",AQ$2=0),"",IF(AQ$2=$BO$1,$BO24,IF(AQ$2=$BP$1,$BP24,IF(AQ$2=$BQ$1,$BQ24,IF(AQ$2=$BR$1,$BR24,IF(AQ$2=$BS$1,$BS24,IF(AQ$2=$BT$1,$BT24,IF(AQ$2=$BU$1,$BU24,INDEX(Tiere!$BN$2:$BN$145,_xlfn.AGGREGATE(15,6,(ROW(Tiere!$BN$2:$BN$145)-1)/(--(SEARCH(AQ$2,Tiere!$BN$2:$BN$145)&gt;0)),ROW()-1),1))))))))),"")</f>
        <v/>
      </c>
      <c r="AQ25" s="2438"/>
      <c r="AR25" s="2472" t="str">
        <f>IFERROR(IF(OR(AS$2="ZURÜCK ZUR AUSWAHL",AS$2="",AS$2=0),"",IF(AS$2=$BO$1,$BO24,IF(AS$2=$BP$1,$BP24,IF(AS$2=$BQ$1,$BQ24,IF(AS$2=$BR$1,$BR24,IF(AS$2=$BS$1,$BS24,IF(AS$2=$BT$1,$BT24,IF(AS$2=$BU$1,$BU24,INDEX(Tiere!$BN$2:$BN$145,_xlfn.AGGREGATE(15,6,(ROW(Tiere!$BN$2:$BN$145)-1)/(--(SEARCH(AS$2,Tiere!$BN$2:$BN$145)&gt;0)),ROW()-1),1))))))))),"")</f>
        <v/>
      </c>
      <c r="AS25" s="2438"/>
      <c r="AT25" s="2472" t="str">
        <f>IFERROR(IF(OR(AU$2="ZURÜCK ZUR AUSWAHL",AU$2="",AU$2=0),"",IF(AU$2=$BO$1,$BO24,IF(AU$2=$BP$1,$BP24,IF(AU$2=$BQ$1,$BQ24,IF(AU$2=$BR$1,$BR24,IF(AU$2=$BS$1,$BS24,IF(AU$2=$BT$1,$BT24,IF(AU$2=$BU$1,$BU24,INDEX(Tiere!$BN$2:$BN$145,_xlfn.AGGREGATE(15,6,(ROW(Tiere!$BN$2:$BN$145)-1)/(--(SEARCH(AU$2,Tiere!$BN$2:$BN$145)&gt;0)),ROW()-1),1))))))))),"")</f>
        <v/>
      </c>
      <c r="AU25" s="2438"/>
      <c r="AV25" s="2472" t="str">
        <f>IFERROR(IF(OR(AW$2="ZURÜCK ZUR AUSWAHL",AW$2="",AW$2=0),"",IF(AW$2=$BO$1,$BO24,IF(AW$2=$BP$1,$BP24,IF(AW$2=$BQ$1,$BQ24,IF(AW$2=$BR$1,$BR24,IF(AW$2=$BS$1,$BS24,IF(AW$2=$BT$1,$BT24,IF(AW$2=$BU$1,$BU24,INDEX(Tiere!$BN$2:$BN$145,_xlfn.AGGREGATE(15,6,(ROW(Tiere!$BN$2:$BN$145)-1)/(--(SEARCH(AW$2,Tiere!$BN$2:$BN$145)&gt;0)),ROW()-1),1))))))))),"")</f>
        <v/>
      </c>
      <c r="AW25" s="2438"/>
      <c r="AX25" s="2472" t="str">
        <f>IFERROR(IF(OR(AY$2="ZURÜCK ZUR AUSWAHL",AY$2="",AY$2=0),"",IF(AY$2=$BO$1,$BO24,IF(AY$2=$BP$1,$BP24,IF(AY$2=$BQ$1,$BQ24,IF(AY$2=$BR$1,$BR24,IF(AY$2=$BS$1,$BS24,IF(AY$2=$BT$1,$BT24,IF(AY$2=$BU$1,$BU24,INDEX(Tiere!$BN$2:$BN$145,_xlfn.AGGREGATE(15,6,(ROW(Tiere!$BN$2:$BN$145)-1)/(--(SEARCH(AY$2,Tiere!$BN$2:$BN$145)&gt;0)),ROW()-1),1))))))))),"")</f>
        <v/>
      </c>
      <c r="AY25" s="2438"/>
      <c r="AZ25" s="2472" t="str">
        <f>IFERROR(IF(OR(BA$2="ZURÜCK ZUR AUSWAHL",BA$2="",BA$2=0),"",IF(BA$2=$BO$1,$BO24,IF(BA$2=$BP$1,$BP24,IF(BA$2=$BQ$1,$BQ24,IF(BA$2=$BR$1,$BR24,IF(BA$2=$BS$1,$BS24,IF(BA$2=$BT$1,$BT24,IF(BA$2=$BU$1,$BU24,INDEX(Tiere!$BN$2:$BN$145,_xlfn.AGGREGATE(15,6,(ROW(Tiere!$BN$2:$BN$145)-1)/(--(SEARCH(BA$2,Tiere!$BN$2:$BN$145)&gt;0)),ROW()-1),1))))))))),"")</f>
        <v/>
      </c>
      <c r="BA25" s="2438"/>
      <c r="BB25" s="2472" t="str">
        <f>IFERROR(IF(OR(BC$2="ZURÜCK ZUR AUSWAHL",BC$2="",BC$2=0),"",IF(BC$2=$BO$1,$BO24,IF(BC$2=$BP$1,$BP24,IF(BC$2=$BQ$1,$BQ24,IF(BC$2=$BR$1,$BR24,IF(BC$2=$BS$1,$BS24,IF(BC$2=$BT$1,$BT24,IF(BC$2=$BU$1,$BU24,INDEX(Tiere!$BN$2:$BN$145,_xlfn.AGGREGATE(15,6,(ROW(Tiere!$BN$2:$BN$145)-1)/(--(SEARCH(BC$2,Tiere!$BN$2:$BN$145)&gt;0)),ROW()-1),1))))))))),"")</f>
        <v/>
      </c>
      <c r="BC25" s="2438"/>
      <c r="BD25" s="2472" t="str">
        <f>IFERROR(IF(OR(BE$2="ZURÜCK ZUR AUSWAHL",BE$2="",BE$2=0),"",IF(BE$2=$BO$1,$BO24,IF(BE$2=$BP$1,$BP24,IF(BE$2=$BQ$1,$BQ24,IF(BE$2=$BR$1,$BR24,IF(BE$2=$BS$1,$BS24,IF(BE$2=$BT$1,$BT24,IF(BE$2=$BU$1,$BU24,INDEX(Tiere!$BN$2:$BN$145,_xlfn.AGGREGATE(15,6,(ROW(Tiere!$BN$2:$BN$145)-1)/(--(SEARCH(BE$2,Tiere!$BN$2:$BN$145)&gt;0)),ROW()-1),1))))))))),"")</f>
        <v/>
      </c>
      <c r="BE25" s="2438"/>
      <c r="BF25" s="2472" t="str">
        <f>IFERROR(IF(OR(BG$2="ZURÜCK ZUR AUSWAHL",BG$2="",BG$2=0),"",IF(BG$2=$BO$1,$BO24,IF(BG$2=$BP$1,$BP24,IF(BG$2=$BQ$1,$BQ24,IF(BG$2=$BR$1,$BR24,IF(BG$2=$BS$1,$BS24,IF(BG$2=$BT$1,$BT24,IF(BG$2=$BU$1,$BU24,INDEX(Tiere!$BN$2:$BN$145,_xlfn.AGGREGATE(15,6,(ROW(Tiere!$BN$2:$BN$145)-1)/(--(SEARCH(BG$2,Tiere!$BN$2:$BN$145)&gt;0)),ROW()-1),1))))))))),"")</f>
        <v/>
      </c>
      <c r="BG25" s="2438"/>
      <c r="BH25" s="2472" t="str">
        <f>IFERROR(IF(OR(BI$2="ZURÜCK ZUR AUSWAHL",BI$2="",BI$2=0),"",IF(BI$2=$BO$1,$BO24,IF(BI$2=$BP$1,$BP24,IF(BI$2=$BQ$1,$BQ24,IF(BI$2=$BR$1,$BR24,IF(BI$2=$BS$1,$BS24,IF(BI$2=$BT$1,$BT24,IF(BI$2=$BU$1,$BU24,INDEX(Tiere!$BN$2:$BN$145,_xlfn.AGGREGATE(15,6,(ROW(Tiere!$BN$2:$BN$145)-1)/(--(SEARCH(BI$2,Tiere!$BN$2:$BN$145)&gt;0)),ROW()-1),1))))))))),"")</f>
        <v/>
      </c>
      <c r="BI25" s="2438"/>
      <c r="BJ25" s="2472" t="str">
        <f>IFERROR(IF(OR(BK$2="ZURÜCK ZUR AUSWAHL",BK$2="",BK$2=0),"",IF(BK$2=$BO$1,$BO24,IF(BK$2=$BP$1,$BP24,IF(BK$2=$BQ$1,$BQ24,IF(BK$2=$BR$1,$BR24,IF(BK$2=$BS$1,$BS24,IF(BK$2=$BT$1,$BT24,IF(BK$2=$BU$1,$BU24,INDEX(Tiere!$BN$2:$BN$145,_xlfn.AGGREGATE(15,6,(ROW(Tiere!$BN$2:$BN$145)-1)/(--(SEARCH(BK$2,Tiere!$BN$2:$BN$145)&gt;0)),ROW()-1),1))))))))),"")</f>
        <v/>
      </c>
      <c r="BK25" s="2438"/>
      <c r="BL25" s="2472" t="str">
        <f>IFERROR(IF(OR(BM$2="ZURÜCK ZUR AUSWAHL",BM$2="",BM$2=0),"",IF(BM$2=$BO$1,$BO24,IF(BM$2=$BP$1,$BP24,IF(BM$2=$BQ$1,$BQ24,IF(BM$2=$BR$1,$BR24,IF(BM$2=$BS$1,$BS24,IF(BM$2=$BT$1,$BT24,IF(BM$2=$BU$1,$BU24,INDEX(Tiere!$BN$2:$BN$145,_xlfn.AGGREGATE(15,6,(ROW(Tiere!$BN$2:$BN$145)-1)/(--(SEARCH(BM$2,Tiere!$BN$2:$BN$145)&gt;0)),ROW()-1),1))))))))),"")</f>
        <v/>
      </c>
      <c r="BM25" s="2438"/>
      <c r="BN25" s="2478" t="s">
        <v>1101</v>
      </c>
      <c r="BO25" s="2518" t="s">
        <v>1101</v>
      </c>
      <c r="BP25" s="2518" t="s">
        <v>1224</v>
      </c>
      <c r="BQ25" s="2470"/>
      <c r="BR25" s="2470"/>
      <c r="BS25" s="2470"/>
      <c r="BT25" s="2470"/>
      <c r="BU25" s="2518" t="s">
        <v>1307</v>
      </c>
    </row>
    <row r="26" spans="1:76" ht="18" customHeight="1" thickTop="1" thickBot="1">
      <c r="A26" s="535"/>
      <c r="B26" s="2158" t="str">
        <f>Tabelle1!C162</f>
        <v>Jauche</v>
      </c>
      <c r="C26" s="1168">
        <f>Hofdung!G16</f>
        <v>0</v>
      </c>
      <c r="D26" s="1169">
        <f>IF($C26=0,0,Hofdung!H16)</f>
        <v>0</v>
      </c>
      <c r="E26" s="1169">
        <f>IF($C26=0,0,Hofdung!I16)</f>
        <v>0</v>
      </c>
      <c r="F26" s="1169">
        <f>IF($C26=0,0,Hofdung!J16)</f>
        <v>0</v>
      </c>
      <c r="G26" s="1169">
        <f>IF($C26=0,0,Hofdung!K16)</f>
        <v>0</v>
      </c>
      <c r="H26" s="1169">
        <f>IF($C26=0,0,Hofdung!L16)</f>
        <v>0</v>
      </c>
      <c r="I26" s="1170">
        <f>Tabelle1!BI46</f>
        <v>0</v>
      </c>
      <c r="J26" s="1170">
        <f>Tabelle1!BN46</f>
        <v>0</v>
      </c>
      <c r="K26" s="1170">
        <f>Tabelle1!BO46</f>
        <v>0</v>
      </c>
      <c r="L26" s="1170">
        <f>Tabelle1!BJ46</f>
        <v>0</v>
      </c>
      <c r="M26" s="1170">
        <f>Tabelle1!BK46</f>
        <v>0</v>
      </c>
      <c r="N26" s="534"/>
      <c r="O26" s="1803" t="s">
        <v>1096</v>
      </c>
      <c r="P26" s="1803"/>
      <c r="Q26" s="1803"/>
      <c r="R26" s="1167"/>
      <c r="S26" s="1167"/>
      <c r="T26" s="1167"/>
      <c r="U26" s="1172"/>
      <c r="V26" s="1173">
        <f t="shared" si="3"/>
        <v>0</v>
      </c>
      <c r="W26" s="1173">
        <f t="shared" si="3"/>
        <v>0</v>
      </c>
      <c r="X26" s="1173">
        <f t="shared" si="3"/>
        <v>0</v>
      </c>
      <c r="Y26" s="535"/>
      <c r="Z26" s="195" t="s">
        <v>1432</v>
      </c>
      <c r="AH26" s="2439"/>
      <c r="AJ26" s="2472" t="str">
        <f>IFERROR(IF(OR(AK$2="ZURÜCK ZUR AUSWAHL",AK$2="",AK$2=0),"",IF(AK$2=$BO$1,$BO25,IF(AK$2=$BP$1,$BP25,IF(AK$2=$BQ$1,$BQ25,IF(AK$2=$BR$1,$BR25,IF(AK$2=$BS$1,$BS25,IF(AK$2=$BT$1,$BT25,IF(AK$2=$BU$1,$BU25,INDEX(Tiere!$BN$2:$BN$145,_xlfn.AGGREGATE(15,6,(ROW(Tiere!$BN$2:$BN$145)-1)/(--(SEARCH(AK$2,Tiere!$BN$2:$BN$145)&gt;0)),ROW()-2),1))))))))),"")</f>
        <v/>
      </c>
      <c r="AK26" s="2436"/>
      <c r="AL26" s="2472" t="str">
        <f>IFERROR(IF(OR(AM$2="ZURÜCK ZUR AUSWAHL",AM$2="",AM$2=0),"",IF(AM$2=$BO$1,$BO25,IF(AM$2=$BP$1,$BP25,IF(AM$2=$BQ$1,$BQ25,IF(AM$2=$BR$1,$BR25,IF(AM$2=$BS$1,$BS25,IF(AM$2=$BT$1,$BT25,IF(AM$2=$BU$1,$BU25,INDEX(Tiere!$BN$2:$BN$145,_xlfn.AGGREGATE(15,6,(ROW(Tiere!$BN$2:$BN$145)-1)/(--(SEARCH(AM$2,Tiere!$BN$2:$BN$145)&gt;0)),ROW()-1),1))))))))),"")</f>
        <v/>
      </c>
      <c r="AM26" s="2436"/>
      <c r="AN26" s="2472" t="str">
        <f>IFERROR(IF(OR(AO$2="ZURÜCK ZUR AUSWAHL",AO$2="",AO$2=0),"",IF(AO$2=$BO$1,$BO25,IF(AO$2=$BP$1,$BP25,IF(AO$2=$BQ$1,$BQ25,IF(AO$2=$BR$1,$BR25,IF(AO$2=$BS$1,$BS25,IF(AO$2=$BT$1,$BT25,IF(AO$2=$BU$1,$BU25,INDEX(Tiere!$BN$2:$BN$145,_xlfn.AGGREGATE(15,6,(ROW(Tiere!$BN$2:$BN$145)-1)/(--(SEARCH(AO$2,Tiere!$BN$2:$BN$145)&gt;0)),ROW()-1),1))))))))),"")</f>
        <v/>
      </c>
      <c r="AO26" s="2436"/>
      <c r="AP26" s="2472" t="str">
        <f>IFERROR(IF(OR(AQ$2="ZURÜCK ZUR AUSWAHL",AQ$2="",AQ$2=0),"",IF(AQ$2=$BO$1,$BO25,IF(AQ$2=$BP$1,$BP25,IF(AQ$2=$BQ$1,$BQ25,IF(AQ$2=$BR$1,$BR25,IF(AQ$2=$BS$1,$BS25,IF(AQ$2=$BT$1,$BT25,IF(AQ$2=$BU$1,$BU25,INDEX(Tiere!$BN$2:$BN$145,_xlfn.AGGREGATE(15,6,(ROW(Tiere!$BN$2:$BN$145)-1)/(--(SEARCH(AQ$2,Tiere!$BN$2:$BN$145)&gt;0)),ROW()-1),1))))))))),"")</f>
        <v/>
      </c>
      <c r="AQ26" s="2436"/>
      <c r="AR26" s="2472" t="str">
        <f>IFERROR(IF(OR(AS$2="ZURÜCK ZUR AUSWAHL",AS$2="",AS$2=0),"",IF(AS$2=$BO$1,$BO25,IF(AS$2=$BP$1,$BP25,IF(AS$2=$BQ$1,$BQ25,IF(AS$2=$BR$1,$BR25,IF(AS$2=$BS$1,$BS25,IF(AS$2=$BT$1,$BT25,IF(AS$2=$BU$1,$BU25,INDEX(Tiere!$BN$2:$BN$145,_xlfn.AGGREGATE(15,6,(ROW(Tiere!$BN$2:$BN$145)-1)/(--(SEARCH(AS$2,Tiere!$BN$2:$BN$145)&gt;0)),ROW()-1),1))))))))),"")</f>
        <v/>
      </c>
      <c r="AS26" s="2436"/>
      <c r="AT26" s="2472" t="str">
        <f>IFERROR(IF(OR(AU$2="ZURÜCK ZUR AUSWAHL",AU$2="",AU$2=0),"",IF(AU$2=$BO$1,$BO25,IF(AU$2=$BP$1,$BP25,IF(AU$2=$BQ$1,$BQ25,IF(AU$2=$BR$1,$BR25,IF(AU$2=$BS$1,$BS25,IF(AU$2=$BT$1,$BT25,IF(AU$2=$BU$1,$BU25,INDEX(Tiere!$BN$2:$BN$145,_xlfn.AGGREGATE(15,6,(ROW(Tiere!$BN$2:$BN$145)-1)/(--(SEARCH(AU$2,Tiere!$BN$2:$BN$145)&gt;0)),ROW()-1),1))))))))),"")</f>
        <v/>
      </c>
      <c r="AU26" s="2436"/>
      <c r="AV26" s="2472" t="str">
        <f>IFERROR(IF(OR(AW$2="ZURÜCK ZUR AUSWAHL",AW$2="",AW$2=0),"",IF(AW$2=$BO$1,$BO25,IF(AW$2=$BP$1,$BP25,IF(AW$2=$BQ$1,$BQ25,IF(AW$2=$BR$1,$BR25,IF(AW$2=$BS$1,$BS25,IF(AW$2=$BT$1,$BT25,IF(AW$2=$BU$1,$BU25,INDEX(Tiere!$BN$2:$BN$145,_xlfn.AGGREGATE(15,6,(ROW(Tiere!$BN$2:$BN$145)-1)/(--(SEARCH(AW$2,Tiere!$BN$2:$BN$145)&gt;0)),ROW()-1),1))))))))),"")</f>
        <v/>
      </c>
      <c r="AW26" s="2436"/>
      <c r="AX26" s="2472" t="str">
        <f>IFERROR(IF(OR(AY$2="ZURÜCK ZUR AUSWAHL",AY$2="",AY$2=0),"",IF(AY$2=$BO$1,$BO25,IF(AY$2=$BP$1,$BP25,IF(AY$2=$BQ$1,$BQ25,IF(AY$2=$BR$1,$BR25,IF(AY$2=$BS$1,$BS25,IF(AY$2=$BT$1,$BT25,IF(AY$2=$BU$1,$BU25,INDEX(Tiere!$BN$2:$BN$145,_xlfn.AGGREGATE(15,6,(ROW(Tiere!$BN$2:$BN$145)-1)/(--(SEARCH(AY$2,Tiere!$BN$2:$BN$145)&gt;0)),ROW()-1),1))))))))),"")</f>
        <v/>
      </c>
      <c r="AY26" s="2436"/>
      <c r="AZ26" s="2472" t="str">
        <f>IFERROR(IF(OR(BA$2="ZURÜCK ZUR AUSWAHL",BA$2="",BA$2=0),"",IF(BA$2=$BO$1,$BO25,IF(BA$2=$BP$1,$BP25,IF(BA$2=$BQ$1,$BQ25,IF(BA$2=$BR$1,$BR25,IF(BA$2=$BS$1,$BS25,IF(BA$2=$BT$1,$BT25,IF(BA$2=$BU$1,$BU25,INDEX(Tiere!$BN$2:$BN$145,_xlfn.AGGREGATE(15,6,(ROW(Tiere!$BN$2:$BN$145)-1)/(--(SEARCH(BA$2,Tiere!$BN$2:$BN$145)&gt;0)),ROW()-1),1))))))))),"")</f>
        <v/>
      </c>
      <c r="BA26" s="2436"/>
      <c r="BB26" s="2472" t="str">
        <f>IFERROR(IF(OR(BC$2="ZURÜCK ZUR AUSWAHL",BC$2="",BC$2=0),"",IF(BC$2=$BO$1,$BO25,IF(BC$2=$BP$1,$BP25,IF(BC$2=$BQ$1,$BQ25,IF(BC$2=$BR$1,$BR25,IF(BC$2=$BS$1,$BS25,IF(BC$2=$BT$1,$BT25,IF(BC$2=$BU$1,$BU25,INDEX(Tiere!$BN$2:$BN$145,_xlfn.AGGREGATE(15,6,(ROW(Tiere!$BN$2:$BN$145)-1)/(--(SEARCH(BC$2,Tiere!$BN$2:$BN$145)&gt;0)),ROW()-1),1))))))))),"")</f>
        <v/>
      </c>
      <c r="BC26" s="2436"/>
      <c r="BD26" s="2472" t="str">
        <f>IFERROR(IF(OR(BE$2="ZURÜCK ZUR AUSWAHL",BE$2="",BE$2=0),"",IF(BE$2=$BO$1,$BO25,IF(BE$2=$BP$1,$BP25,IF(BE$2=$BQ$1,$BQ25,IF(BE$2=$BR$1,$BR25,IF(BE$2=$BS$1,$BS25,IF(BE$2=$BT$1,$BT25,IF(BE$2=$BU$1,$BU25,INDEX(Tiere!$BN$2:$BN$145,_xlfn.AGGREGATE(15,6,(ROW(Tiere!$BN$2:$BN$145)-1)/(--(SEARCH(BE$2,Tiere!$BN$2:$BN$145)&gt;0)),ROW()-1),1))))))))),"")</f>
        <v/>
      </c>
      <c r="BE26" s="2436"/>
      <c r="BF26" s="2472" t="str">
        <f>IFERROR(IF(OR(BG$2="ZURÜCK ZUR AUSWAHL",BG$2="",BG$2=0),"",IF(BG$2=$BO$1,$BO25,IF(BG$2=$BP$1,$BP25,IF(BG$2=$BQ$1,$BQ25,IF(BG$2=$BR$1,$BR25,IF(BG$2=$BS$1,$BS25,IF(BG$2=$BT$1,$BT25,IF(BG$2=$BU$1,$BU25,INDEX(Tiere!$BN$2:$BN$145,_xlfn.AGGREGATE(15,6,(ROW(Tiere!$BN$2:$BN$145)-1)/(--(SEARCH(BG$2,Tiere!$BN$2:$BN$145)&gt;0)),ROW()-1),1))))))))),"")</f>
        <v/>
      </c>
      <c r="BG26" s="2436"/>
      <c r="BH26" s="2472" t="str">
        <f>IFERROR(IF(OR(BI$2="ZURÜCK ZUR AUSWAHL",BI$2="",BI$2=0),"",IF(BI$2=$BO$1,$BO25,IF(BI$2=$BP$1,$BP25,IF(BI$2=$BQ$1,$BQ25,IF(BI$2=$BR$1,$BR25,IF(BI$2=$BS$1,$BS25,IF(BI$2=$BT$1,$BT25,IF(BI$2=$BU$1,$BU25,INDEX(Tiere!$BN$2:$BN$145,_xlfn.AGGREGATE(15,6,(ROW(Tiere!$BN$2:$BN$145)-1)/(--(SEARCH(BI$2,Tiere!$BN$2:$BN$145)&gt;0)),ROW()-1),1))))))))),"")</f>
        <v/>
      </c>
      <c r="BI26" s="2436"/>
      <c r="BJ26" s="2472" t="str">
        <f>IFERROR(IF(OR(BK$2="ZURÜCK ZUR AUSWAHL",BK$2="",BK$2=0),"",IF(BK$2=$BO$1,$BO25,IF(BK$2=$BP$1,$BP25,IF(BK$2=$BQ$1,$BQ25,IF(BK$2=$BR$1,$BR25,IF(BK$2=$BS$1,$BS25,IF(BK$2=$BT$1,$BT25,IF(BK$2=$BU$1,$BU25,INDEX(Tiere!$BN$2:$BN$145,_xlfn.AGGREGATE(15,6,(ROW(Tiere!$BN$2:$BN$145)-1)/(--(SEARCH(BK$2,Tiere!$BN$2:$BN$145)&gt;0)),ROW()-1),1))))))))),"")</f>
        <v/>
      </c>
      <c r="BK26" s="2436"/>
      <c r="BL26" s="2472" t="str">
        <f>IFERROR(IF(OR(BM$2="ZURÜCK ZUR AUSWAHL",BM$2="",BM$2=0),"",IF(BM$2=$BO$1,$BO25,IF(BM$2=$BP$1,$BP25,IF(BM$2=$BQ$1,$BQ25,IF(BM$2=$BR$1,$BR25,IF(BM$2=$BS$1,$BS25,IF(BM$2=$BT$1,$BT25,IF(BM$2=$BU$1,$BU25,INDEX(Tiere!$BN$2:$BN$145,_xlfn.AGGREGATE(15,6,(ROW(Tiere!$BN$2:$BN$145)-1)/(--(SEARCH(BM$2,Tiere!$BN$2:$BN$145)&gt;0)),ROW()-1),1))))))))),"")</f>
        <v/>
      </c>
      <c r="BM26" s="2436"/>
      <c r="BN26" s="2478" t="s">
        <v>1104</v>
      </c>
      <c r="BO26" s="2518" t="s">
        <v>1104</v>
      </c>
      <c r="BP26" s="2518" t="s">
        <v>1226</v>
      </c>
      <c r="BQ26" s="2470"/>
      <c r="BR26" s="2470"/>
      <c r="BS26" s="2470"/>
      <c r="BT26" s="2470"/>
      <c r="BU26" s="2519" t="s">
        <v>1308</v>
      </c>
    </row>
    <row r="27" spans="1:76" ht="18" customHeight="1" thickBot="1">
      <c r="A27" s="535"/>
      <c r="B27" s="2158" t="str">
        <f>Tabelle1!C163</f>
        <v xml:space="preserve">Mist  </v>
      </c>
      <c r="C27" s="1168">
        <f>Hofdung!G17</f>
        <v>0</v>
      </c>
      <c r="D27" s="1169">
        <f>IF($C27=0,0,Hofdung!H17)</f>
        <v>0</v>
      </c>
      <c r="E27" s="1169">
        <f>IF($C27=0,0,Hofdung!I17)</f>
        <v>0</v>
      </c>
      <c r="F27" s="1169">
        <f>IF($C27=0,0,Hofdung!J17)</f>
        <v>0</v>
      </c>
      <c r="G27" s="1169">
        <f>IF($C27=0,0,Hofdung!K17)</f>
        <v>0</v>
      </c>
      <c r="H27" s="1169">
        <f>IF($C27=0,0,Hofdung!L17)</f>
        <v>0</v>
      </c>
      <c r="I27" s="1170">
        <f>Tabelle1!BI47</f>
        <v>0</v>
      </c>
      <c r="J27" s="1170">
        <f>Tabelle1!BN47</f>
        <v>0</v>
      </c>
      <c r="K27" s="1170">
        <f>Tabelle1!BO47</f>
        <v>0</v>
      </c>
      <c r="L27" s="1170">
        <f>Tabelle1!BJ47</f>
        <v>0</v>
      </c>
      <c r="M27" s="1170">
        <f>Tabelle1!BK47</f>
        <v>0</v>
      </c>
      <c r="N27" s="534"/>
      <c r="O27" s="1803" t="s">
        <v>926</v>
      </c>
      <c r="P27" s="1803"/>
      <c r="Q27" s="1803"/>
      <c r="R27" s="1167"/>
      <c r="S27" s="1167"/>
      <c r="T27" s="1167"/>
      <c r="U27" s="1172"/>
      <c r="V27" s="1173">
        <f t="shared" si="3"/>
        <v>0</v>
      </c>
      <c r="W27" s="1173">
        <f t="shared" si="3"/>
        <v>0</v>
      </c>
      <c r="X27" s="1173">
        <f t="shared" si="3"/>
        <v>0</v>
      </c>
      <c r="Y27" s="535"/>
      <c r="Z27"/>
      <c r="AH27" s="2439"/>
      <c r="AJ27" s="2472" t="str">
        <f>IFERROR(IF(OR(AK$2="ZURÜCK ZUR AUSWAHL",AK$2="",AK$2=0),"",IF(AK$2=$BO$1,$BO26,IF(AK$2=$BP$1,$BP26,IF(AK$2=$BQ$1,$BQ26,IF(AK$2=$BR$1,$BR26,IF(AK$2=$BS$1,$BS26,IF(AK$2=$BT$1,$BT26,IF(AK$2=$BU$1,$BU26,INDEX(Tiere!$BN$2:$BN$145,_xlfn.AGGREGATE(15,6,(ROW(Tiere!$BN$2:$BN$145)-1)/(--(SEARCH(AK$2,Tiere!$BN$2:$BN$145)&gt;0)),ROW()-2),1))))))))),"")</f>
        <v/>
      </c>
      <c r="AK27" s="2438"/>
      <c r="AL27" s="2472" t="str">
        <f>IFERROR(IF(OR(AM$2="ZURÜCK ZUR AUSWAHL",AM$2="",AM$2=0),"",IF(AM$2=$BO$1,$BO26,IF(AM$2=$BP$1,$BP26,IF(AM$2=$BQ$1,$BQ26,IF(AM$2=$BR$1,$BR26,IF(AM$2=$BS$1,$BS26,IF(AM$2=$BT$1,$BT26,IF(AM$2=$BU$1,$BU26,INDEX(Tiere!$BN$2:$BN$145,_xlfn.AGGREGATE(15,6,(ROW(Tiere!$BN$2:$BN$145)-1)/(--(SEARCH(AM$2,Tiere!$BN$2:$BN$145)&gt;0)),ROW()-1),1))))))))),"")</f>
        <v/>
      </c>
      <c r="AM27" s="2438"/>
      <c r="AN27" s="2472" t="str">
        <f>IFERROR(IF(OR(AO$2="ZURÜCK ZUR AUSWAHL",AO$2="",AO$2=0),"",IF(AO$2=$BO$1,$BO26,IF(AO$2=$BP$1,$BP26,IF(AO$2=$BQ$1,$BQ26,IF(AO$2=$BR$1,$BR26,IF(AO$2=$BS$1,$BS26,IF(AO$2=$BT$1,$BT26,IF(AO$2=$BU$1,$BU26,INDEX(Tiere!$BN$2:$BN$145,_xlfn.AGGREGATE(15,6,(ROW(Tiere!$BN$2:$BN$145)-1)/(--(SEARCH(AO$2,Tiere!$BN$2:$BN$145)&gt;0)),ROW()-1),1))))))))),"")</f>
        <v/>
      </c>
      <c r="AO27" s="2438"/>
      <c r="AP27" s="2472" t="str">
        <f>IFERROR(IF(OR(AQ$2="ZURÜCK ZUR AUSWAHL",AQ$2="",AQ$2=0),"",IF(AQ$2=$BO$1,$BO26,IF(AQ$2=$BP$1,$BP26,IF(AQ$2=$BQ$1,$BQ26,IF(AQ$2=$BR$1,$BR26,IF(AQ$2=$BS$1,$BS26,IF(AQ$2=$BT$1,$BT26,IF(AQ$2=$BU$1,$BU26,INDEX(Tiere!$BN$2:$BN$145,_xlfn.AGGREGATE(15,6,(ROW(Tiere!$BN$2:$BN$145)-1)/(--(SEARCH(AQ$2,Tiere!$BN$2:$BN$145)&gt;0)),ROW()-1),1))))))))),"")</f>
        <v/>
      </c>
      <c r="AQ27" s="2438"/>
      <c r="AR27" s="2472" t="str">
        <f>IFERROR(IF(OR(AS$2="ZURÜCK ZUR AUSWAHL",AS$2="",AS$2=0),"",IF(AS$2=$BO$1,$BO26,IF(AS$2=$BP$1,$BP26,IF(AS$2=$BQ$1,$BQ26,IF(AS$2=$BR$1,$BR26,IF(AS$2=$BS$1,$BS26,IF(AS$2=$BT$1,$BT26,IF(AS$2=$BU$1,$BU26,INDEX(Tiere!$BN$2:$BN$145,_xlfn.AGGREGATE(15,6,(ROW(Tiere!$BN$2:$BN$145)-1)/(--(SEARCH(AS$2,Tiere!$BN$2:$BN$145)&gt;0)),ROW()-1),1))))))))),"")</f>
        <v/>
      </c>
      <c r="AS27" s="2438"/>
      <c r="AT27" s="2472" t="str">
        <f>IFERROR(IF(OR(AU$2="ZURÜCK ZUR AUSWAHL",AU$2="",AU$2=0),"",IF(AU$2=$BO$1,$BO26,IF(AU$2=$BP$1,$BP26,IF(AU$2=$BQ$1,$BQ26,IF(AU$2=$BR$1,$BR26,IF(AU$2=$BS$1,$BS26,IF(AU$2=$BT$1,$BT26,IF(AU$2=$BU$1,$BU26,INDEX(Tiere!$BN$2:$BN$145,_xlfn.AGGREGATE(15,6,(ROW(Tiere!$BN$2:$BN$145)-1)/(--(SEARCH(AU$2,Tiere!$BN$2:$BN$145)&gt;0)),ROW()-1),1))))))))),"")</f>
        <v/>
      </c>
      <c r="AU27" s="2438"/>
      <c r="AV27" s="2472" t="str">
        <f>IFERROR(IF(OR(AW$2="ZURÜCK ZUR AUSWAHL",AW$2="",AW$2=0),"",IF(AW$2=$BO$1,$BO26,IF(AW$2=$BP$1,$BP26,IF(AW$2=$BQ$1,$BQ26,IF(AW$2=$BR$1,$BR26,IF(AW$2=$BS$1,$BS26,IF(AW$2=$BT$1,$BT26,IF(AW$2=$BU$1,$BU26,INDEX(Tiere!$BN$2:$BN$145,_xlfn.AGGREGATE(15,6,(ROW(Tiere!$BN$2:$BN$145)-1)/(--(SEARCH(AW$2,Tiere!$BN$2:$BN$145)&gt;0)),ROW()-1),1))))))))),"")</f>
        <v/>
      </c>
      <c r="AW27" s="2438"/>
      <c r="AX27" s="2472" t="str">
        <f>IFERROR(IF(OR(AY$2="ZURÜCK ZUR AUSWAHL",AY$2="",AY$2=0),"",IF(AY$2=$BO$1,$BO26,IF(AY$2=$BP$1,$BP26,IF(AY$2=$BQ$1,$BQ26,IF(AY$2=$BR$1,$BR26,IF(AY$2=$BS$1,$BS26,IF(AY$2=$BT$1,$BT26,IF(AY$2=$BU$1,$BU26,INDEX(Tiere!$BN$2:$BN$145,_xlfn.AGGREGATE(15,6,(ROW(Tiere!$BN$2:$BN$145)-1)/(--(SEARCH(AY$2,Tiere!$BN$2:$BN$145)&gt;0)),ROW()-1),1))))))))),"")</f>
        <v/>
      </c>
      <c r="AY27" s="2438"/>
      <c r="AZ27" s="2472" t="str">
        <f>IFERROR(IF(OR(BA$2="ZURÜCK ZUR AUSWAHL",BA$2="",BA$2=0),"",IF(BA$2=$BO$1,$BO26,IF(BA$2=$BP$1,$BP26,IF(BA$2=$BQ$1,$BQ26,IF(BA$2=$BR$1,$BR26,IF(BA$2=$BS$1,$BS26,IF(BA$2=$BT$1,$BT26,IF(BA$2=$BU$1,$BU26,INDEX(Tiere!$BN$2:$BN$145,_xlfn.AGGREGATE(15,6,(ROW(Tiere!$BN$2:$BN$145)-1)/(--(SEARCH(BA$2,Tiere!$BN$2:$BN$145)&gt;0)),ROW()-1),1))))))))),"")</f>
        <v/>
      </c>
      <c r="BA27" s="2438"/>
      <c r="BB27" s="2472" t="str">
        <f>IFERROR(IF(OR(BC$2="ZURÜCK ZUR AUSWAHL",BC$2="",BC$2=0),"",IF(BC$2=$BO$1,$BO26,IF(BC$2=$BP$1,$BP26,IF(BC$2=$BQ$1,$BQ26,IF(BC$2=$BR$1,$BR26,IF(BC$2=$BS$1,$BS26,IF(BC$2=$BT$1,$BT26,IF(BC$2=$BU$1,$BU26,INDEX(Tiere!$BN$2:$BN$145,_xlfn.AGGREGATE(15,6,(ROW(Tiere!$BN$2:$BN$145)-1)/(--(SEARCH(BC$2,Tiere!$BN$2:$BN$145)&gt;0)),ROW()-1),1))))))))),"")</f>
        <v/>
      </c>
      <c r="BC27" s="2438"/>
      <c r="BD27" s="2472" t="str">
        <f>IFERROR(IF(OR(BE$2="ZURÜCK ZUR AUSWAHL",BE$2="",BE$2=0),"",IF(BE$2=$BO$1,$BO26,IF(BE$2=$BP$1,$BP26,IF(BE$2=$BQ$1,$BQ26,IF(BE$2=$BR$1,$BR26,IF(BE$2=$BS$1,$BS26,IF(BE$2=$BT$1,$BT26,IF(BE$2=$BU$1,$BU26,INDEX(Tiere!$BN$2:$BN$145,_xlfn.AGGREGATE(15,6,(ROW(Tiere!$BN$2:$BN$145)-1)/(--(SEARCH(BE$2,Tiere!$BN$2:$BN$145)&gt;0)),ROW()-1),1))))))))),"")</f>
        <v/>
      </c>
      <c r="BE27" s="2438"/>
      <c r="BF27" s="2472" t="str">
        <f>IFERROR(IF(OR(BG$2="ZURÜCK ZUR AUSWAHL",BG$2="",BG$2=0),"",IF(BG$2=$BO$1,$BO26,IF(BG$2=$BP$1,$BP26,IF(BG$2=$BQ$1,$BQ26,IF(BG$2=$BR$1,$BR26,IF(BG$2=$BS$1,$BS26,IF(BG$2=$BT$1,$BT26,IF(BG$2=$BU$1,$BU26,INDEX(Tiere!$BN$2:$BN$145,_xlfn.AGGREGATE(15,6,(ROW(Tiere!$BN$2:$BN$145)-1)/(--(SEARCH(BG$2,Tiere!$BN$2:$BN$145)&gt;0)),ROW()-1),1))))))))),"")</f>
        <v/>
      </c>
      <c r="BG27" s="2438"/>
      <c r="BH27" s="2472" t="str">
        <f>IFERROR(IF(OR(BI$2="ZURÜCK ZUR AUSWAHL",BI$2="",BI$2=0),"",IF(BI$2=$BO$1,$BO26,IF(BI$2=$BP$1,$BP26,IF(BI$2=$BQ$1,$BQ26,IF(BI$2=$BR$1,$BR26,IF(BI$2=$BS$1,$BS26,IF(BI$2=$BT$1,$BT26,IF(BI$2=$BU$1,$BU26,INDEX(Tiere!$BN$2:$BN$145,_xlfn.AGGREGATE(15,6,(ROW(Tiere!$BN$2:$BN$145)-1)/(--(SEARCH(BI$2,Tiere!$BN$2:$BN$145)&gt;0)),ROW()-1),1))))))))),"")</f>
        <v/>
      </c>
      <c r="BI27" s="2438"/>
      <c r="BJ27" s="2472" t="str">
        <f>IFERROR(IF(OR(BK$2="ZURÜCK ZUR AUSWAHL",BK$2="",BK$2=0),"",IF(BK$2=$BO$1,$BO26,IF(BK$2=$BP$1,$BP26,IF(BK$2=$BQ$1,$BQ26,IF(BK$2=$BR$1,$BR26,IF(BK$2=$BS$1,$BS26,IF(BK$2=$BT$1,$BT26,IF(BK$2=$BU$1,$BU26,INDEX(Tiere!$BN$2:$BN$145,_xlfn.AGGREGATE(15,6,(ROW(Tiere!$BN$2:$BN$145)-1)/(--(SEARCH(BK$2,Tiere!$BN$2:$BN$145)&gt;0)),ROW()-1),1))))))))),"")</f>
        <v/>
      </c>
      <c r="BK27" s="2438"/>
      <c r="BL27" s="2472" t="str">
        <f>IFERROR(IF(OR(BM$2="ZURÜCK ZUR AUSWAHL",BM$2="",BM$2=0),"",IF(BM$2=$BO$1,$BO26,IF(BM$2=$BP$1,$BP26,IF(BM$2=$BQ$1,$BQ26,IF(BM$2=$BR$1,$BR26,IF(BM$2=$BS$1,$BS26,IF(BM$2=$BT$1,$BT26,IF(BM$2=$BU$1,$BU26,INDEX(Tiere!$BN$2:$BN$145,_xlfn.AGGREGATE(15,6,(ROW(Tiere!$BN$2:$BN$145)-1)/(--(SEARCH(BM$2,Tiere!$BN$2:$BN$145)&gt;0)),ROW()-1),1))))))))),"")</f>
        <v/>
      </c>
      <c r="BM27" s="2438"/>
      <c r="BN27" s="2478" t="s">
        <v>1108</v>
      </c>
      <c r="BO27" s="2518" t="s">
        <v>1108</v>
      </c>
      <c r="BP27" s="2518" t="s">
        <v>1229</v>
      </c>
      <c r="BQ27" s="2470"/>
      <c r="BR27" s="2470"/>
      <c r="BS27" s="2470"/>
      <c r="BT27" s="2470"/>
      <c r="BU27" s="2518" t="s">
        <v>1309</v>
      </c>
    </row>
    <row r="28" spans="1:76" ht="18" customHeight="1" thickBot="1">
      <c r="A28" s="535"/>
      <c r="B28" s="2158" t="str">
        <f>Tabelle1!C164</f>
        <v>Mist 2</v>
      </c>
      <c r="C28" s="1168">
        <f>Hofdung!G18</f>
        <v>0</v>
      </c>
      <c r="D28" s="1169">
        <f>IF($C28=0,0,Hofdung!H18)</f>
        <v>0</v>
      </c>
      <c r="E28" s="1169">
        <f>IF($C28=0,0,Hofdung!I18)</f>
        <v>0</v>
      </c>
      <c r="F28" s="1169">
        <f>IF($C28=0,0,Hofdung!J18)</f>
        <v>0</v>
      </c>
      <c r="G28" s="1169">
        <f>IF($C28=0,0,Hofdung!K18)</f>
        <v>0</v>
      </c>
      <c r="H28" s="1169">
        <f>IF($C28=0,0,Hofdung!L18)</f>
        <v>0</v>
      </c>
      <c r="I28" s="1170">
        <f>Tabelle1!BI48</f>
        <v>0</v>
      </c>
      <c r="J28" s="1170">
        <f>Tabelle1!BN48</f>
        <v>0</v>
      </c>
      <c r="K28" s="1170">
        <f>Tabelle1!BO48</f>
        <v>0</v>
      </c>
      <c r="L28" s="1170">
        <f>Tabelle1!BJ48</f>
        <v>0</v>
      </c>
      <c r="M28" s="1170">
        <f>Tabelle1!BK48</f>
        <v>0</v>
      </c>
      <c r="N28" s="534"/>
      <c r="O28" s="1803" t="s">
        <v>927</v>
      </c>
      <c r="P28" s="1803"/>
      <c r="Q28" s="1803"/>
      <c r="R28" s="1167"/>
      <c r="S28" s="1167"/>
      <c r="T28" s="1167"/>
      <c r="U28" s="1172"/>
      <c r="V28" s="1173">
        <f t="shared" si="3"/>
        <v>0</v>
      </c>
      <c r="W28" s="1173">
        <f t="shared" si="3"/>
        <v>0</v>
      </c>
      <c r="X28" s="1173">
        <f t="shared" si="3"/>
        <v>0</v>
      </c>
      <c r="Y28" s="535"/>
      <c r="Z28" s="196"/>
      <c r="AH28" s="2439"/>
      <c r="AJ28" s="2472" t="str">
        <f>IFERROR(IF(OR(AK$2="ZURÜCK ZUR AUSWAHL",AK$2="",AK$2=0),"",IF(AK$2=$BO$1,$BO27,IF(AK$2=$BP$1,$BP27,IF(AK$2=$BQ$1,$BQ27,IF(AK$2=$BR$1,$BR27,IF(AK$2=$BS$1,$BS27,IF(AK$2=$BT$1,$BT27,IF(AK$2=$BU$1,$BU27,INDEX(Tiere!$BN$2:$BN$145,_xlfn.AGGREGATE(15,6,(ROW(Tiere!$BN$2:$BN$145)-1)/(--(SEARCH(AK$2,Tiere!$BN$2:$BN$145)&gt;0)),ROW()-2),1))))))))),"")</f>
        <v/>
      </c>
      <c r="AK28" s="2436"/>
      <c r="AL28" s="2472" t="str">
        <f>IFERROR(IF(OR(AM$2="ZURÜCK ZUR AUSWAHL",AM$2="",AM$2=0),"",IF(AM$2=$BO$1,$BO27,IF(AM$2=$BP$1,$BP27,IF(AM$2=$BQ$1,$BQ27,IF(AM$2=$BR$1,$BR27,IF(AM$2=$BS$1,$BS27,IF(AM$2=$BT$1,$BT27,IF(AM$2=$BU$1,$BU27,INDEX(Tiere!$BN$2:$BN$145,_xlfn.AGGREGATE(15,6,(ROW(Tiere!$BN$2:$BN$145)-1)/(--(SEARCH(AM$2,Tiere!$BN$2:$BN$145)&gt;0)),ROW()-1),1))))))))),"")</f>
        <v/>
      </c>
      <c r="AM28" s="2436"/>
      <c r="AN28" s="2472" t="str">
        <f>IFERROR(IF(OR(AO$2="ZURÜCK ZUR AUSWAHL",AO$2="",AO$2=0),"",IF(AO$2=$BO$1,$BO27,IF(AO$2=$BP$1,$BP27,IF(AO$2=$BQ$1,$BQ27,IF(AO$2=$BR$1,$BR27,IF(AO$2=$BS$1,$BS27,IF(AO$2=$BT$1,$BT27,IF(AO$2=$BU$1,$BU27,INDEX(Tiere!$BN$2:$BN$145,_xlfn.AGGREGATE(15,6,(ROW(Tiere!$BN$2:$BN$145)-1)/(--(SEARCH(AO$2,Tiere!$BN$2:$BN$145)&gt;0)),ROW()-1),1))))))))),"")</f>
        <v/>
      </c>
      <c r="AO28" s="2436"/>
      <c r="AP28" s="2472" t="str">
        <f>IFERROR(IF(OR(AQ$2="ZURÜCK ZUR AUSWAHL",AQ$2="",AQ$2=0),"",IF(AQ$2=$BO$1,$BO27,IF(AQ$2=$BP$1,$BP27,IF(AQ$2=$BQ$1,$BQ27,IF(AQ$2=$BR$1,$BR27,IF(AQ$2=$BS$1,$BS27,IF(AQ$2=$BT$1,$BT27,IF(AQ$2=$BU$1,$BU27,INDEX(Tiere!$BN$2:$BN$145,_xlfn.AGGREGATE(15,6,(ROW(Tiere!$BN$2:$BN$145)-1)/(--(SEARCH(AQ$2,Tiere!$BN$2:$BN$145)&gt;0)),ROW()-1),1))))))))),"")</f>
        <v/>
      </c>
      <c r="AQ28" s="2436"/>
      <c r="AR28" s="2472" t="str">
        <f>IFERROR(IF(OR(AS$2="ZURÜCK ZUR AUSWAHL",AS$2="",AS$2=0),"",IF(AS$2=$BO$1,$BO27,IF(AS$2=$BP$1,$BP27,IF(AS$2=$BQ$1,$BQ27,IF(AS$2=$BR$1,$BR27,IF(AS$2=$BS$1,$BS27,IF(AS$2=$BT$1,$BT27,IF(AS$2=$BU$1,$BU27,INDEX(Tiere!$BN$2:$BN$145,_xlfn.AGGREGATE(15,6,(ROW(Tiere!$BN$2:$BN$145)-1)/(--(SEARCH(AS$2,Tiere!$BN$2:$BN$145)&gt;0)),ROW()-1),1))))))))),"")</f>
        <v/>
      </c>
      <c r="AS28" s="2436"/>
      <c r="AT28" s="2472" t="str">
        <f>IFERROR(IF(OR(AU$2="ZURÜCK ZUR AUSWAHL",AU$2="",AU$2=0),"",IF(AU$2=$BO$1,$BO27,IF(AU$2=$BP$1,$BP27,IF(AU$2=$BQ$1,$BQ27,IF(AU$2=$BR$1,$BR27,IF(AU$2=$BS$1,$BS27,IF(AU$2=$BT$1,$BT27,IF(AU$2=$BU$1,$BU27,INDEX(Tiere!$BN$2:$BN$145,_xlfn.AGGREGATE(15,6,(ROW(Tiere!$BN$2:$BN$145)-1)/(--(SEARCH(AU$2,Tiere!$BN$2:$BN$145)&gt;0)),ROW()-1),1))))))))),"")</f>
        <v/>
      </c>
      <c r="AU28" s="2436"/>
      <c r="AV28" s="2472" t="str">
        <f>IFERROR(IF(OR(AW$2="ZURÜCK ZUR AUSWAHL",AW$2="",AW$2=0),"",IF(AW$2=$BO$1,$BO27,IF(AW$2=$BP$1,$BP27,IF(AW$2=$BQ$1,$BQ27,IF(AW$2=$BR$1,$BR27,IF(AW$2=$BS$1,$BS27,IF(AW$2=$BT$1,$BT27,IF(AW$2=$BU$1,$BU27,INDEX(Tiere!$BN$2:$BN$145,_xlfn.AGGREGATE(15,6,(ROW(Tiere!$BN$2:$BN$145)-1)/(--(SEARCH(AW$2,Tiere!$BN$2:$BN$145)&gt;0)),ROW()-1),1))))))))),"")</f>
        <v/>
      </c>
      <c r="AW28" s="2436"/>
      <c r="AX28" s="2472" t="str">
        <f>IFERROR(IF(OR(AY$2="ZURÜCK ZUR AUSWAHL",AY$2="",AY$2=0),"",IF(AY$2=$BO$1,$BO27,IF(AY$2=$BP$1,$BP27,IF(AY$2=$BQ$1,$BQ27,IF(AY$2=$BR$1,$BR27,IF(AY$2=$BS$1,$BS27,IF(AY$2=$BT$1,$BT27,IF(AY$2=$BU$1,$BU27,INDEX(Tiere!$BN$2:$BN$145,_xlfn.AGGREGATE(15,6,(ROW(Tiere!$BN$2:$BN$145)-1)/(--(SEARCH(AY$2,Tiere!$BN$2:$BN$145)&gt;0)),ROW()-1),1))))))))),"")</f>
        <v/>
      </c>
      <c r="AY28" s="2436"/>
      <c r="AZ28" s="2472" t="str">
        <f>IFERROR(IF(OR(BA$2="ZURÜCK ZUR AUSWAHL",BA$2="",BA$2=0),"",IF(BA$2=$BO$1,$BO27,IF(BA$2=$BP$1,$BP27,IF(BA$2=$BQ$1,$BQ27,IF(BA$2=$BR$1,$BR27,IF(BA$2=$BS$1,$BS27,IF(BA$2=$BT$1,$BT27,IF(BA$2=$BU$1,$BU27,INDEX(Tiere!$BN$2:$BN$145,_xlfn.AGGREGATE(15,6,(ROW(Tiere!$BN$2:$BN$145)-1)/(--(SEARCH(BA$2,Tiere!$BN$2:$BN$145)&gt;0)),ROW()-1),1))))))))),"")</f>
        <v/>
      </c>
      <c r="BA28" s="2436"/>
      <c r="BB28" s="2472" t="str">
        <f>IFERROR(IF(OR(BC$2="ZURÜCK ZUR AUSWAHL",BC$2="",BC$2=0),"",IF(BC$2=$BO$1,$BO27,IF(BC$2=$BP$1,$BP27,IF(BC$2=$BQ$1,$BQ27,IF(BC$2=$BR$1,$BR27,IF(BC$2=$BS$1,$BS27,IF(BC$2=$BT$1,$BT27,IF(BC$2=$BU$1,$BU27,INDEX(Tiere!$BN$2:$BN$145,_xlfn.AGGREGATE(15,6,(ROW(Tiere!$BN$2:$BN$145)-1)/(--(SEARCH(BC$2,Tiere!$BN$2:$BN$145)&gt;0)),ROW()-1),1))))))))),"")</f>
        <v/>
      </c>
      <c r="BC28" s="2436"/>
      <c r="BD28" s="2472" t="str">
        <f>IFERROR(IF(OR(BE$2="ZURÜCK ZUR AUSWAHL",BE$2="",BE$2=0),"",IF(BE$2=$BO$1,$BO27,IF(BE$2=$BP$1,$BP27,IF(BE$2=$BQ$1,$BQ27,IF(BE$2=$BR$1,$BR27,IF(BE$2=$BS$1,$BS27,IF(BE$2=$BT$1,$BT27,IF(BE$2=$BU$1,$BU27,INDEX(Tiere!$BN$2:$BN$145,_xlfn.AGGREGATE(15,6,(ROW(Tiere!$BN$2:$BN$145)-1)/(--(SEARCH(BE$2,Tiere!$BN$2:$BN$145)&gt;0)),ROW()-1),1))))))))),"")</f>
        <v/>
      </c>
      <c r="BE28" s="2436"/>
      <c r="BF28" s="2472" t="str">
        <f>IFERROR(IF(OR(BG$2="ZURÜCK ZUR AUSWAHL",BG$2="",BG$2=0),"",IF(BG$2=$BO$1,$BO27,IF(BG$2=$BP$1,$BP27,IF(BG$2=$BQ$1,$BQ27,IF(BG$2=$BR$1,$BR27,IF(BG$2=$BS$1,$BS27,IF(BG$2=$BT$1,$BT27,IF(BG$2=$BU$1,$BU27,INDEX(Tiere!$BN$2:$BN$145,_xlfn.AGGREGATE(15,6,(ROW(Tiere!$BN$2:$BN$145)-1)/(--(SEARCH(BG$2,Tiere!$BN$2:$BN$145)&gt;0)),ROW()-1),1))))))))),"")</f>
        <v/>
      </c>
      <c r="BG28" s="2436"/>
      <c r="BH28" s="2472" t="str">
        <f>IFERROR(IF(OR(BI$2="ZURÜCK ZUR AUSWAHL",BI$2="",BI$2=0),"",IF(BI$2=$BO$1,$BO27,IF(BI$2=$BP$1,$BP27,IF(BI$2=$BQ$1,$BQ27,IF(BI$2=$BR$1,$BR27,IF(BI$2=$BS$1,$BS27,IF(BI$2=$BT$1,$BT27,IF(BI$2=$BU$1,$BU27,INDEX(Tiere!$BN$2:$BN$145,_xlfn.AGGREGATE(15,6,(ROW(Tiere!$BN$2:$BN$145)-1)/(--(SEARCH(BI$2,Tiere!$BN$2:$BN$145)&gt;0)),ROW()-1),1))))))))),"")</f>
        <v/>
      </c>
      <c r="BI28" s="2436"/>
      <c r="BJ28" s="2472" t="str">
        <f>IFERROR(IF(OR(BK$2="ZURÜCK ZUR AUSWAHL",BK$2="",BK$2=0),"",IF(BK$2=$BO$1,$BO27,IF(BK$2=$BP$1,$BP27,IF(BK$2=$BQ$1,$BQ27,IF(BK$2=$BR$1,$BR27,IF(BK$2=$BS$1,$BS27,IF(BK$2=$BT$1,$BT27,IF(BK$2=$BU$1,$BU27,INDEX(Tiere!$BN$2:$BN$145,_xlfn.AGGREGATE(15,6,(ROW(Tiere!$BN$2:$BN$145)-1)/(--(SEARCH(BK$2,Tiere!$BN$2:$BN$145)&gt;0)),ROW()-1),1))))))))),"")</f>
        <v/>
      </c>
      <c r="BK28" s="2436"/>
      <c r="BL28" s="2472" t="str">
        <f>IFERROR(IF(OR(BM$2="ZURÜCK ZUR AUSWAHL",BM$2="",BM$2=0),"",IF(BM$2=$BO$1,$BO27,IF(BM$2=$BP$1,$BP27,IF(BM$2=$BQ$1,$BQ27,IF(BM$2=$BR$1,$BR27,IF(BM$2=$BS$1,$BS27,IF(BM$2=$BT$1,$BT27,IF(BM$2=$BU$1,$BU27,INDEX(Tiere!$BN$2:$BN$145,_xlfn.AGGREGATE(15,6,(ROW(Tiere!$BN$2:$BN$145)-1)/(--(SEARCH(BM$2,Tiere!$BN$2:$BN$145)&gt;0)),ROW()-1),1))))))))),"")</f>
        <v/>
      </c>
      <c r="BM28" s="2436"/>
      <c r="BN28" s="2478" t="s">
        <v>1112</v>
      </c>
      <c r="BO28" s="2518" t="s">
        <v>1112</v>
      </c>
      <c r="BP28" s="2518" t="s">
        <v>1230</v>
      </c>
      <c r="BQ28" s="2470"/>
      <c r="BR28" s="2470"/>
      <c r="BS28" s="2470"/>
      <c r="BT28" s="2470"/>
      <c r="BU28" s="2518" t="s">
        <v>1310</v>
      </c>
    </row>
    <row r="29" spans="1:76" ht="18" customHeight="1" thickBot="1">
      <c r="A29" s="535"/>
      <c r="B29" s="2159" t="s">
        <v>1433</v>
      </c>
      <c r="C29" s="1801"/>
      <c r="D29" s="1801"/>
      <c r="E29" s="1801"/>
      <c r="F29" s="1801"/>
      <c r="G29" s="1801"/>
      <c r="H29" s="1802"/>
      <c r="I29" s="1171">
        <f>Tabelle1!CG20</f>
        <v>0</v>
      </c>
      <c r="J29" s="1171">
        <f>Tabelle1!CG21</f>
        <v>0</v>
      </c>
      <c r="K29" s="1171">
        <f>Tabelle1!CG22</f>
        <v>0</v>
      </c>
      <c r="L29" s="1171">
        <f>Tabelle1!CS22</f>
        <v>0</v>
      </c>
      <c r="M29" s="1171">
        <f>Tabelle1!CX22</f>
        <v>0</v>
      </c>
      <c r="N29" s="534"/>
      <c r="O29" s="534"/>
      <c r="P29" s="534"/>
      <c r="Q29" s="534"/>
      <c r="R29" s="534"/>
      <c r="S29" s="534"/>
      <c r="T29" s="534"/>
      <c r="U29" s="534"/>
      <c r="V29" s="534"/>
      <c r="W29" s="534"/>
      <c r="X29" s="534"/>
      <c r="Y29" s="535"/>
      <c r="Z29" s="484" t="s">
        <v>744</v>
      </c>
      <c r="AA29" s="311"/>
      <c r="AB29" s="311"/>
      <c r="AC29" s="311"/>
      <c r="AD29" s="311"/>
      <c r="AE29" s="311"/>
      <c r="AH29" s="2439"/>
      <c r="AJ29" s="2472" t="str">
        <f>IFERROR(IF(OR(AK$2="ZURÜCK ZUR AUSWAHL",AK$2="",AK$2=0),"",IF(AK$2=$BO$1,$BO28,IF(AK$2=$BP$1,$BP28,IF(AK$2=$BQ$1,$BQ28,IF(AK$2=$BR$1,$BR28,IF(AK$2=$BS$1,$BS28,IF(AK$2=$BT$1,$BT28,IF(AK$2=$BU$1,$BU28,INDEX(Tiere!$BN$2:$BN$145,_xlfn.AGGREGATE(15,6,(ROW(Tiere!$BN$2:$BN$145)-1)/(--(SEARCH(AK$2,Tiere!$BN$2:$BN$145)&gt;0)),ROW()-2),1))))))))),"")</f>
        <v/>
      </c>
      <c r="AK29" s="2438"/>
      <c r="AL29" s="2472" t="str">
        <f>IFERROR(IF(OR(AM$2="ZURÜCK ZUR AUSWAHL",AM$2="",AM$2=0),"",IF(AM$2=$BO$1,$BO28,IF(AM$2=$BP$1,$BP28,IF(AM$2=$BQ$1,$BQ28,IF(AM$2=$BR$1,$BR28,IF(AM$2=$BS$1,$BS28,IF(AM$2=$BT$1,$BT28,IF(AM$2=$BU$1,$BU28,INDEX(Tiere!$BN$2:$BN$145,_xlfn.AGGREGATE(15,6,(ROW(Tiere!$BN$2:$BN$145)-1)/(--(SEARCH(AM$2,Tiere!$BN$2:$BN$145)&gt;0)),ROW()-1),1))))))))),"")</f>
        <v/>
      </c>
      <c r="AM29" s="2438"/>
      <c r="AN29" s="2472" t="str">
        <f>IFERROR(IF(OR(AO$2="ZURÜCK ZUR AUSWAHL",AO$2="",AO$2=0),"",IF(AO$2=$BO$1,$BO28,IF(AO$2=$BP$1,$BP28,IF(AO$2=$BQ$1,$BQ28,IF(AO$2=$BR$1,$BR28,IF(AO$2=$BS$1,$BS28,IF(AO$2=$BT$1,$BT28,IF(AO$2=$BU$1,$BU28,INDEX(Tiere!$BN$2:$BN$145,_xlfn.AGGREGATE(15,6,(ROW(Tiere!$BN$2:$BN$145)-1)/(--(SEARCH(AO$2,Tiere!$BN$2:$BN$145)&gt;0)),ROW()-1),1))))))))),"")</f>
        <v/>
      </c>
      <c r="AO29" s="2438"/>
      <c r="AP29" s="2472" t="str">
        <f>IFERROR(IF(OR(AQ$2="ZURÜCK ZUR AUSWAHL",AQ$2="",AQ$2=0),"",IF(AQ$2=$BO$1,$BO28,IF(AQ$2=$BP$1,$BP28,IF(AQ$2=$BQ$1,$BQ28,IF(AQ$2=$BR$1,$BR28,IF(AQ$2=$BS$1,$BS28,IF(AQ$2=$BT$1,$BT28,IF(AQ$2=$BU$1,$BU28,INDEX(Tiere!$BN$2:$BN$145,_xlfn.AGGREGATE(15,6,(ROW(Tiere!$BN$2:$BN$145)-1)/(--(SEARCH(AQ$2,Tiere!$BN$2:$BN$145)&gt;0)),ROW()-1),1))))))))),"")</f>
        <v/>
      </c>
      <c r="AQ29" s="2438"/>
      <c r="AR29" s="2472" t="str">
        <f>IFERROR(IF(OR(AS$2="ZURÜCK ZUR AUSWAHL",AS$2="",AS$2=0),"",IF(AS$2=$BO$1,$BO28,IF(AS$2=$BP$1,$BP28,IF(AS$2=$BQ$1,$BQ28,IF(AS$2=$BR$1,$BR28,IF(AS$2=$BS$1,$BS28,IF(AS$2=$BT$1,$BT28,IF(AS$2=$BU$1,$BU28,INDEX(Tiere!$BN$2:$BN$145,_xlfn.AGGREGATE(15,6,(ROW(Tiere!$BN$2:$BN$145)-1)/(--(SEARCH(AS$2,Tiere!$BN$2:$BN$145)&gt;0)),ROW()-1),1))))))))),"")</f>
        <v/>
      </c>
      <c r="AS29" s="2438"/>
      <c r="AT29" s="2472" t="str">
        <f>IFERROR(IF(OR(AU$2="ZURÜCK ZUR AUSWAHL",AU$2="",AU$2=0),"",IF(AU$2=$BO$1,$BO28,IF(AU$2=$BP$1,$BP28,IF(AU$2=$BQ$1,$BQ28,IF(AU$2=$BR$1,$BR28,IF(AU$2=$BS$1,$BS28,IF(AU$2=$BT$1,$BT28,IF(AU$2=$BU$1,$BU28,INDEX(Tiere!$BN$2:$BN$145,_xlfn.AGGREGATE(15,6,(ROW(Tiere!$BN$2:$BN$145)-1)/(--(SEARCH(AU$2,Tiere!$BN$2:$BN$145)&gt;0)),ROW()-1),1))))))))),"")</f>
        <v/>
      </c>
      <c r="AU29" s="2438"/>
      <c r="AV29" s="2472" t="str">
        <f>IFERROR(IF(OR(AW$2="ZURÜCK ZUR AUSWAHL",AW$2="",AW$2=0),"",IF(AW$2=$BO$1,$BO28,IF(AW$2=$BP$1,$BP28,IF(AW$2=$BQ$1,$BQ28,IF(AW$2=$BR$1,$BR28,IF(AW$2=$BS$1,$BS28,IF(AW$2=$BT$1,$BT28,IF(AW$2=$BU$1,$BU28,INDEX(Tiere!$BN$2:$BN$145,_xlfn.AGGREGATE(15,6,(ROW(Tiere!$BN$2:$BN$145)-1)/(--(SEARCH(AW$2,Tiere!$BN$2:$BN$145)&gt;0)),ROW()-1),1))))))))),"")</f>
        <v/>
      </c>
      <c r="AW29" s="2438"/>
      <c r="AX29" s="2472" t="str">
        <f>IFERROR(IF(OR(AY$2="ZURÜCK ZUR AUSWAHL",AY$2="",AY$2=0),"",IF(AY$2=$BO$1,$BO28,IF(AY$2=$BP$1,$BP28,IF(AY$2=$BQ$1,$BQ28,IF(AY$2=$BR$1,$BR28,IF(AY$2=$BS$1,$BS28,IF(AY$2=$BT$1,$BT28,IF(AY$2=$BU$1,$BU28,INDEX(Tiere!$BN$2:$BN$145,_xlfn.AGGREGATE(15,6,(ROW(Tiere!$BN$2:$BN$145)-1)/(--(SEARCH(AY$2,Tiere!$BN$2:$BN$145)&gt;0)),ROW()-1),1))))))))),"")</f>
        <v/>
      </c>
      <c r="AY29" s="2438"/>
      <c r="AZ29" s="2472" t="str">
        <f>IFERROR(IF(OR(BA$2="ZURÜCK ZUR AUSWAHL",BA$2="",BA$2=0),"",IF(BA$2=$BO$1,$BO28,IF(BA$2=$BP$1,$BP28,IF(BA$2=$BQ$1,$BQ28,IF(BA$2=$BR$1,$BR28,IF(BA$2=$BS$1,$BS28,IF(BA$2=$BT$1,$BT28,IF(BA$2=$BU$1,$BU28,INDEX(Tiere!$BN$2:$BN$145,_xlfn.AGGREGATE(15,6,(ROW(Tiere!$BN$2:$BN$145)-1)/(--(SEARCH(BA$2,Tiere!$BN$2:$BN$145)&gt;0)),ROW()-1),1))))))))),"")</f>
        <v/>
      </c>
      <c r="BA29" s="2438"/>
      <c r="BB29" s="2472" t="str">
        <f>IFERROR(IF(OR(BC$2="ZURÜCK ZUR AUSWAHL",BC$2="",BC$2=0),"",IF(BC$2=$BO$1,$BO28,IF(BC$2=$BP$1,$BP28,IF(BC$2=$BQ$1,$BQ28,IF(BC$2=$BR$1,$BR28,IF(BC$2=$BS$1,$BS28,IF(BC$2=$BT$1,$BT28,IF(BC$2=$BU$1,$BU28,INDEX(Tiere!$BN$2:$BN$145,_xlfn.AGGREGATE(15,6,(ROW(Tiere!$BN$2:$BN$145)-1)/(--(SEARCH(BC$2,Tiere!$BN$2:$BN$145)&gt;0)),ROW()-1),1))))))))),"")</f>
        <v/>
      </c>
      <c r="BC29" s="2438"/>
      <c r="BD29" s="2472" t="str">
        <f>IFERROR(IF(OR(BE$2="ZURÜCK ZUR AUSWAHL",BE$2="",BE$2=0),"",IF(BE$2=$BO$1,$BO28,IF(BE$2=$BP$1,$BP28,IF(BE$2=$BQ$1,$BQ28,IF(BE$2=$BR$1,$BR28,IF(BE$2=$BS$1,$BS28,IF(BE$2=$BT$1,$BT28,IF(BE$2=$BU$1,$BU28,INDEX(Tiere!$BN$2:$BN$145,_xlfn.AGGREGATE(15,6,(ROW(Tiere!$BN$2:$BN$145)-1)/(--(SEARCH(BE$2,Tiere!$BN$2:$BN$145)&gt;0)),ROW()-1),1))))))))),"")</f>
        <v/>
      </c>
      <c r="BE29" s="2438"/>
      <c r="BF29" s="2472" t="str">
        <f>IFERROR(IF(OR(BG$2="ZURÜCK ZUR AUSWAHL",BG$2="",BG$2=0),"",IF(BG$2=$BO$1,$BO28,IF(BG$2=$BP$1,$BP28,IF(BG$2=$BQ$1,$BQ28,IF(BG$2=$BR$1,$BR28,IF(BG$2=$BS$1,$BS28,IF(BG$2=$BT$1,$BT28,IF(BG$2=$BU$1,$BU28,INDEX(Tiere!$BN$2:$BN$145,_xlfn.AGGREGATE(15,6,(ROW(Tiere!$BN$2:$BN$145)-1)/(--(SEARCH(BG$2,Tiere!$BN$2:$BN$145)&gt;0)),ROW()-1),1))))))))),"")</f>
        <v/>
      </c>
      <c r="BG29" s="2438"/>
      <c r="BH29" s="2472" t="str">
        <f>IFERROR(IF(OR(BI$2="ZURÜCK ZUR AUSWAHL",BI$2="",BI$2=0),"",IF(BI$2=$BO$1,$BO28,IF(BI$2=$BP$1,$BP28,IF(BI$2=$BQ$1,$BQ28,IF(BI$2=$BR$1,$BR28,IF(BI$2=$BS$1,$BS28,IF(BI$2=$BT$1,$BT28,IF(BI$2=$BU$1,$BU28,INDEX(Tiere!$BN$2:$BN$145,_xlfn.AGGREGATE(15,6,(ROW(Tiere!$BN$2:$BN$145)-1)/(--(SEARCH(BI$2,Tiere!$BN$2:$BN$145)&gt;0)),ROW()-1),1))))))))),"")</f>
        <v/>
      </c>
      <c r="BI29" s="2438"/>
      <c r="BJ29" s="2472" t="str">
        <f>IFERROR(IF(OR(BK$2="ZURÜCK ZUR AUSWAHL",BK$2="",BK$2=0),"",IF(BK$2=$BO$1,$BO28,IF(BK$2=$BP$1,$BP28,IF(BK$2=$BQ$1,$BQ28,IF(BK$2=$BR$1,$BR28,IF(BK$2=$BS$1,$BS28,IF(BK$2=$BT$1,$BT28,IF(BK$2=$BU$1,$BU28,INDEX(Tiere!$BN$2:$BN$145,_xlfn.AGGREGATE(15,6,(ROW(Tiere!$BN$2:$BN$145)-1)/(--(SEARCH(BK$2,Tiere!$BN$2:$BN$145)&gt;0)),ROW()-1),1))))))))),"")</f>
        <v/>
      </c>
      <c r="BK29" s="2438"/>
      <c r="BL29" s="2472" t="str">
        <f>IFERROR(IF(OR(BM$2="ZURÜCK ZUR AUSWAHL",BM$2="",BM$2=0),"",IF(BM$2=$BO$1,$BO28,IF(BM$2=$BP$1,$BP28,IF(BM$2=$BQ$1,$BQ28,IF(BM$2=$BR$1,$BR28,IF(BM$2=$BS$1,$BS28,IF(BM$2=$BT$1,$BT28,IF(BM$2=$BU$1,$BU28,INDEX(Tiere!$BN$2:$BN$145,_xlfn.AGGREGATE(15,6,(ROW(Tiere!$BN$2:$BN$145)-1)/(--(SEARCH(BM$2,Tiere!$BN$2:$BN$145)&gt;0)),ROW()-1),1))))))))),"")</f>
        <v/>
      </c>
      <c r="BM29" s="2438"/>
      <c r="BN29" s="2478" t="s">
        <v>1118</v>
      </c>
      <c r="BO29" s="2518" t="s">
        <v>1118</v>
      </c>
      <c r="BP29" s="2518" t="s">
        <v>1232</v>
      </c>
      <c r="BQ29" s="2470"/>
      <c r="BR29" s="2470"/>
      <c r="BS29" s="2470"/>
      <c r="BT29" s="2470"/>
      <c r="BU29" s="2518" t="s">
        <v>1311</v>
      </c>
    </row>
    <row r="30" spans="1:76" ht="16.5" customHeight="1" thickBot="1">
      <c r="A30" s="535"/>
      <c r="B30" s="534"/>
      <c r="C30" s="534"/>
      <c r="D30" s="534"/>
      <c r="E30" s="534"/>
      <c r="F30" s="534"/>
      <c r="G30" s="534"/>
      <c r="H30" s="534"/>
      <c r="I30" s="534"/>
      <c r="J30" s="534"/>
      <c r="K30" s="534"/>
      <c r="L30" s="539"/>
      <c r="M30" s="534"/>
      <c r="N30" s="534"/>
      <c r="O30" s="534"/>
      <c r="P30" s="535"/>
      <c r="Q30" s="535"/>
      <c r="R30" s="535"/>
      <c r="S30" s="535"/>
      <c r="T30" s="535"/>
      <c r="U30" s="535"/>
      <c r="V30" s="535"/>
      <c r="W30" s="535"/>
      <c r="X30" s="535"/>
      <c r="Y30" s="535"/>
      <c r="Z30" s="2701" t="s">
        <v>743</v>
      </c>
      <c r="AA30" s="483"/>
      <c r="AB30" s="483"/>
      <c r="AC30" s="483"/>
      <c r="AD30" s="483"/>
      <c r="AE30" s="483"/>
      <c r="AH30" s="2439"/>
      <c r="AJ30" s="2472" t="str">
        <f>IFERROR(IF(OR(AK$2="ZURÜCK ZUR AUSWAHL",AK$2="",AK$2=0),"",IF(AK$2=$BO$1,$BO29,IF(AK$2=$BP$1,$BP29,IF(AK$2=$BQ$1,$BQ29,IF(AK$2=$BR$1,$BR29,IF(AK$2=$BS$1,$BS29,IF(AK$2=$BT$1,$BT29,IF(AK$2=$BU$1,$BU29,INDEX(Tiere!$BN$2:$BN$145,_xlfn.AGGREGATE(15,6,(ROW(Tiere!$BN$2:$BN$145)-1)/(--(SEARCH(AK$2,Tiere!$BN$2:$BN$145)&gt;0)),ROW()-2),1))))))))),"")</f>
        <v/>
      </c>
      <c r="AK30" s="2436"/>
      <c r="AL30" s="2472" t="str">
        <f>IFERROR(IF(OR(AM$2="ZURÜCK ZUR AUSWAHL",AM$2="",AM$2=0),"",IF(AM$2=$BO$1,$BO29,IF(AM$2=$BP$1,$BP29,IF(AM$2=$BQ$1,$BQ29,IF(AM$2=$BR$1,$BR29,IF(AM$2=$BS$1,$BS29,IF(AM$2=$BT$1,$BT29,IF(AM$2=$BU$1,$BU29,INDEX(Tiere!$BN$2:$BN$145,_xlfn.AGGREGATE(15,6,(ROW(Tiere!$BN$2:$BN$145)-1)/(--(SEARCH(AM$2,Tiere!$BN$2:$BN$145)&gt;0)),ROW()-1),1))))))))),"")</f>
        <v/>
      </c>
      <c r="AM30" s="2436"/>
      <c r="AN30" s="2472" t="str">
        <f>IFERROR(IF(OR(AO$2="ZURÜCK ZUR AUSWAHL",AO$2="",AO$2=0),"",IF(AO$2=$BO$1,$BO29,IF(AO$2=$BP$1,$BP29,IF(AO$2=$BQ$1,$BQ29,IF(AO$2=$BR$1,$BR29,IF(AO$2=$BS$1,$BS29,IF(AO$2=$BT$1,$BT29,IF(AO$2=$BU$1,$BU29,INDEX(Tiere!$BN$2:$BN$145,_xlfn.AGGREGATE(15,6,(ROW(Tiere!$BN$2:$BN$145)-1)/(--(SEARCH(AO$2,Tiere!$BN$2:$BN$145)&gt;0)),ROW()-1),1))))))))),"")</f>
        <v/>
      </c>
      <c r="AO30" s="2436"/>
      <c r="AP30" s="2472" t="str">
        <f>IFERROR(IF(OR(AQ$2="ZURÜCK ZUR AUSWAHL",AQ$2="",AQ$2=0),"",IF(AQ$2=$BO$1,$BO29,IF(AQ$2=$BP$1,$BP29,IF(AQ$2=$BQ$1,$BQ29,IF(AQ$2=$BR$1,$BR29,IF(AQ$2=$BS$1,$BS29,IF(AQ$2=$BT$1,$BT29,IF(AQ$2=$BU$1,$BU29,INDEX(Tiere!$BN$2:$BN$145,_xlfn.AGGREGATE(15,6,(ROW(Tiere!$BN$2:$BN$145)-1)/(--(SEARCH(AQ$2,Tiere!$BN$2:$BN$145)&gt;0)),ROW()-1),1))))))))),"")</f>
        <v/>
      </c>
      <c r="AQ30" s="2436"/>
      <c r="AR30" s="2472" t="str">
        <f>IFERROR(IF(OR(AS$2="ZURÜCK ZUR AUSWAHL",AS$2="",AS$2=0),"",IF(AS$2=$BO$1,$BO29,IF(AS$2=$BP$1,$BP29,IF(AS$2=$BQ$1,$BQ29,IF(AS$2=$BR$1,$BR29,IF(AS$2=$BS$1,$BS29,IF(AS$2=$BT$1,$BT29,IF(AS$2=$BU$1,$BU29,INDEX(Tiere!$BN$2:$BN$145,_xlfn.AGGREGATE(15,6,(ROW(Tiere!$BN$2:$BN$145)-1)/(--(SEARCH(AS$2,Tiere!$BN$2:$BN$145)&gt;0)),ROW()-1),1))))))))),"")</f>
        <v/>
      </c>
      <c r="AS30" s="2436"/>
      <c r="AT30" s="2472" t="str">
        <f>IFERROR(IF(OR(AU$2="ZURÜCK ZUR AUSWAHL",AU$2="",AU$2=0),"",IF(AU$2=$BO$1,$BO29,IF(AU$2=$BP$1,$BP29,IF(AU$2=$BQ$1,$BQ29,IF(AU$2=$BR$1,$BR29,IF(AU$2=$BS$1,$BS29,IF(AU$2=$BT$1,$BT29,IF(AU$2=$BU$1,$BU29,INDEX(Tiere!$BN$2:$BN$145,_xlfn.AGGREGATE(15,6,(ROW(Tiere!$BN$2:$BN$145)-1)/(--(SEARCH(AU$2,Tiere!$BN$2:$BN$145)&gt;0)),ROW()-1),1))))))))),"")</f>
        <v/>
      </c>
      <c r="AU30" s="2436"/>
      <c r="AV30" s="2472" t="str">
        <f>IFERROR(IF(OR(AW$2="ZURÜCK ZUR AUSWAHL",AW$2="",AW$2=0),"",IF(AW$2=$BO$1,$BO29,IF(AW$2=$BP$1,$BP29,IF(AW$2=$BQ$1,$BQ29,IF(AW$2=$BR$1,$BR29,IF(AW$2=$BS$1,$BS29,IF(AW$2=$BT$1,$BT29,IF(AW$2=$BU$1,$BU29,INDEX(Tiere!$BN$2:$BN$145,_xlfn.AGGREGATE(15,6,(ROW(Tiere!$BN$2:$BN$145)-1)/(--(SEARCH(AW$2,Tiere!$BN$2:$BN$145)&gt;0)),ROW()-1),1))))))))),"")</f>
        <v/>
      </c>
      <c r="AW30" s="2436"/>
      <c r="AX30" s="2472" t="str">
        <f>IFERROR(IF(OR(AY$2="ZURÜCK ZUR AUSWAHL",AY$2="",AY$2=0),"",IF(AY$2=$BO$1,$BO29,IF(AY$2=$BP$1,$BP29,IF(AY$2=$BQ$1,$BQ29,IF(AY$2=$BR$1,$BR29,IF(AY$2=$BS$1,$BS29,IF(AY$2=$BT$1,$BT29,IF(AY$2=$BU$1,$BU29,INDEX(Tiere!$BN$2:$BN$145,_xlfn.AGGREGATE(15,6,(ROW(Tiere!$BN$2:$BN$145)-1)/(--(SEARCH(AY$2,Tiere!$BN$2:$BN$145)&gt;0)),ROW()-1),1))))))))),"")</f>
        <v/>
      </c>
      <c r="AY30" s="2436"/>
      <c r="AZ30" s="2472" t="str">
        <f>IFERROR(IF(OR(BA$2="ZURÜCK ZUR AUSWAHL",BA$2="",BA$2=0),"",IF(BA$2=$BO$1,$BO29,IF(BA$2=$BP$1,$BP29,IF(BA$2=$BQ$1,$BQ29,IF(BA$2=$BR$1,$BR29,IF(BA$2=$BS$1,$BS29,IF(BA$2=$BT$1,$BT29,IF(BA$2=$BU$1,$BU29,INDEX(Tiere!$BN$2:$BN$145,_xlfn.AGGREGATE(15,6,(ROW(Tiere!$BN$2:$BN$145)-1)/(--(SEARCH(BA$2,Tiere!$BN$2:$BN$145)&gt;0)),ROW()-1),1))))))))),"")</f>
        <v/>
      </c>
      <c r="BA30" s="2436"/>
      <c r="BB30" s="2472" t="str">
        <f>IFERROR(IF(OR(BC$2="ZURÜCK ZUR AUSWAHL",BC$2="",BC$2=0),"",IF(BC$2=$BO$1,$BO29,IF(BC$2=$BP$1,$BP29,IF(BC$2=$BQ$1,$BQ29,IF(BC$2=$BR$1,$BR29,IF(BC$2=$BS$1,$BS29,IF(BC$2=$BT$1,$BT29,IF(BC$2=$BU$1,$BU29,INDEX(Tiere!$BN$2:$BN$145,_xlfn.AGGREGATE(15,6,(ROW(Tiere!$BN$2:$BN$145)-1)/(--(SEARCH(BC$2,Tiere!$BN$2:$BN$145)&gt;0)),ROW()-1),1))))))))),"")</f>
        <v/>
      </c>
      <c r="BC30" s="2436"/>
      <c r="BD30" s="2472" t="str">
        <f>IFERROR(IF(OR(BE$2="ZURÜCK ZUR AUSWAHL",BE$2="",BE$2=0),"",IF(BE$2=$BO$1,$BO29,IF(BE$2=$BP$1,$BP29,IF(BE$2=$BQ$1,$BQ29,IF(BE$2=$BR$1,$BR29,IF(BE$2=$BS$1,$BS29,IF(BE$2=$BT$1,$BT29,IF(BE$2=$BU$1,$BU29,INDEX(Tiere!$BN$2:$BN$145,_xlfn.AGGREGATE(15,6,(ROW(Tiere!$BN$2:$BN$145)-1)/(--(SEARCH(BE$2,Tiere!$BN$2:$BN$145)&gt;0)),ROW()-1),1))))))))),"")</f>
        <v/>
      </c>
      <c r="BE30" s="2436"/>
      <c r="BF30" s="2472" t="str">
        <f>IFERROR(IF(OR(BG$2="ZURÜCK ZUR AUSWAHL",BG$2="",BG$2=0),"",IF(BG$2=$BO$1,$BO29,IF(BG$2=$BP$1,$BP29,IF(BG$2=$BQ$1,$BQ29,IF(BG$2=$BR$1,$BR29,IF(BG$2=$BS$1,$BS29,IF(BG$2=$BT$1,$BT29,IF(BG$2=$BU$1,$BU29,INDEX(Tiere!$BN$2:$BN$145,_xlfn.AGGREGATE(15,6,(ROW(Tiere!$BN$2:$BN$145)-1)/(--(SEARCH(BG$2,Tiere!$BN$2:$BN$145)&gt;0)),ROW()-1),1))))))))),"")</f>
        <v/>
      </c>
      <c r="BG30" s="2436"/>
      <c r="BH30" s="2472" t="str">
        <f>IFERROR(IF(OR(BI$2="ZURÜCK ZUR AUSWAHL",BI$2="",BI$2=0),"",IF(BI$2=$BO$1,$BO29,IF(BI$2=$BP$1,$BP29,IF(BI$2=$BQ$1,$BQ29,IF(BI$2=$BR$1,$BR29,IF(BI$2=$BS$1,$BS29,IF(BI$2=$BT$1,$BT29,IF(BI$2=$BU$1,$BU29,INDEX(Tiere!$BN$2:$BN$145,_xlfn.AGGREGATE(15,6,(ROW(Tiere!$BN$2:$BN$145)-1)/(--(SEARCH(BI$2,Tiere!$BN$2:$BN$145)&gt;0)),ROW()-1),1))))))))),"")</f>
        <v/>
      </c>
      <c r="BI30" s="2436"/>
      <c r="BJ30" s="2472" t="str">
        <f>IFERROR(IF(OR(BK$2="ZURÜCK ZUR AUSWAHL",BK$2="",BK$2=0),"",IF(BK$2=$BO$1,$BO29,IF(BK$2=$BP$1,$BP29,IF(BK$2=$BQ$1,$BQ29,IF(BK$2=$BR$1,$BR29,IF(BK$2=$BS$1,$BS29,IF(BK$2=$BT$1,$BT29,IF(BK$2=$BU$1,$BU29,INDEX(Tiere!$BN$2:$BN$145,_xlfn.AGGREGATE(15,6,(ROW(Tiere!$BN$2:$BN$145)-1)/(--(SEARCH(BK$2,Tiere!$BN$2:$BN$145)&gt;0)),ROW()-1),1))))))))),"")</f>
        <v/>
      </c>
      <c r="BK30" s="2436"/>
      <c r="BL30" s="2472" t="str">
        <f>IFERROR(IF(OR(BM$2="ZURÜCK ZUR AUSWAHL",BM$2="",BM$2=0),"",IF(BM$2=$BO$1,$BO29,IF(BM$2=$BP$1,$BP29,IF(BM$2=$BQ$1,$BQ29,IF(BM$2=$BR$1,$BR29,IF(BM$2=$BS$1,$BS29,IF(BM$2=$BT$1,$BT29,IF(BM$2=$BU$1,$BU29,INDEX(Tiere!$BN$2:$BN$145,_xlfn.AGGREGATE(15,6,(ROW(Tiere!$BN$2:$BN$145)-1)/(--(SEARCH(BM$2,Tiere!$BN$2:$BN$145)&gt;0)),ROW()-1),1))))))))),"")</f>
        <v/>
      </c>
      <c r="BM30" s="2436"/>
      <c r="BN30" s="2478" t="s">
        <v>1122</v>
      </c>
      <c r="BO30" s="2518" t="s">
        <v>1122</v>
      </c>
      <c r="BP30" s="2518"/>
      <c r="BQ30" s="2470"/>
      <c r="BR30" s="2470"/>
      <c r="BS30" s="2470"/>
      <c r="BT30" s="2470"/>
      <c r="BU30" s="2518" t="s">
        <v>1312</v>
      </c>
    </row>
    <row r="31" spans="1:76" ht="20.25" customHeight="1" thickBot="1">
      <c r="A31" s="538"/>
      <c r="B31" s="1318" t="s">
        <v>1434</v>
      </c>
      <c r="C31" s="1318"/>
      <c r="D31" s="1319"/>
      <c r="E31" s="1319"/>
      <c r="F31" s="1319"/>
      <c r="G31" s="1319" t="s">
        <v>1435</v>
      </c>
      <c r="H31" s="1319"/>
      <c r="I31" s="1318"/>
      <c r="J31" s="1320"/>
      <c r="K31" s="1320"/>
      <c r="L31" s="539"/>
      <c r="M31" s="1318" t="s">
        <v>1436</v>
      </c>
      <c r="N31" s="1321"/>
      <c r="O31" s="1321"/>
      <c r="P31" s="1322"/>
      <c r="Q31" s="1323"/>
      <c r="R31" s="1324" t="s">
        <v>771</v>
      </c>
      <c r="S31" s="1325"/>
      <c r="T31" s="1325"/>
      <c r="U31" s="1325"/>
      <c r="V31" s="1325"/>
      <c r="W31" s="1325"/>
      <c r="X31" s="1325"/>
      <c r="Y31" s="535"/>
      <c r="Z31" s="2701"/>
      <c r="AA31" s="483"/>
      <c r="AB31" s="483"/>
      <c r="AC31" s="483"/>
      <c r="AD31" s="483"/>
      <c r="AE31" s="483"/>
      <c r="AH31" s="2439"/>
      <c r="AJ31" s="2472" t="str">
        <f>IFERROR(IF(OR(AK$2="ZURÜCK ZUR AUSWAHL",AK$2="",AK$2=0),"",IF(AK$2=$BO$1,$BO30,IF(AK$2=$BP$1,$BP30,IF(AK$2=$BQ$1,$BQ30,IF(AK$2=$BR$1,$BR30,IF(AK$2=$BS$1,$BS30,IF(AK$2=$BT$1,$BT30,IF(AK$2=$BU$1,$BU30,INDEX(Tiere!$BN$2:$BN$145,_xlfn.AGGREGATE(15,6,(ROW(Tiere!$BN$2:$BN$145)-1)/(--(SEARCH(AK$2,Tiere!$BN$2:$BN$145)&gt;0)),ROW()-2),1))))))))),"")</f>
        <v/>
      </c>
      <c r="AK31" s="2438"/>
      <c r="AL31" s="2472" t="str">
        <f>IFERROR(IF(OR(AM$2="ZURÜCK ZUR AUSWAHL",AM$2="",AM$2=0),"",IF(AM$2=$BO$1,$BO30,IF(AM$2=$BP$1,$BP30,IF(AM$2=$BQ$1,$BQ30,IF(AM$2=$BR$1,$BR30,IF(AM$2=$BS$1,$BS30,IF(AM$2=$BT$1,$BT30,IF(AM$2=$BU$1,$BU30,INDEX(Tiere!$BN$2:$BN$145,_xlfn.AGGREGATE(15,6,(ROW(Tiere!$BN$2:$BN$145)-1)/(--(SEARCH(AM$2,Tiere!$BN$2:$BN$145)&gt;0)),ROW()-1),1))))))))),"")</f>
        <v/>
      </c>
      <c r="AM31" s="2438"/>
      <c r="AN31" s="2472" t="str">
        <f>IFERROR(IF(OR(AO$2="ZURÜCK ZUR AUSWAHL",AO$2="",AO$2=0),"",IF(AO$2=$BO$1,$BO30,IF(AO$2=$BP$1,$BP30,IF(AO$2=$BQ$1,$BQ30,IF(AO$2=$BR$1,$BR30,IF(AO$2=$BS$1,$BS30,IF(AO$2=$BT$1,$BT30,IF(AO$2=$BU$1,$BU30,INDEX(Tiere!$BN$2:$BN$145,_xlfn.AGGREGATE(15,6,(ROW(Tiere!$BN$2:$BN$145)-1)/(--(SEARCH(AO$2,Tiere!$BN$2:$BN$145)&gt;0)),ROW()-1),1))))))))),"")</f>
        <v/>
      </c>
      <c r="AO31" s="2438"/>
      <c r="AP31" s="2472" t="str">
        <f>IFERROR(IF(OR(AQ$2="ZURÜCK ZUR AUSWAHL",AQ$2="",AQ$2=0),"",IF(AQ$2=$BO$1,$BO30,IF(AQ$2=$BP$1,$BP30,IF(AQ$2=$BQ$1,$BQ30,IF(AQ$2=$BR$1,$BR30,IF(AQ$2=$BS$1,$BS30,IF(AQ$2=$BT$1,$BT30,IF(AQ$2=$BU$1,$BU30,INDEX(Tiere!$BN$2:$BN$145,_xlfn.AGGREGATE(15,6,(ROW(Tiere!$BN$2:$BN$145)-1)/(--(SEARCH(AQ$2,Tiere!$BN$2:$BN$145)&gt;0)),ROW()-1),1))))))))),"")</f>
        <v/>
      </c>
      <c r="AQ31" s="2438"/>
      <c r="AR31" s="2472" t="str">
        <f>IFERROR(IF(OR(AS$2="ZURÜCK ZUR AUSWAHL",AS$2="",AS$2=0),"",IF(AS$2=$BO$1,$BO30,IF(AS$2=$BP$1,$BP30,IF(AS$2=$BQ$1,$BQ30,IF(AS$2=$BR$1,$BR30,IF(AS$2=$BS$1,$BS30,IF(AS$2=$BT$1,$BT30,IF(AS$2=$BU$1,$BU30,INDEX(Tiere!$BN$2:$BN$145,_xlfn.AGGREGATE(15,6,(ROW(Tiere!$BN$2:$BN$145)-1)/(--(SEARCH(AS$2,Tiere!$BN$2:$BN$145)&gt;0)),ROW()-1),1))))))))),"")</f>
        <v/>
      </c>
      <c r="AS31" s="2438"/>
      <c r="AT31" s="2472" t="str">
        <f>IFERROR(IF(OR(AU$2="ZURÜCK ZUR AUSWAHL",AU$2="",AU$2=0),"",IF(AU$2=$BO$1,$BO30,IF(AU$2=$BP$1,$BP30,IF(AU$2=$BQ$1,$BQ30,IF(AU$2=$BR$1,$BR30,IF(AU$2=$BS$1,$BS30,IF(AU$2=$BT$1,$BT30,IF(AU$2=$BU$1,$BU30,INDEX(Tiere!$BN$2:$BN$145,_xlfn.AGGREGATE(15,6,(ROW(Tiere!$BN$2:$BN$145)-1)/(--(SEARCH(AU$2,Tiere!$BN$2:$BN$145)&gt;0)),ROW()-1),1))))))))),"")</f>
        <v/>
      </c>
      <c r="AU31" s="2438"/>
      <c r="AV31" s="2472" t="str">
        <f>IFERROR(IF(OR(AW$2="ZURÜCK ZUR AUSWAHL",AW$2="",AW$2=0),"",IF(AW$2=$BO$1,$BO30,IF(AW$2=$BP$1,$BP30,IF(AW$2=$BQ$1,$BQ30,IF(AW$2=$BR$1,$BR30,IF(AW$2=$BS$1,$BS30,IF(AW$2=$BT$1,$BT30,IF(AW$2=$BU$1,$BU30,INDEX(Tiere!$BN$2:$BN$145,_xlfn.AGGREGATE(15,6,(ROW(Tiere!$BN$2:$BN$145)-1)/(--(SEARCH(AW$2,Tiere!$BN$2:$BN$145)&gt;0)),ROW()-1),1))))))))),"")</f>
        <v/>
      </c>
      <c r="AW31" s="2438"/>
      <c r="AX31" s="2472" t="str">
        <f>IFERROR(IF(OR(AY$2="ZURÜCK ZUR AUSWAHL",AY$2="",AY$2=0),"",IF(AY$2=$BO$1,$BO30,IF(AY$2=$BP$1,$BP30,IF(AY$2=$BQ$1,$BQ30,IF(AY$2=$BR$1,$BR30,IF(AY$2=$BS$1,$BS30,IF(AY$2=$BT$1,$BT30,IF(AY$2=$BU$1,$BU30,INDEX(Tiere!$BN$2:$BN$145,_xlfn.AGGREGATE(15,6,(ROW(Tiere!$BN$2:$BN$145)-1)/(--(SEARCH(AY$2,Tiere!$BN$2:$BN$145)&gt;0)),ROW()-1),1))))))))),"")</f>
        <v/>
      </c>
      <c r="AY31" s="2438"/>
      <c r="AZ31" s="2472" t="str">
        <f>IFERROR(IF(OR(BA$2="ZURÜCK ZUR AUSWAHL",BA$2="",BA$2=0),"",IF(BA$2=$BO$1,$BO30,IF(BA$2=$BP$1,$BP30,IF(BA$2=$BQ$1,$BQ30,IF(BA$2=$BR$1,$BR30,IF(BA$2=$BS$1,$BS30,IF(BA$2=$BT$1,$BT30,IF(BA$2=$BU$1,$BU30,INDEX(Tiere!$BN$2:$BN$145,_xlfn.AGGREGATE(15,6,(ROW(Tiere!$BN$2:$BN$145)-1)/(--(SEARCH(BA$2,Tiere!$BN$2:$BN$145)&gt;0)),ROW()-1),1))))))))),"")</f>
        <v/>
      </c>
      <c r="BA31" s="2438"/>
      <c r="BB31" s="2472" t="str">
        <f>IFERROR(IF(OR(BC$2="ZURÜCK ZUR AUSWAHL",BC$2="",BC$2=0),"",IF(BC$2=$BO$1,$BO30,IF(BC$2=$BP$1,$BP30,IF(BC$2=$BQ$1,$BQ30,IF(BC$2=$BR$1,$BR30,IF(BC$2=$BS$1,$BS30,IF(BC$2=$BT$1,$BT30,IF(BC$2=$BU$1,$BU30,INDEX(Tiere!$BN$2:$BN$145,_xlfn.AGGREGATE(15,6,(ROW(Tiere!$BN$2:$BN$145)-1)/(--(SEARCH(BC$2,Tiere!$BN$2:$BN$145)&gt;0)),ROW()-1),1))))))))),"")</f>
        <v/>
      </c>
      <c r="BC31" s="2438"/>
      <c r="BD31" s="2472" t="str">
        <f>IFERROR(IF(OR(BE$2="ZURÜCK ZUR AUSWAHL",BE$2="",BE$2=0),"",IF(BE$2=$BO$1,$BO30,IF(BE$2=$BP$1,$BP30,IF(BE$2=$BQ$1,$BQ30,IF(BE$2=$BR$1,$BR30,IF(BE$2=$BS$1,$BS30,IF(BE$2=$BT$1,$BT30,IF(BE$2=$BU$1,$BU30,INDEX(Tiere!$BN$2:$BN$145,_xlfn.AGGREGATE(15,6,(ROW(Tiere!$BN$2:$BN$145)-1)/(--(SEARCH(BE$2,Tiere!$BN$2:$BN$145)&gt;0)),ROW()-1),1))))))))),"")</f>
        <v/>
      </c>
      <c r="BE31" s="2438"/>
      <c r="BF31" s="2472" t="str">
        <f>IFERROR(IF(OR(BG$2="ZURÜCK ZUR AUSWAHL",BG$2="",BG$2=0),"",IF(BG$2=$BO$1,$BO30,IF(BG$2=$BP$1,$BP30,IF(BG$2=$BQ$1,$BQ30,IF(BG$2=$BR$1,$BR30,IF(BG$2=$BS$1,$BS30,IF(BG$2=$BT$1,$BT30,IF(BG$2=$BU$1,$BU30,INDEX(Tiere!$BN$2:$BN$145,_xlfn.AGGREGATE(15,6,(ROW(Tiere!$BN$2:$BN$145)-1)/(--(SEARCH(BG$2,Tiere!$BN$2:$BN$145)&gt;0)),ROW()-1),1))))))))),"")</f>
        <v/>
      </c>
      <c r="BG31" s="2438"/>
      <c r="BH31" s="2472" t="str">
        <f>IFERROR(IF(OR(BI$2="ZURÜCK ZUR AUSWAHL",BI$2="",BI$2=0),"",IF(BI$2=$BO$1,$BO30,IF(BI$2=$BP$1,$BP30,IF(BI$2=$BQ$1,$BQ30,IF(BI$2=$BR$1,$BR30,IF(BI$2=$BS$1,$BS30,IF(BI$2=$BT$1,$BT30,IF(BI$2=$BU$1,$BU30,INDEX(Tiere!$BN$2:$BN$145,_xlfn.AGGREGATE(15,6,(ROW(Tiere!$BN$2:$BN$145)-1)/(--(SEARCH(BI$2,Tiere!$BN$2:$BN$145)&gt;0)),ROW()-1),1))))))))),"")</f>
        <v/>
      </c>
      <c r="BI31" s="2438"/>
      <c r="BJ31" s="2472" t="str">
        <f>IFERROR(IF(OR(BK$2="ZURÜCK ZUR AUSWAHL",BK$2="",BK$2=0),"",IF(BK$2=$BO$1,$BO30,IF(BK$2=$BP$1,$BP30,IF(BK$2=$BQ$1,$BQ30,IF(BK$2=$BR$1,$BR30,IF(BK$2=$BS$1,$BS30,IF(BK$2=$BT$1,$BT30,IF(BK$2=$BU$1,$BU30,INDEX(Tiere!$BN$2:$BN$145,_xlfn.AGGREGATE(15,6,(ROW(Tiere!$BN$2:$BN$145)-1)/(--(SEARCH(BK$2,Tiere!$BN$2:$BN$145)&gt;0)),ROW()-1),1))))))))),"")</f>
        <v/>
      </c>
      <c r="BK31" s="2438"/>
      <c r="BL31" s="2472" t="str">
        <f>IFERROR(IF(OR(BM$2="ZURÜCK ZUR AUSWAHL",BM$2="",BM$2=0),"",IF(BM$2=$BO$1,$BO30,IF(BM$2=$BP$1,$BP30,IF(BM$2=$BQ$1,$BQ30,IF(BM$2=$BR$1,$BR30,IF(BM$2=$BS$1,$BS30,IF(BM$2=$BT$1,$BT30,IF(BM$2=$BU$1,$BU30,INDEX(Tiere!$BN$2:$BN$145,_xlfn.AGGREGATE(15,6,(ROW(Tiere!$BN$2:$BN$145)-1)/(--(SEARCH(BM$2,Tiere!$BN$2:$BN$145)&gt;0)),ROW()-1),1))))))))),"")</f>
        <v/>
      </c>
      <c r="BM31" s="2438"/>
      <c r="BN31" s="2478" t="s">
        <v>1126</v>
      </c>
      <c r="BO31" s="2518" t="s">
        <v>1126</v>
      </c>
      <c r="BP31" s="2518"/>
      <c r="BQ31" s="2470"/>
      <c r="BR31" s="2470"/>
      <c r="BS31" s="2470"/>
      <c r="BT31" s="2470"/>
      <c r="BU31" s="2518" t="s">
        <v>1313</v>
      </c>
    </row>
    <row r="32" spans="1:76" ht="29.25" customHeight="1" thickBot="1">
      <c r="A32" s="540"/>
      <c r="B32" s="2704" t="s">
        <v>1437</v>
      </c>
      <c r="C32" s="2704"/>
      <c r="D32" s="2704"/>
      <c r="E32" s="1807">
        <f>R20</f>
        <v>0</v>
      </c>
      <c r="F32" s="1808"/>
      <c r="G32" s="1809">
        <f>IF(Betrieb!D$18=0,0,E32/(Betrieb!D$18))</f>
        <v>0</v>
      </c>
      <c r="H32" s="2695" t="str">
        <f>Tabelle1!DD22</f>
        <v/>
      </c>
      <c r="I32" s="2695"/>
      <c r="J32" s="2695"/>
      <c r="K32" s="2695"/>
      <c r="L32" s="539"/>
      <c r="M32" s="2708" t="s">
        <v>1438</v>
      </c>
      <c r="N32" s="2708"/>
      <c r="O32" s="2708"/>
      <c r="P32" s="2709"/>
      <c r="Q32" s="2696" t="s">
        <v>1439</v>
      </c>
      <c r="R32" s="2696" t="s">
        <v>1440</v>
      </c>
      <c r="S32" s="2696"/>
      <c r="T32" s="2707">
        <f>S20+T20</f>
        <v>0</v>
      </c>
      <c r="U32" s="2696" t="s">
        <v>1439</v>
      </c>
      <c r="V32" s="2703" t="str">
        <f>IF(P32=0,"Fehlende Angaben!",IF(P32&gt;=T32,"Bestimmungen eingehalten",IF(P32&lt;T32,"Achtung, für Gülle und Jauche zu gering!",0)))</f>
        <v>Fehlende Angaben!</v>
      </c>
      <c r="W32" s="2703"/>
      <c r="X32" s="2703"/>
      <c r="Y32" s="535"/>
      <c r="Z32" s="1443" t="s">
        <v>742</v>
      </c>
      <c r="AA32" s="311"/>
      <c r="AB32" s="311"/>
      <c r="AC32" s="311"/>
      <c r="AD32" s="311"/>
      <c r="AE32" s="311"/>
      <c r="AH32" s="2439"/>
      <c r="AJ32" s="2472" t="str">
        <f>IFERROR(IF(OR(AK$2="ZURÜCK ZUR AUSWAHL",AK$2="",AK$2=0),"",IF(AK$2=$BO$1,$BO31,IF(AK$2=$BP$1,"ZURÜCK ZUR AUSWAHL",IF(AK$2=$BQ$1,$BQ31,IF(AK$2=$BR$1,$BR31,IF(AK$2=$BS$1,$BS31,IF(AK$2=$BT$1,$BT31,IF(AK$2=$BU$1,$BU31,INDEX(Tiere!$BN$2:$BN$145,_xlfn.AGGREGATE(15,6,(ROW(Tiere!$BN$2:$BN$145)-1)/(--(SEARCH(AK$2,Tiere!$BN$2:$BN$145)&gt;0)),ROW()-2),1))))))))),"")</f>
        <v/>
      </c>
      <c r="AK32" s="2436"/>
      <c r="AL32" s="2472" t="str">
        <f>IFERROR(IF(OR(AM$2="ZURÜCK ZUR AUSWAHL",AM$2="",AM$2=0),"",IF(AM$2=$BO$1,$BO31,IF(AM$2=$BP$1,"ZURÜCK ZUR AUSWAHL",IF(AM$2=$BQ$1,$BQ31,IF(AM$2=$BR$1,$BR31,IF(AM$2=$BS$1,$BS31,IF(AM$2=$BT$1,$BT31,IF(AM$2=$BU$1,$BU31,INDEX(Tiere!$BN$2:$BN$145,_xlfn.AGGREGATE(15,6,(ROW(Tiere!$BN$2:$BN$145)-1)/(--(SEARCH(AM$2,Tiere!$BN$2:$BN$145)&gt;0)),ROW()-1),1))))))))),"")</f>
        <v/>
      </c>
      <c r="AM32" s="2436"/>
      <c r="AN32" s="2472" t="str">
        <f>IFERROR(IF(OR(AO$2="ZURÜCK ZUR AUSWAHL",AO$2="",AO$2=0),"",IF(AO$2=$BO$1,$BO31,IF(AO$2=$BP$1,"ZURÜCK ZUR AUSWAHL",IF(AO$2=$BQ$1,$BQ31,IF(AO$2=$BR$1,$BR31,IF(AO$2=$BS$1,$BS31,IF(AO$2=$BT$1,$BT31,IF(AO$2=$BU$1,$BU31,INDEX(Tiere!$BN$2:$BN$145,_xlfn.AGGREGATE(15,6,(ROW(Tiere!$BN$2:$BN$145)-1)/(--(SEARCH(AO$2,Tiere!$BN$2:$BN$145)&gt;0)),ROW()-1),1))))))))),"")</f>
        <v/>
      </c>
      <c r="AO32" s="2436"/>
      <c r="AP32" s="2472" t="str">
        <f>IFERROR(IF(OR(AQ$2="ZURÜCK ZUR AUSWAHL",AQ$2="",AQ$2=0),"",IF(AQ$2=$BO$1,$BO31,IF(AQ$2=$BP$1,"ZURÜCK ZUR AUSWAHL",IF(AQ$2=$BQ$1,$BQ31,IF(AQ$2=$BR$1,$BR31,IF(AQ$2=$BS$1,$BS31,IF(AQ$2=$BT$1,$BT31,IF(AQ$2=$BU$1,$BU31,INDEX(Tiere!$BN$2:$BN$145,_xlfn.AGGREGATE(15,6,(ROW(Tiere!$BN$2:$BN$145)-1)/(--(SEARCH(AQ$2,Tiere!$BN$2:$BN$145)&gt;0)),ROW()-1),1))))))))),"")</f>
        <v/>
      </c>
      <c r="AQ32" s="2436"/>
      <c r="AR32" s="2472" t="str">
        <f>IFERROR(IF(OR(AS$2="ZURÜCK ZUR AUSWAHL",AS$2="",AS$2=0),"",IF(AS$2=$BO$1,$BO31,IF(AS$2=$BP$1,"ZURÜCK ZUR AUSWAHL",IF(AS$2=$BQ$1,$BQ31,IF(AS$2=$BR$1,$BR31,IF(AS$2=$BS$1,$BS31,IF(AS$2=$BT$1,$BT31,IF(AS$2=$BU$1,$BU31,INDEX(Tiere!$BN$2:$BN$145,_xlfn.AGGREGATE(15,6,(ROW(Tiere!$BN$2:$BN$145)-1)/(--(SEARCH(AS$2,Tiere!$BN$2:$BN$145)&gt;0)),ROW()-1),1))))))))),"")</f>
        <v/>
      </c>
      <c r="AS32" s="2436"/>
      <c r="AT32" s="2472" t="str">
        <f>IFERROR(IF(OR(AU$2="ZURÜCK ZUR AUSWAHL",AU$2="",AU$2=0),"",IF(AU$2=$BO$1,$BO31,IF(AU$2=$BP$1,"ZURÜCK ZUR AUSWAHL",IF(AU$2=$BQ$1,$BQ31,IF(AU$2=$BR$1,$BR31,IF(AU$2=$BS$1,$BS31,IF(AU$2=$BT$1,$BT31,IF(AU$2=$BU$1,$BU31,INDEX(Tiere!$BN$2:$BN$145,_xlfn.AGGREGATE(15,6,(ROW(Tiere!$BN$2:$BN$145)-1)/(--(SEARCH(AU$2,Tiere!$BN$2:$BN$145)&gt;0)),ROW()-1),1))))))))),"")</f>
        <v/>
      </c>
      <c r="AU32" s="2436"/>
      <c r="AV32" s="2472" t="str">
        <f>IFERROR(IF(OR(AW$2="ZURÜCK ZUR AUSWAHL",AW$2="",AW$2=0),"",IF(AW$2=$BO$1,$BO31,IF(AW$2=$BP$1,"ZURÜCK ZUR AUSWAHL",IF(AW$2=$BQ$1,$BQ31,IF(AW$2=$BR$1,$BR31,IF(AW$2=$BS$1,$BS31,IF(AW$2=$BT$1,$BT31,IF(AW$2=$BU$1,$BU31,INDEX(Tiere!$BN$2:$BN$145,_xlfn.AGGREGATE(15,6,(ROW(Tiere!$BN$2:$BN$145)-1)/(--(SEARCH(AW$2,Tiere!$BN$2:$BN$145)&gt;0)),ROW()-1),1))))))))),"")</f>
        <v/>
      </c>
      <c r="AW32" s="2436"/>
      <c r="AX32" s="2472" t="str">
        <f>IFERROR(IF(OR(AY$2="ZURÜCK ZUR AUSWAHL",AY$2="",AY$2=0),"",IF(AY$2=$BO$1,$BO31,IF(AY$2=$BP$1,"ZURÜCK ZUR AUSWAHL",IF(AY$2=$BQ$1,$BQ31,IF(AY$2=$BR$1,$BR31,IF(AY$2=$BS$1,$BS31,IF(AY$2=$BT$1,$BT31,IF(AY$2=$BU$1,$BU31,INDEX(Tiere!$BN$2:$BN$145,_xlfn.AGGREGATE(15,6,(ROW(Tiere!$BN$2:$BN$145)-1)/(--(SEARCH(AY$2,Tiere!$BN$2:$BN$145)&gt;0)),ROW()-1),1))))))))),"")</f>
        <v/>
      </c>
      <c r="AY32" s="2436"/>
      <c r="AZ32" s="2472" t="str">
        <f>IFERROR(IF(OR(BA$2="ZURÜCK ZUR AUSWAHL",BA$2="",BA$2=0),"",IF(BA$2=$BO$1,$BO31,IF(BA$2=$BP$1,"ZURÜCK ZUR AUSWAHL",IF(BA$2=$BQ$1,$BQ31,IF(BA$2=$BR$1,$BR31,IF(BA$2=$BS$1,$BS31,IF(BA$2=$BT$1,$BT31,IF(BA$2=$BU$1,$BU31,INDEX(Tiere!$BN$2:$BN$145,_xlfn.AGGREGATE(15,6,(ROW(Tiere!$BN$2:$BN$145)-1)/(--(SEARCH(BA$2,Tiere!$BN$2:$BN$145)&gt;0)),ROW()-1),1))))))))),"")</f>
        <v/>
      </c>
      <c r="BA32" s="2436"/>
      <c r="BB32" s="2472" t="str">
        <f>IFERROR(IF(OR(BC$2="ZURÜCK ZUR AUSWAHL",BC$2="",BC$2=0),"",IF(BC$2=$BO$1,$BO31,IF(BC$2=$BP$1,"ZURÜCK ZUR AUSWAHL",IF(BC$2=$BQ$1,$BQ31,IF(BC$2=$BR$1,$BR31,IF(BC$2=$BS$1,$BS31,IF(BC$2=$BT$1,$BT31,IF(BC$2=$BU$1,$BU31,INDEX(Tiere!$BN$2:$BN$145,_xlfn.AGGREGATE(15,6,(ROW(Tiere!$BN$2:$BN$145)-1)/(--(SEARCH(BC$2,Tiere!$BN$2:$BN$145)&gt;0)),ROW()-1),1))))))))),"")</f>
        <v/>
      </c>
      <c r="BC32" s="2436"/>
      <c r="BD32" s="2472" t="str">
        <f>IFERROR(IF(OR(BE$2="ZURÜCK ZUR AUSWAHL",BE$2="",BE$2=0),"",IF(BE$2=$BO$1,$BO31,IF(BE$2=$BP$1,"ZURÜCK ZUR AUSWAHL",IF(BE$2=$BQ$1,$BQ31,IF(BE$2=$BR$1,$BR31,IF(BE$2=$BS$1,$BS31,IF(BE$2=$BT$1,$BT31,IF(BE$2=$BU$1,$BU31,INDEX(Tiere!$BN$2:$BN$145,_xlfn.AGGREGATE(15,6,(ROW(Tiere!$BN$2:$BN$145)-1)/(--(SEARCH(BE$2,Tiere!$BN$2:$BN$145)&gt;0)),ROW()-1),1))))))))),"")</f>
        <v/>
      </c>
      <c r="BE32" s="2436"/>
      <c r="BF32" s="2472" t="str">
        <f>IFERROR(IF(OR(BG$2="ZURÜCK ZUR AUSWAHL",BG$2="",BG$2=0),"",IF(BG$2=$BO$1,$BO31,IF(BG$2=$BP$1,"ZURÜCK ZUR AUSWAHL",IF(BG$2=$BQ$1,$BQ31,IF(BG$2=$BR$1,$BR31,IF(BG$2=$BS$1,$BS31,IF(BG$2=$BT$1,$BT31,IF(BG$2=$BU$1,$BU31,INDEX(Tiere!$BN$2:$BN$145,_xlfn.AGGREGATE(15,6,(ROW(Tiere!$BN$2:$BN$145)-1)/(--(SEARCH(BG$2,Tiere!$BN$2:$BN$145)&gt;0)),ROW()-1),1))))))))),"")</f>
        <v/>
      </c>
      <c r="BG32" s="2436"/>
      <c r="BH32" s="2472" t="str">
        <f>IFERROR(IF(OR(BI$2="ZURÜCK ZUR AUSWAHL",BI$2="",BI$2=0),"",IF(BI$2=$BO$1,$BO31,IF(BI$2=$BP$1,"ZURÜCK ZUR AUSWAHL",IF(BI$2=$BQ$1,$BQ31,IF(BI$2=$BR$1,$BR31,IF(BI$2=$BS$1,$BS31,IF(BI$2=$BT$1,$BT31,IF(BI$2=$BU$1,$BU31,INDEX(Tiere!$BN$2:$BN$145,_xlfn.AGGREGATE(15,6,(ROW(Tiere!$BN$2:$BN$145)-1)/(--(SEARCH(BI$2,Tiere!$BN$2:$BN$145)&gt;0)),ROW()-1),1))))))))),"")</f>
        <v/>
      </c>
      <c r="BI32" s="2436"/>
      <c r="BJ32" s="2472" t="str">
        <f>IFERROR(IF(OR(BK$2="ZURÜCK ZUR AUSWAHL",BK$2="",BK$2=0),"",IF(BK$2=$BO$1,$BO31,IF(BK$2=$BP$1,"ZURÜCK ZUR AUSWAHL",IF(BK$2=$BQ$1,$BQ31,IF(BK$2=$BR$1,$BR31,IF(BK$2=$BS$1,$BS31,IF(BK$2=$BT$1,$BT31,IF(BK$2=$BU$1,$BU31,INDEX(Tiere!$BN$2:$BN$145,_xlfn.AGGREGATE(15,6,(ROW(Tiere!$BN$2:$BN$145)-1)/(--(SEARCH(BK$2,Tiere!$BN$2:$BN$145)&gt;0)),ROW()-1),1))))))))),"")</f>
        <v/>
      </c>
      <c r="BK32" s="2436"/>
      <c r="BL32" s="2472" t="str">
        <f>IFERROR(IF(OR(BM$2="ZURÜCK ZUR AUSWAHL",BM$2="",BM$2=0),"",IF(BM$2=$BO$1,$BO31,IF(BM$2=$BP$1,"ZURÜCK ZUR AUSWAHL",IF(BM$2=$BQ$1,$BQ31,IF(BM$2=$BR$1,$BR31,IF(BM$2=$BS$1,$BS31,IF(BM$2=$BT$1,$BT31,IF(BM$2=$BU$1,$BU31,INDEX(Tiere!$BN$2:$BN$145,_xlfn.AGGREGATE(15,6,(ROW(Tiere!$BN$2:$BN$145)-1)/(--(SEARCH(BM$2,Tiere!$BN$2:$BN$145)&gt;0)),ROW()-1),1))))))))),"")</f>
        <v/>
      </c>
      <c r="BM32" s="2436"/>
      <c r="BN32" s="2478" t="s">
        <v>1127</v>
      </c>
      <c r="BO32" s="2518" t="s">
        <v>1127</v>
      </c>
      <c r="BP32" s="2520"/>
      <c r="BQ32" s="2470"/>
      <c r="BR32" s="2470"/>
      <c r="BS32" s="2470"/>
      <c r="BT32" s="2470"/>
      <c r="BU32" s="2518" t="s">
        <v>1314</v>
      </c>
    </row>
    <row r="33" spans="1:73" ht="20.25" customHeight="1" thickBot="1">
      <c r="A33" s="540"/>
      <c r="B33" s="2704" t="s">
        <v>1023</v>
      </c>
      <c r="C33" s="2704"/>
      <c r="D33" s="2704"/>
      <c r="E33" s="1810">
        <f>Tabelle1!AX56</f>
        <v>0</v>
      </c>
      <c r="F33" s="1811" t="s">
        <v>1441</v>
      </c>
      <c r="G33" s="1807">
        <f>IF(Betrieb!D$18=0,0,E33/Betrieb!D$18)</f>
        <v>0</v>
      </c>
      <c r="H33" s="2705" t="str">
        <f>IF(G33=0,"LN-Angaben fehlen!",IF(AND(Betrieb!$D$18&gt;0,Tiere!G33&lt;=170),"170 kg aus WD ok!",IF(AND(Betrieb!$D$18&lt;0,Tiere!G33&gt;170),"Zuviel Wirtschaftsdünger!",)))</f>
        <v>LN-Angaben fehlen!</v>
      </c>
      <c r="I33" s="2705"/>
      <c r="J33" s="2705"/>
      <c r="K33" s="2705"/>
      <c r="L33" s="539"/>
      <c r="M33" s="2708"/>
      <c r="N33" s="2708"/>
      <c r="O33" s="2708"/>
      <c r="P33" s="2709"/>
      <c r="Q33" s="2696"/>
      <c r="R33" s="2696"/>
      <c r="S33" s="2696"/>
      <c r="T33" s="2707"/>
      <c r="U33" s="2696"/>
      <c r="V33" s="2703"/>
      <c r="W33" s="2703"/>
      <c r="X33" s="2703"/>
      <c r="Y33" s="535"/>
      <c r="AJ33" s="2472" t="str">
        <f>IFERROR(IF(OR(AK$2="ZURÜCK ZUR AUSWAHL",AK$2="",AK$2=0),"",IF(AK$2=$BO$1,$BO32,IF(AK$2=$BP$1,"",IF(AK$2=$BQ$1,$BQ32,IF(AK$2=$BR$1,$BR32,IF(AK$2=$BS$1,$BS32,IF(AK$2=$BT$1,$BT32,IF(AK$2=$BU$1,$BU32,INDEX(Tiere!$BN$2:$BN$145,_xlfn.AGGREGATE(15,6,(ROW(Tiere!$BN$2:$BN$145)-1)/(--(SEARCH(AK$2,Tiere!$BN$2:$BN$145)&gt;0)),ROW()-2),1))))))))),"")</f>
        <v/>
      </c>
      <c r="AK33" s="2438"/>
      <c r="AL33" s="2472" t="str">
        <f>IFERROR(IF(OR(AM$2="ZURÜCK ZUR AUSWAHL",AM$2="",AM$2=0),"",IF(AM$2=$BO$1,$BO32,IF(AM$2=$BP$1,$BP32,IF(AM$2=$BQ$1,$BQ32,IF(AM$2=$BR$1,$BR32,IF(AM$2=$BS$1,$BS32,IF(AM$2=$BT$1,$BT32,IF(AM$2=$BU$1,$BU32,INDEX(Tiere!$BN$2:$BN$145,_xlfn.AGGREGATE(15,6,(ROW(Tiere!$BN$2:$BN$145)-1)/(--(SEARCH(AM$2,Tiere!$BN$2:$BN$145)&gt;0)),ROW()-1),1))))))))),"")</f>
        <v/>
      </c>
      <c r="AM33" s="2438"/>
      <c r="AN33" s="2472" t="str">
        <f>IFERROR(IF(OR(AO$2="ZURÜCK ZUR AUSWAHL",AO$2="",AO$2=0),"",IF(AO$2=$BO$1,$BO32,IF(AO$2=$BP$1,$BP32,IF(AO$2=$BQ$1,$BQ32,IF(AO$2=$BR$1,$BR32,IF(AO$2=$BS$1,$BS32,IF(AO$2=$BT$1,$BT32,IF(AO$2=$BU$1,$BU32,INDEX(Tiere!$BN$2:$BN$145,_xlfn.AGGREGATE(15,6,(ROW(Tiere!$BN$2:$BN$145)-1)/(--(SEARCH(AO$2,Tiere!$BN$2:$BN$145)&gt;0)),ROW()-1),1))))))))),"")</f>
        <v/>
      </c>
      <c r="AO33" s="2438"/>
      <c r="AP33" s="2472" t="str">
        <f>IFERROR(IF(OR(AQ$2="ZURÜCK ZUR AUSWAHL",AQ$2="",AQ$2=0),"",IF(AQ$2=$BO$1,$BO32,IF(AQ$2=$BP$1,$BP32,IF(AQ$2=$BQ$1,$BQ32,IF(AQ$2=$BR$1,$BR32,IF(AQ$2=$BS$1,$BS32,IF(AQ$2=$BT$1,$BT32,IF(AQ$2=$BU$1,$BU32,INDEX(Tiere!$BN$2:$BN$145,_xlfn.AGGREGATE(15,6,(ROW(Tiere!$BN$2:$BN$145)-1)/(--(SEARCH(AQ$2,Tiere!$BN$2:$BN$145)&gt;0)),ROW()-1),1))))))))),"")</f>
        <v/>
      </c>
      <c r="AQ33" s="2438"/>
      <c r="AR33" s="2472" t="str">
        <f>IFERROR(IF(OR(AS$2="ZURÜCK ZUR AUSWAHL",AS$2="",AS$2=0),"",IF(AS$2=$BO$1,$BO32,IF(AS$2=$BP$1,$BP32,IF(AS$2=$BQ$1,$BQ32,IF(AS$2=$BR$1,$BR32,IF(AS$2=$BS$1,$BS32,IF(AS$2=$BT$1,$BT32,IF(AS$2=$BU$1,$BU32,INDEX(Tiere!$BN$2:$BN$145,_xlfn.AGGREGATE(15,6,(ROW(Tiere!$BN$2:$BN$145)-1)/(--(SEARCH(AS$2,Tiere!$BN$2:$BN$145)&gt;0)),ROW()-1),1))))))))),"")</f>
        <v/>
      </c>
      <c r="AS33" s="2438"/>
      <c r="AT33" s="2472" t="str">
        <f>IFERROR(IF(OR(AU$2="ZURÜCK ZUR AUSWAHL",AU$2="",AU$2=0),"",IF(AU$2=$BO$1,$BO32,IF(AU$2=$BP$1,$BP32,IF(AU$2=$BQ$1,$BQ32,IF(AU$2=$BR$1,$BR32,IF(AU$2=$BS$1,$BS32,IF(AU$2=$BT$1,$BT32,IF(AU$2=$BU$1,$BU32,INDEX(Tiere!$BN$2:$BN$145,_xlfn.AGGREGATE(15,6,(ROW(Tiere!$BN$2:$BN$145)-1)/(--(SEARCH(AU$2,Tiere!$BN$2:$BN$145)&gt;0)),ROW()-1),1))))))))),"")</f>
        <v/>
      </c>
      <c r="AU33" s="2438"/>
      <c r="AV33" s="2472" t="str">
        <f>IFERROR(IF(OR(AW$2="ZURÜCK ZUR AUSWAHL",AW$2="",AW$2=0),"",IF(AW$2=$BO$1,$BO32,IF(AW$2=$BP$1,$BP32,IF(AW$2=$BQ$1,$BQ32,IF(AW$2=$BR$1,$BR32,IF(AW$2=$BS$1,$BS32,IF(AW$2=$BT$1,$BT32,IF(AW$2=$BU$1,$BU32,INDEX(Tiere!$BN$2:$BN$145,_xlfn.AGGREGATE(15,6,(ROW(Tiere!$BN$2:$BN$145)-1)/(--(SEARCH(AW$2,Tiere!$BN$2:$BN$145)&gt;0)),ROW()-1),1))))))))),"")</f>
        <v/>
      </c>
      <c r="AW33" s="2438"/>
      <c r="AX33" s="2472" t="str">
        <f>IFERROR(IF(OR(AY$2="ZURÜCK ZUR AUSWAHL",AY$2="",AY$2=0),"",IF(AY$2=$BO$1,$BO32,IF(AY$2=$BP$1,$BP32,IF(AY$2=$BQ$1,$BQ32,IF(AY$2=$BR$1,$BR32,IF(AY$2=$BS$1,$BS32,IF(AY$2=$BT$1,$BT32,IF(AY$2=$BU$1,$BU32,INDEX(Tiere!$BN$2:$BN$145,_xlfn.AGGREGATE(15,6,(ROW(Tiere!$BN$2:$BN$145)-1)/(--(SEARCH(AY$2,Tiere!$BN$2:$BN$145)&gt;0)),ROW()-1),1))))))))),"")</f>
        <v/>
      </c>
      <c r="AY33" s="2438"/>
      <c r="AZ33" s="2472" t="str">
        <f>IFERROR(IF(OR(BA$2="ZURÜCK ZUR AUSWAHL",BA$2="",BA$2=0),"",IF(BA$2=$BO$1,$BO32,IF(BA$2=$BP$1,$BP32,IF(BA$2=$BQ$1,$BQ32,IF(BA$2=$BR$1,$BR32,IF(BA$2=$BS$1,$BS32,IF(BA$2=$BT$1,$BT32,IF(BA$2=$BU$1,$BU32,INDEX(Tiere!$BN$2:$BN$145,_xlfn.AGGREGATE(15,6,(ROW(Tiere!$BN$2:$BN$145)-1)/(--(SEARCH(BA$2,Tiere!$BN$2:$BN$145)&gt;0)),ROW()-1),1))))))))),"")</f>
        <v/>
      </c>
      <c r="BA33" s="2438"/>
      <c r="BB33" s="2472" t="str">
        <f>IFERROR(IF(OR(BC$2="ZURÜCK ZUR AUSWAHL",BC$2="",BC$2=0),"",IF(BC$2=$BO$1,$BO32,IF(BC$2=$BP$1,$BP32,IF(BC$2=$BQ$1,$BQ32,IF(BC$2=$BR$1,$BR32,IF(BC$2=$BS$1,$BS32,IF(BC$2=$BT$1,$BT32,IF(BC$2=$BU$1,$BU32,INDEX(Tiere!$BN$2:$BN$145,_xlfn.AGGREGATE(15,6,(ROW(Tiere!$BN$2:$BN$145)-1)/(--(SEARCH(BC$2,Tiere!$BN$2:$BN$145)&gt;0)),ROW()-1),1))))))))),"")</f>
        <v/>
      </c>
      <c r="BC33" s="2438"/>
      <c r="BD33" s="2472" t="str">
        <f>IFERROR(IF(OR(BE$2="ZURÜCK ZUR AUSWAHL",BE$2="",BE$2=0),"",IF(BE$2=$BO$1,$BO32,IF(BE$2=$BP$1,$BP32,IF(BE$2=$BQ$1,$BQ32,IF(BE$2=$BR$1,$BR32,IF(BE$2=$BS$1,$BS32,IF(BE$2=$BT$1,$BT32,IF(BE$2=$BU$1,$BU32,INDEX(Tiere!$BN$2:$BN$145,_xlfn.AGGREGATE(15,6,(ROW(Tiere!$BN$2:$BN$145)-1)/(--(SEARCH(BE$2,Tiere!$BN$2:$BN$145)&gt;0)),ROW()-1),1))))))))),"")</f>
        <v/>
      </c>
      <c r="BE33" s="2438"/>
      <c r="BF33" s="2472" t="str">
        <f>IFERROR(IF(OR(BG$2="ZURÜCK ZUR AUSWAHL",BG$2="",BG$2=0),"",IF(BG$2=$BO$1,$BO32,IF(BG$2=$BP$1,$BP32,IF(BG$2=$BQ$1,$BQ32,IF(BG$2=$BR$1,$BR32,IF(BG$2=$BS$1,$BS32,IF(BG$2=$BT$1,$BT32,IF(BG$2=$BU$1,$BU32,INDEX(Tiere!$BN$2:$BN$145,_xlfn.AGGREGATE(15,6,(ROW(Tiere!$BN$2:$BN$145)-1)/(--(SEARCH(BG$2,Tiere!$BN$2:$BN$145)&gt;0)),ROW()-1),1))))))))),"")</f>
        <v/>
      </c>
      <c r="BG33" s="2438"/>
      <c r="BH33" s="2472" t="str">
        <f>IFERROR(IF(OR(BI$2="ZURÜCK ZUR AUSWAHL",BI$2="",BI$2=0),"",IF(BI$2=$BO$1,$BO32,IF(BI$2=$BP$1,$BP32,IF(BI$2=$BQ$1,$BQ32,IF(BI$2=$BR$1,$BR32,IF(BI$2=$BS$1,$BS32,IF(BI$2=$BT$1,$BT32,IF(BI$2=$BU$1,$BU32,INDEX(Tiere!$BN$2:$BN$145,_xlfn.AGGREGATE(15,6,(ROW(Tiere!$BN$2:$BN$145)-1)/(--(SEARCH(BI$2,Tiere!$BN$2:$BN$145)&gt;0)),ROW()-1),1))))))))),"")</f>
        <v/>
      </c>
      <c r="BI33" s="2438"/>
      <c r="BJ33" s="2472" t="str">
        <f>IFERROR(IF(OR(BK$2="ZURÜCK ZUR AUSWAHL",BK$2="",BK$2=0),"",IF(BK$2=$BO$1,$BO32,IF(BK$2=$BP$1,$BP32,IF(BK$2=$BQ$1,$BQ32,IF(BK$2=$BR$1,$BR32,IF(BK$2=$BS$1,$BS32,IF(BK$2=$BT$1,$BT32,IF(BK$2=$BU$1,$BU32,INDEX(Tiere!$BN$2:$BN$145,_xlfn.AGGREGATE(15,6,(ROW(Tiere!$BN$2:$BN$145)-1)/(--(SEARCH(BK$2,Tiere!$BN$2:$BN$145)&gt;0)),ROW()-1),1))))))))),"")</f>
        <v/>
      </c>
      <c r="BK33" s="2438"/>
      <c r="BL33" s="2472" t="str">
        <f>IFERROR(IF(OR(BM$2="ZURÜCK ZUR AUSWAHL",BM$2="",BM$2=0),"",IF(BM$2=$BO$1,$BO32,IF(BM$2=$BP$1,$BP32,IF(BM$2=$BQ$1,$BQ32,IF(BM$2=$BR$1,$BR32,IF(BM$2=$BS$1,$BS32,IF(BM$2=$BT$1,$BT32,IF(BM$2=$BU$1,$BU32,INDEX(Tiere!$BN$2:$BN$145,_xlfn.AGGREGATE(15,6,(ROW(Tiere!$BN$2:$BN$145)-1)/(--(SEARCH(BM$2,Tiere!$BN$2:$BN$145)&gt;0)),ROW()-1),1))))))))),"")</f>
        <v/>
      </c>
      <c r="BM33" s="2438"/>
      <c r="BN33" s="2478" t="s">
        <v>1130</v>
      </c>
      <c r="BO33" s="2518" t="s">
        <v>1130</v>
      </c>
      <c r="BP33" s="2470"/>
      <c r="BQ33" s="2470"/>
      <c r="BR33" s="2470"/>
      <c r="BS33" s="2470"/>
      <c r="BT33" s="2470"/>
      <c r="BU33" s="2518" t="s">
        <v>1315</v>
      </c>
    </row>
    <row r="34" spans="1:73" ht="23.25" customHeight="1" thickBot="1">
      <c r="A34" s="540"/>
      <c r="B34" s="2704" t="s">
        <v>1442</v>
      </c>
      <c r="C34" s="2704"/>
      <c r="D34" s="2704"/>
      <c r="E34" s="1812">
        <f>Tabelle1!AX69</f>
        <v>0</v>
      </c>
      <c r="F34" s="1811" t="s">
        <v>1441</v>
      </c>
      <c r="G34" s="1807">
        <f>IF(Betrieb!D$18=0,0,E34/Betrieb!D$18)</f>
        <v>0</v>
      </c>
      <c r="H34" s="2695" t="str">
        <f>Tabelle1!AN21</f>
        <v>Wasserrechtsgesetz eingehalten!</v>
      </c>
      <c r="I34" s="2695"/>
      <c r="J34" s="2695"/>
      <c r="K34" s="2695"/>
      <c r="L34" s="539"/>
      <c r="M34" s="1803"/>
      <c r="N34" s="1803"/>
      <c r="O34" s="1814" t="s">
        <v>829</v>
      </c>
      <c r="P34" s="1167"/>
      <c r="Q34" s="1815" t="s">
        <v>1443</v>
      </c>
      <c r="R34" s="2706" t="str">
        <f>"Mist-Stapelfläche    (bei "&amp;P35&amp;" m 
Stapelhöhe )"</f>
        <v>Mist-Stapelfläche    (bei 2 m 
Stapelhöhe )</v>
      </c>
      <c r="S34" s="2706"/>
      <c r="T34" s="2707">
        <f>U20/P35</f>
        <v>0</v>
      </c>
      <c r="U34" s="2696" t="s">
        <v>1444</v>
      </c>
      <c r="V34" s="2703" t="str">
        <f>IF(P34=0,"Fehlende Angaben!",IF((P34*P35)&gt;=U20,"Bestimmungen eingehalten","Achtung, Lagerraum für Mist zu gering!"))</f>
        <v>Fehlende Angaben!</v>
      </c>
      <c r="W34" s="2703"/>
      <c r="X34" s="2703"/>
      <c r="Y34" s="535"/>
      <c r="AJ34" s="2472" t="str">
        <f>IFERROR(IF(OR(AK$2="ZURÜCK ZUR AUSWAHL",AK$2="",AK$2=0),"",IF(AK$2=$BO$1,$BO33,IF(AK$2=$BP$1,"",IF(AK$2=$BQ$1,$BQ33,IF(AK$2=$BR$1,$BR33,IF(AK$2=$BS$1,$BS33,IF(AK$2=$BT$1,$BT33,IF(AK$2=$BU$1,$BU33,INDEX(Tiere!$BN$2:$BN$145,_xlfn.AGGREGATE(15,6,(ROW(Tiere!$BN$2:$BN$145)-1)/(--(SEARCH(AK$2,Tiere!$BN$2:$BN$145)&gt;0)),ROW()-2),1))))))))),"")</f>
        <v/>
      </c>
      <c r="AK34" s="2436"/>
      <c r="AL34" s="2472" t="str">
        <f>IFERROR(IF(OR(AM$2="ZURÜCK ZUR AUSWAHL",AM$2="",AM$2=0),"",IF(AM$2=$BO$1,$BO33,IF(AM$2=$BP$1,$BP33,IF(AM$2=$BQ$1,$BQ33,IF(AM$2=$BR$1,$BR33,IF(AM$2=$BS$1,$BS33,IF(AM$2=$BT$1,$BT33,IF(AM$2=$BU$1,$BU33,INDEX(Tiere!$BN$2:$BN$145,_xlfn.AGGREGATE(15,6,(ROW(Tiere!$BN$2:$BN$145)-1)/(--(SEARCH(AM$2,Tiere!$BN$2:$BN$145)&gt;0)),ROW()-1),1))))))))),"")</f>
        <v/>
      </c>
      <c r="AM34" s="2436"/>
      <c r="AN34" s="2472" t="str">
        <f>IFERROR(IF(OR(AO$2="ZURÜCK ZUR AUSWAHL",AO$2="",AO$2=0),"",IF(AO$2=$BO$1,$BO33,IF(AO$2=$BP$1,$BP33,IF(AO$2=$BQ$1,$BQ33,IF(AO$2=$BR$1,$BR33,IF(AO$2=$BS$1,$BS33,IF(AO$2=$BT$1,$BT33,IF(AO$2=$BU$1,$BU33,INDEX(Tiere!$BN$2:$BN$145,_xlfn.AGGREGATE(15,6,(ROW(Tiere!$BN$2:$BN$145)-1)/(--(SEARCH(AO$2,Tiere!$BN$2:$BN$145)&gt;0)),ROW()-1),1))))))))),"")</f>
        <v/>
      </c>
      <c r="AO34" s="2436"/>
      <c r="AP34" s="2472" t="str">
        <f>IFERROR(IF(OR(AQ$2="ZURÜCK ZUR AUSWAHL",AQ$2="",AQ$2=0),"",IF(AQ$2=$BO$1,$BO33,IF(AQ$2=$BP$1,$BP33,IF(AQ$2=$BQ$1,$BQ33,IF(AQ$2=$BR$1,$BR33,IF(AQ$2=$BS$1,$BS33,IF(AQ$2=$BT$1,$BT33,IF(AQ$2=$BU$1,$BU33,INDEX(Tiere!$BN$2:$BN$145,_xlfn.AGGREGATE(15,6,(ROW(Tiere!$BN$2:$BN$145)-1)/(--(SEARCH(AQ$2,Tiere!$BN$2:$BN$145)&gt;0)),ROW()-1),1))))))))),"")</f>
        <v/>
      </c>
      <c r="AQ34" s="2436"/>
      <c r="AR34" s="2472" t="str">
        <f>IFERROR(IF(OR(AS$2="ZURÜCK ZUR AUSWAHL",AS$2="",AS$2=0),"",IF(AS$2=$BO$1,$BO33,IF(AS$2=$BP$1,$BP33,IF(AS$2=$BQ$1,$BQ33,IF(AS$2=$BR$1,$BR33,IF(AS$2=$BS$1,$BS33,IF(AS$2=$BT$1,$BT33,IF(AS$2=$BU$1,$BU33,INDEX(Tiere!$BN$2:$BN$145,_xlfn.AGGREGATE(15,6,(ROW(Tiere!$BN$2:$BN$145)-1)/(--(SEARCH(AS$2,Tiere!$BN$2:$BN$145)&gt;0)),ROW()-1),1))))))))),"")</f>
        <v/>
      </c>
      <c r="AS34" s="2436"/>
      <c r="AT34" s="2472" t="str">
        <f>IFERROR(IF(OR(AU$2="ZURÜCK ZUR AUSWAHL",AU$2="",AU$2=0),"",IF(AU$2=$BO$1,$BO33,IF(AU$2=$BP$1,$BP33,IF(AU$2=$BQ$1,$BQ33,IF(AU$2=$BR$1,$BR33,IF(AU$2=$BS$1,$BS33,IF(AU$2=$BT$1,$BT33,IF(AU$2=$BU$1,$BU33,INDEX(Tiere!$BN$2:$BN$145,_xlfn.AGGREGATE(15,6,(ROW(Tiere!$BN$2:$BN$145)-1)/(--(SEARCH(AU$2,Tiere!$BN$2:$BN$145)&gt;0)),ROW()-1),1))))))))),"")</f>
        <v/>
      </c>
      <c r="AU34" s="2436"/>
      <c r="AV34" s="2472" t="str">
        <f>IFERROR(IF(OR(AW$2="ZURÜCK ZUR AUSWAHL",AW$2="",AW$2=0),"",IF(AW$2=$BO$1,$BO33,IF(AW$2=$BP$1,$BP33,IF(AW$2=$BQ$1,$BQ33,IF(AW$2=$BR$1,$BR33,IF(AW$2=$BS$1,$BS33,IF(AW$2=$BT$1,$BT33,IF(AW$2=$BU$1,$BU33,INDEX(Tiere!$BN$2:$BN$145,_xlfn.AGGREGATE(15,6,(ROW(Tiere!$BN$2:$BN$145)-1)/(--(SEARCH(AW$2,Tiere!$BN$2:$BN$145)&gt;0)),ROW()-1),1))))))))),"")</f>
        <v/>
      </c>
      <c r="AW34" s="2436"/>
      <c r="AX34" s="2472" t="str">
        <f>IFERROR(IF(OR(AY$2="ZURÜCK ZUR AUSWAHL",AY$2="",AY$2=0),"",IF(AY$2=$BO$1,$BO33,IF(AY$2=$BP$1,$BP33,IF(AY$2=$BQ$1,$BQ33,IF(AY$2=$BR$1,$BR33,IF(AY$2=$BS$1,$BS33,IF(AY$2=$BT$1,$BT33,IF(AY$2=$BU$1,$BU33,INDEX(Tiere!$BN$2:$BN$145,_xlfn.AGGREGATE(15,6,(ROW(Tiere!$BN$2:$BN$145)-1)/(--(SEARCH(AY$2,Tiere!$BN$2:$BN$145)&gt;0)),ROW()-1),1))))))))),"")</f>
        <v/>
      </c>
      <c r="AY34" s="2436"/>
      <c r="AZ34" s="2472" t="str">
        <f>IFERROR(IF(OR(BA$2="ZURÜCK ZUR AUSWAHL",BA$2="",BA$2=0),"",IF(BA$2=$BO$1,$BO33,IF(BA$2=$BP$1,$BP33,IF(BA$2=$BQ$1,$BQ33,IF(BA$2=$BR$1,$BR33,IF(BA$2=$BS$1,$BS33,IF(BA$2=$BT$1,$BT33,IF(BA$2=$BU$1,$BU33,INDEX(Tiere!$BN$2:$BN$145,_xlfn.AGGREGATE(15,6,(ROW(Tiere!$BN$2:$BN$145)-1)/(--(SEARCH(BA$2,Tiere!$BN$2:$BN$145)&gt;0)),ROW()-1),1))))))))),"")</f>
        <v/>
      </c>
      <c r="BA34" s="2436"/>
      <c r="BB34" s="2472" t="str">
        <f>IFERROR(IF(OR(BC$2="ZURÜCK ZUR AUSWAHL",BC$2="",BC$2=0),"",IF(BC$2=$BO$1,$BO33,IF(BC$2=$BP$1,$BP33,IF(BC$2=$BQ$1,$BQ33,IF(BC$2=$BR$1,$BR33,IF(BC$2=$BS$1,$BS33,IF(BC$2=$BT$1,$BT33,IF(BC$2=$BU$1,$BU33,INDEX(Tiere!$BN$2:$BN$145,_xlfn.AGGREGATE(15,6,(ROW(Tiere!$BN$2:$BN$145)-1)/(--(SEARCH(BC$2,Tiere!$BN$2:$BN$145)&gt;0)),ROW()-1),1))))))))),"")</f>
        <v/>
      </c>
      <c r="BC34" s="2436"/>
      <c r="BD34" s="2472" t="str">
        <f>IFERROR(IF(OR(BE$2="ZURÜCK ZUR AUSWAHL",BE$2="",BE$2=0),"",IF(BE$2=$BO$1,$BO33,IF(BE$2=$BP$1,$BP33,IF(BE$2=$BQ$1,$BQ33,IF(BE$2=$BR$1,$BR33,IF(BE$2=$BS$1,$BS33,IF(BE$2=$BT$1,$BT33,IF(BE$2=$BU$1,$BU33,INDEX(Tiere!$BN$2:$BN$145,_xlfn.AGGREGATE(15,6,(ROW(Tiere!$BN$2:$BN$145)-1)/(--(SEARCH(BE$2,Tiere!$BN$2:$BN$145)&gt;0)),ROW()-1),1))))))))),"")</f>
        <v/>
      </c>
      <c r="BE34" s="2436"/>
      <c r="BF34" s="2472" t="str">
        <f>IFERROR(IF(OR(BG$2="ZURÜCK ZUR AUSWAHL",BG$2="",BG$2=0),"",IF(BG$2=$BO$1,$BO33,IF(BG$2=$BP$1,$BP33,IF(BG$2=$BQ$1,$BQ33,IF(BG$2=$BR$1,$BR33,IF(BG$2=$BS$1,$BS33,IF(BG$2=$BT$1,$BT33,IF(BG$2=$BU$1,$BU33,INDEX(Tiere!$BN$2:$BN$145,_xlfn.AGGREGATE(15,6,(ROW(Tiere!$BN$2:$BN$145)-1)/(--(SEARCH(BG$2,Tiere!$BN$2:$BN$145)&gt;0)),ROW()-1),1))))))))),"")</f>
        <v/>
      </c>
      <c r="BG34" s="2436"/>
      <c r="BH34" s="2472" t="str">
        <f>IFERROR(IF(OR(BI$2="ZURÜCK ZUR AUSWAHL",BI$2="",BI$2=0),"",IF(BI$2=$BO$1,$BO33,IF(BI$2=$BP$1,$BP33,IF(BI$2=$BQ$1,$BQ33,IF(BI$2=$BR$1,$BR33,IF(BI$2=$BS$1,$BS33,IF(BI$2=$BT$1,$BT33,IF(BI$2=$BU$1,$BU33,INDEX(Tiere!$BN$2:$BN$145,_xlfn.AGGREGATE(15,6,(ROW(Tiere!$BN$2:$BN$145)-1)/(--(SEARCH(BI$2,Tiere!$BN$2:$BN$145)&gt;0)),ROW()-1),1))))))))),"")</f>
        <v/>
      </c>
      <c r="BI34" s="2436"/>
      <c r="BJ34" s="2472" t="str">
        <f>IFERROR(IF(OR(BK$2="ZURÜCK ZUR AUSWAHL",BK$2="",BK$2=0),"",IF(BK$2=$BO$1,$BO33,IF(BK$2=$BP$1,$BP33,IF(BK$2=$BQ$1,$BQ33,IF(BK$2=$BR$1,$BR33,IF(BK$2=$BS$1,$BS33,IF(BK$2=$BT$1,$BT33,IF(BK$2=$BU$1,$BU33,INDEX(Tiere!$BN$2:$BN$145,_xlfn.AGGREGATE(15,6,(ROW(Tiere!$BN$2:$BN$145)-1)/(--(SEARCH(BK$2,Tiere!$BN$2:$BN$145)&gt;0)),ROW()-1),1))))))))),"")</f>
        <v/>
      </c>
      <c r="BK34" s="2436"/>
      <c r="BL34" s="2472" t="str">
        <f>IFERROR(IF(OR(BM$2="ZURÜCK ZUR AUSWAHL",BM$2="",BM$2=0),"",IF(BM$2=$BO$1,$BO33,IF(BM$2=$BP$1,$BP33,IF(BM$2=$BQ$1,$BQ33,IF(BM$2=$BR$1,$BR33,IF(BM$2=$BS$1,$BS33,IF(BM$2=$BT$1,$BT33,IF(BM$2=$BU$1,$BU33,INDEX(Tiere!$BN$2:$BN$145,_xlfn.AGGREGATE(15,6,(ROW(Tiere!$BN$2:$BN$145)-1)/(--(SEARCH(BM$2,Tiere!$BN$2:$BN$145)&gt;0)),ROW()-1),1))))))))),"")</f>
        <v/>
      </c>
      <c r="BM34" s="2436"/>
      <c r="BN34" s="2478" t="s">
        <v>1132</v>
      </c>
      <c r="BO34" s="2518" t="s">
        <v>1132</v>
      </c>
      <c r="BP34" s="2470"/>
      <c r="BQ34" s="2470"/>
      <c r="BR34" s="2470"/>
      <c r="BS34" s="2470"/>
      <c r="BT34" s="2470"/>
      <c r="BU34" s="2518" t="s">
        <v>1316</v>
      </c>
    </row>
    <row r="35" spans="1:73" ht="20.25" customHeight="1" thickTop="1" thickBot="1">
      <c r="A35" s="541"/>
      <c r="B35" s="2704" t="s">
        <v>1445</v>
      </c>
      <c r="C35" s="2704"/>
      <c r="D35" s="2704"/>
      <c r="E35" s="1812">
        <f>N_Bedarf!J29</f>
        <v>0</v>
      </c>
      <c r="F35" s="1813"/>
      <c r="G35" s="2702" t="str">
        <f>N_Bedarf!C29</f>
        <v>Der N-Saldo ist ok!</v>
      </c>
      <c r="H35" s="2702"/>
      <c r="I35" s="2702"/>
      <c r="J35" s="2702"/>
      <c r="K35" s="2702"/>
      <c r="L35" s="539"/>
      <c r="M35" s="1803"/>
      <c r="N35" s="1803"/>
      <c r="O35" s="1814" t="s">
        <v>828</v>
      </c>
      <c r="P35" s="1167">
        <v>2</v>
      </c>
      <c r="Q35" s="1815" t="s">
        <v>1446</v>
      </c>
      <c r="R35" s="2706"/>
      <c r="S35" s="2706"/>
      <c r="T35" s="2707"/>
      <c r="U35" s="2696"/>
      <c r="V35" s="2703"/>
      <c r="W35" s="2703"/>
      <c r="X35" s="2703"/>
      <c r="Y35" s="535"/>
      <c r="AJ35" s="2472" t="str">
        <f>IFERROR(IF(OR(AK$2="ZURÜCK ZUR AUSWAHL",AK$2="",AK$2=0),"",IF(AK$2=$BO$1,$BO34,IF(AK$2=$BP$1,"",IF(AK$2=$BQ$1,$BQ34,IF(AK$2=$BR$1,$BR34,IF(AK$2=$BS$1,$BS34,IF(AK$2=$BT$1,$BT34,IF(AK$2=$BU$1,$BU34,INDEX(Tiere!$BN$2:$BN$145,_xlfn.AGGREGATE(15,6,(ROW(Tiere!$BN$2:$BN$145)-1)/(--(SEARCH(AK$2,Tiere!$BN$2:$BN$145)&gt;0)),ROW()-2),1))))))))),"")</f>
        <v/>
      </c>
      <c r="AK35" s="2438"/>
      <c r="AL35" s="2472" t="str">
        <f>IFERROR(IF(OR(AM$2="ZURÜCK ZUR AUSWAHL",AM$2="",AM$2=0),"",IF(AM$2=$BO$1,$BO34,IF(AM$2=$BP$1,$BP34,IF(AM$2=$BQ$1,$BQ34,IF(AM$2=$BR$1,$BR34,IF(AM$2=$BS$1,$BS34,IF(AM$2=$BT$1,$BT34,IF(AM$2=$BU$1,$BU34,INDEX(Tiere!$BN$2:$BN$145,_xlfn.AGGREGATE(15,6,(ROW(Tiere!$BN$2:$BN$145)-1)/(--(SEARCH(AM$2,Tiere!$BN$2:$BN$145)&gt;0)),ROW()-1),1))))))))),"")</f>
        <v/>
      </c>
      <c r="AM35" s="2438"/>
      <c r="AN35" s="2472" t="str">
        <f>IFERROR(IF(OR(AO$2="ZURÜCK ZUR AUSWAHL",AO$2="",AO$2=0),"",IF(AO$2=$BO$1,$BO34,IF(AO$2=$BP$1,$BP34,IF(AO$2=$BQ$1,$BQ34,IF(AO$2=$BR$1,$BR34,IF(AO$2=$BS$1,$BS34,IF(AO$2=$BT$1,$BT34,IF(AO$2=$BU$1,$BU34,INDEX(Tiere!$BN$2:$BN$145,_xlfn.AGGREGATE(15,6,(ROW(Tiere!$BN$2:$BN$145)-1)/(--(SEARCH(AO$2,Tiere!$BN$2:$BN$145)&gt;0)),ROW()-1),1))))))))),"")</f>
        <v/>
      </c>
      <c r="AO35" s="2438"/>
      <c r="AP35" s="2472" t="str">
        <f>IFERROR(IF(OR(AQ$2="ZURÜCK ZUR AUSWAHL",AQ$2="",AQ$2=0),"",IF(AQ$2=$BO$1,$BO34,IF(AQ$2=$BP$1,$BP34,IF(AQ$2=$BQ$1,$BQ34,IF(AQ$2=$BR$1,$BR34,IF(AQ$2=$BS$1,$BS34,IF(AQ$2=$BT$1,$BT34,IF(AQ$2=$BU$1,$BU34,INDEX(Tiere!$BN$2:$BN$145,_xlfn.AGGREGATE(15,6,(ROW(Tiere!$BN$2:$BN$145)-1)/(--(SEARCH(AQ$2,Tiere!$BN$2:$BN$145)&gt;0)),ROW()-1),1))))))))),"")</f>
        <v/>
      </c>
      <c r="AQ35" s="2438"/>
      <c r="AR35" s="2472" t="str">
        <f>IFERROR(IF(OR(AS$2="ZURÜCK ZUR AUSWAHL",AS$2="",AS$2=0),"",IF(AS$2=$BO$1,$BO34,IF(AS$2=$BP$1,$BP34,IF(AS$2=$BQ$1,$BQ34,IF(AS$2=$BR$1,$BR34,IF(AS$2=$BS$1,$BS34,IF(AS$2=$BT$1,$BT34,IF(AS$2=$BU$1,$BU34,INDEX(Tiere!$BN$2:$BN$145,_xlfn.AGGREGATE(15,6,(ROW(Tiere!$BN$2:$BN$145)-1)/(--(SEARCH(AS$2,Tiere!$BN$2:$BN$145)&gt;0)),ROW()-1),1))))))))),"")</f>
        <v/>
      </c>
      <c r="AS35" s="2438"/>
      <c r="AT35" s="2472" t="str">
        <f>IFERROR(IF(OR(AU$2="ZURÜCK ZUR AUSWAHL",AU$2="",AU$2=0),"",IF(AU$2=$BO$1,$BO34,IF(AU$2=$BP$1,$BP34,IF(AU$2=$BQ$1,$BQ34,IF(AU$2=$BR$1,$BR34,IF(AU$2=$BS$1,$BS34,IF(AU$2=$BT$1,$BT34,IF(AU$2=$BU$1,$BU34,INDEX(Tiere!$BN$2:$BN$145,_xlfn.AGGREGATE(15,6,(ROW(Tiere!$BN$2:$BN$145)-1)/(--(SEARCH(AU$2,Tiere!$BN$2:$BN$145)&gt;0)),ROW()-1),1))))))))),"")</f>
        <v/>
      </c>
      <c r="AU35" s="2438"/>
      <c r="AV35" s="2472" t="str">
        <f>IFERROR(IF(OR(AW$2="ZURÜCK ZUR AUSWAHL",AW$2="",AW$2=0),"",IF(AW$2=$BO$1,$BO34,IF(AW$2=$BP$1,$BP34,IF(AW$2=$BQ$1,$BQ34,IF(AW$2=$BR$1,$BR34,IF(AW$2=$BS$1,$BS34,IF(AW$2=$BT$1,$BT34,IF(AW$2=$BU$1,$BU34,INDEX(Tiere!$BN$2:$BN$145,_xlfn.AGGREGATE(15,6,(ROW(Tiere!$BN$2:$BN$145)-1)/(--(SEARCH(AW$2,Tiere!$BN$2:$BN$145)&gt;0)),ROW()-1),1))))))))),"")</f>
        <v/>
      </c>
      <c r="AW35" s="2438"/>
      <c r="AX35" s="2472" t="str">
        <f>IFERROR(IF(OR(AY$2="ZURÜCK ZUR AUSWAHL",AY$2="",AY$2=0),"",IF(AY$2=$BO$1,$BO34,IF(AY$2=$BP$1,$BP34,IF(AY$2=$BQ$1,$BQ34,IF(AY$2=$BR$1,$BR34,IF(AY$2=$BS$1,$BS34,IF(AY$2=$BT$1,$BT34,IF(AY$2=$BU$1,$BU34,INDEX(Tiere!$BN$2:$BN$145,_xlfn.AGGREGATE(15,6,(ROW(Tiere!$BN$2:$BN$145)-1)/(--(SEARCH(AY$2,Tiere!$BN$2:$BN$145)&gt;0)),ROW()-1),1))))))))),"")</f>
        <v/>
      </c>
      <c r="AY35" s="2438"/>
      <c r="AZ35" s="2472" t="str">
        <f>IFERROR(IF(OR(BA$2="ZURÜCK ZUR AUSWAHL",BA$2="",BA$2=0),"",IF(BA$2=$BO$1,$BO34,IF(BA$2=$BP$1,$BP34,IF(BA$2=$BQ$1,$BQ34,IF(BA$2=$BR$1,$BR34,IF(BA$2=$BS$1,$BS34,IF(BA$2=$BT$1,$BT34,IF(BA$2=$BU$1,$BU34,INDEX(Tiere!$BN$2:$BN$145,_xlfn.AGGREGATE(15,6,(ROW(Tiere!$BN$2:$BN$145)-1)/(--(SEARCH(BA$2,Tiere!$BN$2:$BN$145)&gt;0)),ROW()-1),1))))))))),"")</f>
        <v/>
      </c>
      <c r="BA35" s="2438"/>
      <c r="BB35" s="2472" t="str">
        <f>IFERROR(IF(OR(BC$2="ZURÜCK ZUR AUSWAHL",BC$2="",BC$2=0),"",IF(BC$2=$BO$1,$BO34,IF(BC$2=$BP$1,$BP34,IF(BC$2=$BQ$1,$BQ34,IF(BC$2=$BR$1,$BR34,IF(BC$2=$BS$1,$BS34,IF(BC$2=$BT$1,$BT34,IF(BC$2=$BU$1,$BU34,INDEX(Tiere!$BN$2:$BN$145,_xlfn.AGGREGATE(15,6,(ROW(Tiere!$BN$2:$BN$145)-1)/(--(SEARCH(BC$2,Tiere!$BN$2:$BN$145)&gt;0)),ROW()-1),1))))))))),"")</f>
        <v/>
      </c>
      <c r="BC35" s="2438"/>
      <c r="BD35" s="2472" t="str">
        <f>IFERROR(IF(OR(BE$2="ZURÜCK ZUR AUSWAHL",BE$2="",BE$2=0),"",IF(BE$2=$BO$1,$BO34,IF(BE$2=$BP$1,$BP34,IF(BE$2=$BQ$1,$BQ34,IF(BE$2=$BR$1,$BR34,IF(BE$2=$BS$1,$BS34,IF(BE$2=$BT$1,$BT34,IF(BE$2=$BU$1,$BU34,INDEX(Tiere!$BN$2:$BN$145,_xlfn.AGGREGATE(15,6,(ROW(Tiere!$BN$2:$BN$145)-1)/(--(SEARCH(BE$2,Tiere!$BN$2:$BN$145)&gt;0)),ROW()-1),1))))))))),"")</f>
        <v/>
      </c>
      <c r="BE35" s="2438"/>
      <c r="BF35" s="2472" t="str">
        <f>IFERROR(IF(OR(BG$2="ZURÜCK ZUR AUSWAHL",BG$2="",BG$2=0),"",IF(BG$2=$BO$1,$BO34,IF(BG$2=$BP$1,$BP34,IF(BG$2=$BQ$1,$BQ34,IF(BG$2=$BR$1,$BR34,IF(BG$2=$BS$1,$BS34,IF(BG$2=$BT$1,$BT34,IF(BG$2=$BU$1,$BU34,INDEX(Tiere!$BN$2:$BN$145,_xlfn.AGGREGATE(15,6,(ROW(Tiere!$BN$2:$BN$145)-1)/(--(SEARCH(BG$2,Tiere!$BN$2:$BN$145)&gt;0)),ROW()-1),1))))))))),"")</f>
        <v/>
      </c>
      <c r="BG35" s="2438"/>
      <c r="BH35" s="2472" t="str">
        <f>IFERROR(IF(OR(BI$2="ZURÜCK ZUR AUSWAHL",BI$2="",BI$2=0),"",IF(BI$2=$BO$1,$BO34,IF(BI$2=$BP$1,$BP34,IF(BI$2=$BQ$1,$BQ34,IF(BI$2=$BR$1,$BR34,IF(BI$2=$BS$1,$BS34,IF(BI$2=$BT$1,$BT34,IF(BI$2=$BU$1,$BU34,INDEX(Tiere!$BN$2:$BN$145,_xlfn.AGGREGATE(15,6,(ROW(Tiere!$BN$2:$BN$145)-1)/(--(SEARCH(BI$2,Tiere!$BN$2:$BN$145)&gt;0)),ROW()-1),1))))))))),"")</f>
        <v/>
      </c>
      <c r="BI35" s="2438"/>
      <c r="BJ35" s="2472" t="str">
        <f>IFERROR(IF(OR(BK$2="ZURÜCK ZUR AUSWAHL",BK$2="",BK$2=0),"",IF(BK$2=$BO$1,$BO34,IF(BK$2=$BP$1,$BP34,IF(BK$2=$BQ$1,$BQ34,IF(BK$2=$BR$1,$BR34,IF(BK$2=$BS$1,$BS34,IF(BK$2=$BT$1,$BT34,IF(BK$2=$BU$1,$BU34,INDEX(Tiere!$BN$2:$BN$145,_xlfn.AGGREGATE(15,6,(ROW(Tiere!$BN$2:$BN$145)-1)/(--(SEARCH(BK$2,Tiere!$BN$2:$BN$145)&gt;0)),ROW()-1),1))))))))),"")</f>
        <v/>
      </c>
      <c r="BK35" s="2438"/>
      <c r="BL35" s="2472" t="str">
        <f>IFERROR(IF(OR(BM$2="ZURÜCK ZUR AUSWAHL",BM$2="",BM$2=0),"",IF(BM$2=$BO$1,$BO34,IF(BM$2=$BP$1,$BP34,IF(BM$2=$BQ$1,$BQ34,IF(BM$2=$BR$1,$BR34,IF(BM$2=$BS$1,$BS34,IF(BM$2=$BT$1,$BT34,IF(BM$2=$BU$1,$BU34,INDEX(Tiere!$BN$2:$BN$145,_xlfn.AGGREGATE(15,6,(ROW(Tiere!$BN$2:$BN$145)-1)/(--(SEARCH(BM$2,Tiere!$BN$2:$BN$145)&gt;0)),ROW()-1),1))))))))),"")</f>
        <v/>
      </c>
      <c r="BM35" s="2438"/>
      <c r="BN35" s="2478" t="s">
        <v>1133</v>
      </c>
      <c r="BO35" s="2518" t="s">
        <v>1133</v>
      </c>
      <c r="BP35" s="2470"/>
      <c r="BQ35" s="2470"/>
      <c r="BR35" s="2470"/>
      <c r="BS35" s="2470"/>
      <c r="BT35" s="2470"/>
      <c r="BU35" s="2519" t="s">
        <v>1317</v>
      </c>
    </row>
    <row r="36" spans="1:73" ht="19.5" customHeight="1" thickBot="1">
      <c r="A36" s="541"/>
      <c r="B36" s="1111"/>
      <c r="C36" s="539"/>
      <c r="D36" s="539"/>
      <c r="E36" s="539"/>
      <c r="F36" s="539"/>
      <c r="G36" s="539"/>
      <c r="H36" s="539"/>
      <c r="I36" s="539"/>
      <c r="J36" s="539"/>
      <c r="K36" s="539"/>
      <c r="L36" s="539"/>
      <c r="M36" s="539"/>
      <c r="N36" s="539"/>
      <c r="O36" s="539"/>
      <c r="P36" s="539"/>
      <c r="Q36" s="539"/>
      <c r="R36" s="539"/>
      <c r="S36" s="539"/>
      <c r="T36" s="539"/>
      <c r="U36" s="539"/>
      <c r="V36" s="537"/>
      <c r="W36" s="537"/>
      <c r="X36" s="537"/>
      <c r="Y36" s="537"/>
      <c r="AJ36" s="2472" t="str">
        <f>IFERROR(IF(OR(AK$2="ZURÜCK ZUR AUSWAHL",AK$2="",AK$2=0),"",IF(AK$2=$BO$1,$BO35,IF(AK$2=$BP$1,"",IF(AK$2=$BQ$1,$BQ35,IF(AK$2=$BR$1,$BR35,IF(AK$2=$BS$1,$BS35,IF(AK$2=$BT$1,$BT35,IF(AK$2=$BU$1,$BU35,INDEX(Tiere!$BN$2:$BN$145,_xlfn.AGGREGATE(15,6,(ROW(Tiere!$BN$2:$BN$145)-1)/(--(SEARCH(AK$2,Tiere!$BN$2:$BN$145)&gt;0)),ROW()-2),1))))))))),"")</f>
        <v/>
      </c>
      <c r="AK36" s="2436"/>
      <c r="AL36" s="2472" t="str">
        <f>IFERROR(IF(OR(AM$2="ZURÜCK ZUR AUSWAHL",AM$2="",AM$2=0),"",IF(AM$2=$BO$1,$BO35,IF(AM$2=$BP$1,$BP35,IF(AM$2=$BQ$1,$BQ35,IF(AM$2=$BR$1,$BR35,IF(AM$2=$BS$1,$BS35,IF(AM$2=$BT$1,$BT35,IF(AM$2=$BU$1,$BU35,INDEX(Tiere!$BN$2:$BN$145,_xlfn.AGGREGATE(15,6,(ROW(Tiere!$BN$2:$BN$145)-1)/(--(SEARCH(AM$2,Tiere!$BN$2:$BN$145)&gt;0)),ROW()-1),1))))))))),"")</f>
        <v/>
      </c>
      <c r="AM36" s="2436"/>
      <c r="AN36" s="2472" t="str">
        <f>IFERROR(IF(OR(AO$2="ZURÜCK ZUR AUSWAHL",AO$2="",AO$2=0),"",IF(AO$2=$BO$1,$BO35,IF(AO$2=$BP$1,$BP35,IF(AO$2=$BQ$1,$BQ35,IF(AO$2=$BR$1,$BR35,IF(AO$2=$BS$1,$BS35,IF(AO$2=$BT$1,$BT35,IF(AO$2=$BU$1,$BU35,INDEX(Tiere!$BN$2:$BN$145,_xlfn.AGGREGATE(15,6,(ROW(Tiere!$BN$2:$BN$145)-1)/(--(SEARCH(AO$2,Tiere!$BN$2:$BN$145)&gt;0)),ROW()-1),1))))))))),"")</f>
        <v/>
      </c>
      <c r="AO36" s="2436"/>
      <c r="AP36" s="2472" t="str">
        <f>IFERROR(IF(OR(AQ$2="ZURÜCK ZUR AUSWAHL",AQ$2="",AQ$2=0),"",IF(AQ$2=$BO$1,$BO35,IF(AQ$2=$BP$1,$BP35,IF(AQ$2=$BQ$1,$BQ35,IF(AQ$2=$BR$1,$BR35,IF(AQ$2=$BS$1,$BS35,IF(AQ$2=$BT$1,$BT35,IF(AQ$2=$BU$1,$BU35,INDEX(Tiere!$BN$2:$BN$145,_xlfn.AGGREGATE(15,6,(ROW(Tiere!$BN$2:$BN$145)-1)/(--(SEARCH(AQ$2,Tiere!$BN$2:$BN$145)&gt;0)),ROW()-1),1))))))))),"")</f>
        <v/>
      </c>
      <c r="AQ36" s="2436"/>
      <c r="AR36" s="2472" t="str">
        <f>IFERROR(IF(OR(AS$2="ZURÜCK ZUR AUSWAHL",AS$2="",AS$2=0),"",IF(AS$2=$BO$1,$BO35,IF(AS$2=$BP$1,$BP35,IF(AS$2=$BQ$1,$BQ35,IF(AS$2=$BR$1,$BR35,IF(AS$2=$BS$1,$BS35,IF(AS$2=$BT$1,$BT35,IF(AS$2=$BU$1,$BU35,INDEX(Tiere!$BN$2:$BN$145,_xlfn.AGGREGATE(15,6,(ROW(Tiere!$BN$2:$BN$145)-1)/(--(SEARCH(AS$2,Tiere!$BN$2:$BN$145)&gt;0)),ROW()-1),1))))))))),"")</f>
        <v/>
      </c>
      <c r="AS36" s="2436"/>
      <c r="AT36" s="2472" t="str">
        <f>IFERROR(IF(OR(AU$2="ZURÜCK ZUR AUSWAHL",AU$2="",AU$2=0),"",IF(AU$2=$BO$1,$BO35,IF(AU$2=$BP$1,$BP35,IF(AU$2=$BQ$1,$BQ35,IF(AU$2=$BR$1,$BR35,IF(AU$2=$BS$1,$BS35,IF(AU$2=$BT$1,$BT35,IF(AU$2=$BU$1,$BU35,INDEX(Tiere!$BN$2:$BN$145,_xlfn.AGGREGATE(15,6,(ROW(Tiere!$BN$2:$BN$145)-1)/(--(SEARCH(AU$2,Tiere!$BN$2:$BN$145)&gt;0)),ROW()-1),1))))))))),"")</f>
        <v/>
      </c>
      <c r="AU36" s="2436"/>
      <c r="AV36" s="2472" t="str">
        <f>IFERROR(IF(OR(AW$2="ZURÜCK ZUR AUSWAHL",AW$2="",AW$2=0),"",IF(AW$2=$BO$1,$BO35,IF(AW$2=$BP$1,$BP35,IF(AW$2=$BQ$1,$BQ35,IF(AW$2=$BR$1,$BR35,IF(AW$2=$BS$1,$BS35,IF(AW$2=$BT$1,$BT35,IF(AW$2=$BU$1,$BU35,INDEX(Tiere!$BN$2:$BN$145,_xlfn.AGGREGATE(15,6,(ROW(Tiere!$BN$2:$BN$145)-1)/(--(SEARCH(AW$2,Tiere!$BN$2:$BN$145)&gt;0)),ROW()-1),1))))))))),"")</f>
        <v/>
      </c>
      <c r="AW36" s="2436"/>
      <c r="AX36" s="2472" t="str">
        <f>IFERROR(IF(OR(AY$2="ZURÜCK ZUR AUSWAHL",AY$2="",AY$2=0),"",IF(AY$2=$BO$1,$BO35,IF(AY$2=$BP$1,$BP35,IF(AY$2=$BQ$1,$BQ35,IF(AY$2=$BR$1,$BR35,IF(AY$2=$BS$1,$BS35,IF(AY$2=$BT$1,$BT35,IF(AY$2=$BU$1,$BU35,INDEX(Tiere!$BN$2:$BN$145,_xlfn.AGGREGATE(15,6,(ROW(Tiere!$BN$2:$BN$145)-1)/(--(SEARCH(AY$2,Tiere!$BN$2:$BN$145)&gt;0)),ROW()-1),1))))))))),"")</f>
        <v/>
      </c>
      <c r="AY36" s="2436"/>
      <c r="AZ36" s="2472" t="str">
        <f>IFERROR(IF(OR(BA$2="ZURÜCK ZUR AUSWAHL",BA$2="",BA$2=0),"",IF(BA$2=$BO$1,$BO35,IF(BA$2=$BP$1,$BP35,IF(BA$2=$BQ$1,$BQ35,IF(BA$2=$BR$1,$BR35,IF(BA$2=$BS$1,$BS35,IF(BA$2=$BT$1,$BT35,IF(BA$2=$BU$1,$BU35,INDEX(Tiere!$BN$2:$BN$145,_xlfn.AGGREGATE(15,6,(ROW(Tiere!$BN$2:$BN$145)-1)/(--(SEARCH(BA$2,Tiere!$BN$2:$BN$145)&gt;0)),ROW()-1),1))))))))),"")</f>
        <v/>
      </c>
      <c r="BA36" s="2436"/>
      <c r="BB36" s="2472" t="str">
        <f>IFERROR(IF(OR(BC$2="ZURÜCK ZUR AUSWAHL",BC$2="",BC$2=0),"",IF(BC$2=$BO$1,$BO35,IF(BC$2=$BP$1,$BP35,IF(BC$2=$BQ$1,$BQ35,IF(BC$2=$BR$1,$BR35,IF(BC$2=$BS$1,$BS35,IF(BC$2=$BT$1,$BT35,IF(BC$2=$BU$1,$BU35,INDEX(Tiere!$BN$2:$BN$145,_xlfn.AGGREGATE(15,6,(ROW(Tiere!$BN$2:$BN$145)-1)/(--(SEARCH(BC$2,Tiere!$BN$2:$BN$145)&gt;0)),ROW()-1),1))))))))),"")</f>
        <v/>
      </c>
      <c r="BC36" s="2436"/>
      <c r="BD36" s="2472" t="str">
        <f>IFERROR(IF(OR(BE$2="ZURÜCK ZUR AUSWAHL",BE$2="",BE$2=0),"",IF(BE$2=$BO$1,$BO35,IF(BE$2=$BP$1,$BP35,IF(BE$2=$BQ$1,$BQ35,IF(BE$2=$BR$1,$BR35,IF(BE$2=$BS$1,$BS35,IF(BE$2=$BT$1,$BT35,IF(BE$2=$BU$1,$BU35,INDEX(Tiere!$BN$2:$BN$145,_xlfn.AGGREGATE(15,6,(ROW(Tiere!$BN$2:$BN$145)-1)/(--(SEARCH(BE$2,Tiere!$BN$2:$BN$145)&gt;0)),ROW()-1),1))))))))),"")</f>
        <v/>
      </c>
      <c r="BE36" s="2436"/>
      <c r="BF36" s="2472" t="str">
        <f>IFERROR(IF(OR(BG$2="ZURÜCK ZUR AUSWAHL",BG$2="",BG$2=0),"",IF(BG$2=$BO$1,$BO35,IF(BG$2=$BP$1,$BP35,IF(BG$2=$BQ$1,$BQ35,IF(BG$2=$BR$1,$BR35,IF(BG$2=$BS$1,$BS35,IF(BG$2=$BT$1,$BT35,IF(BG$2=$BU$1,$BU35,INDEX(Tiere!$BN$2:$BN$145,_xlfn.AGGREGATE(15,6,(ROW(Tiere!$BN$2:$BN$145)-1)/(--(SEARCH(BG$2,Tiere!$BN$2:$BN$145)&gt;0)),ROW()-1),1))))))))),"")</f>
        <v/>
      </c>
      <c r="BG36" s="2436"/>
      <c r="BH36" s="2472" t="str">
        <f>IFERROR(IF(OR(BI$2="ZURÜCK ZUR AUSWAHL",BI$2="",BI$2=0),"",IF(BI$2=$BO$1,$BO35,IF(BI$2=$BP$1,$BP35,IF(BI$2=$BQ$1,$BQ35,IF(BI$2=$BR$1,$BR35,IF(BI$2=$BS$1,$BS35,IF(BI$2=$BT$1,$BT35,IF(BI$2=$BU$1,$BU35,INDEX(Tiere!$BN$2:$BN$145,_xlfn.AGGREGATE(15,6,(ROW(Tiere!$BN$2:$BN$145)-1)/(--(SEARCH(BI$2,Tiere!$BN$2:$BN$145)&gt;0)),ROW()-1),1))))))))),"")</f>
        <v/>
      </c>
      <c r="BI36" s="2436"/>
      <c r="BJ36" s="2472" t="str">
        <f>IFERROR(IF(OR(BK$2="ZURÜCK ZUR AUSWAHL",BK$2="",BK$2=0),"",IF(BK$2=$BO$1,$BO35,IF(BK$2=$BP$1,$BP35,IF(BK$2=$BQ$1,$BQ35,IF(BK$2=$BR$1,$BR35,IF(BK$2=$BS$1,$BS35,IF(BK$2=$BT$1,$BT35,IF(BK$2=$BU$1,$BU35,INDEX(Tiere!$BN$2:$BN$145,_xlfn.AGGREGATE(15,6,(ROW(Tiere!$BN$2:$BN$145)-1)/(--(SEARCH(BK$2,Tiere!$BN$2:$BN$145)&gt;0)),ROW()-1),1))))))))),"")</f>
        <v/>
      </c>
      <c r="BK36" s="2436"/>
      <c r="BL36" s="2472" t="str">
        <f>IFERROR(IF(OR(BM$2="ZURÜCK ZUR AUSWAHL",BM$2="",BM$2=0),"",IF(BM$2=$BO$1,$BO35,IF(BM$2=$BP$1,$BP35,IF(BM$2=$BQ$1,$BQ35,IF(BM$2=$BR$1,$BR35,IF(BM$2=$BS$1,$BS35,IF(BM$2=$BT$1,$BT35,IF(BM$2=$BU$1,$BU35,INDEX(Tiere!$BN$2:$BN$145,_xlfn.AGGREGATE(15,6,(ROW(Tiere!$BN$2:$BN$145)-1)/(--(SEARCH(BM$2,Tiere!$BN$2:$BN$145)&gt;0)),ROW()-1),1))))))))),"")</f>
        <v/>
      </c>
      <c r="BM36" s="2436"/>
      <c r="BN36" s="2478" t="s">
        <v>1134</v>
      </c>
      <c r="BO36" s="2518" t="s">
        <v>1134</v>
      </c>
      <c r="BP36" s="2470"/>
      <c r="BQ36" s="2470"/>
      <c r="BR36" s="2470"/>
      <c r="BS36" s="2470"/>
      <c r="BT36" s="2470"/>
      <c r="BU36" s="2518" t="s">
        <v>1318</v>
      </c>
    </row>
    <row r="37" spans="1:73" ht="21" customHeight="1" thickTop="1" thickBot="1">
      <c r="A37" s="541"/>
      <c r="B37" s="542" t="s">
        <v>773</v>
      </c>
      <c r="C37" s="539"/>
      <c r="D37" s="539"/>
      <c r="E37" s="539"/>
      <c r="F37" s="539"/>
      <c r="G37" s="539"/>
      <c r="H37" s="539"/>
      <c r="I37" s="539"/>
      <c r="J37" s="539"/>
      <c r="K37" s="539"/>
      <c r="L37" s="539"/>
      <c r="M37" s="539"/>
      <c r="N37" s="539"/>
      <c r="O37" s="539"/>
      <c r="P37" s="539"/>
      <c r="Q37" s="539"/>
      <c r="R37" s="539"/>
      <c r="S37" s="539"/>
      <c r="T37" s="539"/>
      <c r="U37" s="539"/>
      <c r="V37" s="537"/>
      <c r="W37" s="537"/>
      <c r="X37" s="537"/>
      <c r="Y37" s="537"/>
      <c r="AJ37" s="2472" t="str">
        <f>IFERROR(IF(OR(AK$2="ZURÜCK ZUR AUSWAHL",AK$2="",AK$2=0),"",IF(AK$2=$BO$1,$BO36,IF(AK$2=$BP$1,"",IF(AK$2=$BQ$1,$BQ36,IF(AK$2=$BR$1,$BR36,IF(AK$2=$BS$1,$BS36,IF(AK$2=$BT$1,$BT36,IF(AK$2=$BU$1,$BU36,INDEX(Tiere!$BN$2:$BN$145,_xlfn.AGGREGATE(15,6,(ROW(Tiere!$BN$2:$BN$145)-1)/(--(SEARCH(AK$2,Tiere!$BN$2:$BN$145)&gt;0)),ROW()-2),1))))))))),"")</f>
        <v/>
      </c>
      <c r="AK37" s="2438"/>
      <c r="AL37" s="2472" t="str">
        <f>IFERROR(IF(OR(AM$2="ZURÜCK ZUR AUSWAHL",AM$2="",AM$2=0),"",IF(AM$2=$BO$1,$BO36,IF(AM$2=$BP$1,$BP36,IF(AM$2=$BQ$1,$BQ36,IF(AM$2=$BR$1,$BR36,IF(AM$2=$BS$1,$BS36,IF(AM$2=$BT$1,$BT36,IF(AM$2=$BU$1,$BU36,INDEX(Tiere!$BN$2:$BN$145,_xlfn.AGGREGATE(15,6,(ROW(Tiere!$BN$2:$BN$145)-1)/(--(SEARCH(AM$2,Tiere!$BN$2:$BN$145)&gt;0)),ROW()-1),1))))))))),"")</f>
        <v/>
      </c>
      <c r="AM37" s="2438"/>
      <c r="AN37" s="2472" t="str">
        <f>IFERROR(IF(OR(AO$2="ZURÜCK ZUR AUSWAHL",AO$2="",AO$2=0),"",IF(AO$2=$BO$1,$BO36,IF(AO$2=$BP$1,$BP36,IF(AO$2=$BQ$1,$BQ36,IF(AO$2=$BR$1,$BR36,IF(AO$2=$BS$1,$BS36,IF(AO$2=$BT$1,$BT36,IF(AO$2=$BU$1,$BU36,INDEX(Tiere!$BN$2:$BN$145,_xlfn.AGGREGATE(15,6,(ROW(Tiere!$BN$2:$BN$145)-1)/(--(SEARCH(AO$2,Tiere!$BN$2:$BN$145)&gt;0)),ROW()-1),1))))))))),"")</f>
        <v/>
      </c>
      <c r="AO37" s="2438"/>
      <c r="AP37" s="2472" t="str">
        <f>IFERROR(IF(OR(AQ$2="ZURÜCK ZUR AUSWAHL",AQ$2="",AQ$2=0),"",IF(AQ$2=$BO$1,$BO36,IF(AQ$2=$BP$1,$BP36,IF(AQ$2=$BQ$1,$BQ36,IF(AQ$2=$BR$1,$BR36,IF(AQ$2=$BS$1,$BS36,IF(AQ$2=$BT$1,$BT36,IF(AQ$2=$BU$1,$BU36,INDEX(Tiere!$BN$2:$BN$145,_xlfn.AGGREGATE(15,6,(ROW(Tiere!$BN$2:$BN$145)-1)/(--(SEARCH(AQ$2,Tiere!$BN$2:$BN$145)&gt;0)),ROW()-1),1))))))))),"")</f>
        <v/>
      </c>
      <c r="AQ37" s="2438"/>
      <c r="AR37" s="2472" t="str">
        <f>IFERROR(IF(OR(AS$2="ZURÜCK ZUR AUSWAHL",AS$2="",AS$2=0),"",IF(AS$2=$BO$1,$BO36,IF(AS$2=$BP$1,$BP36,IF(AS$2=$BQ$1,$BQ36,IF(AS$2=$BR$1,$BR36,IF(AS$2=$BS$1,$BS36,IF(AS$2=$BT$1,$BT36,IF(AS$2=$BU$1,$BU36,INDEX(Tiere!$BN$2:$BN$145,_xlfn.AGGREGATE(15,6,(ROW(Tiere!$BN$2:$BN$145)-1)/(--(SEARCH(AS$2,Tiere!$BN$2:$BN$145)&gt;0)),ROW()-1),1))))))))),"")</f>
        <v/>
      </c>
      <c r="AS37" s="2438"/>
      <c r="AT37" s="2472" t="str">
        <f>IFERROR(IF(OR(AU$2="ZURÜCK ZUR AUSWAHL",AU$2="",AU$2=0),"",IF(AU$2=$BO$1,$BO36,IF(AU$2=$BP$1,$BP36,IF(AU$2=$BQ$1,$BQ36,IF(AU$2=$BR$1,$BR36,IF(AU$2=$BS$1,$BS36,IF(AU$2=$BT$1,$BT36,IF(AU$2=$BU$1,$BU36,INDEX(Tiere!$BN$2:$BN$145,_xlfn.AGGREGATE(15,6,(ROW(Tiere!$BN$2:$BN$145)-1)/(--(SEARCH(AU$2,Tiere!$BN$2:$BN$145)&gt;0)),ROW()-1),1))))))))),"")</f>
        <v/>
      </c>
      <c r="AU37" s="2438"/>
      <c r="AV37" s="2472" t="str">
        <f>IFERROR(IF(OR(AW$2="ZURÜCK ZUR AUSWAHL",AW$2="",AW$2=0),"",IF(AW$2=$BO$1,$BO36,IF(AW$2=$BP$1,$BP36,IF(AW$2=$BQ$1,$BQ36,IF(AW$2=$BR$1,$BR36,IF(AW$2=$BS$1,$BS36,IF(AW$2=$BT$1,$BT36,IF(AW$2=$BU$1,$BU36,INDEX(Tiere!$BN$2:$BN$145,_xlfn.AGGREGATE(15,6,(ROW(Tiere!$BN$2:$BN$145)-1)/(--(SEARCH(AW$2,Tiere!$BN$2:$BN$145)&gt;0)),ROW()-1),1))))))))),"")</f>
        <v/>
      </c>
      <c r="AW37" s="2438"/>
      <c r="AX37" s="2472" t="str">
        <f>IFERROR(IF(OR(AY$2="ZURÜCK ZUR AUSWAHL",AY$2="",AY$2=0),"",IF(AY$2=$BO$1,$BO36,IF(AY$2=$BP$1,$BP36,IF(AY$2=$BQ$1,$BQ36,IF(AY$2=$BR$1,$BR36,IF(AY$2=$BS$1,$BS36,IF(AY$2=$BT$1,$BT36,IF(AY$2=$BU$1,$BU36,INDEX(Tiere!$BN$2:$BN$145,_xlfn.AGGREGATE(15,6,(ROW(Tiere!$BN$2:$BN$145)-1)/(--(SEARCH(AY$2,Tiere!$BN$2:$BN$145)&gt;0)),ROW()-1),1))))))))),"")</f>
        <v/>
      </c>
      <c r="AY37" s="2438"/>
      <c r="AZ37" s="2472" t="str">
        <f>IFERROR(IF(OR(BA$2="ZURÜCK ZUR AUSWAHL",BA$2="",BA$2=0),"",IF(BA$2=$BO$1,$BO36,IF(BA$2=$BP$1,$BP36,IF(BA$2=$BQ$1,$BQ36,IF(BA$2=$BR$1,$BR36,IF(BA$2=$BS$1,$BS36,IF(BA$2=$BT$1,$BT36,IF(BA$2=$BU$1,$BU36,INDEX(Tiere!$BN$2:$BN$145,_xlfn.AGGREGATE(15,6,(ROW(Tiere!$BN$2:$BN$145)-1)/(--(SEARCH(BA$2,Tiere!$BN$2:$BN$145)&gt;0)),ROW()-1),1))))))))),"")</f>
        <v/>
      </c>
      <c r="BA37" s="2438"/>
      <c r="BB37" s="2472" t="str">
        <f>IFERROR(IF(OR(BC$2="ZURÜCK ZUR AUSWAHL",BC$2="",BC$2=0),"",IF(BC$2=$BO$1,$BO36,IF(BC$2=$BP$1,$BP36,IF(BC$2=$BQ$1,$BQ36,IF(BC$2=$BR$1,$BR36,IF(BC$2=$BS$1,$BS36,IF(BC$2=$BT$1,$BT36,IF(BC$2=$BU$1,$BU36,INDEX(Tiere!$BN$2:$BN$145,_xlfn.AGGREGATE(15,6,(ROW(Tiere!$BN$2:$BN$145)-1)/(--(SEARCH(BC$2,Tiere!$BN$2:$BN$145)&gt;0)),ROW()-1),1))))))))),"")</f>
        <v/>
      </c>
      <c r="BC37" s="2438"/>
      <c r="BD37" s="2472" t="str">
        <f>IFERROR(IF(OR(BE$2="ZURÜCK ZUR AUSWAHL",BE$2="",BE$2=0),"",IF(BE$2=$BO$1,$BO36,IF(BE$2=$BP$1,$BP36,IF(BE$2=$BQ$1,$BQ36,IF(BE$2=$BR$1,$BR36,IF(BE$2=$BS$1,$BS36,IF(BE$2=$BT$1,$BT36,IF(BE$2=$BU$1,$BU36,INDEX(Tiere!$BN$2:$BN$145,_xlfn.AGGREGATE(15,6,(ROW(Tiere!$BN$2:$BN$145)-1)/(--(SEARCH(BE$2,Tiere!$BN$2:$BN$145)&gt;0)),ROW()-1),1))))))))),"")</f>
        <v/>
      </c>
      <c r="BE37" s="2438"/>
      <c r="BF37" s="2472" t="str">
        <f>IFERROR(IF(OR(BG$2="ZURÜCK ZUR AUSWAHL",BG$2="",BG$2=0),"",IF(BG$2=$BO$1,$BO36,IF(BG$2=$BP$1,$BP36,IF(BG$2=$BQ$1,$BQ36,IF(BG$2=$BR$1,$BR36,IF(BG$2=$BS$1,$BS36,IF(BG$2=$BT$1,$BT36,IF(BG$2=$BU$1,$BU36,INDEX(Tiere!$BN$2:$BN$145,_xlfn.AGGREGATE(15,6,(ROW(Tiere!$BN$2:$BN$145)-1)/(--(SEARCH(BG$2,Tiere!$BN$2:$BN$145)&gt;0)),ROW()-1),1))))))))),"")</f>
        <v/>
      </c>
      <c r="BG37" s="2438"/>
      <c r="BH37" s="2472" t="str">
        <f>IFERROR(IF(OR(BI$2="ZURÜCK ZUR AUSWAHL",BI$2="",BI$2=0),"",IF(BI$2=$BO$1,$BO36,IF(BI$2=$BP$1,$BP36,IF(BI$2=$BQ$1,$BQ36,IF(BI$2=$BR$1,$BR36,IF(BI$2=$BS$1,$BS36,IF(BI$2=$BT$1,$BT36,IF(BI$2=$BU$1,$BU36,INDEX(Tiere!$BN$2:$BN$145,_xlfn.AGGREGATE(15,6,(ROW(Tiere!$BN$2:$BN$145)-1)/(--(SEARCH(BI$2,Tiere!$BN$2:$BN$145)&gt;0)),ROW()-1),1))))))))),"")</f>
        <v/>
      </c>
      <c r="BI37" s="2438"/>
      <c r="BJ37" s="2472" t="str">
        <f>IFERROR(IF(OR(BK$2="ZURÜCK ZUR AUSWAHL",BK$2="",BK$2=0),"",IF(BK$2=$BO$1,$BO36,IF(BK$2=$BP$1,$BP36,IF(BK$2=$BQ$1,$BQ36,IF(BK$2=$BR$1,$BR36,IF(BK$2=$BS$1,$BS36,IF(BK$2=$BT$1,$BT36,IF(BK$2=$BU$1,$BU36,INDEX(Tiere!$BN$2:$BN$145,_xlfn.AGGREGATE(15,6,(ROW(Tiere!$BN$2:$BN$145)-1)/(--(SEARCH(BK$2,Tiere!$BN$2:$BN$145)&gt;0)),ROW()-1),1))))))))),"")</f>
        <v/>
      </c>
      <c r="BK37" s="2438"/>
      <c r="BL37" s="2472" t="str">
        <f>IFERROR(IF(OR(BM$2="ZURÜCK ZUR AUSWAHL",BM$2="",BM$2=0),"",IF(BM$2=$BO$1,$BO36,IF(BM$2=$BP$1,$BP36,IF(BM$2=$BQ$1,$BQ36,IF(BM$2=$BR$1,$BR36,IF(BM$2=$BS$1,$BS36,IF(BM$2=$BT$1,$BT36,IF(BM$2=$BU$1,$BU36,INDEX(Tiere!$BN$2:$BN$145,_xlfn.AGGREGATE(15,6,(ROW(Tiere!$BN$2:$BN$145)-1)/(--(SEARCH(BM$2,Tiere!$BN$2:$BN$145)&gt;0)),ROW()-1),1))))))))),"")</f>
        <v/>
      </c>
      <c r="BM37" s="2438"/>
      <c r="BN37" s="2478" t="s">
        <v>1136</v>
      </c>
      <c r="BO37" s="2518" t="s">
        <v>1136</v>
      </c>
      <c r="BP37" s="2470"/>
      <c r="BQ37" s="2470"/>
      <c r="BR37" s="2470"/>
      <c r="BS37" s="2470"/>
      <c r="BT37" s="2470"/>
      <c r="BU37" s="2519" t="s">
        <v>1319</v>
      </c>
    </row>
    <row r="38" spans="1:73" ht="13.8" thickBot="1">
      <c r="AJ38" s="2472" t="str">
        <f>IFERROR(IF(OR(AK$2="ZURÜCK ZUR AUSWAHL",AK$2="",AK$2=0),"",IF(AK$2=$BO$1,$BO37,IF(AK$2=$BP$1,"",IF(AK$2=$BQ$1,$BQ37,IF(AK$2=$BR$1,$BR37,IF(AK$2=$BS$1,$BS37,IF(AK$2=$BT$1,$BT37,IF(AK$2=$BU$1,$BU37,INDEX(Tiere!$BN$2:$BN$145,_xlfn.AGGREGATE(15,6,(ROW(Tiere!$BN$2:$BN$145)-1)/(--(SEARCH(AK$2,Tiere!$BN$2:$BN$145)&gt;0)),ROW()-2),1))))))))),"")</f>
        <v/>
      </c>
      <c r="AK38" s="2436"/>
      <c r="AL38" s="2472" t="str">
        <f>IFERROR(IF(OR(AM$2="ZURÜCK ZUR AUSWAHL",AM$2="",AM$2=0),"",IF(AM$2=$BO$1,$BO37,IF(AM$2=$BP$1,$BP37,IF(AM$2=$BQ$1,$BQ37,IF(AM$2=$BR$1,$BR37,IF(AM$2=$BS$1,$BS37,IF(AM$2=$BT$1,$BT37,IF(AM$2=$BU$1,$BU37,INDEX(Tiere!$BN$2:$BN$145,_xlfn.AGGREGATE(15,6,(ROW(Tiere!$BN$2:$BN$145)-1)/(--(SEARCH(AM$2,Tiere!$BN$2:$BN$145)&gt;0)),ROW()-1),1))))))))),"")</f>
        <v/>
      </c>
      <c r="AM38" s="2436"/>
      <c r="AN38" s="2472" t="str">
        <f>IFERROR(IF(OR(AO$2="ZURÜCK ZUR AUSWAHL",AO$2="",AO$2=0),"",IF(AO$2=$BO$1,$BO37,IF(AO$2=$BP$1,$BP37,IF(AO$2=$BQ$1,$BQ37,IF(AO$2=$BR$1,$BR37,IF(AO$2=$BS$1,$BS37,IF(AO$2=$BT$1,$BT37,IF(AO$2=$BU$1,$BU37,INDEX(Tiere!$BN$2:$BN$145,_xlfn.AGGREGATE(15,6,(ROW(Tiere!$BN$2:$BN$145)-1)/(--(SEARCH(AO$2,Tiere!$BN$2:$BN$145)&gt;0)),ROW()-1),1))))))))),"")</f>
        <v/>
      </c>
      <c r="AO38" s="2436"/>
      <c r="AP38" s="2472" t="str">
        <f>IFERROR(IF(OR(AQ$2="ZURÜCK ZUR AUSWAHL",AQ$2="",AQ$2=0),"",IF(AQ$2=$BO$1,$BO37,IF(AQ$2=$BP$1,$BP37,IF(AQ$2=$BQ$1,$BQ37,IF(AQ$2=$BR$1,$BR37,IF(AQ$2=$BS$1,$BS37,IF(AQ$2=$BT$1,$BT37,IF(AQ$2=$BU$1,$BU37,INDEX(Tiere!$BN$2:$BN$145,_xlfn.AGGREGATE(15,6,(ROW(Tiere!$BN$2:$BN$145)-1)/(--(SEARCH(AQ$2,Tiere!$BN$2:$BN$145)&gt;0)),ROW()-1),1))))))))),"")</f>
        <v/>
      </c>
      <c r="AQ38" s="2436"/>
      <c r="AR38" s="2472" t="str">
        <f>IFERROR(IF(OR(AS$2="ZURÜCK ZUR AUSWAHL",AS$2="",AS$2=0),"",IF(AS$2=$BO$1,$BO37,IF(AS$2=$BP$1,$BP37,IF(AS$2=$BQ$1,$BQ37,IF(AS$2=$BR$1,$BR37,IF(AS$2=$BS$1,$BS37,IF(AS$2=$BT$1,$BT37,IF(AS$2=$BU$1,$BU37,INDEX(Tiere!$BN$2:$BN$145,_xlfn.AGGREGATE(15,6,(ROW(Tiere!$BN$2:$BN$145)-1)/(--(SEARCH(AS$2,Tiere!$BN$2:$BN$145)&gt;0)),ROW()-1),1))))))))),"")</f>
        <v/>
      </c>
      <c r="AS38" s="2436"/>
      <c r="AT38" s="2472" t="str">
        <f>IFERROR(IF(OR(AU$2="ZURÜCK ZUR AUSWAHL",AU$2="",AU$2=0),"",IF(AU$2=$BO$1,$BO37,IF(AU$2=$BP$1,$BP37,IF(AU$2=$BQ$1,$BQ37,IF(AU$2=$BR$1,$BR37,IF(AU$2=$BS$1,$BS37,IF(AU$2=$BT$1,$BT37,IF(AU$2=$BU$1,$BU37,INDEX(Tiere!$BN$2:$BN$145,_xlfn.AGGREGATE(15,6,(ROW(Tiere!$BN$2:$BN$145)-1)/(--(SEARCH(AU$2,Tiere!$BN$2:$BN$145)&gt;0)),ROW()-1),1))))))))),"")</f>
        <v/>
      </c>
      <c r="AU38" s="2436"/>
      <c r="AV38" s="2472" t="str">
        <f>IFERROR(IF(OR(AW$2="ZURÜCK ZUR AUSWAHL",AW$2="",AW$2=0),"",IF(AW$2=$BO$1,$BO37,IF(AW$2=$BP$1,$BP37,IF(AW$2=$BQ$1,$BQ37,IF(AW$2=$BR$1,$BR37,IF(AW$2=$BS$1,$BS37,IF(AW$2=$BT$1,$BT37,IF(AW$2=$BU$1,$BU37,INDEX(Tiere!$BN$2:$BN$145,_xlfn.AGGREGATE(15,6,(ROW(Tiere!$BN$2:$BN$145)-1)/(--(SEARCH(AW$2,Tiere!$BN$2:$BN$145)&gt;0)),ROW()-1),1))))))))),"")</f>
        <v/>
      </c>
      <c r="AW38" s="2436"/>
      <c r="AX38" s="2472" t="str">
        <f>IFERROR(IF(OR(AY$2="ZURÜCK ZUR AUSWAHL",AY$2="",AY$2=0),"",IF(AY$2=$BO$1,$BO37,IF(AY$2=$BP$1,$BP37,IF(AY$2=$BQ$1,$BQ37,IF(AY$2=$BR$1,$BR37,IF(AY$2=$BS$1,$BS37,IF(AY$2=$BT$1,$BT37,IF(AY$2=$BU$1,$BU37,INDEX(Tiere!$BN$2:$BN$145,_xlfn.AGGREGATE(15,6,(ROW(Tiere!$BN$2:$BN$145)-1)/(--(SEARCH(AY$2,Tiere!$BN$2:$BN$145)&gt;0)),ROW()-1),1))))))))),"")</f>
        <v/>
      </c>
      <c r="AY38" s="2436"/>
      <c r="AZ38" s="2472" t="str">
        <f>IFERROR(IF(OR(BA$2="ZURÜCK ZUR AUSWAHL",BA$2="",BA$2=0),"",IF(BA$2=$BO$1,$BO37,IF(BA$2=$BP$1,$BP37,IF(BA$2=$BQ$1,$BQ37,IF(BA$2=$BR$1,$BR37,IF(BA$2=$BS$1,$BS37,IF(BA$2=$BT$1,$BT37,IF(BA$2=$BU$1,$BU37,INDEX(Tiere!$BN$2:$BN$145,_xlfn.AGGREGATE(15,6,(ROW(Tiere!$BN$2:$BN$145)-1)/(--(SEARCH(BA$2,Tiere!$BN$2:$BN$145)&gt;0)),ROW()-1),1))))))))),"")</f>
        <v/>
      </c>
      <c r="BA38" s="2436"/>
      <c r="BB38" s="2472" t="str">
        <f>IFERROR(IF(OR(BC$2="ZURÜCK ZUR AUSWAHL",BC$2="",BC$2=0),"",IF(BC$2=$BO$1,$BO37,IF(BC$2=$BP$1,$BP37,IF(BC$2=$BQ$1,$BQ37,IF(BC$2=$BR$1,$BR37,IF(BC$2=$BS$1,$BS37,IF(BC$2=$BT$1,$BT37,IF(BC$2=$BU$1,$BU37,INDEX(Tiere!$BN$2:$BN$145,_xlfn.AGGREGATE(15,6,(ROW(Tiere!$BN$2:$BN$145)-1)/(--(SEARCH(BC$2,Tiere!$BN$2:$BN$145)&gt;0)),ROW()-1),1))))))))),"")</f>
        <v/>
      </c>
      <c r="BC38" s="2436"/>
      <c r="BD38" s="2472" t="str">
        <f>IFERROR(IF(OR(BE$2="ZURÜCK ZUR AUSWAHL",BE$2="",BE$2=0),"",IF(BE$2=$BO$1,$BO37,IF(BE$2=$BP$1,$BP37,IF(BE$2=$BQ$1,$BQ37,IF(BE$2=$BR$1,$BR37,IF(BE$2=$BS$1,$BS37,IF(BE$2=$BT$1,$BT37,IF(BE$2=$BU$1,$BU37,INDEX(Tiere!$BN$2:$BN$145,_xlfn.AGGREGATE(15,6,(ROW(Tiere!$BN$2:$BN$145)-1)/(--(SEARCH(BE$2,Tiere!$BN$2:$BN$145)&gt;0)),ROW()-1),1))))))))),"")</f>
        <v/>
      </c>
      <c r="BE38" s="2436"/>
      <c r="BF38" s="2472" t="str">
        <f>IFERROR(IF(OR(BG$2="ZURÜCK ZUR AUSWAHL",BG$2="",BG$2=0),"",IF(BG$2=$BO$1,$BO37,IF(BG$2=$BP$1,$BP37,IF(BG$2=$BQ$1,$BQ37,IF(BG$2=$BR$1,$BR37,IF(BG$2=$BS$1,$BS37,IF(BG$2=$BT$1,$BT37,IF(BG$2=$BU$1,$BU37,INDEX(Tiere!$BN$2:$BN$145,_xlfn.AGGREGATE(15,6,(ROW(Tiere!$BN$2:$BN$145)-1)/(--(SEARCH(BG$2,Tiere!$BN$2:$BN$145)&gt;0)),ROW()-1),1))))))))),"")</f>
        <v/>
      </c>
      <c r="BG38" s="2436"/>
      <c r="BH38" s="2472" t="str">
        <f>IFERROR(IF(OR(BI$2="ZURÜCK ZUR AUSWAHL",BI$2="",BI$2=0),"",IF(BI$2=$BO$1,$BO37,IF(BI$2=$BP$1,$BP37,IF(BI$2=$BQ$1,$BQ37,IF(BI$2=$BR$1,$BR37,IF(BI$2=$BS$1,$BS37,IF(BI$2=$BT$1,$BT37,IF(BI$2=$BU$1,$BU37,INDEX(Tiere!$BN$2:$BN$145,_xlfn.AGGREGATE(15,6,(ROW(Tiere!$BN$2:$BN$145)-1)/(--(SEARCH(BI$2,Tiere!$BN$2:$BN$145)&gt;0)),ROW()-1),1))))))))),"")</f>
        <v/>
      </c>
      <c r="BI38" s="2436"/>
      <c r="BJ38" s="2472" t="str">
        <f>IFERROR(IF(OR(BK$2="ZURÜCK ZUR AUSWAHL",BK$2="",BK$2=0),"",IF(BK$2=$BO$1,$BO37,IF(BK$2=$BP$1,$BP37,IF(BK$2=$BQ$1,$BQ37,IF(BK$2=$BR$1,$BR37,IF(BK$2=$BS$1,$BS37,IF(BK$2=$BT$1,$BT37,IF(BK$2=$BU$1,$BU37,INDEX(Tiere!$BN$2:$BN$145,_xlfn.AGGREGATE(15,6,(ROW(Tiere!$BN$2:$BN$145)-1)/(--(SEARCH(BK$2,Tiere!$BN$2:$BN$145)&gt;0)),ROW()-1),1))))))))),"")</f>
        <v/>
      </c>
      <c r="BK38" s="2436"/>
      <c r="BL38" s="2472" t="str">
        <f>IFERROR(IF(OR(BM$2="ZURÜCK ZUR AUSWAHL",BM$2="",BM$2=0),"",IF(BM$2=$BO$1,$BO37,IF(BM$2=$BP$1,$BP37,IF(BM$2=$BQ$1,$BQ37,IF(BM$2=$BR$1,$BR37,IF(BM$2=$BS$1,$BS37,IF(BM$2=$BT$1,$BT37,IF(BM$2=$BU$1,$BU37,INDEX(Tiere!$BN$2:$BN$145,_xlfn.AGGREGATE(15,6,(ROW(Tiere!$BN$2:$BN$145)-1)/(--(SEARCH(BM$2,Tiere!$BN$2:$BN$145)&gt;0)),ROW()-1),1))))))))),"")</f>
        <v/>
      </c>
      <c r="BM38" s="2436"/>
      <c r="BN38" s="2478" t="s">
        <v>1144</v>
      </c>
      <c r="BO38" s="2518" t="s">
        <v>1144</v>
      </c>
      <c r="BP38" s="2470"/>
      <c r="BQ38" s="2470"/>
      <c r="BR38" s="2470"/>
      <c r="BS38" s="2470"/>
      <c r="BT38" s="2470"/>
      <c r="BU38" s="2518" t="s">
        <v>1320</v>
      </c>
    </row>
    <row r="39" spans="1:73" ht="13.8" thickBot="1">
      <c r="AJ39" s="2472" t="str">
        <f>IFERROR(IF(OR(AK$2="ZURÜCK ZUR AUSWAHL",AK$2="",AK$2=0),"",IF(AK$2=$BO$1,$BO38,IF(AK$2=$BP$1,"",IF(AK$2=$BQ$1,$BQ38,IF(AK$2=$BR$1,$BR38,IF(AK$2=$BS$1,$BS38,IF(AK$2=$BT$1,$BT38,IF(AK$2=$BU$1,$BU38,INDEX(Tiere!$BN$2:$BN$145,_xlfn.AGGREGATE(15,6,(ROW(Tiere!$BN$2:$BN$145)-1)/(--(SEARCH(AK$2,Tiere!$BN$2:$BN$145)&gt;0)),ROW()-2),1))))))))),"")</f>
        <v/>
      </c>
      <c r="AK39" s="2438"/>
      <c r="AL39" s="2472" t="str">
        <f>IFERROR(IF(OR(AM$2="ZURÜCK ZUR AUSWAHL",AM$2="",AM$2=0),"",IF(AM$2=$BO$1,$BO38,IF(AM$2=$BP$1,$BP38,IF(AM$2=$BQ$1,$BQ38,IF(AM$2=$BR$1,$BR38,IF(AM$2=$BS$1,$BS38,IF(AM$2=$BT$1,$BT38,IF(AM$2=$BU$1,$BU38,INDEX(Tiere!$BN$2:$BN$145,_xlfn.AGGREGATE(15,6,(ROW(Tiere!$BN$2:$BN$145)-1)/(--(SEARCH(AM$2,Tiere!$BN$2:$BN$145)&gt;0)),ROW()-1),1))))))))),"")</f>
        <v/>
      </c>
      <c r="AM39" s="2438"/>
      <c r="AN39" s="2472" t="str">
        <f>IFERROR(IF(OR(AO$2="ZURÜCK ZUR AUSWAHL",AO$2="",AO$2=0),"",IF(AO$2=$BO$1,$BO38,IF(AO$2=$BP$1,$BP38,IF(AO$2=$BQ$1,$BQ38,IF(AO$2=$BR$1,$BR38,IF(AO$2=$BS$1,$BS38,IF(AO$2=$BT$1,$BT38,IF(AO$2=$BU$1,$BU38,INDEX(Tiere!$BN$2:$BN$145,_xlfn.AGGREGATE(15,6,(ROW(Tiere!$BN$2:$BN$145)-1)/(--(SEARCH(AO$2,Tiere!$BN$2:$BN$145)&gt;0)),ROW()-1),1))))))))),"")</f>
        <v/>
      </c>
      <c r="AO39" s="2438"/>
      <c r="AP39" s="2472" t="str">
        <f>IFERROR(IF(OR(AQ$2="ZURÜCK ZUR AUSWAHL",AQ$2="",AQ$2=0),"",IF(AQ$2=$BO$1,$BO38,IF(AQ$2=$BP$1,$BP38,IF(AQ$2=$BQ$1,$BQ38,IF(AQ$2=$BR$1,$BR38,IF(AQ$2=$BS$1,$BS38,IF(AQ$2=$BT$1,$BT38,IF(AQ$2=$BU$1,$BU38,INDEX(Tiere!$BN$2:$BN$145,_xlfn.AGGREGATE(15,6,(ROW(Tiere!$BN$2:$BN$145)-1)/(--(SEARCH(AQ$2,Tiere!$BN$2:$BN$145)&gt;0)),ROW()-1),1))))))))),"")</f>
        <v/>
      </c>
      <c r="AQ39" s="2438"/>
      <c r="AR39" s="2472" t="str">
        <f>IFERROR(IF(OR(AS$2="ZURÜCK ZUR AUSWAHL",AS$2="",AS$2=0),"",IF(AS$2=$BO$1,$BO38,IF(AS$2=$BP$1,$BP38,IF(AS$2=$BQ$1,$BQ38,IF(AS$2=$BR$1,$BR38,IF(AS$2=$BS$1,$BS38,IF(AS$2=$BT$1,$BT38,IF(AS$2=$BU$1,$BU38,INDEX(Tiere!$BN$2:$BN$145,_xlfn.AGGREGATE(15,6,(ROW(Tiere!$BN$2:$BN$145)-1)/(--(SEARCH(AS$2,Tiere!$BN$2:$BN$145)&gt;0)),ROW()-1),1))))))))),"")</f>
        <v/>
      </c>
      <c r="AS39" s="2438"/>
      <c r="AT39" s="2472" t="str">
        <f>IFERROR(IF(OR(AU$2="ZURÜCK ZUR AUSWAHL",AU$2="",AU$2=0),"",IF(AU$2=$BO$1,$BO38,IF(AU$2=$BP$1,$BP38,IF(AU$2=$BQ$1,$BQ38,IF(AU$2=$BR$1,$BR38,IF(AU$2=$BS$1,$BS38,IF(AU$2=$BT$1,$BT38,IF(AU$2=$BU$1,$BU38,INDEX(Tiere!$BN$2:$BN$145,_xlfn.AGGREGATE(15,6,(ROW(Tiere!$BN$2:$BN$145)-1)/(--(SEARCH(AU$2,Tiere!$BN$2:$BN$145)&gt;0)),ROW()-1),1))))))))),"")</f>
        <v/>
      </c>
      <c r="AU39" s="2438"/>
      <c r="AV39" s="2472" t="str">
        <f>IFERROR(IF(OR(AW$2="ZURÜCK ZUR AUSWAHL",AW$2="",AW$2=0),"",IF(AW$2=$BO$1,$BO38,IF(AW$2=$BP$1,$BP38,IF(AW$2=$BQ$1,$BQ38,IF(AW$2=$BR$1,$BR38,IF(AW$2=$BS$1,$BS38,IF(AW$2=$BT$1,$BT38,IF(AW$2=$BU$1,$BU38,INDEX(Tiere!$BN$2:$BN$145,_xlfn.AGGREGATE(15,6,(ROW(Tiere!$BN$2:$BN$145)-1)/(--(SEARCH(AW$2,Tiere!$BN$2:$BN$145)&gt;0)),ROW()-1),1))))))))),"")</f>
        <v/>
      </c>
      <c r="AW39" s="2438"/>
      <c r="AX39" s="2472" t="str">
        <f>IFERROR(IF(OR(AY$2="ZURÜCK ZUR AUSWAHL",AY$2="",AY$2=0),"",IF(AY$2=$BO$1,$BO38,IF(AY$2=$BP$1,$BP38,IF(AY$2=$BQ$1,$BQ38,IF(AY$2=$BR$1,$BR38,IF(AY$2=$BS$1,$BS38,IF(AY$2=$BT$1,$BT38,IF(AY$2=$BU$1,$BU38,INDEX(Tiere!$BN$2:$BN$145,_xlfn.AGGREGATE(15,6,(ROW(Tiere!$BN$2:$BN$145)-1)/(--(SEARCH(AY$2,Tiere!$BN$2:$BN$145)&gt;0)),ROW()-1),1))))))))),"")</f>
        <v/>
      </c>
      <c r="AY39" s="2438"/>
      <c r="AZ39" s="2472" t="str">
        <f>IFERROR(IF(OR(BA$2="ZURÜCK ZUR AUSWAHL",BA$2="",BA$2=0),"",IF(BA$2=$BO$1,$BO38,IF(BA$2=$BP$1,$BP38,IF(BA$2=$BQ$1,$BQ38,IF(BA$2=$BR$1,$BR38,IF(BA$2=$BS$1,$BS38,IF(BA$2=$BT$1,$BT38,IF(BA$2=$BU$1,$BU38,INDEX(Tiere!$BN$2:$BN$145,_xlfn.AGGREGATE(15,6,(ROW(Tiere!$BN$2:$BN$145)-1)/(--(SEARCH(BA$2,Tiere!$BN$2:$BN$145)&gt;0)),ROW()-1),1))))))))),"")</f>
        <v/>
      </c>
      <c r="BA39" s="2438"/>
      <c r="BB39" s="2472" t="str">
        <f>IFERROR(IF(OR(BC$2="ZURÜCK ZUR AUSWAHL",BC$2="",BC$2=0),"",IF(BC$2=$BO$1,$BO38,IF(BC$2=$BP$1,$BP38,IF(BC$2=$BQ$1,$BQ38,IF(BC$2=$BR$1,$BR38,IF(BC$2=$BS$1,$BS38,IF(BC$2=$BT$1,$BT38,IF(BC$2=$BU$1,$BU38,INDEX(Tiere!$BN$2:$BN$145,_xlfn.AGGREGATE(15,6,(ROW(Tiere!$BN$2:$BN$145)-1)/(--(SEARCH(BC$2,Tiere!$BN$2:$BN$145)&gt;0)),ROW()-1),1))))))))),"")</f>
        <v/>
      </c>
      <c r="BC39" s="2438"/>
      <c r="BD39" s="2472" t="str">
        <f>IFERROR(IF(OR(BE$2="ZURÜCK ZUR AUSWAHL",BE$2="",BE$2=0),"",IF(BE$2=$BO$1,$BO38,IF(BE$2=$BP$1,$BP38,IF(BE$2=$BQ$1,$BQ38,IF(BE$2=$BR$1,$BR38,IF(BE$2=$BS$1,$BS38,IF(BE$2=$BT$1,$BT38,IF(BE$2=$BU$1,$BU38,INDEX(Tiere!$BN$2:$BN$145,_xlfn.AGGREGATE(15,6,(ROW(Tiere!$BN$2:$BN$145)-1)/(--(SEARCH(BE$2,Tiere!$BN$2:$BN$145)&gt;0)),ROW()-1),1))))))))),"")</f>
        <v/>
      </c>
      <c r="BE39" s="2438"/>
      <c r="BF39" s="2472" t="str">
        <f>IFERROR(IF(OR(BG$2="ZURÜCK ZUR AUSWAHL",BG$2="",BG$2=0),"",IF(BG$2=$BO$1,$BO38,IF(BG$2=$BP$1,$BP38,IF(BG$2=$BQ$1,$BQ38,IF(BG$2=$BR$1,$BR38,IF(BG$2=$BS$1,$BS38,IF(BG$2=$BT$1,$BT38,IF(BG$2=$BU$1,$BU38,INDEX(Tiere!$BN$2:$BN$145,_xlfn.AGGREGATE(15,6,(ROW(Tiere!$BN$2:$BN$145)-1)/(--(SEARCH(BG$2,Tiere!$BN$2:$BN$145)&gt;0)),ROW()-1),1))))))))),"")</f>
        <v/>
      </c>
      <c r="BG39" s="2438"/>
      <c r="BH39" s="2472" t="str">
        <f>IFERROR(IF(OR(BI$2="ZURÜCK ZUR AUSWAHL",BI$2="",BI$2=0),"",IF(BI$2=$BO$1,$BO38,IF(BI$2=$BP$1,$BP38,IF(BI$2=$BQ$1,$BQ38,IF(BI$2=$BR$1,$BR38,IF(BI$2=$BS$1,$BS38,IF(BI$2=$BT$1,$BT38,IF(BI$2=$BU$1,$BU38,INDEX(Tiere!$BN$2:$BN$145,_xlfn.AGGREGATE(15,6,(ROW(Tiere!$BN$2:$BN$145)-1)/(--(SEARCH(BI$2,Tiere!$BN$2:$BN$145)&gt;0)),ROW()-1),1))))))))),"")</f>
        <v/>
      </c>
      <c r="BI39" s="2438"/>
      <c r="BJ39" s="2472" t="str">
        <f>IFERROR(IF(OR(BK$2="ZURÜCK ZUR AUSWAHL",BK$2="",BK$2=0),"",IF(BK$2=$BO$1,$BO38,IF(BK$2=$BP$1,$BP38,IF(BK$2=$BQ$1,$BQ38,IF(BK$2=$BR$1,$BR38,IF(BK$2=$BS$1,$BS38,IF(BK$2=$BT$1,$BT38,IF(BK$2=$BU$1,$BU38,INDEX(Tiere!$BN$2:$BN$145,_xlfn.AGGREGATE(15,6,(ROW(Tiere!$BN$2:$BN$145)-1)/(--(SEARCH(BK$2,Tiere!$BN$2:$BN$145)&gt;0)),ROW()-1),1))))))))),"")</f>
        <v/>
      </c>
      <c r="BK39" s="2438"/>
      <c r="BL39" s="2472" t="str">
        <f>IFERROR(IF(OR(BM$2="ZURÜCK ZUR AUSWAHL",BM$2="",BM$2=0),"",IF(BM$2=$BO$1,$BO38,IF(BM$2=$BP$1,$BP38,IF(BM$2=$BQ$1,$BQ38,IF(BM$2=$BR$1,$BR38,IF(BM$2=$BS$1,$BS38,IF(BM$2=$BT$1,$BT38,IF(BM$2=$BU$1,$BU38,INDEX(Tiere!$BN$2:$BN$145,_xlfn.AGGREGATE(15,6,(ROW(Tiere!$BN$2:$BN$145)-1)/(--(SEARCH(BM$2,Tiere!$BN$2:$BN$145)&gt;0)),ROW()-1),1))))))))),"")</f>
        <v/>
      </c>
      <c r="BM39" s="2438"/>
      <c r="BN39" s="2478" t="s">
        <v>1149</v>
      </c>
      <c r="BO39" s="2518" t="s">
        <v>1149</v>
      </c>
      <c r="BP39" s="2470"/>
      <c r="BQ39" s="2470"/>
      <c r="BR39" s="2470"/>
      <c r="BS39" s="2470"/>
      <c r="BT39" s="2470"/>
      <c r="BU39" s="2518" t="s">
        <v>1321</v>
      </c>
    </row>
    <row r="40" spans="1:73" ht="13.8" thickBot="1">
      <c r="AJ40" s="2472" t="str">
        <f>IFERROR(IF(OR(AK$2="ZURÜCK ZUR AUSWAHL",AK$2="",AK$2=0),"",IF(AK$2=$BO$1,$BO39,IF(AK$2=$BP$1,"",IF(AK$2=$BQ$1,$BQ39,IF(AK$2=$BR$1,$BR39,IF(AK$2=$BS$1,$BS39,IF(AK$2=$BT$1,$BT39,IF(AK$2=$BU$1,$BU39,INDEX(Tiere!$BN$2:$BN$145,_xlfn.AGGREGATE(15,6,(ROW(Tiere!$BN$2:$BN$145)-1)/(--(SEARCH(AK$2,Tiere!$BN$2:$BN$145)&gt;0)),ROW()-2),1))))))))),"")</f>
        <v/>
      </c>
      <c r="AK40" s="2436"/>
      <c r="AL40" s="2472" t="str">
        <f>IFERROR(IF(OR(AM$2="ZURÜCK ZUR AUSWAHL",AM$2="",AM$2=0),"",IF(AM$2=$BO$1,$BO39,IF(AM$2=$BP$1,$BP39,IF(AM$2=$BQ$1,$BQ39,IF(AM$2=$BR$1,$BR39,IF(AM$2=$BS$1,$BS39,IF(AM$2=$BT$1,$BT39,IF(AM$2=$BU$1,$BU39,INDEX(Tiere!$BN$2:$BN$145,_xlfn.AGGREGATE(15,6,(ROW(Tiere!$BN$2:$BN$145)-1)/(--(SEARCH(AM$2,Tiere!$BN$2:$BN$145)&gt;0)),ROW()-1),1))))))))),"")</f>
        <v/>
      </c>
      <c r="AM40" s="2436"/>
      <c r="AN40" s="2472" t="str">
        <f>IFERROR(IF(OR(AO$2="ZURÜCK ZUR AUSWAHL",AO$2="",AO$2=0),"",IF(AO$2=$BO$1,$BO39,IF(AO$2=$BP$1,$BP39,IF(AO$2=$BQ$1,$BQ39,IF(AO$2=$BR$1,$BR39,IF(AO$2=$BS$1,$BS39,IF(AO$2=$BT$1,$BT39,IF(AO$2=$BU$1,$BU39,INDEX(Tiere!$BN$2:$BN$145,_xlfn.AGGREGATE(15,6,(ROW(Tiere!$BN$2:$BN$145)-1)/(--(SEARCH(AO$2,Tiere!$BN$2:$BN$145)&gt;0)),ROW()-1),1))))))))),"")</f>
        <v/>
      </c>
      <c r="AO40" s="2436"/>
      <c r="AP40" s="2472" t="str">
        <f>IFERROR(IF(OR(AQ$2="ZURÜCK ZUR AUSWAHL",AQ$2="",AQ$2=0),"",IF(AQ$2=$BO$1,$BO39,IF(AQ$2=$BP$1,$BP39,IF(AQ$2=$BQ$1,$BQ39,IF(AQ$2=$BR$1,$BR39,IF(AQ$2=$BS$1,$BS39,IF(AQ$2=$BT$1,$BT39,IF(AQ$2=$BU$1,$BU39,INDEX(Tiere!$BN$2:$BN$145,_xlfn.AGGREGATE(15,6,(ROW(Tiere!$BN$2:$BN$145)-1)/(--(SEARCH(AQ$2,Tiere!$BN$2:$BN$145)&gt;0)),ROW()-1),1))))))))),"")</f>
        <v/>
      </c>
      <c r="AQ40" s="2436"/>
      <c r="AR40" s="2472" t="str">
        <f>IFERROR(IF(OR(AS$2="ZURÜCK ZUR AUSWAHL",AS$2="",AS$2=0),"",IF(AS$2=$BO$1,$BO39,IF(AS$2=$BP$1,$BP39,IF(AS$2=$BQ$1,$BQ39,IF(AS$2=$BR$1,$BR39,IF(AS$2=$BS$1,$BS39,IF(AS$2=$BT$1,$BT39,IF(AS$2=$BU$1,$BU39,INDEX(Tiere!$BN$2:$BN$145,_xlfn.AGGREGATE(15,6,(ROW(Tiere!$BN$2:$BN$145)-1)/(--(SEARCH(AS$2,Tiere!$BN$2:$BN$145)&gt;0)),ROW()-1),1))))))))),"")</f>
        <v/>
      </c>
      <c r="AS40" s="2436"/>
      <c r="AT40" s="2472" t="str">
        <f>IFERROR(IF(OR(AU$2="ZURÜCK ZUR AUSWAHL",AU$2="",AU$2=0),"",IF(AU$2=$BO$1,$BO39,IF(AU$2=$BP$1,$BP39,IF(AU$2=$BQ$1,$BQ39,IF(AU$2=$BR$1,$BR39,IF(AU$2=$BS$1,$BS39,IF(AU$2=$BT$1,$BT39,IF(AU$2=$BU$1,$BU39,INDEX(Tiere!$BN$2:$BN$145,_xlfn.AGGREGATE(15,6,(ROW(Tiere!$BN$2:$BN$145)-1)/(--(SEARCH(AU$2,Tiere!$BN$2:$BN$145)&gt;0)),ROW()-1),1))))))))),"")</f>
        <v/>
      </c>
      <c r="AU40" s="2436"/>
      <c r="AV40" s="2472" t="str">
        <f>IFERROR(IF(OR(AW$2="ZURÜCK ZUR AUSWAHL",AW$2="",AW$2=0),"",IF(AW$2=$BO$1,$BO39,IF(AW$2=$BP$1,$BP39,IF(AW$2=$BQ$1,$BQ39,IF(AW$2=$BR$1,$BR39,IF(AW$2=$BS$1,$BS39,IF(AW$2=$BT$1,$BT39,IF(AW$2=$BU$1,$BU39,INDEX(Tiere!$BN$2:$BN$145,_xlfn.AGGREGATE(15,6,(ROW(Tiere!$BN$2:$BN$145)-1)/(--(SEARCH(AW$2,Tiere!$BN$2:$BN$145)&gt;0)),ROW()-1),1))))))))),"")</f>
        <v/>
      </c>
      <c r="AW40" s="2436"/>
      <c r="AX40" s="2472" t="str">
        <f>IFERROR(IF(OR(AY$2="ZURÜCK ZUR AUSWAHL",AY$2="",AY$2=0),"",IF(AY$2=$BO$1,$BO39,IF(AY$2=$BP$1,$BP39,IF(AY$2=$BQ$1,$BQ39,IF(AY$2=$BR$1,$BR39,IF(AY$2=$BS$1,$BS39,IF(AY$2=$BT$1,$BT39,IF(AY$2=$BU$1,$BU39,INDEX(Tiere!$BN$2:$BN$145,_xlfn.AGGREGATE(15,6,(ROW(Tiere!$BN$2:$BN$145)-1)/(--(SEARCH(AY$2,Tiere!$BN$2:$BN$145)&gt;0)),ROW()-1),1))))))))),"")</f>
        <v/>
      </c>
      <c r="AY40" s="2436"/>
      <c r="AZ40" s="2472" t="str">
        <f>IFERROR(IF(OR(BA$2="ZURÜCK ZUR AUSWAHL",BA$2="",BA$2=0),"",IF(BA$2=$BO$1,$BO39,IF(BA$2=$BP$1,$BP39,IF(BA$2=$BQ$1,$BQ39,IF(BA$2=$BR$1,$BR39,IF(BA$2=$BS$1,$BS39,IF(BA$2=$BT$1,$BT39,IF(BA$2=$BU$1,$BU39,INDEX(Tiere!$BN$2:$BN$145,_xlfn.AGGREGATE(15,6,(ROW(Tiere!$BN$2:$BN$145)-1)/(--(SEARCH(BA$2,Tiere!$BN$2:$BN$145)&gt;0)),ROW()-1),1))))))))),"")</f>
        <v/>
      </c>
      <c r="BA40" s="2436"/>
      <c r="BB40" s="2472" t="str">
        <f>IFERROR(IF(OR(BC$2="ZURÜCK ZUR AUSWAHL",BC$2="",BC$2=0),"",IF(BC$2=$BO$1,$BO39,IF(BC$2=$BP$1,$BP39,IF(BC$2=$BQ$1,$BQ39,IF(BC$2=$BR$1,$BR39,IF(BC$2=$BS$1,$BS39,IF(BC$2=$BT$1,$BT39,IF(BC$2=$BU$1,$BU39,INDEX(Tiere!$BN$2:$BN$145,_xlfn.AGGREGATE(15,6,(ROW(Tiere!$BN$2:$BN$145)-1)/(--(SEARCH(BC$2,Tiere!$BN$2:$BN$145)&gt;0)),ROW()-1),1))))))))),"")</f>
        <v/>
      </c>
      <c r="BC40" s="2436"/>
      <c r="BD40" s="2472" t="str">
        <f>IFERROR(IF(OR(BE$2="ZURÜCK ZUR AUSWAHL",BE$2="",BE$2=0),"",IF(BE$2=$BO$1,$BO39,IF(BE$2=$BP$1,$BP39,IF(BE$2=$BQ$1,$BQ39,IF(BE$2=$BR$1,$BR39,IF(BE$2=$BS$1,$BS39,IF(BE$2=$BT$1,$BT39,IF(BE$2=$BU$1,$BU39,INDEX(Tiere!$BN$2:$BN$145,_xlfn.AGGREGATE(15,6,(ROW(Tiere!$BN$2:$BN$145)-1)/(--(SEARCH(BE$2,Tiere!$BN$2:$BN$145)&gt;0)),ROW()-1),1))))))))),"")</f>
        <v/>
      </c>
      <c r="BE40" s="2436"/>
      <c r="BF40" s="2472" t="str">
        <f>IFERROR(IF(OR(BG$2="ZURÜCK ZUR AUSWAHL",BG$2="",BG$2=0),"",IF(BG$2=$BO$1,$BO39,IF(BG$2=$BP$1,$BP39,IF(BG$2=$BQ$1,$BQ39,IF(BG$2=$BR$1,$BR39,IF(BG$2=$BS$1,$BS39,IF(BG$2=$BT$1,$BT39,IF(BG$2=$BU$1,$BU39,INDEX(Tiere!$BN$2:$BN$145,_xlfn.AGGREGATE(15,6,(ROW(Tiere!$BN$2:$BN$145)-1)/(--(SEARCH(BG$2,Tiere!$BN$2:$BN$145)&gt;0)),ROW()-1),1))))))))),"")</f>
        <v/>
      </c>
      <c r="BG40" s="2436"/>
      <c r="BH40" s="2472" t="str">
        <f>IFERROR(IF(OR(BI$2="ZURÜCK ZUR AUSWAHL",BI$2="",BI$2=0),"",IF(BI$2=$BO$1,$BO39,IF(BI$2=$BP$1,$BP39,IF(BI$2=$BQ$1,$BQ39,IF(BI$2=$BR$1,$BR39,IF(BI$2=$BS$1,$BS39,IF(BI$2=$BT$1,$BT39,IF(BI$2=$BU$1,$BU39,INDEX(Tiere!$BN$2:$BN$145,_xlfn.AGGREGATE(15,6,(ROW(Tiere!$BN$2:$BN$145)-1)/(--(SEARCH(BI$2,Tiere!$BN$2:$BN$145)&gt;0)),ROW()-1),1))))))))),"")</f>
        <v/>
      </c>
      <c r="BI40" s="2436"/>
      <c r="BJ40" s="2472" t="str">
        <f>IFERROR(IF(OR(BK$2="ZURÜCK ZUR AUSWAHL",BK$2="",BK$2=0),"",IF(BK$2=$BO$1,$BO39,IF(BK$2=$BP$1,$BP39,IF(BK$2=$BQ$1,$BQ39,IF(BK$2=$BR$1,$BR39,IF(BK$2=$BS$1,$BS39,IF(BK$2=$BT$1,$BT39,IF(BK$2=$BU$1,$BU39,INDEX(Tiere!$BN$2:$BN$145,_xlfn.AGGREGATE(15,6,(ROW(Tiere!$BN$2:$BN$145)-1)/(--(SEARCH(BK$2,Tiere!$BN$2:$BN$145)&gt;0)),ROW()-1),1))))))))),"")</f>
        <v/>
      </c>
      <c r="BK40" s="2436"/>
      <c r="BL40" s="2472" t="str">
        <f>IFERROR(IF(OR(BM$2="ZURÜCK ZUR AUSWAHL",BM$2="",BM$2=0),"",IF(BM$2=$BO$1,$BO39,IF(BM$2=$BP$1,$BP39,IF(BM$2=$BQ$1,$BQ39,IF(BM$2=$BR$1,$BR39,IF(BM$2=$BS$1,$BS39,IF(BM$2=$BT$1,$BT39,IF(BM$2=$BU$1,$BU39,INDEX(Tiere!$BN$2:$BN$145,_xlfn.AGGREGATE(15,6,(ROW(Tiere!$BN$2:$BN$145)-1)/(--(SEARCH(BM$2,Tiere!$BN$2:$BN$145)&gt;0)),ROW()-1),1))))))))),"")</f>
        <v/>
      </c>
      <c r="BM40" s="2436"/>
      <c r="BN40" s="2478" t="s">
        <v>1159</v>
      </c>
      <c r="BO40" s="2518" t="s">
        <v>1159</v>
      </c>
      <c r="BP40" s="2470"/>
      <c r="BQ40" s="2470"/>
      <c r="BR40" s="2470"/>
      <c r="BS40" s="2470"/>
      <c r="BT40" s="2470"/>
      <c r="BU40" s="2518" t="s">
        <v>1322</v>
      </c>
    </row>
    <row r="41" spans="1:73" ht="13.8" thickBot="1">
      <c r="AJ41" s="2472" t="str">
        <f>IFERROR(IF(OR(AK$2="ZURÜCK ZUR AUSWAHL",AK$2="",AK$2=0),"",IF(AK$2=$BO$1,$BO40,IF(AK$2=$BP$1,"",IF(AK$2=$BQ$1,$BQ40,IF(AK$2=$BR$1,$BR40,IF(AK$2=$BS$1,$BS40,IF(AK$2=$BT$1,$BT40,IF(AK$2=$BU$1,$BU40,INDEX(Tiere!$BN$2:$BN$145,_xlfn.AGGREGATE(15,6,(ROW(Tiere!$BN$2:$BN$145)-1)/(--(SEARCH(AK$2,Tiere!$BN$2:$BN$145)&gt;0)),ROW()-2),1))))))))),"")</f>
        <v/>
      </c>
      <c r="AK41" s="2438"/>
      <c r="AL41" s="2472" t="str">
        <f>IFERROR(IF(OR(AM$2="ZURÜCK ZUR AUSWAHL",AM$2="",AM$2=0),"",IF(AM$2=$BO$1,$BO40,IF(AM$2=$BP$1,$BP40,IF(AM$2=$BQ$1,$BQ40,IF(AM$2=$BR$1,$BR40,IF(AM$2=$BS$1,$BS40,IF(AM$2=$BT$1,$BT40,IF(AM$2=$BU$1,$BU40,INDEX(Tiere!$BN$2:$BN$145,_xlfn.AGGREGATE(15,6,(ROW(Tiere!$BN$2:$BN$145)-1)/(--(SEARCH(AM$2,Tiere!$BN$2:$BN$145)&gt;0)),ROW()-1),1))))))))),"")</f>
        <v/>
      </c>
      <c r="AM41" s="2438"/>
      <c r="AN41" s="2472" t="str">
        <f>IFERROR(IF(OR(AO$2="ZURÜCK ZUR AUSWAHL",AO$2="",AO$2=0),"",IF(AO$2=$BO$1,$BO40,IF(AO$2=$BP$1,$BP40,IF(AO$2=$BQ$1,$BQ40,IF(AO$2=$BR$1,$BR40,IF(AO$2=$BS$1,$BS40,IF(AO$2=$BT$1,$BT40,IF(AO$2=$BU$1,$BU40,INDEX(Tiere!$BN$2:$BN$145,_xlfn.AGGREGATE(15,6,(ROW(Tiere!$BN$2:$BN$145)-1)/(--(SEARCH(AO$2,Tiere!$BN$2:$BN$145)&gt;0)),ROW()-1),1))))))))),"")</f>
        <v/>
      </c>
      <c r="AO41" s="2438"/>
      <c r="AP41" s="2472" t="str">
        <f>IFERROR(IF(OR(AQ$2="ZURÜCK ZUR AUSWAHL",AQ$2="",AQ$2=0),"",IF(AQ$2=$BO$1,$BO40,IF(AQ$2=$BP$1,$BP40,IF(AQ$2=$BQ$1,$BQ40,IF(AQ$2=$BR$1,$BR40,IF(AQ$2=$BS$1,$BS40,IF(AQ$2=$BT$1,$BT40,IF(AQ$2=$BU$1,$BU40,INDEX(Tiere!$BN$2:$BN$145,_xlfn.AGGREGATE(15,6,(ROW(Tiere!$BN$2:$BN$145)-1)/(--(SEARCH(AQ$2,Tiere!$BN$2:$BN$145)&gt;0)),ROW()-1),1))))))))),"")</f>
        <v/>
      </c>
      <c r="AQ41" s="2438"/>
      <c r="AR41" s="2472" t="str">
        <f>IFERROR(IF(OR(AS$2="ZURÜCK ZUR AUSWAHL",AS$2="",AS$2=0),"",IF(AS$2=$BO$1,$BO40,IF(AS$2=$BP$1,$BP40,IF(AS$2=$BQ$1,$BQ40,IF(AS$2=$BR$1,$BR40,IF(AS$2=$BS$1,$BS40,IF(AS$2=$BT$1,$BT40,IF(AS$2=$BU$1,$BU40,INDEX(Tiere!$BN$2:$BN$145,_xlfn.AGGREGATE(15,6,(ROW(Tiere!$BN$2:$BN$145)-1)/(--(SEARCH(AS$2,Tiere!$BN$2:$BN$145)&gt;0)),ROW()-1),1))))))))),"")</f>
        <v/>
      </c>
      <c r="AS41" s="2438"/>
      <c r="AT41" s="2472" t="str">
        <f>IFERROR(IF(OR(AU$2="ZURÜCK ZUR AUSWAHL",AU$2="",AU$2=0),"",IF(AU$2=$BO$1,$BO40,IF(AU$2=$BP$1,$BP40,IF(AU$2=$BQ$1,$BQ40,IF(AU$2=$BR$1,$BR40,IF(AU$2=$BS$1,$BS40,IF(AU$2=$BT$1,$BT40,IF(AU$2=$BU$1,$BU40,INDEX(Tiere!$BN$2:$BN$145,_xlfn.AGGREGATE(15,6,(ROW(Tiere!$BN$2:$BN$145)-1)/(--(SEARCH(AU$2,Tiere!$BN$2:$BN$145)&gt;0)),ROW()-1),1))))))))),"")</f>
        <v/>
      </c>
      <c r="AU41" s="2438"/>
      <c r="AV41" s="2472" t="str">
        <f>IFERROR(IF(OR(AW$2="ZURÜCK ZUR AUSWAHL",AW$2="",AW$2=0),"",IF(AW$2=$BO$1,$BO40,IF(AW$2=$BP$1,$BP40,IF(AW$2=$BQ$1,$BQ40,IF(AW$2=$BR$1,$BR40,IF(AW$2=$BS$1,$BS40,IF(AW$2=$BT$1,$BT40,IF(AW$2=$BU$1,$BU40,INDEX(Tiere!$BN$2:$BN$145,_xlfn.AGGREGATE(15,6,(ROW(Tiere!$BN$2:$BN$145)-1)/(--(SEARCH(AW$2,Tiere!$BN$2:$BN$145)&gt;0)),ROW()-1),1))))))))),"")</f>
        <v/>
      </c>
      <c r="AW41" s="2438"/>
      <c r="AX41" s="2472" t="str">
        <f>IFERROR(IF(OR(AY$2="ZURÜCK ZUR AUSWAHL",AY$2="",AY$2=0),"",IF(AY$2=$BO$1,$BO40,IF(AY$2=$BP$1,$BP40,IF(AY$2=$BQ$1,$BQ40,IF(AY$2=$BR$1,$BR40,IF(AY$2=$BS$1,$BS40,IF(AY$2=$BT$1,$BT40,IF(AY$2=$BU$1,$BU40,INDEX(Tiere!$BN$2:$BN$145,_xlfn.AGGREGATE(15,6,(ROW(Tiere!$BN$2:$BN$145)-1)/(--(SEARCH(AY$2,Tiere!$BN$2:$BN$145)&gt;0)),ROW()-1),1))))))))),"")</f>
        <v/>
      </c>
      <c r="AY41" s="2438"/>
      <c r="AZ41" s="2472" t="str">
        <f>IFERROR(IF(OR(BA$2="ZURÜCK ZUR AUSWAHL",BA$2="",BA$2=0),"",IF(BA$2=$BO$1,$BO40,IF(BA$2=$BP$1,$BP40,IF(BA$2=$BQ$1,$BQ40,IF(BA$2=$BR$1,$BR40,IF(BA$2=$BS$1,$BS40,IF(BA$2=$BT$1,$BT40,IF(BA$2=$BU$1,$BU40,INDEX(Tiere!$BN$2:$BN$145,_xlfn.AGGREGATE(15,6,(ROW(Tiere!$BN$2:$BN$145)-1)/(--(SEARCH(BA$2,Tiere!$BN$2:$BN$145)&gt;0)),ROW()-1),1))))))))),"")</f>
        <v/>
      </c>
      <c r="BA41" s="2438"/>
      <c r="BB41" s="2472" t="str">
        <f>IFERROR(IF(OR(BC$2="ZURÜCK ZUR AUSWAHL",BC$2="",BC$2=0),"",IF(BC$2=$BO$1,$BO40,IF(BC$2=$BP$1,$BP40,IF(BC$2=$BQ$1,$BQ40,IF(BC$2=$BR$1,$BR40,IF(BC$2=$BS$1,$BS40,IF(BC$2=$BT$1,$BT40,IF(BC$2=$BU$1,$BU40,INDEX(Tiere!$BN$2:$BN$145,_xlfn.AGGREGATE(15,6,(ROW(Tiere!$BN$2:$BN$145)-1)/(--(SEARCH(BC$2,Tiere!$BN$2:$BN$145)&gt;0)),ROW()-1),1))))))))),"")</f>
        <v/>
      </c>
      <c r="BC41" s="2438"/>
      <c r="BD41" s="2472" t="str">
        <f>IFERROR(IF(OR(BE$2="ZURÜCK ZUR AUSWAHL",BE$2="",BE$2=0),"",IF(BE$2=$BO$1,$BO40,IF(BE$2=$BP$1,$BP40,IF(BE$2=$BQ$1,$BQ40,IF(BE$2=$BR$1,$BR40,IF(BE$2=$BS$1,$BS40,IF(BE$2=$BT$1,$BT40,IF(BE$2=$BU$1,$BU40,INDEX(Tiere!$BN$2:$BN$145,_xlfn.AGGREGATE(15,6,(ROW(Tiere!$BN$2:$BN$145)-1)/(--(SEARCH(BE$2,Tiere!$BN$2:$BN$145)&gt;0)),ROW()-1),1))))))))),"")</f>
        <v/>
      </c>
      <c r="BE41" s="2438"/>
      <c r="BF41" s="2472" t="str">
        <f>IFERROR(IF(OR(BG$2="ZURÜCK ZUR AUSWAHL",BG$2="",BG$2=0),"",IF(BG$2=$BO$1,$BO40,IF(BG$2=$BP$1,$BP40,IF(BG$2=$BQ$1,$BQ40,IF(BG$2=$BR$1,$BR40,IF(BG$2=$BS$1,$BS40,IF(BG$2=$BT$1,$BT40,IF(BG$2=$BU$1,$BU40,INDEX(Tiere!$BN$2:$BN$145,_xlfn.AGGREGATE(15,6,(ROW(Tiere!$BN$2:$BN$145)-1)/(--(SEARCH(BG$2,Tiere!$BN$2:$BN$145)&gt;0)),ROW()-1),1))))))))),"")</f>
        <v/>
      </c>
      <c r="BG41" s="2438"/>
      <c r="BH41" s="2472" t="str">
        <f>IFERROR(IF(OR(BI$2="ZURÜCK ZUR AUSWAHL",BI$2="",BI$2=0),"",IF(BI$2=$BO$1,$BO40,IF(BI$2=$BP$1,$BP40,IF(BI$2=$BQ$1,$BQ40,IF(BI$2=$BR$1,$BR40,IF(BI$2=$BS$1,$BS40,IF(BI$2=$BT$1,$BT40,IF(BI$2=$BU$1,$BU40,INDEX(Tiere!$BN$2:$BN$145,_xlfn.AGGREGATE(15,6,(ROW(Tiere!$BN$2:$BN$145)-1)/(--(SEARCH(BI$2,Tiere!$BN$2:$BN$145)&gt;0)),ROW()-1),1))))))))),"")</f>
        <v/>
      </c>
      <c r="BI41" s="2438"/>
      <c r="BJ41" s="2472" t="str">
        <f>IFERROR(IF(OR(BK$2="ZURÜCK ZUR AUSWAHL",BK$2="",BK$2=0),"",IF(BK$2=$BO$1,$BO40,IF(BK$2=$BP$1,$BP40,IF(BK$2=$BQ$1,$BQ40,IF(BK$2=$BR$1,$BR40,IF(BK$2=$BS$1,$BS40,IF(BK$2=$BT$1,$BT40,IF(BK$2=$BU$1,$BU40,INDEX(Tiere!$BN$2:$BN$145,_xlfn.AGGREGATE(15,6,(ROW(Tiere!$BN$2:$BN$145)-1)/(--(SEARCH(BK$2,Tiere!$BN$2:$BN$145)&gt;0)),ROW()-1),1))))))))),"")</f>
        <v/>
      </c>
      <c r="BK41" s="2438"/>
      <c r="BL41" s="2472" t="str">
        <f>IFERROR(IF(OR(BM$2="ZURÜCK ZUR AUSWAHL",BM$2="",BM$2=0),"",IF(BM$2=$BO$1,$BO40,IF(BM$2=$BP$1,$BP40,IF(BM$2=$BQ$1,$BQ40,IF(BM$2=$BR$1,$BR40,IF(BM$2=$BS$1,$BS40,IF(BM$2=$BT$1,$BT40,IF(BM$2=$BU$1,$BU40,INDEX(Tiere!$BN$2:$BN$145,_xlfn.AGGREGATE(15,6,(ROW(Tiere!$BN$2:$BN$145)-1)/(--(SEARCH(BM$2,Tiere!$BN$2:$BN$145)&gt;0)),ROW()-1),1))))))))),"")</f>
        <v/>
      </c>
      <c r="BM41" s="2438"/>
      <c r="BN41" s="2478" t="s">
        <v>1162</v>
      </c>
      <c r="BO41" s="2518" t="s">
        <v>1162</v>
      </c>
      <c r="BP41" s="2470"/>
      <c r="BQ41" s="2470"/>
      <c r="BR41" s="2470"/>
      <c r="BS41" s="2470"/>
      <c r="BT41" s="2470"/>
      <c r="BU41" s="2518" t="s">
        <v>1323</v>
      </c>
    </row>
    <row r="42" spans="1:73" ht="13.8" thickBot="1">
      <c r="AJ42" s="2472" t="str">
        <f>IFERROR(IF(OR(AK$2="ZURÜCK ZUR AUSWAHL",AK$2="",AK$2=0),"",IF(AK$2=$BO$1,$BO41,IF(AK$2=$BP$1,"",IF(AK$2=$BQ$1,$BQ41,IF(AK$2=$BR$1,$BR41,IF(AK$2=$BS$1,$BS41,IF(AK$2=$BT$1,$BT41,IF(AK$2=$BU$1,$BU41,INDEX(Tiere!$BN$2:$BN$145,_xlfn.AGGREGATE(15,6,(ROW(Tiere!$BN$2:$BN$145)-1)/(--(SEARCH(AK$2,Tiere!$BN$2:$BN$145)&gt;0)),ROW()-2),1))))))))),"")</f>
        <v/>
      </c>
      <c r="AK42" s="2436"/>
      <c r="AL42" s="2472" t="str">
        <f>IFERROR(IF(OR(AM$2="ZURÜCK ZUR AUSWAHL",AM$2="",AM$2=0),"",IF(AM$2=$BO$1,$BO41,IF(AM$2=$BP$1,$BP41,IF(AM$2=$BQ$1,$BQ41,IF(AM$2=$BR$1,$BR41,IF(AM$2=$BS$1,$BS41,IF(AM$2=$BT$1,$BT41,IF(AM$2=$BU$1,$BU41,INDEX(Tiere!$BN$2:$BN$145,_xlfn.AGGREGATE(15,6,(ROW(Tiere!$BN$2:$BN$145)-1)/(--(SEARCH(AM$2,Tiere!$BN$2:$BN$145)&gt;0)),ROW()-1),1))))))))),"")</f>
        <v/>
      </c>
      <c r="AM42" s="2436"/>
      <c r="AN42" s="2472" t="str">
        <f>IFERROR(IF(OR(AO$2="ZURÜCK ZUR AUSWAHL",AO$2="",AO$2=0),"",IF(AO$2=$BO$1,$BO41,IF(AO$2=$BP$1,$BP41,IF(AO$2=$BQ$1,$BQ41,IF(AO$2=$BR$1,$BR41,IF(AO$2=$BS$1,$BS41,IF(AO$2=$BT$1,$BT41,IF(AO$2=$BU$1,$BU41,INDEX(Tiere!$BN$2:$BN$145,_xlfn.AGGREGATE(15,6,(ROW(Tiere!$BN$2:$BN$145)-1)/(--(SEARCH(AO$2,Tiere!$BN$2:$BN$145)&gt;0)),ROW()-1),1))))))))),"")</f>
        <v/>
      </c>
      <c r="AO42" s="2436"/>
      <c r="AP42" s="2472" t="str">
        <f>IFERROR(IF(OR(AQ$2="ZURÜCK ZUR AUSWAHL",AQ$2="",AQ$2=0),"",IF(AQ$2=$BO$1,$BO41,IF(AQ$2=$BP$1,$BP41,IF(AQ$2=$BQ$1,$BQ41,IF(AQ$2=$BR$1,$BR41,IF(AQ$2=$BS$1,$BS41,IF(AQ$2=$BT$1,$BT41,IF(AQ$2=$BU$1,$BU41,INDEX(Tiere!$BN$2:$BN$145,_xlfn.AGGREGATE(15,6,(ROW(Tiere!$BN$2:$BN$145)-1)/(--(SEARCH(AQ$2,Tiere!$BN$2:$BN$145)&gt;0)),ROW()-1),1))))))))),"")</f>
        <v/>
      </c>
      <c r="AQ42" s="2436"/>
      <c r="AR42" s="2472" t="str">
        <f>IFERROR(IF(OR(AS$2="ZURÜCK ZUR AUSWAHL",AS$2="",AS$2=0),"",IF(AS$2=$BO$1,$BO41,IF(AS$2=$BP$1,$BP41,IF(AS$2=$BQ$1,$BQ41,IF(AS$2=$BR$1,$BR41,IF(AS$2=$BS$1,$BS41,IF(AS$2=$BT$1,$BT41,IF(AS$2=$BU$1,$BU41,INDEX(Tiere!$BN$2:$BN$145,_xlfn.AGGREGATE(15,6,(ROW(Tiere!$BN$2:$BN$145)-1)/(--(SEARCH(AS$2,Tiere!$BN$2:$BN$145)&gt;0)),ROW()-1),1))))))))),"")</f>
        <v/>
      </c>
      <c r="AS42" s="2436"/>
      <c r="AT42" s="2472" t="str">
        <f>IFERROR(IF(OR(AU$2="ZURÜCK ZUR AUSWAHL",AU$2="",AU$2=0),"",IF(AU$2=$BO$1,$BO41,IF(AU$2=$BP$1,$BP41,IF(AU$2=$BQ$1,$BQ41,IF(AU$2=$BR$1,$BR41,IF(AU$2=$BS$1,$BS41,IF(AU$2=$BT$1,$BT41,IF(AU$2=$BU$1,$BU41,INDEX(Tiere!$BN$2:$BN$145,_xlfn.AGGREGATE(15,6,(ROW(Tiere!$BN$2:$BN$145)-1)/(--(SEARCH(AU$2,Tiere!$BN$2:$BN$145)&gt;0)),ROW()-1),1))))))))),"")</f>
        <v/>
      </c>
      <c r="AU42" s="2436"/>
      <c r="AV42" s="2472" t="str">
        <f>IFERROR(IF(OR(AW$2="ZURÜCK ZUR AUSWAHL",AW$2="",AW$2=0),"",IF(AW$2=$BO$1,$BO41,IF(AW$2=$BP$1,$BP41,IF(AW$2=$BQ$1,$BQ41,IF(AW$2=$BR$1,$BR41,IF(AW$2=$BS$1,$BS41,IF(AW$2=$BT$1,$BT41,IF(AW$2=$BU$1,$BU41,INDEX(Tiere!$BN$2:$BN$145,_xlfn.AGGREGATE(15,6,(ROW(Tiere!$BN$2:$BN$145)-1)/(--(SEARCH(AW$2,Tiere!$BN$2:$BN$145)&gt;0)),ROW()-1),1))))))))),"")</f>
        <v/>
      </c>
      <c r="AW42" s="2436"/>
      <c r="AX42" s="2472" t="str">
        <f>IFERROR(IF(OR(AY$2="ZURÜCK ZUR AUSWAHL",AY$2="",AY$2=0),"",IF(AY$2=$BO$1,$BO41,IF(AY$2=$BP$1,$BP41,IF(AY$2=$BQ$1,$BQ41,IF(AY$2=$BR$1,$BR41,IF(AY$2=$BS$1,$BS41,IF(AY$2=$BT$1,$BT41,IF(AY$2=$BU$1,$BU41,INDEX(Tiere!$BN$2:$BN$145,_xlfn.AGGREGATE(15,6,(ROW(Tiere!$BN$2:$BN$145)-1)/(--(SEARCH(AY$2,Tiere!$BN$2:$BN$145)&gt;0)),ROW()-1),1))))))))),"")</f>
        <v/>
      </c>
      <c r="AY42" s="2436"/>
      <c r="AZ42" s="2472" t="str">
        <f>IFERROR(IF(OR(BA$2="ZURÜCK ZUR AUSWAHL",BA$2="",BA$2=0),"",IF(BA$2=$BO$1,$BO41,IF(BA$2=$BP$1,$BP41,IF(BA$2=$BQ$1,$BQ41,IF(BA$2=$BR$1,$BR41,IF(BA$2=$BS$1,$BS41,IF(BA$2=$BT$1,$BT41,IF(BA$2=$BU$1,$BU41,INDEX(Tiere!$BN$2:$BN$145,_xlfn.AGGREGATE(15,6,(ROW(Tiere!$BN$2:$BN$145)-1)/(--(SEARCH(BA$2,Tiere!$BN$2:$BN$145)&gt;0)),ROW()-1),1))))))))),"")</f>
        <v/>
      </c>
      <c r="BA42" s="2436"/>
      <c r="BB42" s="2472" t="str">
        <f>IFERROR(IF(OR(BC$2="ZURÜCK ZUR AUSWAHL",BC$2="",BC$2=0),"",IF(BC$2=$BO$1,$BO41,IF(BC$2=$BP$1,$BP41,IF(BC$2=$BQ$1,$BQ41,IF(BC$2=$BR$1,$BR41,IF(BC$2=$BS$1,$BS41,IF(BC$2=$BT$1,$BT41,IF(BC$2=$BU$1,$BU41,INDEX(Tiere!$BN$2:$BN$145,_xlfn.AGGREGATE(15,6,(ROW(Tiere!$BN$2:$BN$145)-1)/(--(SEARCH(BC$2,Tiere!$BN$2:$BN$145)&gt;0)),ROW()-1),1))))))))),"")</f>
        <v/>
      </c>
      <c r="BC42" s="2436"/>
      <c r="BD42" s="2472" t="str">
        <f>IFERROR(IF(OR(BE$2="ZURÜCK ZUR AUSWAHL",BE$2="",BE$2=0),"",IF(BE$2=$BO$1,$BO41,IF(BE$2=$BP$1,$BP41,IF(BE$2=$BQ$1,$BQ41,IF(BE$2=$BR$1,$BR41,IF(BE$2=$BS$1,$BS41,IF(BE$2=$BT$1,$BT41,IF(BE$2=$BU$1,$BU41,INDEX(Tiere!$BN$2:$BN$145,_xlfn.AGGREGATE(15,6,(ROW(Tiere!$BN$2:$BN$145)-1)/(--(SEARCH(BE$2,Tiere!$BN$2:$BN$145)&gt;0)),ROW()-1),1))))))))),"")</f>
        <v/>
      </c>
      <c r="BE42" s="2436"/>
      <c r="BF42" s="2472" t="str">
        <f>IFERROR(IF(OR(BG$2="ZURÜCK ZUR AUSWAHL",BG$2="",BG$2=0),"",IF(BG$2=$BO$1,$BO41,IF(BG$2=$BP$1,$BP41,IF(BG$2=$BQ$1,$BQ41,IF(BG$2=$BR$1,$BR41,IF(BG$2=$BS$1,$BS41,IF(BG$2=$BT$1,$BT41,IF(BG$2=$BU$1,$BU41,INDEX(Tiere!$BN$2:$BN$145,_xlfn.AGGREGATE(15,6,(ROW(Tiere!$BN$2:$BN$145)-1)/(--(SEARCH(BG$2,Tiere!$BN$2:$BN$145)&gt;0)),ROW()-1),1))))))))),"")</f>
        <v/>
      </c>
      <c r="BG42" s="2436"/>
      <c r="BH42" s="2472" t="str">
        <f>IFERROR(IF(OR(BI$2="ZURÜCK ZUR AUSWAHL",BI$2="",BI$2=0),"",IF(BI$2=$BO$1,$BO41,IF(BI$2=$BP$1,$BP41,IF(BI$2=$BQ$1,$BQ41,IF(BI$2=$BR$1,$BR41,IF(BI$2=$BS$1,$BS41,IF(BI$2=$BT$1,$BT41,IF(BI$2=$BU$1,$BU41,INDEX(Tiere!$BN$2:$BN$145,_xlfn.AGGREGATE(15,6,(ROW(Tiere!$BN$2:$BN$145)-1)/(--(SEARCH(BI$2,Tiere!$BN$2:$BN$145)&gt;0)),ROW()-1),1))))))))),"")</f>
        <v/>
      </c>
      <c r="BI42" s="2436"/>
      <c r="BJ42" s="2472" t="str">
        <f>IFERROR(IF(OR(BK$2="ZURÜCK ZUR AUSWAHL",BK$2="",BK$2=0),"",IF(BK$2=$BO$1,$BO41,IF(BK$2=$BP$1,$BP41,IF(BK$2=$BQ$1,$BQ41,IF(BK$2=$BR$1,$BR41,IF(BK$2=$BS$1,$BS41,IF(BK$2=$BT$1,$BT41,IF(BK$2=$BU$1,$BU41,INDEX(Tiere!$BN$2:$BN$145,_xlfn.AGGREGATE(15,6,(ROW(Tiere!$BN$2:$BN$145)-1)/(--(SEARCH(BK$2,Tiere!$BN$2:$BN$145)&gt;0)),ROW()-1),1))))))))),"")</f>
        <v/>
      </c>
      <c r="BK42" s="2436"/>
      <c r="BL42" s="2472" t="str">
        <f>IFERROR(IF(OR(BM$2="ZURÜCK ZUR AUSWAHL",BM$2="",BM$2=0),"",IF(BM$2=$BO$1,$BO41,IF(BM$2=$BP$1,$BP41,IF(BM$2=$BQ$1,$BQ41,IF(BM$2=$BR$1,$BR41,IF(BM$2=$BS$1,$BS41,IF(BM$2=$BT$1,$BT41,IF(BM$2=$BU$1,$BU41,INDEX(Tiere!$BN$2:$BN$145,_xlfn.AGGREGATE(15,6,(ROW(Tiere!$BN$2:$BN$145)-1)/(--(SEARCH(BM$2,Tiere!$BN$2:$BN$145)&gt;0)),ROW()-1),1))))))))),"")</f>
        <v/>
      </c>
      <c r="BM42" s="2436"/>
      <c r="BN42" s="2478" t="s">
        <v>1168</v>
      </c>
      <c r="BO42" s="2518"/>
      <c r="BP42" s="2470"/>
      <c r="BQ42" s="2470"/>
      <c r="BR42" s="2470"/>
      <c r="BS42" s="2470"/>
      <c r="BT42" s="2470"/>
      <c r="BU42" s="2518"/>
    </row>
    <row r="43" spans="1:73" ht="14.4" thickTop="1" thickBot="1">
      <c r="AJ43" s="2472" t="str">
        <f>IFERROR(IF(OR(AK$2="ZURÜCK ZUR AUSWAHL",AK$2="",AK$2=0),"",IF(AK$2=$BO$1,$BO42,IF(AK$2=$BP$1,$BP42,IF(AK$2=$BQ$1,$BQ42,IF(AK$2=$BR$1,$BR42,IF(AK$2=$BS$1,$BS42,IF(AK$2=$BT$1,$BT42,IF(AK$2=$BU$1,$BU42,INDEX(Tiere!$BN$2:$BN$145,_xlfn.AGGREGATE(15,6,(ROW(Tiere!$BN$2:$BN$145)-1)/(--(SEARCH(AK$2,Tiere!$BN$2:$BN$145)&gt;0)),ROW()-2),1))))))))),"")</f>
        <v/>
      </c>
      <c r="AK43" s="2438"/>
      <c r="AL43" s="2472" t="str">
        <f>IFERROR(IF(OR(AM$2="ZURÜCK ZUR AUSWAHL",AM$2="",AM$2=0),"",IF(AM$2=$BO$1,$BO42,IF(AM$2=$BP$1,$BP42,IF(AM$2=$BQ$1,$BQ42,IF(AM$2=$BR$1,$BR42,IF(AM$2=$BS$1,$BS42,IF(AM$2=$BT$1,$BT42,IF(AM$2=$BU$1,$BU42,INDEX(Tiere!$BN$2:$BN$145,_xlfn.AGGREGATE(15,6,(ROW(Tiere!$BN$2:$BN$145)-1)/(--(SEARCH(AM$2,Tiere!$BN$2:$BN$145)&gt;0)),ROW()-1),1))))))))),"")</f>
        <v/>
      </c>
      <c r="AM43" s="2438"/>
      <c r="AN43" s="2472" t="str">
        <f>IFERROR(IF(OR(AO$2="ZURÜCK ZUR AUSWAHL",AO$2="",AO$2=0),"",IF(AO$2=$BO$1,$BO42,IF(AO$2=$BP$1,$BP42,IF(AO$2=$BQ$1,$BQ42,IF(AO$2=$BR$1,$BR42,IF(AO$2=$BS$1,$BS42,IF(AO$2=$BT$1,$BT42,IF(AO$2=$BU$1,$BU42,INDEX(Tiere!$BN$2:$BN$145,_xlfn.AGGREGATE(15,6,(ROW(Tiere!$BN$2:$BN$145)-1)/(--(SEARCH(AO$2,Tiere!$BN$2:$BN$145)&gt;0)),ROW()-1),1))))))))),"")</f>
        <v/>
      </c>
      <c r="AO43" s="2438"/>
      <c r="AP43" s="2472" t="str">
        <f>IFERROR(IF(OR(AQ$2="ZURÜCK ZUR AUSWAHL",AQ$2="",AQ$2=0),"",IF(AQ$2=$BO$1,$BO42,IF(AQ$2=$BP$1,$BP42,IF(AQ$2=$BQ$1,$BQ42,IF(AQ$2=$BR$1,$BR42,IF(AQ$2=$BS$1,$BS42,IF(AQ$2=$BT$1,$BT42,IF(AQ$2=$BU$1,$BU42,INDEX(Tiere!$BN$2:$BN$145,_xlfn.AGGREGATE(15,6,(ROW(Tiere!$BN$2:$BN$145)-1)/(--(SEARCH(AQ$2,Tiere!$BN$2:$BN$145)&gt;0)),ROW()-1),1))))))))),"")</f>
        <v/>
      </c>
      <c r="AQ43" s="2438"/>
      <c r="AR43" s="2472" t="str">
        <f>IFERROR(IF(OR(AS$2="ZURÜCK ZUR AUSWAHL",AS$2="",AS$2=0),"",IF(AS$2=$BO$1,$BO42,IF(AS$2=$BP$1,$BP42,IF(AS$2=$BQ$1,$BQ42,IF(AS$2=$BR$1,$BR42,IF(AS$2=$BS$1,$BS42,IF(AS$2=$BT$1,$BT42,IF(AS$2=$BU$1,$BU42,INDEX(Tiere!$BN$2:$BN$145,_xlfn.AGGREGATE(15,6,(ROW(Tiere!$BN$2:$BN$145)-1)/(--(SEARCH(AS$2,Tiere!$BN$2:$BN$145)&gt;0)),ROW()-1),1))))))))),"")</f>
        <v/>
      </c>
      <c r="AS43" s="2438"/>
      <c r="AT43" s="2472" t="str">
        <f>IFERROR(IF(OR(AU$2="ZURÜCK ZUR AUSWAHL",AU$2="",AU$2=0),"",IF(AU$2=$BO$1,$BO42,IF(AU$2=$BP$1,$BP42,IF(AU$2=$BQ$1,$BQ42,IF(AU$2=$BR$1,$BR42,IF(AU$2=$BS$1,$BS42,IF(AU$2=$BT$1,$BT42,IF(AU$2=$BU$1,$BU42,INDEX(Tiere!$BN$2:$BN$145,_xlfn.AGGREGATE(15,6,(ROW(Tiere!$BN$2:$BN$145)-1)/(--(SEARCH(AU$2,Tiere!$BN$2:$BN$145)&gt;0)),ROW()-1),1))))))))),"")</f>
        <v/>
      </c>
      <c r="AU43" s="2438"/>
      <c r="AV43" s="2472" t="str">
        <f>IFERROR(IF(OR(AW$2="ZURÜCK ZUR AUSWAHL",AW$2="",AW$2=0),"",IF(AW$2=$BO$1,$BO42,IF(AW$2=$BP$1,$BP42,IF(AW$2=$BQ$1,$BQ42,IF(AW$2=$BR$1,$BR42,IF(AW$2=$BS$1,$BS42,IF(AW$2=$BT$1,$BT42,IF(AW$2=$BU$1,$BU42,INDEX(Tiere!$BN$2:$BN$145,_xlfn.AGGREGATE(15,6,(ROW(Tiere!$BN$2:$BN$145)-1)/(--(SEARCH(AW$2,Tiere!$BN$2:$BN$145)&gt;0)),ROW()-1),1))))))))),"")</f>
        <v/>
      </c>
      <c r="AW43" s="2438"/>
      <c r="AX43" s="2472" t="str">
        <f>IFERROR(IF(OR(AY$2="ZURÜCK ZUR AUSWAHL",AY$2="",AY$2=0),"",IF(AY$2=$BO$1,$BO42,IF(AY$2=$BP$1,$BP42,IF(AY$2=$BQ$1,$BQ42,IF(AY$2=$BR$1,$BR42,IF(AY$2=$BS$1,$BS42,IF(AY$2=$BT$1,$BT42,IF(AY$2=$BU$1,$BU42,INDEX(Tiere!$BN$2:$BN$145,_xlfn.AGGREGATE(15,6,(ROW(Tiere!$BN$2:$BN$145)-1)/(--(SEARCH(AY$2,Tiere!$BN$2:$BN$145)&gt;0)),ROW()-1),1))))))))),"")</f>
        <v/>
      </c>
      <c r="AY43" s="2438"/>
      <c r="AZ43" s="2472" t="str">
        <f>IFERROR(IF(OR(BA$2="ZURÜCK ZUR AUSWAHL",BA$2="",BA$2=0),"",IF(BA$2=$BO$1,$BO42,IF(BA$2=$BP$1,$BP42,IF(BA$2=$BQ$1,$BQ42,IF(BA$2=$BR$1,$BR42,IF(BA$2=$BS$1,$BS42,IF(BA$2=$BT$1,$BT42,IF(BA$2=$BU$1,$BU42,INDEX(Tiere!$BN$2:$BN$145,_xlfn.AGGREGATE(15,6,(ROW(Tiere!$BN$2:$BN$145)-1)/(--(SEARCH(BA$2,Tiere!$BN$2:$BN$145)&gt;0)),ROW()-1),1))))))))),"")</f>
        <v/>
      </c>
      <c r="BA43" s="2438"/>
      <c r="BB43" s="2472" t="str">
        <f>IFERROR(IF(OR(BC$2="ZURÜCK ZUR AUSWAHL",BC$2="",BC$2=0),"",IF(BC$2=$BO$1,$BO42,IF(BC$2=$BP$1,$BP42,IF(BC$2=$BQ$1,$BQ42,IF(BC$2=$BR$1,$BR42,IF(BC$2=$BS$1,$BS42,IF(BC$2=$BT$1,$BT42,IF(BC$2=$BU$1,$BU42,INDEX(Tiere!$BN$2:$BN$145,_xlfn.AGGREGATE(15,6,(ROW(Tiere!$BN$2:$BN$145)-1)/(--(SEARCH(BC$2,Tiere!$BN$2:$BN$145)&gt;0)),ROW()-1),1))))))))),"")</f>
        <v/>
      </c>
      <c r="BC43" s="2438"/>
      <c r="BD43" s="2472" t="str">
        <f>IFERROR(IF(OR(BE$2="ZURÜCK ZUR AUSWAHL",BE$2="",BE$2=0),"",IF(BE$2=$BO$1,$BO42,IF(BE$2=$BP$1,$BP42,IF(BE$2=$BQ$1,$BQ42,IF(BE$2=$BR$1,$BR42,IF(BE$2=$BS$1,$BS42,IF(BE$2=$BT$1,$BT42,IF(BE$2=$BU$1,$BU42,INDEX(Tiere!$BN$2:$BN$145,_xlfn.AGGREGATE(15,6,(ROW(Tiere!$BN$2:$BN$145)-1)/(--(SEARCH(BE$2,Tiere!$BN$2:$BN$145)&gt;0)),ROW()-1),1))))))))),"")</f>
        <v/>
      </c>
      <c r="BE43" s="2438"/>
      <c r="BF43" s="2472" t="str">
        <f>IFERROR(IF(OR(BG$2="ZURÜCK ZUR AUSWAHL",BG$2="",BG$2=0),"",IF(BG$2=$BO$1,$BO42,IF(BG$2=$BP$1,$BP42,IF(BG$2=$BQ$1,$BQ42,IF(BG$2=$BR$1,$BR42,IF(BG$2=$BS$1,$BS42,IF(BG$2=$BT$1,$BT42,IF(BG$2=$BU$1,$BU42,INDEX(Tiere!$BN$2:$BN$145,_xlfn.AGGREGATE(15,6,(ROW(Tiere!$BN$2:$BN$145)-1)/(--(SEARCH(BG$2,Tiere!$BN$2:$BN$145)&gt;0)),ROW()-1),1))))))))),"")</f>
        <v/>
      </c>
      <c r="BG43" s="2438"/>
      <c r="BH43" s="2472" t="str">
        <f>IFERROR(IF(OR(BI$2="ZURÜCK ZUR AUSWAHL",BI$2="",BI$2=0),"",IF(BI$2=$BO$1,$BO42,IF(BI$2=$BP$1,$BP42,IF(BI$2=$BQ$1,$BQ42,IF(BI$2=$BR$1,$BR42,IF(BI$2=$BS$1,$BS42,IF(BI$2=$BT$1,$BT42,IF(BI$2=$BU$1,$BU42,INDEX(Tiere!$BN$2:$BN$145,_xlfn.AGGREGATE(15,6,(ROW(Tiere!$BN$2:$BN$145)-1)/(--(SEARCH(BI$2,Tiere!$BN$2:$BN$145)&gt;0)),ROW()-1),1))))))))),"")</f>
        <v/>
      </c>
      <c r="BI43" s="2438"/>
      <c r="BJ43" s="2472" t="str">
        <f>IFERROR(IF(OR(BK$2="ZURÜCK ZUR AUSWAHL",BK$2="",BK$2=0),"",IF(BK$2=$BO$1,$BO42,IF(BK$2=$BP$1,$BP42,IF(BK$2=$BQ$1,$BQ42,IF(BK$2=$BR$1,$BR42,IF(BK$2=$BS$1,$BS42,IF(BK$2=$BT$1,$BT42,IF(BK$2=$BU$1,$BU42,INDEX(Tiere!$BN$2:$BN$145,_xlfn.AGGREGATE(15,6,(ROW(Tiere!$BN$2:$BN$145)-1)/(--(SEARCH(BK$2,Tiere!$BN$2:$BN$145)&gt;0)),ROW()-1),1))))))))),"")</f>
        <v/>
      </c>
      <c r="BK43" s="2438"/>
      <c r="BL43" s="2472" t="str">
        <f>IFERROR(IF(OR(BM$2="ZURÜCK ZUR AUSWAHL",BM$2="",BM$2=0),"",IF(BM$2=$BO$1,$BO42,IF(BM$2=$BP$1,$BP42,IF(BM$2=$BQ$1,$BQ42,IF(BM$2=$BR$1,$BR42,IF(BM$2=$BS$1,$BS42,IF(BM$2=$BT$1,$BT42,IF(BM$2=$BU$1,$BU42,INDEX(Tiere!$BN$2:$BN$145,_xlfn.AGGREGATE(15,6,(ROW(Tiere!$BN$2:$BN$145)-1)/(--(SEARCH(BM$2,Tiere!$BN$2:$BN$145)&gt;0)),ROW()-1),1))))))))),"")</f>
        <v/>
      </c>
      <c r="BM43" s="2438"/>
      <c r="BN43" s="2481" t="s">
        <v>1172</v>
      </c>
      <c r="BO43" s="2518"/>
      <c r="BP43" s="2470"/>
      <c r="BQ43" s="2470"/>
      <c r="BR43" s="2470"/>
      <c r="BS43" s="2470"/>
      <c r="BT43" s="2470"/>
      <c r="BU43" s="2518"/>
    </row>
    <row r="44" spans="1:73" ht="13.8" thickBot="1">
      <c r="AJ44" s="2472" t="str">
        <f>IFERROR(IF(OR(AK$2="ZURÜCK ZUR AUSWAHL",AK$2="",AK$2=0),"",IF(AK$2=$BO$1,"ZURÜCK ZUR AUSWAHL",IF(AK$2=$BP$1,$BP43,IF(AK$2=$BQ$1,$BQ43,IF(AK$2=$BR$1,$BR43,IF(AK$2=$BS$1,$BS43,IF(AK$2=$BT$1,$BT43,IF(AK$2=$BU$1,"ZURÜCK ZUR AUSWAHL",INDEX(Tiere!$BN$2:$BN$145,_xlfn.AGGREGATE(15,6,(ROW(Tiere!$BN$2:$BN$145)-1)/(--(SEARCH(AK$2,Tiere!$BN$2:$BN$145)&gt;0)),ROW()-2),1))))))))),"")</f>
        <v/>
      </c>
      <c r="AK44" s="2436"/>
      <c r="AL44" s="2472" t="str">
        <f>IFERROR(IF(OR(AM$2="ZURÜCK ZUR AUSWAHL",AM$2="",AM$2=0),"",IF(AM$2=$BO$1,"ZURÜCK ZUR AUSWAHL",IF(AM$2=$BP$1,$BP43,IF(AM$2=$BQ$1,$BQ43,IF(AM$2=$BR$1,$BR43,IF(AM$2=$BS$1,$BS43,IF(AM$2=$BT$1,$BT43,IF(AM$2=$BU$1,"ZURÜCK ZUR AUSWAHL",INDEX(Tiere!$BN$2:$BN$145,_xlfn.AGGREGATE(15,6,(ROW(Tiere!$BN$2:$BN$145)-1)/(--(SEARCH(AM$2,Tiere!$BN$2:$BN$145)&gt;0)),ROW()-1),1))))))))),"")</f>
        <v/>
      </c>
      <c r="AM44" s="2436"/>
      <c r="AN44" s="2472" t="str">
        <f>IFERROR(IF(OR(AO$2="ZURÜCK ZUR AUSWAHL",AO$2="",AO$2=0),"",IF(AO$2=$BO$1,"ZURÜCK ZUR AUSWAHL",IF(AO$2=$BP$1,$BP43,IF(AO$2=$BQ$1,$BQ43,IF(AO$2=$BR$1,$BR43,IF(AO$2=$BS$1,$BS43,IF(AO$2=$BT$1,$BT43,IF(AO$2=$BU$1,"ZURÜCK ZUR AUSWAHL",INDEX(Tiere!$BN$2:$BN$145,_xlfn.AGGREGATE(15,6,(ROW(Tiere!$BN$2:$BN$145)-1)/(--(SEARCH(AO$2,Tiere!$BN$2:$BN$145)&gt;0)),ROW()-1),1))))))))),"")</f>
        <v/>
      </c>
      <c r="AO44" s="2436"/>
      <c r="AP44" s="2472" t="str">
        <f>IFERROR(IF(OR(AQ$2="ZURÜCK ZUR AUSWAHL",AQ$2="",AQ$2=0),"",IF(AQ$2=$BO$1,"ZURÜCK ZUR AUSWAHL",IF(AQ$2=$BP$1,$BP43,IF(AQ$2=$BQ$1,$BQ43,IF(AQ$2=$BR$1,$BR43,IF(AQ$2=$BS$1,$BS43,IF(AQ$2=$BT$1,$BT43,IF(AQ$2=$BU$1,"ZURÜCK ZUR AUSWAHL",INDEX(Tiere!$BN$2:$BN$145,_xlfn.AGGREGATE(15,6,(ROW(Tiere!$BN$2:$BN$145)-1)/(--(SEARCH(AQ$2,Tiere!$BN$2:$BN$145)&gt;0)),ROW()-1),1))))))))),"")</f>
        <v/>
      </c>
      <c r="AQ44" s="2436"/>
      <c r="AR44" s="2472" t="str">
        <f>IFERROR(IF(OR(AS$2="ZURÜCK ZUR AUSWAHL",AS$2="",AS$2=0),"",IF(AS$2=$BO$1,"ZURÜCK ZUR AUSWAHL",IF(AS$2=$BP$1,$BP43,IF(AS$2=$BQ$1,$BQ43,IF(AS$2=$BR$1,$BR43,IF(AS$2=$BS$1,$BS43,IF(AS$2=$BT$1,$BT43,IF(AS$2=$BU$1,"ZURÜCK ZUR AUSWAHL",INDEX(Tiere!$BN$2:$BN$145,_xlfn.AGGREGATE(15,6,(ROW(Tiere!$BN$2:$BN$145)-1)/(--(SEARCH(AS$2,Tiere!$BN$2:$BN$145)&gt;0)),ROW()-1),1))))))))),"")</f>
        <v/>
      </c>
      <c r="AS44" s="2436"/>
      <c r="AT44" s="2472" t="str">
        <f>IFERROR(IF(OR(AU$2="ZURÜCK ZUR AUSWAHL",AU$2="",AU$2=0),"",IF(AU$2=$BO$1,"ZURÜCK ZUR AUSWAHL",IF(AU$2=$BP$1,$BP43,IF(AU$2=$BQ$1,$BQ43,IF(AU$2=$BR$1,$BR43,IF(AU$2=$BS$1,$BS43,IF(AU$2=$BT$1,$BT43,IF(AU$2=$BU$1,"ZURÜCK ZUR AUSWAHL",INDEX(Tiere!$BN$2:$BN$145,_xlfn.AGGREGATE(15,6,(ROW(Tiere!$BN$2:$BN$145)-1)/(--(SEARCH(AU$2,Tiere!$BN$2:$BN$145)&gt;0)),ROW()-1),1))))))))),"")</f>
        <v/>
      </c>
      <c r="AU44" s="2436"/>
      <c r="AV44" s="2472" t="str">
        <f>IFERROR(IF(OR(AW$2="ZURÜCK ZUR AUSWAHL",AW$2="",AW$2=0),"",IF(AW$2=$BO$1,"ZURÜCK ZUR AUSWAHL",IF(AW$2=$BP$1,$BP43,IF(AW$2=$BQ$1,$BQ43,IF(AW$2=$BR$1,$BR43,IF(AW$2=$BS$1,$BS43,IF(AW$2=$BT$1,$BT43,IF(AW$2=$BU$1,"ZURÜCK ZUR AUSWAHL",INDEX(Tiere!$BN$2:$BN$145,_xlfn.AGGREGATE(15,6,(ROW(Tiere!$BN$2:$BN$145)-1)/(--(SEARCH(AW$2,Tiere!$BN$2:$BN$145)&gt;0)),ROW()-1),1))))))))),"")</f>
        <v/>
      </c>
      <c r="AW44" s="2436"/>
      <c r="AX44" s="2472" t="str">
        <f>IFERROR(IF(OR(AY$2="ZURÜCK ZUR AUSWAHL",AY$2="",AY$2=0),"",IF(AY$2=$BO$1,"ZURÜCK ZUR AUSWAHL",IF(AY$2=$BP$1,$BP43,IF(AY$2=$BQ$1,$BQ43,IF(AY$2=$BR$1,$BR43,IF(AY$2=$BS$1,$BS43,IF(AY$2=$BT$1,$BT43,IF(AY$2=$BU$1,"ZURÜCK ZUR AUSWAHL",INDEX(Tiere!$BN$2:$BN$145,_xlfn.AGGREGATE(15,6,(ROW(Tiere!$BN$2:$BN$145)-1)/(--(SEARCH(AY$2,Tiere!$BN$2:$BN$145)&gt;0)),ROW()-1),1))))))))),"")</f>
        <v/>
      </c>
      <c r="AY44" s="2436"/>
      <c r="AZ44" s="2472" t="str">
        <f>IFERROR(IF(OR(BA$2="ZURÜCK ZUR AUSWAHL",BA$2="",BA$2=0),"",IF(BA$2=$BO$1,"ZURÜCK ZUR AUSWAHL",IF(BA$2=$BP$1,$BP43,IF(BA$2=$BQ$1,$BQ43,IF(BA$2=$BR$1,$BR43,IF(BA$2=$BS$1,$BS43,IF(BA$2=$BT$1,$BT43,IF(BA$2=$BU$1,"ZURÜCK ZUR AUSWAHL",INDEX(Tiere!$BN$2:$BN$145,_xlfn.AGGREGATE(15,6,(ROW(Tiere!$BN$2:$BN$145)-1)/(--(SEARCH(BA$2,Tiere!$BN$2:$BN$145)&gt;0)),ROW()-1),1))))))))),"")</f>
        <v/>
      </c>
      <c r="BA44" s="2436"/>
      <c r="BB44" s="2472" t="str">
        <f>IFERROR(IF(OR(BC$2="ZURÜCK ZUR AUSWAHL",BC$2="",BC$2=0),"",IF(BC$2=$BO$1,"ZURÜCK ZUR AUSWAHL",IF(BC$2=$BP$1,$BP43,IF(BC$2=$BQ$1,$BQ43,IF(BC$2=$BR$1,$BR43,IF(BC$2=$BS$1,$BS43,IF(BC$2=$BT$1,$BT43,IF(BC$2=$BU$1,"ZURÜCK ZUR AUSWAHL",INDEX(Tiere!$BN$2:$BN$145,_xlfn.AGGREGATE(15,6,(ROW(Tiere!$BN$2:$BN$145)-1)/(--(SEARCH(BC$2,Tiere!$BN$2:$BN$145)&gt;0)),ROW()-1),1))))))))),"")</f>
        <v/>
      </c>
      <c r="BC44" s="2436"/>
      <c r="BD44" s="2472" t="str">
        <f>IFERROR(IF(OR(BE$2="ZURÜCK ZUR AUSWAHL",BE$2="",BE$2=0),"",IF(BE$2=$BO$1,"ZURÜCK ZUR AUSWAHL",IF(BE$2=$BP$1,$BP43,IF(BE$2=$BQ$1,$BQ43,IF(BE$2=$BR$1,$BR43,IF(BE$2=$BS$1,$BS43,IF(BE$2=$BT$1,$BT43,IF(BE$2=$BU$1,"ZURÜCK ZUR AUSWAHL",INDEX(Tiere!$BN$2:$BN$145,_xlfn.AGGREGATE(15,6,(ROW(Tiere!$BN$2:$BN$145)-1)/(--(SEARCH(BE$2,Tiere!$BN$2:$BN$145)&gt;0)),ROW()-1),1))))))))),"")</f>
        <v/>
      </c>
      <c r="BE44" s="2436"/>
      <c r="BF44" s="2472" t="str">
        <f>IFERROR(IF(OR(BG$2="ZURÜCK ZUR AUSWAHL",BG$2="",BG$2=0),"",IF(BG$2=$BO$1,"ZURÜCK ZUR AUSWAHL",IF(BG$2=$BP$1,$BP43,IF(BG$2=$BQ$1,$BQ43,IF(BG$2=$BR$1,$BR43,IF(BG$2=$BS$1,$BS43,IF(BG$2=$BT$1,$BT43,IF(BG$2=$BU$1,"ZURÜCK ZUR AUSWAHL",INDEX(Tiere!$BN$2:$BN$145,_xlfn.AGGREGATE(15,6,(ROW(Tiere!$BN$2:$BN$145)-1)/(--(SEARCH(BG$2,Tiere!$BN$2:$BN$145)&gt;0)),ROW()-1),1))))))))),"")</f>
        <v/>
      </c>
      <c r="BG44" s="2436"/>
      <c r="BH44" s="2472" t="str">
        <f>IFERROR(IF(OR(BI$2="ZURÜCK ZUR AUSWAHL",BI$2="",BI$2=0),"",IF(BI$2=$BO$1,"ZURÜCK ZUR AUSWAHL",IF(BI$2=$BP$1,$BP43,IF(BI$2=$BQ$1,$BQ43,IF(BI$2=$BR$1,$BR43,IF(BI$2=$BS$1,$BS43,IF(BI$2=$BT$1,$BT43,IF(BI$2=$BU$1,"ZURÜCK ZUR AUSWAHL",INDEX(Tiere!$BN$2:$BN$145,_xlfn.AGGREGATE(15,6,(ROW(Tiere!$BN$2:$BN$145)-1)/(--(SEARCH(BI$2,Tiere!$BN$2:$BN$145)&gt;0)),ROW()-1),1))))))))),"")</f>
        <v/>
      </c>
      <c r="BI44" s="2436"/>
      <c r="BJ44" s="2472" t="str">
        <f>IFERROR(IF(OR(BK$2="ZURÜCK ZUR AUSWAHL",BK$2="",BK$2=0),"",IF(BK$2=$BO$1,"ZURÜCK ZUR AUSWAHL",IF(BK$2=$BP$1,$BP43,IF(BK$2=$BQ$1,$BQ43,IF(BK$2=$BR$1,$BR43,IF(BK$2=$BS$1,$BS43,IF(BK$2=$BT$1,$BT43,IF(BK$2=$BU$1,"ZURÜCK ZUR AUSWAHL",INDEX(Tiere!$BN$2:$BN$145,_xlfn.AGGREGATE(15,6,(ROW(Tiere!$BN$2:$BN$145)-1)/(--(SEARCH(BK$2,Tiere!$BN$2:$BN$145)&gt;0)),ROW()-1),1))))))))),"")</f>
        <v/>
      </c>
      <c r="BK44" s="2436"/>
      <c r="BL44" s="2472" t="str">
        <f>IFERROR(IF(OR(BM$2="ZURÜCK ZUR AUSWAHL",BM$2="",BM$2=0),"",IF(BM$2=$BO$1,"ZURÜCK ZUR AUSWAHL",IF(BM$2=$BP$1,$BP43,IF(BM$2=$BQ$1,$BQ43,IF(BM$2=$BR$1,$BR43,IF(BM$2=$BS$1,$BS43,IF(BM$2=$BT$1,$BT43,IF(BM$2=$BU$1,"ZURÜCK ZUR AUSWAHL",INDEX(Tiere!$BN$2:$BN$145,_xlfn.AGGREGATE(15,6,(ROW(Tiere!$BN$2:$BN$145)-1)/(--(SEARCH(BM$2,Tiere!$BN$2:$BN$145)&gt;0)),ROW()-1),1))))))))),"")</f>
        <v/>
      </c>
      <c r="BM44" s="2436"/>
      <c r="BN44" s="2478" t="s">
        <v>1178</v>
      </c>
      <c r="BO44" s="2520"/>
      <c r="BP44" s="2470"/>
      <c r="BQ44" s="2470"/>
      <c r="BR44" s="2470"/>
      <c r="BS44" s="2470"/>
      <c r="BT44" s="2470"/>
      <c r="BU44" s="2520"/>
    </row>
    <row r="45" spans="1:73" ht="13.8" thickBot="1">
      <c r="AJ45" s="2472" t="str">
        <f>IFERROR(IF(OR(AK$2="ZURÜCK ZUR AUSWAHL",AK$2="",AK$2=0),"",IF(AK$2=$BO$1,$BO44,IF(AK$2=$BP$1,$BP44,IF(AK$2=$BQ$1,$BQ44,IF(AK$2=$BR$1,$BR44,IF(AK$2=$BS$1,$BS44,IF(AK$2=$BT$1,$BT44,IF(AK$2=$BU$1,$BU44,INDEX(Tiere!$BN$2:$BN$145,_xlfn.AGGREGATE(15,6,(ROW(Tiere!$BN$2:$BN$145)-1)/(--(SEARCH(AK$2,Tiere!$BN$2:$BN$145)&gt;0)),ROW()-2),1))))))))),"")</f>
        <v/>
      </c>
      <c r="AK45" s="2438"/>
      <c r="AL45" s="2472" t="str">
        <f>IFERROR(IF(OR(AM$2="ZURÜCK ZUR AUSWAHL",AM$2="",AM$2=0),"",IF(AM$2=$BO$1,$BO44,IF(AM$2=$BP$1,$BP44,IF(AM$2=$BQ$1,$BQ44,IF(AM$2=$BR$1,$BR44,IF(AM$2=$BS$1,$BS44,IF(AM$2=$BT$1,$BT44,IF(AM$2=$BU$1,$BU44,INDEX(Tiere!$BN$2:$BN$145,_xlfn.AGGREGATE(15,6,(ROW(Tiere!$BN$2:$BN$145)-1)/(--(SEARCH(AM$2,Tiere!$BN$2:$BN$145)&gt;0)),ROW()-1),1))))))))),"")</f>
        <v/>
      </c>
      <c r="AM45" s="2438"/>
      <c r="AN45" s="2472" t="str">
        <f>IFERROR(IF(OR(AO$2="ZURÜCK ZUR AUSWAHL",AO$2="",AO$2=0),"",IF(AO$2=$BO$1,$BO44,IF(AO$2=$BP$1,$BP44,IF(AO$2=$BQ$1,$BQ44,IF(AO$2=$BR$1,$BR44,IF(AO$2=$BS$1,$BS44,IF(AO$2=$BT$1,$BT44,IF(AO$2=$BU$1,$BU44,INDEX(Tiere!$BN$2:$BN$145,_xlfn.AGGREGATE(15,6,(ROW(Tiere!$BN$2:$BN$145)-1)/(--(SEARCH(AO$2,Tiere!$BN$2:$BN$145)&gt;0)),ROW()-1),1))))))))),"")</f>
        <v/>
      </c>
      <c r="AO45" s="2438"/>
      <c r="AP45" s="2472" t="str">
        <f>IFERROR(IF(OR(AQ$2="ZURÜCK ZUR AUSWAHL",AQ$2="",AQ$2=0),"",IF(AQ$2=$BO$1,$BO44,IF(AQ$2=$BP$1,$BP44,IF(AQ$2=$BQ$1,$BQ44,IF(AQ$2=$BR$1,$BR44,IF(AQ$2=$BS$1,$BS44,IF(AQ$2=$BT$1,$BT44,IF(AQ$2=$BU$1,$BU44,INDEX(Tiere!$BN$2:$BN$145,_xlfn.AGGREGATE(15,6,(ROW(Tiere!$BN$2:$BN$145)-1)/(--(SEARCH(AQ$2,Tiere!$BN$2:$BN$145)&gt;0)),ROW()-1),1))))))))),"")</f>
        <v/>
      </c>
      <c r="AQ45" s="2438"/>
      <c r="AR45" s="2472" t="str">
        <f>IFERROR(IF(OR(AS$2="ZURÜCK ZUR AUSWAHL",AS$2="",AS$2=0),"",IF(AS$2=$BO$1,$BO44,IF(AS$2=$BP$1,$BP44,IF(AS$2=$BQ$1,$BQ44,IF(AS$2=$BR$1,$BR44,IF(AS$2=$BS$1,$BS44,IF(AS$2=$BT$1,$BT44,IF(AS$2=$BU$1,$BU44,INDEX(Tiere!$BN$2:$BN$145,_xlfn.AGGREGATE(15,6,(ROW(Tiere!$BN$2:$BN$145)-1)/(--(SEARCH(AS$2,Tiere!$BN$2:$BN$145)&gt;0)),ROW()-1),1))))))))),"")</f>
        <v/>
      </c>
      <c r="AS45" s="2438"/>
      <c r="AT45" s="2472" t="str">
        <f>IFERROR(IF(OR(AU$2="ZURÜCK ZUR AUSWAHL",AU$2="",AU$2=0),"",IF(AU$2=$BO$1,$BO44,IF(AU$2=$BP$1,$BP44,IF(AU$2=$BQ$1,$BQ44,IF(AU$2=$BR$1,$BR44,IF(AU$2=$BS$1,$BS44,IF(AU$2=$BT$1,$BT44,IF(AU$2=$BU$1,$BU44,INDEX(Tiere!$BN$2:$BN$145,_xlfn.AGGREGATE(15,6,(ROW(Tiere!$BN$2:$BN$145)-1)/(--(SEARCH(AU$2,Tiere!$BN$2:$BN$145)&gt;0)),ROW()-1),1))))))))),"")</f>
        <v/>
      </c>
      <c r="AU45" s="2438"/>
      <c r="AV45" s="2472" t="str">
        <f>IFERROR(IF(OR(AW$2="ZURÜCK ZUR AUSWAHL",AW$2="",AW$2=0),"",IF(AW$2=$BO$1,$BO44,IF(AW$2=$BP$1,$BP44,IF(AW$2=$BQ$1,$BQ44,IF(AW$2=$BR$1,$BR44,IF(AW$2=$BS$1,$BS44,IF(AW$2=$BT$1,$BT44,IF(AW$2=$BU$1,$BU44,INDEX(Tiere!$BN$2:$BN$145,_xlfn.AGGREGATE(15,6,(ROW(Tiere!$BN$2:$BN$145)-1)/(--(SEARCH(AW$2,Tiere!$BN$2:$BN$145)&gt;0)),ROW()-1),1))))))))),"")</f>
        <v/>
      </c>
      <c r="AW45" s="2438"/>
      <c r="AX45" s="2472" t="str">
        <f>IFERROR(IF(OR(AY$2="ZURÜCK ZUR AUSWAHL",AY$2="",AY$2=0),"",IF(AY$2=$BO$1,$BO44,IF(AY$2=$BP$1,$BP44,IF(AY$2=$BQ$1,$BQ44,IF(AY$2=$BR$1,$BR44,IF(AY$2=$BS$1,$BS44,IF(AY$2=$BT$1,$BT44,IF(AY$2=$BU$1,$BU44,INDEX(Tiere!$BN$2:$BN$145,_xlfn.AGGREGATE(15,6,(ROW(Tiere!$BN$2:$BN$145)-1)/(--(SEARCH(AY$2,Tiere!$BN$2:$BN$145)&gt;0)),ROW()-1),1))))))))),"")</f>
        <v/>
      </c>
      <c r="AY45" s="2438"/>
      <c r="AZ45" s="2472" t="str">
        <f>IFERROR(IF(OR(BA$2="ZURÜCK ZUR AUSWAHL",BA$2="",BA$2=0),"",IF(BA$2=$BO$1,$BO44,IF(BA$2=$BP$1,$BP44,IF(BA$2=$BQ$1,$BQ44,IF(BA$2=$BR$1,$BR44,IF(BA$2=$BS$1,$BS44,IF(BA$2=$BT$1,$BT44,IF(BA$2=$BU$1,$BU44,INDEX(Tiere!$BN$2:$BN$145,_xlfn.AGGREGATE(15,6,(ROW(Tiere!$BN$2:$BN$145)-1)/(--(SEARCH(BA$2,Tiere!$BN$2:$BN$145)&gt;0)),ROW()-1),1))))))))),"")</f>
        <v/>
      </c>
      <c r="BA45" s="2438"/>
      <c r="BB45" s="2472" t="str">
        <f>IFERROR(IF(OR(BC$2="ZURÜCK ZUR AUSWAHL",BC$2="",BC$2=0),"",IF(BC$2=$BO$1,$BO44,IF(BC$2=$BP$1,$BP44,IF(BC$2=$BQ$1,$BQ44,IF(BC$2=$BR$1,$BR44,IF(BC$2=$BS$1,$BS44,IF(BC$2=$BT$1,$BT44,IF(BC$2=$BU$1,$BU44,INDEX(Tiere!$BN$2:$BN$145,_xlfn.AGGREGATE(15,6,(ROW(Tiere!$BN$2:$BN$145)-1)/(--(SEARCH(BC$2,Tiere!$BN$2:$BN$145)&gt;0)),ROW()-1),1))))))))),"")</f>
        <v/>
      </c>
      <c r="BC45" s="2438"/>
      <c r="BD45" s="2472" t="str">
        <f>IFERROR(IF(OR(BE$2="ZURÜCK ZUR AUSWAHL",BE$2="",BE$2=0),"",IF(BE$2=$BO$1,$BO44,IF(BE$2=$BP$1,$BP44,IF(BE$2=$BQ$1,$BQ44,IF(BE$2=$BR$1,$BR44,IF(BE$2=$BS$1,$BS44,IF(BE$2=$BT$1,$BT44,IF(BE$2=$BU$1,$BU44,INDEX(Tiere!$BN$2:$BN$145,_xlfn.AGGREGATE(15,6,(ROW(Tiere!$BN$2:$BN$145)-1)/(--(SEARCH(BE$2,Tiere!$BN$2:$BN$145)&gt;0)),ROW()-1),1))))))))),"")</f>
        <v/>
      </c>
      <c r="BE45" s="2438"/>
      <c r="BF45" s="2472" t="str">
        <f>IFERROR(IF(OR(BG$2="ZURÜCK ZUR AUSWAHL",BG$2="",BG$2=0),"",IF(BG$2=$BO$1,$BO44,IF(BG$2=$BP$1,$BP44,IF(BG$2=$BQ$1,$BQ44,IF(BG$2=$BR$1,$BR44,IF(BG$2=$BS$1,$BS44,IF(BG$2=$BT$1,$BT44,IF(BG$2=$BU$1,$BU44,INDEX(Tiere!$BN$2:$BN$145,_xlfn.AGGREGATE(15,6,(ROW(Tiere!$BN$2:$BN$145)-1)/(--(SEARCH(BG$2,Tiere!$BN$2:$BN$145)&gt;0)),ROW()-1),1))))))))),"")</f>
        <v/>
      </c>
      <c r="BG45" s="2438"/>
      <c r="BH45" s="2472" t="str">
        <f>IFERROR(IF(OR(BI$2="ZURÜCK ZUR AUSWAHL",BI$2="",BI$2=0),"",IF(BI$2=$BO$1,$BO44,IF(BI$2=$BP$1,$BP44,IF(BI$2=$BQ$1,$BQ44,IF(BI$2=$BR$1,$BR44,IF(BI$2=$BS$1,$BS44,IF(BI$2=$BT$1,$BT44,IF(BI$2=$BU$1,$BU44,INDEX(Tiere!$BN$2:$BN$145,_xlfn.AGGREGATE(15,6,(ROW(Tiere!$BN$2:$BN$145)-1)/(--(SEARCH(BI$2,Tiere!$BN$2:$BN$145)&gt;0)),ROW()-1),1))))))))),"")</f>
        <v/>
      </c>
      <c r="BI45" s="2438"/>
      <c r="BJ45" s="2472" t="str">
        <f>IFERROR(IF(OR(BK$2="ZURÜCK ZUR AUSWAHL",BK$2="",BK$2=0),"",IF(BK$2=$BO$1,$BO44,IF(BK$2=$BP$1,$BP44,IF(BK$2=$BQ$1,$BQ44,IF(BK$2=$BR$1,$BR44,IF(BK$2=$BS$1,$BS44,IF(BK$2=$BT$1,$BT44,IF(BK$2=$BU$1,$BU44,INDEX(Tiere!$BN$2:$BN$145,_xlfn.AGGREGATE(15,6,(ROW(Tiere!$BN$2:$BN$145)-1)/(--(SEARCH(BK$2,Tiere!$BN$2:$BN$145)&gt;0)),ROW()-1),1))))))))),"")</f>
        <v/>
      </c>
      <c r="BK45" s="2438"/>
      <c r="BL45" s="2472" t="str">
        <f>IFERROR(IF(OR(BM$2="ZURÜCK ZUR AUSWAHL",BM$2="",BM$2=0),"",IF(BM$2=$BO$1,$BO44,IF(BM$2=$BP$1,$BP44,IF(BM$2=$BQ$1,$BQ44,IF(BM$2=$BR$1,$BR44,IF(BM$2=$BS$1,$BS44,IF(BM$2=$BT$1,$BT44,IF(BM$2=$BU$1,$BU44,INDEX(Tiere!$BN$2:$BN$145,_xlfn.AGGREGATE(15,6,(ROW(Tiere!$BN$2:$BN$145)-1)/(--(SEARCH(BM$2,Tiere!$BN$2:$BN$145)&gt;0)),ROW()-1),1))))))))),"")</f>
        <v/>
      </c>
      <c r="BM45" s="2438"/>
      <c r="BN45" s="2478" t="s">
        <v>1182</v>
      </c>
      <c r="BO45" s="2470"/>
      <c r="BP45" s="2470"/>
      <c r="BQ45" s="2470"/>
      <c r="BR45" s="2470"/>
      <c r="BS45" s="2470"/>
      <c r="BT45" s="2470"/>
      <c r="BU45" s="2470"/>
    </row>
    <row r="46" spans="1:73" ht="13.8" thickBot="1">
      <c r="AJ46" s="2472" t="str">
        <f>IFERROR(IF(OR(AK$2="ZURÜCK ZUR AUSWAHL",AK$2="",AK$2=0),"",IF(AK$2=$BO$1,$BO45,IF(AK$2=$BP$1,$BP45,IF(AK$2=$BQ$1,$BQ45,IF(AK$2=$BR$1,$BR45,IF(AK$2=$BS$1,$BS45,IF(AK$2=$BT$1,$BT45,IF(AK$2=$BU$1,$BU45,INDEX(Tiere!$BN$2:$BN$145,_xlfn.AGGREGATE(15,6,(ROW(Tiere!$BN$2:$BN$145)-1)/(--(SEARCH(AK$2,Tiere!$BN$2:$BN$145)&gt;0)),ROW()-2),1))))))))),"")</f>
        <v/>
      </c>
      <c r="AK46" s="2436"/>
      <c r="AL46" s="2472" t="str">
        <f>IFERROR(IF(OR(AM$2="ZURÜCK ZUR AUSWAHL",AM$2="",AM$2=0),"",IF(AM$2=$BO$1,$BO45,IF(AM$2=$BP$1,$BP45,IF(AM$2=$BQ$1,$BQ45,IF(AM$2=$BR$1,$BR45,IF(AM$2=$BS$1,$BS45,IF(AM$2=$BT$1,$BT45,IF(AM$2=$BU$1,$BU45,INDEX(Tiere!$BN$2:$BN$145,_xlfn.AGGREGATE(15,6,(ROW(Tiere!$BN$2:$BN$145)-1)/(--(SEARCH(AM$2,Tiere!$BN$2:$BN$145)&gt;0)),ROW()-1),1))))))))),"")</f>
        <v/>
      </c>
      <c r="AM46" s="2436"/>
      <c r="AN46" s="2472" t="str">
        <f>IFERROR(IF(OR(AO$2="ZURÜCK ZUR AUSWAHL",AO$2="",AO$2=0),"",IF(AO$2=$BO$1,$BO45,IF(AO$2=$BP$1,$BP45,IF(AO$2=$BQ$1,$BQ45,IF(AO$2=$BR$1,$BR45,IF(AO$2=$BS$1,$BS45,IF(AO$2=$BT$1,$BT45,IF(AO$2=$BU$1,$BU45,INDEX(Tiere!$BN$2:$BN$145,_xlfn.AGGREGATE(15,6,(ROW(Tiere!$BN$2:$BN$145)-1)/(--(SEARCH(AO$2,Tiere!$BN$2:$BN$145)&gt;0)),ROW()-1),1))))))))),"")</f>
        <v/>
      </c>
      <c r="AO46" s="2436"/>
      <c r="AP46" s="2472" t="str">
        <f>IFERROR(IF(OR(AQ$2="ZURÜCK ZUR AUSWAHL",AQ$2="",AQ$2=0),"",IF(AQ$2=$BO$1,$BO45,IF(AQ$2=$BP$1,$BP45,IF(AQ$2=$BQ$1,$BQ45,IF(AQ$2=$BR$1,$BR45,IF(AQ$2=$BS$1,$BS45,IF(AQ$2=$BT$1,$BT45,IF(AQ$2=$BU$1,$BU45,INDEX(Tiere!$BN$2:$BN$145,_xlfn.AGGREGATE(15,6,(ROW(Tiere!$BN$2:$BN$145)-1)/(--(SEARCH(AQ$2,Tiere!$BN$2:$BN$145)&gt;0)),ROW()-1),1))))))))),"")</f>
        <v/>
      </c>
      <c r="AQ46" s="2436"/>
      <c r="AR46" s="2472" t="str">
        <f>IFERROR(IF(OR(AS$2="ZURÜCK ZUR AUSWAHL",AS$2="",AS$2=0),"",IF(AS$2=$BO$1,$BO45,IF(AS$2=$BP$1,$BP45,IF(AS$2=$BQ$1,$BQ45,IF(AS$2=$BR$1,$BR45,IF(AS$2=$BS$1,$BS45,IF(AS$2=$BT$1,$BT45,IF(AS$2=$BU$1,$BU45,INDEX(Tiere!$BN$2:$BN$145,_xlfn.AGGREGATE(15,6,(ROW(Tiere!$BN$2:$BN$145)-1)/(--(SEARCH(AS$2,Tiere!$BN$2:$BN$145)&gt;0)),ROW()-1),1))))))))),"")</f>
        <v/>
      </c>
      <c r="AS46" s="2436"/>
      <c r="AT46" s="2472" t="str">
        <f>IFERROR(IF(OR(AU$2="ZURÜCK ZUR AUSWAHL",AU$2="",AU$2=0),"",IF(AU$2=$BO$1,$BO45,IF(AU$2=$BP$1,$BP45,IF(AU$2=$BQ$1,$BQ45,IF(AU$2=$BR$1,$BR45,IF(AU$2=$BS$1,$BS45,IF(AU$2=$BT$1,$BT45,IF(AU$2=$BU$1,$BU45,INDEX(Tiere!$BN$2:$BN$145,_xlfn.AGGREGATE(15,6,(ROW(Tiere!$BN$2:$BN$145)-1)/(--(SEARCH(AU$2,Tiere!$BN$2:$BN$145)&gt;0)),ROW()-1),1))))))))),"")</f>
        <v/>
      </c>
      <c r="AU46" s="2436"/>
      <c r="AV46" s="2472" t="str">
        <f>IFERROR(IF(OR(AW$2="ZURÜCK ZUR AUSWAHL",AW$2="",AW$2=0),"",IF(AW$2=$BO$1,$BO45,IF(AW$2=$BP$1,$BP45,IF(AW$2=$BQ$1,$BQ45,IF(AW$2=$BR$1,$BR45,IF(AW$2=$BS$1,$BS45,IF(AW$2=$BT$1,$BT45,IF(AW$2=$BU$1,$BU45,INDEX(Tiere!$BN$2:$BN$145,_xlfn.AGGREGATE(15,6,(ROW(Tiere!$BN$2:$BN$145)-1)/(--(SEARCH(AW$2,Tiere!$BN$2:$BN$145)&gt;0)),ROW()-1),1))))))))),"")</f>
        <v/>
      </c>
      <c r="AW46" s="2436"/>
      <c r="AX46" s="2472" t="str">
        <f>IFERROR(IF(OR(AY$2="ZURÜCK ZUR AUSWAHL",AY$2="",AY$2=0),"",IF(AY$2=$BO$1,$BO45,IF(AY$2=$BP$1,$BP45,IF(AY$2=$BQ$1,$BQ45,IF(AY$2=$BR$1,$BR45,IF(AY$2=$BS$1,$BS45,IF(AY$2=$BT$1,$BT45,IF(AY$2=$BU$1,$BU45,INDEX(Tiere!$BN$2:$BN$145,_xlfn.AGGREGATE(15,6,(ROW(Tiere!$BN$2:$BN$145)-1)/(--(SEARCH(AY$2,Tiere!$BN$2:$BN$145)&gt;0)),ROW()-1),1))))))))),"")</f>
        <v/>
      </c>
      <c r="AY46" s="2436"/>
      <c r="AZ46" s="2472" t="str">
        <f>IFERROR(IF(OR(BA$2="ZURÜCK ZUR AUSWAHL",BA$2="",BA$2=0),"",IF(BA$2=$BO$1,$BO45,IF(BA$2=$BP$1,$BP45,IF(BA$2=$BQ$1,$BQ45,IF(BA$2=$BR$1,$BR45,IF(BA$2=$BS$1,$BS45,IF(BA$2=$BT$1,$BT45,IF(BA$2=$BU$1,$BU45,INDEX(Tiere!$BN$2:$BN$145,_xlfn.AGGREGATE(15,6,(ROW(Tiere!$BN$2:$BN$145)-1)/(--(SEARCH(BA$2,Tiere!$BN$2:$BN$145)&gt;0)),ROW()-1),1))))))))),"")</f>
        <v/>
      </c>
      <c r="BA46" s="2436"/>
      <c r="BB46" s="2472" t="str">
        <f>IFERROR(IF(OR(BC$2="ZURÜCK ZUR AUSWAHL",BC$2="",BC$2=0),"",IF(BC$2=$BO$1,$BO45,IF(BC$2=$BP$1,$BP45,IF(BC$2=$BQ$1,$BQ45,IF(BC$2=$BR$1,$BR45,IF(BC$2=$BS$1,$BS45,IF(BC$2=$BT$1,$BT45,IF(BC$2=$BU$1,$BU45,INDEX(Tiere!$BN$2:$BN$145,_xlfn.AGGREGATE(15,6,(ROW(Tiere!$BN$2:$BN$145)-1)/(--(SEARCH(BC$2,Tiere!$BN$2:$BN$145)&gt;0)),ROW()-1),1))))))))),"")</f>
        <v/>
      </c>
      <c r="BC46" s="2436"/>
      <c r="BD46" s="2472" t="str">
        <f>IFERROR(IF(OR(BE$2="ZURÜCK ZUR AUSWAHL",BE$2="",BE$2=0),"",IF(BE$2=$BO$1,$BO45,IF(BE$2=$BP$1,$BP45,IF(BE$2=$BQ$1,$BQ45,IF(BE$2=$BR$1,$BR45,IF(BE$2=$BS$1,$BS45,IF(BE$2=$BT$1,$BT45,IF(BE$2=$BU$1,$BU45,INDEX(Tiere!$BN$2:$BN$145,_xlfn.AGGREGATE(15,6,(ROW(Tiere!$BN$2:$BN$145)-1)/(--(SEARCH(BE$2,Tiere!$BN$2:$BN$145)&gt;0)),ROW()-1),1))))))))),"")</f>
        <v/>
      </c>
      <c r="BE46" s="2436"/>
      <c r="BF46" s="2472" t="str">
        <f>IFERROR(IF(OR(BG$2="ZURÜCK ZUR AUSWAHL",BG$2="",BG$2=0),"",IF(BG$2=$BO$1,$BO45,IF(BG$2=$BP$1,$BP45,IF(BG$2=$BQ$1,$BQ45,IF(BG$2=$BR$1,$BR45,IF(BG$2=$BS$1,$BS45,IF(BG$2=$BT$1,$BT45,IF(BG$2=$BU$1,$BU45,INDEX(Tiere!$BN$2:$BN$145,_xlfn.AGGREGATE(15,6,(ROW(Tiere!$BN$2:$BN$145)-1)/(--(SEARCH(BG$2,Tiere!$BN$2:$BN$145)&gt;0)),ROW()-1),1))))))))),"")</f>
        <v/>
      </c>
      <c r="BG46" s="2436"/>
      <c r="BH46" s="2472" t="str">
        <f>IFERROR(IF(OR(BI$2="ZURÜCK ZUR AUSWAHL",BI$2="",BI$2=0),"",IF(BI$2=$BO$1,$BO45,IF(BI$2=$BP$1,$BP45,IF(BI$2=$BQ$1,$BQ45,IF(BI$2=$BR$1,$BR45,IF(BI$2=$BS$1,$BS45,IF(BI$2=$BT$1,$BT45,IF(BI$2=$BU$1,$BU45,INDEX(Tiere!$BN$2:$BN$145,_xlfn.AGGREGATE(15,6,(ROW(Tiere!$BN$2:$BN$145)-1)/(--(SEARCH(BI$2,Tiere!$BN$2:$BN$145)&gt;0)),ROW()-1),1))))))))),"")</f>
        <v/>
      </c>
      <c r="BI46" s="2436"/>
      <c r="BJ46" s="2472" t="str">
        <f>IFERROR(IF(OR(BK$2="ZURÜCK ZUR AUSWAHL",BK$2="",BK$2=0),"",IF(BK$2=$BO$1,$BO45,IF(BK$2=$BP$1,$BP45,IF(BK$2=$BQ$1,$BQ45,IF(BK$2=$BR$1,$BR45,IF(BK$2=$BS$1,$BS45,IF(BK$2=$BT$1,$BT45,IF(BK$2=$BU$1,$BU45,INDEX(Tiere!$BN$2:$BN$145,_xlfn.AGGREGATE(15,6,(ROW(Tiere!$BN$2:$BN$145)-1)/(--(SEARCH(BK$2,Tiere!$BN$2:$BN$145)&gt;0)),ROW()-1),1))))))))),"")</f>
        <v/>
      </c>
      <c r="BK46" s="2436"/>
      <c r="BL46" s="2472" t="str">
        <f>IFERROR(IF(OR(BM$2="ZURÜCK ZUR AUSWAHL",BM$2="",BM$2=0),"",IF(BM$2=$BO$1,$BO45,IF(BM$2=$BP$1,$BP45,IF(BM$2=$BQ$1,$BQ45,IF(BM$2=$BR$1,$BR45,IF(BM$2=$BS$1,$BS45,IF(BM$2=$BT$1,$BT45,IF(BM$2=$BU$1,$BU45,INDEX(Tiere!$BN$2:$BN$145,_xlfn.AGGREGATE(15,6,(ROW(Tiere!$BN$2:$BN$145)-1)/(--(SEARCH(BM$2,Tiere!$BN$2:$BN$145)&gt;0)),ROW()-1),1))))))))),"")</f>
        <v/>
      </c>
      <c r="BM46" s="2436"/>
      <c r="BN46" s="2478" t="s">
        <v>1184</v>
      </c>
      <c r="BO46" s="2470"/>
      <c r="BP46" s="2470"/>
      <c r="BQ46" s="2470"/>
      <c r="BR46" s="2470"/>
      <c r="BS46" s="2470"/>
      <c r="BT46" s="2470"/>
      <c r="BU46" s="2470"/>
    </row>
    <row r="47" spans="1:73" ht="13.8" thickBot="1">
      <c r="AJ47" s="2472" t="str">
        <f>IFERROR(IF(OR(AK$2="ZURÜCK ZUR AUSWAHL",AK$2="",AK$2=0),"",IF(AK$2=$BO$1,$BO46,IF(AK$2=$BP$1,$BP46,IF(AK$2=$BQ$1,$BQ46,IF(AK$2=$BR$1,$BR46,IF(AK$2=$BS$1,$BS46,IF(AK$2=$BT$1,$BT46,IF(AK$2=$BU$1,$BU46,INDEX(Tiere!$BN$2:$BN$145,_xlfn.AGGREGATE(15,6,(ROW(Tiere!$BN$2:$BN$145)-1)/(--(SEARCH(AK$2,Tiere!$BN$2:$BN$145)&gt;0)),ROW()-2),1))))))))),"")</f>
        <v/>
      </c>
      <c r="AK47" s="2438"/>
      <c r="AL47" s="2472" t="str">
        <f>IFERROR(IF(OR(AM$2="ZURÜCK ZUR AUSWAHL",AM$2="",AM$2=0),"",IF(AM$2=$BO$1,$BO46,IF(AM$2=$BP$1,$BP46,IF(AM$2=$BQ$1,$BQ46,IF(AM$2=$BR$1,$BR46,IF(AM$2=$BS$1,$BS46,IF(AM$2=$BT$1,$BT46,IF(AM$2=$BU$1,$BU46,INDEX(Tiere!$BN$2:$BN$145,_xlfn.AGGREGATE(15,6,(ROW(Tiere!$BN$2:$BN$145)-1)/(--(SEARCH(AM$2,Tiere!$BN$2:$BN$145)&gt;0)),ROW()-1),1))))))))),"")</f>
        <v/>
      </c>
      <c r="AM47" s="2438"/>
      <c r="AN47" s="2472" t="str">
        <f>IFERROR(IF(OR(AO$2="ZURÜCK ZUR AUSWAHL",AO$2="",AO$2=0),"",IF(AO$2=$BO$1,$BO46,IF(AO$2=$BP$1,$BP46,IF(AO$2=$BQ$1,$BQ46,IF(AO$2=$BR$1,$BR46,IF(AO$2=$BS$1,$BS46,IF(AO$2=$BT$1,$BT46,IF(AO$2=$BU$1,$BU46,INDEX(Tiere!$BN$2:$BN$145,_xlfn.AGGREGATE(15,6,(ROW(Tiere!$BN$2:$BN$145)-1)/(--(SEARCH(AO$2,Tiere!$BN$2:$BN$145)&gt;0)),ROW()-1),1))))))))),"")</f>
        <v/>
      </c>
      <c r="AO47" s="2438"/>
      <c r="AP47" s="2472" t="str">
        <f>IFERROR(IF(OR(AQ$2="ZURÜCK ZUR AUSWAHL",AQ$2="",AQ$2=0),"",IF(AQ$2=$BO$1,$BO46,IF(AQ$2=$BP$1,$BP46,IF(AQ$2=$BQ$1,$BQ46,IF(AQ$2=$BR$1,$BR46,IF(AQ$2=$BS$1,$BS46,IF(AQ$2=$BT$1,$BT46,IF(AQ$2=$BU$1,$BU46,INDEX(Tiere!$BN$2:$BN$145,_xlfn.AGGREGATE(15,6,(ROW(Tiere!$BN$2:$BN$145)-1)/(--(SEARCH(AQ$2,Tiere!$BN$2:$BN$145)&gt;0)),ROW()-1),1))))))))),"")</f>
        <v/>
      </c>
      <c r="AQ47" s="2438"/>
      <c r="AR47" s="2472" t="str">
        <f>IFERROR(IF(OR(AS$2="ZURÜCK ZUR AUSWAHL",AS$2="",AS$2=0),"",IF(AS$2=$BO$1,$BO46,IF(AS$2=$BP$1,$BP46,IF(AS$2=$BQ$1,$BQ46,IF(AS$2=$BR$1,$BR46,IF(AS$2=$BS$1,$BS46,IF(AS$2=$BT$1,$BT46,IF(AS$2=$BU$1,$BU46,INDEX(Tiere!$BN$2:$BN$145,_xlfn.AGGREGATE(15,6,(ROW(Tiere!$BN$2:$BN$145)-1)/(--(SEARCH(AS$2,Tiere!$BN$2:$BN$145)&gt;0)),ROW()-1),1))))))))),"")</f>
        <v/>
      </c>
      <c r="AS47" s="2438"/>
      <c r="AT47" s="2472" t="str">
        <f>IFERROR(IF(OR(AU$2="ZURÜCK ZUR AUSWAHL",AU$2="",AU$2=0),"",IF(AU$2=$BO$1,$BO46,IF(AU$2=$BP$1,$BP46,IF(AU$2=$BQ$1,$BQ46,IF(AU$2=$BR$1,$BR46,IF(AU$2=$BS$1,$BS46,IF(AU$2=$BT$1,$BT46,IF(AU$2=$BU$1,$BU46,INDEX(Tiere!$BN$2:$BN$145,_xlfn.AGGREGATE(15,6,(ROW(Tiere!$BN$2:$BN$145)-1)/(--(SEARCH(AU$2,Tiere!$BN$2:$BN$145)&gt;0)),ROW()-1),1))))))))),"")</f>
        <v/>
      </c>
      <c r="AU47" s="2438"/>
      <c r="AV47" s="2472" t="str">
        <f>IFERROR(IF(OR(AW$2="ZURÜCK ZUR AUSWAHL",AW$2="",AW$2=0),"",IF(AW$2=$BO$1,$BO46,IF(AW$2=$BP$1,$BP46,IF(AW$2=$BQ$1,$BQ46,IF(AW$2=$BR$1,$BR46,IF(AW$2=$BS$1,$BS46,IF(AW$2=$BT$1,$BT46,IF(AW$2=$BU$1,$BU46,INDEX(Tiere!$BN$2:$BN$145,_xlfn.AGGREGATE(15,6,(ROW(Tiere!$BN$2:$BN$145)-1)/(--(SEARCH(AW$2,Tiere!$BN$2:$BN$145)&gt;0)),ROW()-1),1))))))))),"")</f>
        <v/>
      </c>
      <c r="AW47" s="2438"/>
      <c r="AX47" s="2472" t="str">
        <f>IFERROR(IF(OR(AY$2="ZURÜCK ZUR AUSWAHL",AY$2="",AY$2=0),"",IF(AY$2=$BO$1,$BO46,IF(AY$2=$BP$1,$BP46,IF(AY$2=$BQ$1,$BQ46,IF(AY$2=$BR$1,$BR46,IF(AY$2=$BS$1,$BS46,IF(AY$2=$BT$1,$BT46,IF(AY$2=$BU$1,$BU46,INDEX(Tiere!$BN$2:$BN$145,_xlfn.AGGREGATE(15,6,(ROW(Tiere!$BN$2:$BN$145)-1)/(--(SEARCH(AY$2,Tiere!$BN$2:$BN$145)&gt;0)),ROW()-1),1))))))))),"")</f>
        <v/>
      </c>
      <c r="AY47" s="2438"/>
      <c r="AZ47" s="2472" t="str">
        <f>IFERROR(IF(OR(BA$2="ZURÜCK ZUR AUSWAHL",BA$2="",BA$2=0),"",IF(BA$2=$BO$1,$BO46,IF(BA$2=$BP$1,$BP46,IF(BA$2=$BQ$1,$BQ46,IF(BA$2=$BR$1,$BR46,IF(BA$2=$BS$1,$BS46,IF(BA$2=$BT$1,$BT46,IF(BA$2=$BU$1,$BU46,INDEX(Tiere!$BN$2:$BN$145,_xlfn.AGGREGATE(15,6,(ROW(Tiere!$BN$2:$BN$145)-1)/(--(SEARCH(BA$2,Tiere!$BN$2:$BN$145)&gt;0)),ROW()-1),1))))))))),"")</f>
        <v/>
      </c>
      <c r="BA47" s="2438"/>
      <c r="BB47" s="2472" t="str">
        <f>IFERROR(IF(OR(BC$2="ZURÜCK ZUR AUSWAHL",BC$2="",BC$2=0),"",IF(BC$2=$BO$1,$BO46,IF(BC$2=$BP$1,$BP46,IF(BC$2=$BQ$1,$BQ46,IF(BC$2=$BR$1,$BR46,IF(BC$2=$BS$1,$BS46,IF(BC$2=$BT$1,$BT46,IF(BC$2=$BU$1,$BU46,INDEX(Tiere!$BN$2:$BN$145,_xlfn.AGGREGATE(15,6,(ROW(Tiere!$BN$2:$BN$145)-1)/(--(SEARCH(BC$2,Tiere!$BN$2:$BN$145)&gt;0)),ROW()-1),1))))))))),"")</f>
        <v/>
      </c>
      <c r="BC47" s="2438"/>
      <c r="BD47" s="2472" t="str">
        <f>IFERROR(IF(OR(BE$2="ZURÜCK ZUR AUSWAHL",BE$2="",BE$2=0),"",IF(BE$2=$BO$1,$BO46,IF(BE$2=$BP$1,$BP46,IF(BE$2=$BQ$1,$BQ46,IF(BE$2=$BR$1,$BR46,IF(BE$2=$BS$1,$BS46,IF(BE$2=$BT$1,$BT46,IF(BE$2=$BU$1,$BU46,INDEX(Tiere!$BN$2:$BN$145,_xlfn.AGGREGATE(15,6,(ROW(Tiere!$BN$2:$BN$145)-1)/(--(SEARCH(BE$2,Tiere!$BN$2:$BN$145)&gt;0)),ROW()-1),1))))))))),"")</f>
        <v/>
      </c>
      <c r="BE47" s="2438"/>
      <c r="BF47" s="2472" t="str">
        <f>IFERROR(IF(OR(BG$2="ZURÜCK ZUR AUSWAHL",BG$2="",BG$2=0),"",IF(BG$2=$BO$1,$BO46,IF(BG$2=$BP$1,$BP46,IF(BG$2=$BQ$1,$BQ46,IF(BG$2=$BR$1,$BR46,IF(BG$2=$BS$1,$BS46,IF(BG$2=$BT$1,$BT46,IF(BG$2=$BU$1,$BU46,INDEX(Tiere!$BN$2:$BN$145,_xlfn.AGGREGATE(15,6,(ROW(Tiere!$BN$2:$BN$145)-1)/(--(SEARCH(BG$2,Tiere!$BN$2:$BN$145)&gt;0)),ROW()-1),1))))))))),"")</f>
        <v/>
      </c>
      <c r="BG47" s="2438"/>
      <c r="BH47" s="2472" t="str">
        <f>IFERROR(IF(OR(BI$2="ZURÜCK ZUR AUSWAHL",BI$2="",BI$2=0),"",IF(BI$2=$BO$1,$BO46,IF(BI$2=$BP$1,$BP46,IF(BI$2=$BQ$1,$BQ46,IF(BI$2=$BR$1,$BR46,IF(BI$2=$BS$1,$BS46,IF(BI$2=$BT$1,$BT46,IF(BI$2=$BU$1,$BU46,INDEX(Tiere!$BN$2:$BN$145,_xlfn.AGGREGATE(15,6,(ROW(Tiere!$BN$2:$BN$145)-1)/(--(SEARCH(BI$2,Tiere!$BN$2:$BN$145)&gt;0)),ROW()-1),1))))))))),"")</f>
        <v/>
      </c>
      <c r="BI47" s="2438"/>
      <c r="BJ47" s="2472" t="str">
        <f>IFERROR(IF(OR(BK$2="ZURÜCK ZUR AUSWAHL",BK$2="",BK$2=0),"",IF(BK$2=$BO$1,$BO46,IF(BK$2=$BP$1,$BP46,IF(BK$2=$BQ$1,$BQ46,IF(BK$2=$BR$1,$BR46,IF(BK$2=$BS$1,$BS46,IF(BK$2=$BT$1,$BT46,IF(BK$2=$BU$1,$BU46,INDEX(Tiere!$BN$2:$BN$145,_xlfn.AGGREGATE(15,6,(ROW(Tiere!$BN$2:$BN$145)-1)/(--(SEARCH(BK$2,Tiere!$BN$2:$BN$145)&gt;0)),ROW()-1),1))))))))),"")</f>
        <v/>
      </c>
      <c r="BK47" s="2438"/>
      <c r="BL47" s="2472" t="str">
        <f>IFERROR(IF(OR(BM$2="ZURÜCK ZUR AUSWAHL",BM$2="",BM$2=0),"",IF(BM$2=$BO$1,$BO46,IF(BM$2=$BP$1,$BP46,IF(BM$2=$BQ$1,$BQ46,IF(BM$2=$BR$1,$BR46,IF(BM$2=$BS$1,$BS46,IF(BM$2=$BT$1,$BT46,IF(BM$2=$BU$1,$BU46,INDEX(Tiere!$BN$2:$BN$145,_xlfn.AGGREGATE(15,6,(ROW(Tiere!$BN$2:$BN$145)-1)/(--(SEARCH(BM$2,Tiere!$BN$2:$BN$145)&gt;0)),ROW()-1),1))))))))),"")</f>
        <v/>
      </c>
      <c r="BM47" s="2438"/>
      <c r="BN47" s="2478" t="s">
        <v>1186</v>
      </c>
      <c r="BO47" s="2470"/>
      <c r="BP47" s="2470"/>
      <c r="BQ47" s="2470"/>
      <c r="BR47" s="2470"/>
      <c r="BS47" s="2470"/>
      <c r="BT47" s="2470"/>
      <c r="BU47" s="2470"/>
    </row>
    <row r="48" spans="1:73" ht="14.4" thickTop="1" thickBot="1">
      <c r="AJ48" s="2472" t="str">
        <f>IFERROR(IF(OR(AK$2="ZURÜCK ZUR AUSWAHL",AK$2="",AK$2=0),"",IF(AK$2=$BO$1,$BO47,IF(AK$2=$BP$1,$BP47,IF(AK$2=$BQ$1,$BQ47,IF(AK$2=$BR$1,$BR47,IF(AK$2=$BS$1,$BS47,IF(AK$2=$BT$1,$BT47,IF(AK$2=$BU$1,$BU47,INDEX(Tiere!$BN$2:$BN$145,_xlfn.AGGREGATE(15,6,(ROW(Tiere!$BN$2:$BN$145)-1)/(--(SEARCH(AK$2,Tiere!$BN$2:$BN$145)&gt;0)),ROW()-2),1))))))))),"")</f>
        <v/>
      </c>
      <c r="AK48" s="2436"/>
      <c r="AL48" s="2472" t="str">
        <f>IFERROR(IF(OR(AM$2="ZURÜCK ZUR AUSWAHL",AM$2="",AM$2=0),"",IF(AM$2=$BO$1,$BO47,IF(AM$2=$BP$1,$BP47,IF(AM$2=$BQ$1,$BQ47,IF(AM$2=$BR$1,$BR47,IF(AM$2=$BS$1,$BS47,IF(AM$2=$BT$1,$BT47,IF(AM$2=$BU$1,$BU47,INDEX(Tiere!$BN$2:$BN$145,_xlfn.AGGREGATE(15,6,(ROW(Tiere!$BN$2:$BN$145)-1)/(--(SEARCH(AM$2,Tiere!$BN$2:$BN$145)&gt;0)),ROW()-1),1))))))))),"")</f>
        <v/>
      </c>
      <c r="AM48" s="2436"/>
      <c r="AN48" s="2472" t="str">
        <f>IFERROR(IF(OR(AO$2="ZURÜCK ZUR AUSWAHL",AO$2="",AO$2=0),"",IF(AO$2=$BO$1,$BO47,IF(AO$2=$BP$1,$BP47,IF(AO$2=$BQ$1,$BQ47,IF(AO$2=$BR$1,$BR47,IF(AO$2=$BS$1,$BS47,IF(AO$2=$BT$1,$BT47,IF(AO$2=$BU$1,$BU47,INDEX(Tiere!$BN$2:$BN$145,_xlfn.AGGREGATE(15,6,(ROW(Tiere!$BN$2:$BN$145)-1)/(--(SEARCH(AO$2,Tiere!$BN$2:$BN$145)&gt;0)),ROW()-1),1))))))))),"")</f>
        <v/>
      </c>
      <c r="AO48" s="2436"/>
      <c r="AP48" s="2472" t="str">
        <f>IFERROR(IF(OR(AQ$2="ZURÜCK ZUR AUSWAHL",AQ$2="",AQ$2=0),"",IF(AQ$2=$BO$1,$BO47,IF(AQ$2=$BP$1,$BP47,IF(AQ$2=$BQ$1,$BQ47,IF(AQ$2=$BR$1,$BR47,IF(AQ$2=$BS$1,$BS47,IF(AQ$2=$BT$1,$BT47,IF(AQ$2=$BU$1,$BU47,INDEX(Tiere!$BN$2:$BN$145,_xlfn.AGGREGATE(15,6,(ROW(Tiere!$BN$2:$BN$145)-1)/(--(SEARCH(AQ$2,Tiere!$BN$2:$BN$145)&gt;0)),ROW()-1),1))))))))),"")</f>
        <v/>
      </c>
      <c r="AQ48" s="2436"/>
      <c r="AR48" s="2472" t="str">
        <f>IFERROR(IF(OR(AS$2="ZURÜCK ZUR AUSWAHL",AS$2="",AS$2=0),"",IF(AS$2=$BO$1,$BO47,IF(AS$2=$BP$1,$BP47,IF(AS$2=$BQ$1,$BQ47,IF(AS$2=$BR$1,$BR47,IF(AS$2=$BS$1,$BS47,IF(AS$2=$BT$1,$BT47,IF(AS$2=$BU$1,$BU47,INDEX(Tiere!$BN$2:$BN$145,_xlfn.AGGREGATE(15,6,(ROW(Tiere!$BN$2:$BN$145)-1)/(--(SEARCH(AS$2,Tiere!$BN$2:$BN$145)&gt;0)),ROW()-1),1))))))))),"")</f>
        <v/>
      </c>
      <c r="AS48" s="2436"/>
      <c r="AT48" s="2472" t="str">
        <f>IFERROR(IF(OR(AU$2="ZURÜCK ZUR AUSWAHL",AU$2="",AU$2=0),"",IF(AU$2=$BO$1,$BO47,IF(AU$2=$BP$1,$BP47,IF(AU$2=$BQ$1,$BQ47,IF(AU$2=$BR$1,$BR47,IF(AU$2=$BS$1,$BS47,IF(AU$2=$BT$1,$BT47,IF(AU$2=$BU$1,$BU47,INDEX(Tiere!$BN$2:$BN$145,_xlfn.AGGREGATE(15,6,(ROW(Tiere!$BN$2:$BN$145)-1)/(--(SEARCH(AU$2,Tiere!$BN$2:$BN$145)&gt;0)),ROW()-1),1))))))))),"")</f>
        <v/>
      </c>
      <c r="AU48" s="2436"/>
      <c r="AV48" s="2472" t="str">
        <f>IFERROR(IF(OR(AW$2="ZURÜCK ZUR AUSWAHL",AW$2="",AW$2=0),"",IF(AW$2=$BO$1,$BO47,IF(AW$2=$BP$1,$BP47,IF(AW$2=$BQ$1,$BQ47,IF(AW$2=$BR$1,$BR47,IF(AW$2=$BS$1,$BS47,IF(AW$2=$BT$1,$BT47,IF(AW$2=$BU$1,$BU47,INDEX(Tiere!$BN$2:$BN$145,_xlfn.AGGREGATE(15,6,(ROW(Tiere!$BN$2:$BN$145)-1)/(--(SEARCH(AW$2,Tiere!$BN$2:$BN$145)&gt;0)),ROW()-1),1))))))))),"")</f>
        <v/>
      </c>
      <c r="AW48" s="2436"/>
      <c r="AX48" s="2472" t="str">
        <f>IFERROR(IF(OR(AY$2="ZURÜCK ZUR AUSWAHL",AY$2="",AY$2=0),"",IF(AY$2=$BO$1,$BO47,IF(AY$2=$BP$1,$BP47,IF(AY$2=$BQ$1,$BQ47,IF(AY$2=$BR$1,$BR47,IF(AY$2=$BS$1,$BS47,IF(AY$2=$BT$1,$BT47,IF(AY$2=$BU$1,$BU47,INDEX(Tiere!$BN$2:$BN$145,_xlfn.AGGREGATE(15,6,(ROW(Tiere!$BN$2:$BN$145)-1)/(--(SEARCH(AY$2,Tiere!$BN$2:$BN$145)&gt;0)),ROW()-1),1))))))))),"")</f>
        <v/>
      </c>
      <c r="AY48" s="2436"/>
      <c r="AZ48" s="2472" t="str">
        <f>IFERROR(IF(OR(BA$2="ZURÜCK ZUR AUSWAHL",BA$2="",BA$2=0),"",IF(BA$2=$BO$1,$BO47,IF(BA$2=$BP$1,$BP47,IF(BA$2=$BQ$1,$BQ47,IF(BA$2=$BR$1,$BR47,IF(BA$2=$BS$1,$BS47,IF(BA$2=$BT$1,$BT47,IF(BA$2=$BU$1,$BU47,INDEX(Tiere!$BN$2:$BN$145,_xlfn.AGGREGATE(15,6,(ROW(Tiere!$BN$2:$BN$145)-1)/(--(SEARCH(BA$2,Tiere!$BN$2:$BN$145)&gt;0)),ROW()-1),1))))))))),"")</f>
        <v/>
      </c>
      <c r="BA48" s="2436"/>
      <c r="BB48" s="2472" t="str">
        <f>IFERROR(IF(OR(BC$2="ZURÜCK ZUR AUSWAHL",BC$2="",BC$2=0),"",IF(BC$2=$BO$1,$BO47,IF(BC$2=$BP$1,$BP47,IF(BC$2=$BQ$1,$BQ47,IF(BC$2=$BR$1,$BR47,IF(BC$2=$BS$1,$BS47,IF(BC$2=$BT$1,$BT47,IF(BC$2=$BU$1,$BU47,INDEX(Tiere!$BN$2:$BN$145,_xlfn.AGGREGATE(15,6,(ROW(Tiere!$BN$2:$BN$145)-1)/(--(SEARCH(BC$2,Tiere!$BN$2:$BN$145)&gt;0)),ROW()-1),1))))))))),"")</f>
        <v/>
      </c>
      <c r="BC48" s="2436"/>
      <c r="BD48" s="2472" t="str">
        <f>IFERROR(IF(OR(BE$2="ZURÜCK ZUR AUSWAHL",BE$2="",BE$2=0),"",IF(BE$2=$BO$1,$BO47,IF(BE$2=$BP$1,$BP47,IF(BE$2=$BQ$1,$BQ47,IF(BE$2=$BR$1,$BR47,IF(BE$2=$BS$1,$BS47,IF(BE$2=$BT$1,$BT47,IF(BE$2=$BU$1,$BU47,INDEX(Tiere!$BN$2:$BN$145,_xlfn.AGGREGATE(15,6,(ROW(Tiere!$BN$2:$BN$145)-1)/(--(SEARCH(BE$2,Tiere!$BN$2:$BN$145)&gt;0)),ROW()-1),1))))))))),"")</f>
        <v/>
      </c>
      <c r="BE48" s="2436"/>
      <c r="BF48" s="2472" t="str">
        <f>IFERROR(IF(OR(BG$2="ZURÜCK ZUR AUSWAHL",BG$2="",BG$2=0),"",IF(BG$2=$BO$1,$BO47,IF(BG$2=$BP$1,$BP47,IF(BG$2=$BQ$1,$BQ47,IF(BG$2=$BR$1,$BR47,IF(BG$2=$BS$1,$BS47,IF(BG$2=$BT$1,$BT47,IF(BG$2=$BU$1,$BU47,INDEX(Tiere!$BN$2:$BN$145,_xlfn.AGGREGATE(15,6,(ROW(Tiere!$BN$2:$BN$145)-1)/(--(SEARCH(BG$2,Tiere!$BN$2:$BN$145)&gt;0)),ROW()-1),1))))))))),"")</f>
        <v/>
      </c>
      <c r="BG48" s="2436"/>
      <c r="BH48" s="2472" t="str">
        <f>IFERROR(IF(OR(BI$2="ZURÜCK ZUR AUSWAHL",BI$2="",BI$2=0),"",IF(BI$2=$BO$1,$BO47,IF(BI$2=$BP$1,$BP47,IF(BI$2=$BQ$1,$BQ47,IF(BI$2=$BR$1,$BR47,IF(BI$2=$BS$1,$BS47,IF(BI$2=$BT$1,$BT47,IF(BI$2=$BU$1,$BU47,INDEX(Tiere!$BN$2:$BN$145,_xlfn.AGGREGATE(15,6,(ROW(Tiere!$BN$2:$BN$145)-1)/(--(SEARCH(BI$2,Tiere!$BN$2:$BN$145)&gt;0)),ROW()-1),1))))))))),"")</f>
        <v/>
      </c>
      <c r="BI48" s="2436"/>
      <c r="BJ48" s="2472" t="str">
        <f>IFERROR(IF(OR(BK$2="ZURÜCK ZUR AUSWAHL",BK$2="",BK$2=0),"",IF(BK$2=$BO$1,$BO47,IF(BK$2=$BP$1,$BP47,IF(BK$2=$BQ$1,$BQ47,IF(BK$2=$BR$1,$BR47,IF(BK$2=$BS$1,$BS47,IF(BK$2=$BT$1,$BT47,IF(BK$2=$BU$1,$BU47,INDEX(Tiere!$BN$2:$BN$145,_xlfn.AGGREGATE(15,6,(ROW(Tiere!$BN$2:$BN$145)-1)/(--(SEARCH(BK$2,Tiere!$BN$2:$BN$145)&gt;0)),ROW()-1),1))))))))),"")</f>
        <v/>
      </c>
      <c r="BK48" s="2436"/>
      <c r="BL48" s="2472" t="str">
        <f>IFERROR(IF(OR(BM$2="ZURÜCK ZUR AUSWAHL",BM$2="",BM$2=0),"",IF(BM$2=$BO$1,$BO47,IF(BM$2=$BP$1,$BP47,IF(BM$2=$BQ$1,$BQ47,IF(BM$2=$BR$1,$BR47,IF(BM$2=$BS$1,$BS47,IF(BM$2=$BT$1,$BT47,IF(BM$2=$BU$1,$BU47,INDEX(Tiere!$BN$2:$BN$145,_xlfn.AGGREGATE(15,6,(ROW(Tiere!$BN$2:$BN$145)-1)/(--(SEARCH(BM$2,Tiere!$BN$2:$BN$145)&gt;0)),ROW()-1),1))))))))),"")</f>
        <v/>
      </c>
      <c r="BM48" s="2436"/>
      <c r="BN48" s="2478" t="s">
        <v>1188</v>
      </c>
      <c r="BO48" s="2470"/>
      <c r="BP48" s="2470"/>
      <c r="BQ48" s="2470"/>
      <c r="BR48" s="2470"/>
      <c r="BS48" s="2470"/>
      <c r="BT48" s="2470"/>
      <c r="BU48" s="2471"/>
    </row>
    <row r="49" spans="36:73" ht="13.8" thickBot="1">
      <c r="AJ49" s="2472" t="str">
        <f>IFERROR(IF(OR(AK$2="ZURÜCK ZUR AUSWAHL",AK$2="",AK$2=0),"",IF(AK$2=$BO$1,$BO48,IF(AK$2=$BP$1,$BP48,IF(AK$2=$BQ$1,$BQ48,IF(AK$2=$BR$1,$BR48,IF(AK$2=$BS$1,$BS48,IF(AK$2=$BT$1,$BT48,IF(AK$2=$BU$1,$BU48,INDEX(Tiere!$BN$2:$BN$145,_xlfn.AGGREGATE(15,6,(ROW(Tiere!$BN$2:$BN$145)-1)/(--(SEARCH(AK$2,Tiere!$BN$2:$BN$145)&gt;0)),ROW()-2),1))))))))),"")</f>
        <v/>
      </c>
      <c r="AK49" s="2438"/>
      <c r="AL49" s="2472" t="str">
        <f>IFERROR(IF(OR(AM$2="ZURÜCK ZUR AUSWAHL",AM$2="",AM$2=0),"",IF(AM$2=$BO$1,$BO48,IF(AM$2=$BP$1,$BP48,IF(AM$2=$BQ$1,$BQ48,IF(AM$2=$BR$1,$BR48,IF(AM$2=$BS$1,$BS48,IF(AM$2=$BT$1,$BT48,IF(AM$2=$BU$1,$BU48,INDEX(Tiere!$BN$2:$BN$145,_xlfn.AGGREGATE(15,6,(ROW(Tiere!$BN$2:$BN$145)-1)/(--(SEARCH(AM$2,Tiere!$BN$2:$BN$145)&gt;0)),ROW()-1),1))))))))),"")</f>
        <v/>
      </c>
      <c r="AM49" s="2438"/>
      <c r="AN49" s="2472" t="str">
        <f>IFERROR(IF(OR(AO$2="ZURÜCK ZUR AUSWAHL",AO$2="",AO$2=0),"",IF(AO$2=$BO$1,$BO48,IF(AO$2=$BP$1,$BP48,IF(AO$2=$BQ$1,$BQ48,IF(AO$2=$BR$1,$BR48,IF(AO$2=$BS$1,$BS48,IF(AO$2=$BT$1,$BT48,IF(AO$2=$BU$1,$BU48,INDEX(Tiere!$BN$2:$BN$145,_xlfn.AGGREGATE(15,6,(ROW(Tiere!$BN$2:$BN$145)-1)/(--(SEARCH(AO$2,Tiere!$BN$2:$BN$145)&gt;0)),ROW()-1),1))))))))),"")</f>
        <v/>
      </c>
      <c r="AO49" s="2438"/>
      <c r="AP49" s="2472" t="str">
        <f>IFERROR(IF(OR(AQ$2="ZURÜCK ZUR AUSWAHL",AQ$2="",AQ$2=0),"",IF(AQ$2=$BO$1,$BO48,IF(AQ$2=$BP$1,$BP48,IF(AQ$2=$BQ$1,$BQ48,IF(AQ$2=$BR$1,$BR48,IF(AQ$2=$BS$1,$BS48,IF(AQ$2=$BT$1,$BT48,IF(AQ$2=$BU$1,$BU48,INDEX(Tiere!$BN$2:$BN$145,_xlfn.AGGREGATE(15,6,(ROW(Tiere!$BN$2:$BN$145)-1)/(--(SEARCH(AQ$2,Tiere!$BN$2:$BN$145)&gt;0)),ROW()-1),1))))))))),"")</f>
        <v/>
      </c>
      <c r="AQ49" s="2438"/>
      <c r="AR49" s="2472" t="str">
        <f>IFERROR(IF(OR(AS$2="ZURÜCK ZUR AUSWAHL",AS$2="",AS$2=0),"",IF(AS$2=$BO$1,$BO48,IF(AS$2=$BP$1,$BP48,IF(AS$2=$BQ$1,$BQ48,IF(AS$2=$BR$1,$BR48,IF(AS$2=$BS$1,$BS48,IF(AS$2=$BT$1,$BT48,IF(AS$2=$BU$1,$BU48,INDEX(Tiere!$BN$2:$BN$145,_xlfn.AGGREGATE(15,6,(ROW(Tiere!$BN$2:$BN$145)-1)/(--(SEARCH(AS$2,Tiere!$BN$2:$BN$145)&gt;0)),ROW()-1),1))))))))),"")</f>
        <v/>
      </c>
      <c r="AS49" s="2438"/>
      <c r="AT49" s="2472" t="str">
        <f>IFERROR(IF(OR(AU$2="ZURÜCK ZUR AUSWAHL",AU$2="",AU$2=0),"",IF(AU$2=$BO$1,$BO48,IF(AU$2=$BP$1,$BP48,IF(AU$2=$BQ$1,$BQ48,IF(AU$2=$BR$1,$BR48,IF(AU$2=$BS$1,$BS48,IF(AU$2=$BT$1,$BT48,IF(AU$2=$BU$1,$BU48,INDEX(Tiere!$BN$2:$BN$145,_xlfn.AGGREGATE(15,6,(ROW(Tiere!$BN$2:$BN$145)-1)/(--(SEARCH(AU$2,Tiere!$BN$2:$BN$145)&gt;0)),ROW()-1),1))))))))),"")</f>
        <v/>
      </c>
      <c r="AU49" s="2438"/>
      <c r="AV49" s="2472" t="str">
        <f>IFERROR(IF(OR(AW$2="ZURÜCK ZUR AUSWAHL",AW$2="",AW$2=0),"",IF(AW$2=$BO$1,$BO48,IF(AW$2=$BP$1,$BP48,IF(AW$2=$BQ$1,$BQ48,IF(AW$2=$BR$1,$BR48,IF(AW$2=$BS$1,$BS48,IF(AW$2=$BT$1,$BT48,IF(AW$2=$BU$1,$BU48,INDEX(Tiere!$BN$2:$BN$145,_xlfn.AGGREGATE(15,6,(ROW(Tiere!$BN$2:$BN$145)-1)/(--(SEARCH(AW$2,Tiere!$BN$2:$BN$145)&gt;0)),ROW()-1),1))))))))),"")</f>
        <v/>
      </c>
      <c r="AW49" s="2438"/>
      <c r="AX49" s="2472" t="str">
        <f>IFERROR(IF(OR(AY$2="ZURÜCK ZUR AUSWAHL",AY$2="",AY$2=0),"",IF(AY$2=$BO$1,$BO48,IF(AY$2=$BP$1,$BP48,IF(AY$2=$BQ$1,$BQ48,IF(AY$2=$BR$1,$BR48,IF(AY$2=$BS$1,$BS48,IF(AY$2=$BT$1,$BT48,IF(AY$2=$BU$1,$BU48,INDEX(Tiere!$BN$2:$BN$145,_xlfn.AGGREGATE(15,6,(ROW(Tiere!$BN$2:$BN$145)-1)/(--(SEARCH(AY$2,Tiere!$BN$2:$BN$145)&gt;0)),ROW()-1),1))))))))),"")</f>
        <v/>
      </c>
      <c r="AY49" s="2438"/>
      <c r="AZ49" s="2472" t="str">
        <f>IFERROR(IF(OR(BA$2="ZURÜCK ZUR AUSWAHL",BA$2="",BA$2=0),"",IF(BA$2=$BO$1,$BO48,IF(BA$2=$BP$1,$BP48,IF(BA$2=$BQ$1,$BQ48,IF(BA$2=$BR$1,$BR48,IF(BA$2=$BS$1,$BS48,IF(BA$2=$BT$1,$BT48,IF(BA$2=$BU$1,$BU48,INDEX(Tiere!$BN$2:$BN$145,_xlfn.AGGREGATE(15,6,(ROW(Tiere!$BN$2:$BN$145)-1)/(--(SEARCH(BA$2,Tiere!$BN$2:$BN$145)&gt;0)),ROW()-1),1))))))))),"")</f>
        <v/>
      </c>
      <c r="BA49" s="2438"/>
      <c r="BB49" s="2472" t="str">
        <f>IFERROR(IF(OR(BC$2="ZURÜCK ZUR AUSWAHL",BC$2="",BC$2=0),"",IF(BC$2=$BO$1,$BO48,IF(BC$2=$BP$1,$BP48,IF(BC$2=$BQ$1,$BQ48,IF(BC$2=$BR$1,$BR48,IF(BC$2=$BS$1,$BS48,IF(BC$2=$BT$1,$BT48,IF(BC$2=$BU$1,$BU48,INDEX(Tiere!$BN$2:$BN$145,_xlfn.AGGREGATE(15,6,(ROW(Tiere!$BN$2:$BN$145)-1)/(--(SEARCH(BC$2,Tiere!$BN$2:$BN$145)&gt;0)),ROW()-1),1))))))))),"")</f>
        <v/>
      </c>
      <c r="BC49" s="2438"/>
      <c r="BD49" s="2472" t="str">
        <f>IFERROR(IF(OR(BE$2="ZURÜCK ZUR AUSWAHL",BE$2="",BE$2=0),"",IF(BE$2=$BO$1,$BO48,IF(BE$2=$BP$1,$BP48,IF(BE$2=$BQ$1,$BQ48,IF(BE$2=$BR$1,$BR48,IF(BE$2=$BS$1,$BS48,IF(BE$2=$BT$1,$BT48,IF(BE$2=$BU$1,$BU48,INDEX(Tiere!$BN$2:$BN$145,_xlfn.AGGREGATE(15,6,(ROW(Tiere!$BN$2:$BN$145)-1)/(--(SEARCH(BE$2,Tiere!$BN$2:$BN$145)&gt;0)),ROW()-1),1))))))))),"")</f>
        <v/>
      </c>
      <c r="BE49" s="2438"/>
      <c r="BF49" s="2472" t="str">
        <f>IFERROR(IF(OR(BG$2="ZURÜCK ZUR AUSWAHL",BG$2="",BG$2=0),"",IF(BG$2=$BO$1,$BO48,IF(BG$2=$BP$1,$BP48,IF(BG$2=$BQ$1,$BQ48,IF(BG$2=$BR$1,$BR48,IF(BG$2=$BS$1,$BS48,IF(BG$2=$BT$1,$BT48,IF(BG$2=$BU$1,$BU48,INDEX(Tiere!$BN$2:$BN$145,_xlfn.AGGREGATE(15,6,(ROW(Tiere!$BN$2:$BN$145)-1)/(--(SEARCH(BG$2,Tiere!$BN$2:$BN$145)&gt;0)),ROW()-1),1))))))))),"")</f>
        <v/>
      </c>
      <c r="BG49" s="2438"/>
      <c r="BH49" s="2472" t="str">
        <f>IFERROR(IF(OR(BI$2="ZURÜCK ZUR AUSWAHL",BI$2="",BI$2=0),"",IF(BI$2=$BO$1,$BO48,IF(BI$2=$BP$1,$BP48,IF(BI$2=$BQ$1,$BQ48,IF(BI$2=$BR$1,$BR48,IF(BI$2=$BS$1,$BS48,IF(BI$2=$BT$1,$BT48,IF(BI$2=$BU$1,$BU48,INDEX(Tiere!$BN$2:$BN$145,_xlfn.AGGREGATE(15,6,(ROW(Tiere!$BN$2:$BN$145)-1)/(--(SEARCH(BI$2,Tiere!$BN$2:$BN$145)&gt;0)),ROW()-1),1))))))))),"")</f>
        <v/>
      </c>
      <c r="BI49" s="2438"/>
      <c r="BJ49" s="2472" t="str">
        <f>IFERROR(IF(OR(BK$2="ZURÜCK ZUR AUSWAHL",BK$2="",BK$2=0),"",IF(BK$2=$BO$1,$BO48,IF(BK$2=$BP$1,$BP48,IF(BK$2=$BQ$1,$BQ48,IF(BK$2=$BR$1,$BR48,IF(BK$2=$BS$1,$BS48,IF(BK$2=$BT$1,$BT48,IF(BK$2=$BU$1,$BU48,INDEX(Tiere!$BN$2:$BN$145,_xlfn.AGGREGATE(15,6,(ROW(Tiere!$BN$2:$BN$145)-1)/(--(SEARCH(BK$2,Tiere!$BN$2:$BN$145)&gt;0)),ROW()-1),1))))))))),"")</f>
        <v/>
      </c>
      <c r="BK49" s="2438"/>
      <c r="BL49" s="2472" t="str">
        <f>IFERROR(IF(OR(BM$2="ZURÜCK ZUR AUSWAHL",BM$2="",BM$2=0),"",IF(BM$2=$BO$1,$BO48,IF(BM$2=$BP$1,$BP48,IF(BM$2=$BQ$1,$BQ48,IF(BM$2=$BR$1,$BR48,IF(BM$2=$BS$1,$BS48,IF(BM$2=$BT$1,$BT48,IF(BM$2=$BU$1,$BU48,INDEX(Tiere!$BN$2:$BN$145,_xlfn.AGGREGATE(15,6,(ROW(Tiere!$BN$2:$BN$145)-1)/(--(SEARCH(BM$2,Tiere!$BN$2:$BN$145)&gt;0)),ROW()-1),1))))))))),"")</f>
        <v/>
      </c>
      <c r="BM49" s="2438"/>
      <c r="BN49" s="2478" t="s">
        <v>1190</v>
      </c>
      <c r="BO49" s="2470"/>
      <c r="BP49" s="2470"/>
      <c r="BQ49" s="2470"/>
      <c r="BR49" s="2470"/>
      <c r="BS49" s="2470"/>
      <c r="BT49" s="2470"/>
      <c r="BU49" s="2470"/>
    </row>
    <row r="50" spans="36:73" ht="13.8" thickBot="1">
      <c r="AJ50" s="2472" t="str">
        <f>IFERROR(IF(OR(AK$2="ZURÜCK ZUR AUSWAHL",AK$2="",AK$2=0),"",IF(AK$2=$BO$1,$BO49,IF(AK$2=$BP$1,$BP49,IF(AK$2=$BQ$1,$BQ49,IF(AK$2=$BR$1,$BR49,IF(AK$2=$BS$1,$BS49,IF(AK$2=$BT$1,$BT49,IF(AK$2=$BU$1,$BU49,INDEX(Tiere!$BN$2:$BN$145,_xlfn.AGGREGATE(15,6,(ROW(Tiere!$BN$2:$BN$145)-1)/(--(SEARCH(AK$2,Tiere!$BN$2:$BN$145)&gt;0)),ROW()-2),1))))))))),"")</f>
        <v/>
      </c>
      <c r="AK50" s="2436"/>
      <c r="AL50" s="2472" t="str">
        <f>IFERROR(IF(OR(AM$2="ZURÜCK ZUR AUSWAHL",AM$2="",AM$2=0),"",IF(AM$2=$BO$1,$BO49,IF(AM$2=$BP$1,$BP49,IF(AM$2=$BQ$1,$BQ49,IF(AM$2=$BR$1,$BR49,IF(AM$2=$BS$1,$BS49,IF(AM$2=$BT$1,$BT49,IF(AM$2=$BU$1,$BU49,INDEX(Tiere!$BN$2:$BN$145,_xlfn.AGGREGATE(15,6,(ROW(Tiere!$BN$2:$BN$145)-1)/(--(SEARCH(AM$2,Tiere!$BN$2:$BN$145)&gt;0)),ROW()-1),1))))))))),"")</f>
        <v/>
      </c>
      <c r="AM50" s="2436"/>
      <c r="AN50" s="2472" t="str">
        <f>IFERROR(IF(OR(AO$2="ZURÜCK ZUR AUSWAHL",AO$2="",AO$2=0),"",IF(AO$2=$BO$1,$BO49,IF(AO$2=$BP$1,$BP49,IF(AO$2=$BQ$1,$BQ49,IF(AO$2=$BR$1,$BR49,IF(AO$2=$BS$1,$BS49,IF(AO$2=$BT$1,$BT49,IF(AO$2=$BU$1,$BU49,INDEX(Tiere!$BN$2:$BN$145,_xlfn.AGGREGATE(15,6,(ROW(Tiere!$BN$2:$BN$145)-1)/(--(SEARCH(AO$2,Tiere!$BN$2:$BN$145)&gt;0)),ROW()-1),1))))))))),"")</f>
        <v/>
      </c>
      <c r="AO50" s="2436"/>
      <c r="AP50" s="2472" t="str">
        <f>IFERROR(IF(OR(AQ$2="ZURÜCK ZUR AUSWAHL",AQ$2="",AQ$2=0),"",IF(AQ$2=$BO$1,$BO49,IF(AQ$2=$BP$1,$BP49,IF(AQ$2=$BQ$1,$BQ49,IF(AQ$2=$BR$1,$BR49,IF(AQ$2=$BS$1,$BS49,IF(AQ$2=$BT$1,$BT49,IF(AQ$2=$BU$1,$BU49,INDEX(Tiere!$BN$2:$BN$145,_xlfn.AGGREGATE(15,6,(ROW(Tiere!$BN$2:$BN$145)-1)/(--(SEARCH(AQ$2,Tiere!$BN$2:$BN$145)&gt;0)),ROW()-1),1))))))))),"")</f>
        <v/>
      </c>
      <c r="AQ50" s="2436"/>
      <c r="AR50" s="2472" t="str">
        <f>IFERROR(IF(OR(AS$2="ZURÜCK ZUR AUSWAHL",AS$2="",AS$2=0),"",IF(AS$2=$BO$1,$BO49,IF(AS$2=$BP$1,$BP49,IF(AS$2=$BQ$1,$BQ49,IF(AS$2=$BR$1,$BR49,IF(AS$2=$BS$1,$BS49,IF(AS$2=$BT$1,$BT49,IF(AS$2=$BU$1,$BU49,INDEX(Tiere!$BN$2:$BN$145,_xlfn.AGGREGATE(15,6,(ROW(Tiere!$BN$2:$BN$145)-1)/(--(SEARCH(AS$2,Tiere!$BN$2:$BN$145)&gt;0)),ROW()-1),1))))))))),"")</f>
        <v/>
      </c>
      <c r="AS50" s="2436"/>
      <c r="AT50" s="2472" t="str">
        <f>IFERROR(IF(OR(AU$2="ZURÜCK ZUR AUSWAHL",AU$2="",AU$2=0),"",IF(AU$2=$BO$1,$BO49,IF(AU$2=$BP$1,$BP49,IF(AU$2=$BQ$1,$BQ49,IF(AU$2=$BR$1,$BR49,IF(AU$2=$BS$1,$BS49,IF(AU$2=$BT$1,$BT49,IF(AU$2=$BU$1,$BU49,INDEX(Tiere!$BN$2:$BN$145,_xlfn.AGGREGATE(15,6,(ROW(Tiere!$BN$2:$BN$145)-1)/(--(SEARCH(AU$2,Tiere!$BN$2:$BN$145)&gt;0)),ROW()-1),1))))))))),"")</f>
        <v/>
      </c>
      <c r="AU50" s="2436"/>
      <c r="AV50" s="2472" t="str">
        <f>IFERROR(IF(OR(AW$2="ZURÜCK ZUR AUSWAHL",AW$2="",AW$2=0),"",IF(AW$2=$BO$1,$BO49,IF(AW$2=$BP$1,$BP49,IF(AW$2=$BQ$1,$BQ49,IF(AW$2=$BR$1,$BR49,IF(AW$2=$BS$1,$BS49,IF(AW$2=$BT$1,$BT49,IF(AW$2=$BU$1,$BU49,INDEX(Tiere!$BN$2:$BN$145,_xlfn.AGGREGATE(15,6,(ROW(Tiere!$BN$2:$BN$145)-1)/(--(SEARCH(AW$2,Tiere!$BN$2:$BN$145)&gt;0)),ROW()-1),1))))))))),"")</f>
        <v/>
      </c>
      <c r="AW50" s="2436"/>
      <c r="AX50" s="2472" t="str">
        <f>IFERROR(IF(OR(AY$2="ZURÜCK ZUR AUSWAHL",AY$2="",AY$2=0),"",IF(AY$2=$BO$1,$BO49,IF(AY$2=$BP$1,$BP49,IF(AY$2=$BQ$1,$BQ49,IF(AY$2=$BR$1,$BR49,IF(AY$2=$BS$1,$BS49,IF(AY$2=$BT$1,$BT49,IF(AY$2=$BU$1,$BU49,INDEX(Tiere!$BN$2:$BN$145,_xlfn.AGGREGATE(15,6,(ROW(Tiere!$BN$2:$BN$145)-1)/(--(SEARCH(AY$2,Tiere!$BN$2:$BN$145)&gt;0)),ROW()-1),1))))))))),"")</f>
        <v/>
      </c>
      <c r="AY50" s="2436"/>
      <c r="AZ50" s="2472" t="str">
        <f>IFERROR(IF(OR(BA$2="ZURÜCK ZUR AUSWAHL",BA$2="",BA$2=0),"",IF(BA$2=$BO$1,$BO49,IF(BA$2=$BP$1,$BP49,IF(BA$2=$BQ$1,$BQ49,IF(BA$2=$BR$1,$BR49,IF(BA$2=$BS$1,$BS49,IF(BA$2=$BT$1,$BT49,IF(BA$2=$BU$1,$BU49,INDEX(Tiere!$BN$2:$BN$145,_xlfn.AGGREGATE(15,6,(ROW(Tiere!$BN$2:$BN$145)-1)/(--(SEARCH(BA$2,Tiere!$BN$2:$BN$145)&gt;0)),ROW()-1),1))))))))),"")</f>
        <v/>
      </c>
      <c r="BA50" s="2436"/>
      <c r="BB50" s="2472" t="str">
        <f>IFERROR(IF(OR(BC$2="ZURÜCK ZUR AUSWAHL",BC$2="",BC$2=0),"",IF(BC$2=$BO$1,$BO49,IF(BC$2=$BP$1,$BP49,IF(BC$2=$BQ$1,$BQ49,IF(BC$2=$BR$1,$BR49,IF(BC$2=$BS$1,$BS49,IF(BC$2=$BT$1,$BT49,IF(BC$2=$BU$1,$BU49,INDEX(Tiere!$BN$2:$BN$145,_xlfn.AGGREGATE(15,6,(ROW(Tiere!$BN$2:$BN$145)-1)/(--(SEARCH(BC$2,Tiere!$BN$2:$BN$145)&gt;0)),ROW()-1),1))))))))),"")</f>
        <v/>
      </c>
      <c r="BC50" s="2436"/>
      <c r="BD50" s="2472" t="str">
        <f>IFERROR(IF(OR(BE$2="ZURÜCK ZUR AUSWAHL",BE$2="",BE$2=0),"",IF(BE$2=$BO$1,$BO49,IF(BE$2=$BP$1,$BP49,IF(BE$2=$BQ$1,$BQ49,IF(BE$2=$BR$1,$BR49,IF(BE$2=$BS$1,$BS49,IF(BE$2=$BT$1,$BT49,IF(BE$2=$BU$1,$BU49,INDEX(Tiere!$BN$2:$BN$145,_xlfn.AGGREGATE(15,6,(ROW(Tiere!$BN$2:$BN$145)-1)/(--(SEARCH(BE$2,Tiere!$BN$2:$BN$145)&gt;0)),ROW()-1),1))))))))),"")</f>
        <v/>
      </c>
      <c r="BE50" s="2436"/>
      <c r="BF50" s="2472" t="str">
        <f>IFERROR(IF(OR(BG$2="ZURÜCK ZUR AUSWAHL",BG$2="",BG$2=0),"",IF(BG$2=$BO$1,$BO49,IF(BG$2=$BP$1,$BP49,IF(BG$2=$BQ$1,$BQ49,IF(BG$2=$BR$1,$BR49,IF(BG$2=$BS$1,$BS49,IF(BG$2=$BT$1,$BT49,IF(BG$2=$BU$1,$BU49,INDEX(Tiere!$BN$2:$BN$145,_xlfn.AGGREGATE(15,6,(ROW(Tiere!$BN$2:$BN$145)-1)/(--(SEARCH(BG$2,Tiere!$BN$2:$BN$145)&gt;0)),ROW()-1),1))))))))),"")</f>
        <v/>
      </c>
      <c r="BG50" s="2436"/>
      <c r="BH50" s="2472" t="str">
        <f>IFERROR(IF(OR(BI$2="ZURÜCK ZUR AUSWAHL",BI$2="",BI$2=0),"",IF(BI$2=$BO$1,$BO49,IF(BI$2=$BP$1,$BP49,IF(BI$2=$BQ$1,$BQ49,IF(BI$2=$BR$1,$BR49,IF(BI$2=$BS$1,$BS49,IF(BI$2=$BT$1,$BT49,IF(BI$2=$BU$1,$BU49,INDEX(Tiere!$BN$2:$BN$145,_xlfn.AGGREGATE(15,6,(ROW(Tiere!$BN$2:$BN$145)-1)/(--(SEARCH(BI$2,Tiere!$BN$2:$BN$145)&gt;0)),ROW()-1),1))))))))),"")</f>
        <v/>
      </c>
      <c r="BI50" s="2436"/>
      <c r="BJ50" s="2472" t="str">
        <f>IFERROR(IF(OR(BK$2="ZURÜCK ZUR AUSWAHL",BK$2="",BK$2=0),"",IF(BK$2=$BO$1,$BO49,IF(BK$2=$BP$1,$BP49,IF(BK$2=$BQ$1,$BQ49,IF(BK$2=$BR$1,$BR49,IF(BK$2=$BS$1,$BS49,IF(BK$2=$BT$1,$BT49,IF(BK$2=$BU$1,$BU49,INDEX(Tiere!$BN$2:$BN$145,_xlfn.AGGREGATE(15,6,(ROW(Tiere!$BN$2:$BN$145)-1)/(--(SEARCH(BK$2,Tiere!$BN$2:$BN$145)&gt;0)),ROW()-1),1))))))))),"")</f>
        <v/>
      </c>
      <c r="BK50" s="2436"/>
      <c r="BL50" s="2472" t="str">
        <f>IFERROR(IF(OR(BM$2="ZURÜCK ZUR AUSWAHL",BM$2="",BM$2=0),"",IF(BM$2=$BO$1,$BO49,IF(BM$2=$BP$1,$BP49,IF(BM$2=$BQ$1,$BQ49,IF(BM$2=$BR$1,$BR49,IF(BM$2=$BS$1,$BS49,IF(BM$2=$BT$1,$BT49,IF(BM$2=$BU$1,$BU49,INDEX(Tiere!$BN$2:$BN$145,_xlfn.AGGREGATE(15,6,(ROW(Tiere!$BN$2:$BN$145)-1)/(--(SEARCH(BM$2,Tiere!$BN$2:$BN$145)&gt;0)),ROW()-1),1))))))))),"")</f>
        <v/>
      </c>
      <c r="BM50" s="2436"/>
      <c r="BN50" s="2478" t="s">
        <v>1192</v>
      </c>
      <c r="BO50" s="2470"/>
      <c r="BP50" s="2470"/>
      <c r="BQ50" s="2470"/>
      <c r="BR50" s="2470"/>
      <c r="BS50" s="2470"/>
      <c r="BT50" s="2470"/>
      <c r="BU50" s="2470"/>
    </row>
    <row r="51" spans="36:73" ht="13.8" thickBot="1">
      <c r="AJ51" s="2472" t="str">
        <f>IFERROR(IF(OR(AK$2="ZURÜCK ZUR AUSWAHL",AK$2="",AK$2=0),"",IF(AK$2=$BO$1,$BO50,IF(AK$2=$BP$1,$BP50,IF(AK$2=$BQ$1,$BQ50,IF(AK$2=$BR$1,$BR50,IF(AK$2=$BS$1,$BS50,IF(AK$2=$BT$1,$BT50,IF(AK$2=$BU$1,$BU50,INDEX(Tiere!$BN$2:$BN$145,_xlfn.AGGREGATE(15,6,(ROW(Tiere!$BN$2:$BN$145)-1)/(--(SEARCH(AK$2,Tiere!$BN$2:$BN$145)&gt;0)),ROW()-2),1))))))))),"")</f>
        <v/>
      </c>
      <c r="AK51" s="2438"/>
      <c r="AL51" s="2472" t="str">
        <f>IFERROR(IF(OR(AM$2="ZURÜCK ZUR AUSWAHL",AM$2="",AM$2=0),"",IF(AM$2=$BO$1,$BO50,IF(AM$2=$BP$1,$BP50,IF(AM$2=$BQ$1,$BQ50,IF(AM$2=$BR$1,$BR50,IF(AM$2=$BS$1,$BS50,IF(AM$2=$BT$1,$BT50,IF(AM$2=$BU$1,$BU50,INDEX(Tiere!$BN$2:$BN$145,_xlfn.AGGREGATE(15,6,(ROW(Tiere!$BN$2:$BN$145)-1)/(--(SEARCH(AM$2,Tiere!$BN$2:$BN$145)&gt;0)),ROW()-1),1))))))))),"")</f>
        <v/>
      </c>
      <c r="AM51" s="2438"/>
      <c r="AN51" s="2472" t="str">
        <f>IFERROR(IF(OR(AO$2="ZURÜCK ZUR AUSWAHL",AO$2="",AO$2=0),"",IF(AO$2=$BO$1,$BO50,IF(AO$2=$BP$1,$BP50,IF(AO$2=$BQ$1,$BQ50,IF(AO$2=$BR$1,$BR50,IF(AO$2=$BS$1,$BS50,IF(AO$2=$BT$1,$BT50,IF(AO$2=$BU$1,$BU50,INDEX(Tiere!$BN$2:$BN$145,_xlfn.AGGREGATE(15,6,(ROW(Tiere!$BN$2:$BN$145)-1)/(--(SEARCH(AO$2,Tiere!$BN$2:$BN$145)&gt;0)),ROW()-1),1))))))))),"")</f>
        <v/>
      </c>
      <c r="AO51" s="2438"/>
      <c r="AP51" s="2472" t="str">
        <f>IFERROR(IF(OR(AQ$2="ZURÜCK ZUR AUSWAHL",AQ$2="",AQ$2=0),"",IF(AQ$2=$BO$1,$BO50,IF(AQ$2=$BP$1,$BP50,IF(AQ$2=$BQ$1,$BQ50,IF(AQ$2=$BR$1,$BR50,IF(AQ$2=$BS$1,$BS50,IF(AQ$2=$BT$1,$BT50,IF(AQ$2=$BU$1,$BU50,INDEX(Tiere!$BN$2:$BN$145,_xlfn.AGGREGATE(15,6,(ROW(Tiere!$BN$2:$BN$145)-1)/(--(SEARCH(AQ$2,Tiere!$BN$2:$BN$145)&gt;0)),ROW()-1),1))))))))),"")</f>
        <v/>
      </c>
      <c r="AQ51" s="2438"/>
      <c r="AR51" s="2472" t="str">
        <f>IFERROR(IF(OR(AS$2="ZURÜCK ZUR AUSWAHL",AS$2="",AS$2=0),"",IF(AS$2=$BO$1,$BO50,IF(AS$2=$BP$1,$BP50,IF(AS$2=$BQ$1,$BQ50,IF(AS$2=$BR$1,$BR50,IF(AS$2=$BS$1,$BS50,IF(AS$2=$BT$1,$BT50,IF(AS$2=$BU$1,$BU50,INDEX(Tiere!$BN$2:$BN$145,_xlfn.AGGREGATE(15,6,(ROW(Tiere!$BN$2:$BN$145)-1)/(--(SEARCH(AS$2,Tiere!$BN$2:$BN$145)&gt;0)),ROW()-1),1))))))))),"")</f>
        <v/>
      </c>
      <c r="AS51" s="2438"/>
      <c r="AT51" s="2472" t="str">
        <f>IFERROR(IF(OR(AU$2="ZURÜCK ZUR AUSWAHL",AU$2="",AU$2=0),"",IF(AU$2=$BO$1,$BO50,IF(AU$2=$BP$1,$BP50,IF(AU$2=$BQ$1,$BQ50,IF(AU$2=$BR$1,$BR50,IF(AU$2=$BS$1,$BS50,IF(AU$2=$BT$1,$BT50,IF(AU$2=$BU$1,$BU50,INDEX(Tiere!$BN$2:$BN$145,_xlfn.AGGREGATE(15,6,(ROW(Tiere!$BN$2:$BN$145)-1)/(--(SEARCH(AU$2,Tiere!$BN$2:$BN$145)&gt;0)),ROW()-1),1))))))))),"")</f>
        <v/>
      </c>
      <c r="AU51" s="2438"/>
      <c r="AV51" s="2472" t="str">
        <f>IFERROR(IF(OR(AW$2="ZURÜCK ZUR AUSWAHL",AW$2="",AW$2=0),"",IF(AW$2=$BO$1,$BO50,IF(AW$2=$BP$1,$BP50,IF(AW$2=$BQ$1,$BQ50,IF(AW$2=$BR$1,$BR50,IF(AW$2=$BS$1,$BS50,IF(AW$2=$BT$1,$BT50,IF(AW$2=$BU$1,$BU50,INDEX(Tiere!$BN$2:$BN$145,_xlfn.AGGREGATE(15,6,(ROW(Tiere!$BN$2:$BN$145)-1)/(--(SEARCH(AW$2,Tiere!$BN$2:$BN$145)&gt;0)),ROW()-1),1))))))))),"")</f>
        <v/>
      </c>
      <c r="AW51" s="2438"/>
      <c r="AX51" s="2472" t="str">
        <f>IFERROR(IF(OR(AY$2="ZURÜCK ZUR AUSWAHL",AY$2="",AY$2=0),"",IF(AY$2=$BO$1,$BO50,IF(AY$2=$BP$1,$BP50,IF(AY$2=$BQ$1,$BQ50,IF(AY$2=$BR$1,$BR50,IF(AY$2=$BS$1,$BS50,IF(AY$2=$BT$1,$BT50,IF(AY$2=$BU$1,$BU50,INDEX(Tiere!$BN$2:$BN$145,_xlfn.AGGREGATE(15,6,(ROW(Tiere!$BN$2:$BN$145)-1)/(--(SEARCH(AY$2,Tiere!$BN$2:$BN$145)&gt;0)),ROW()-1),1))))))))),"")</f>
        <v/>
      </c>
      <c r="AY51" s="2438"/>
      <c r="AZ51" s="2472" t="str">
        <f>IFERROR(IF(OR(BA$2="ZURÜCK ZUR AUSWAHL",BA$2="",BA$2=0),"",IF(BA$2=$BO$1,$BO50,IF(BA$2=$BP$1,$BP50,IF(BA$2=$BQ$1,$BQ50,IF(BA$2=$BR$1,$BR50,IF(BA$2=$BS$1,$BS50,IF(BA$2=$BT$1,$BT50,IF(BA$2=$BU$1,$BU50,INDEX(Tiere!$BN$2:$BN$145,_xlfn.AGGREGATE(15,6,(ROW(Tiere!$BN$2:$BN$145)-1)/(--(SEARCH(BA$2,Tiere!$BN$2:$BN$145)&gt;0)),ROW()-1),1))))))))),"")</f>
        <v/>
      </c>
      <c r="BA51" s="2438"/>
      <c r="BB51" s="2472" t="str">
        <f>IFERROR(IF(OR(BC$2="ZURÜCK ZUR AUSWAHL",BC$2="",BC$2=0),"",IF(BC$2=$BO$1,$BO50,IF(BC$2=$BP$1,$BP50,IF(BC$2=$BQ$1,$BQ50,IF(BC$2=$BR$1,$BR50,IF(BC$2=$BS$1,$BS50,IF(BC$2=$BT$1,$BT50,IF(BC$2=$BU$1,$BU50,INDEX(Tiere!$BN$2:$BN$145,_xlfn.AGGREGATE(15,6,(ROW(Tiere!$BN$2:$BN$145)-1)/(--(SEARCH(BC$2,Tiere!$BN$2:$BN$145)&gt;0)),ROW()-1),1))))))))),"")</f>
        <v/>
      </c>
      <c r="BC51" s="2438"/>
      <c r="BD51" s="2472" t="str">
        <f>IFERROR(IF(OR(BE$2="ZURÜCK ZUR AUSWAHL",BE$2="",BE$2=0),"",IF(BE$2=$BO$1,$BO50,IF(BE$2=$BP$1,$BP50,IF(BE$2=$BQ$1,$BQ50,IF(BE$2=$BR$1,$BR50,IF(BE$2=$BS$1,$BS50,IF(BE$2=$BT$1,$BT50,IF(BE$2=$BU$1,$BU50,INDEX(Tiere!$BN$2:$BN$145,_xlfn.AGGREGATE(15,6,(ROW(Tiere!$BN$2:$BN$145)-1)/(--(SEARCH(BE$2,Tiere!$BN$2:$BN$145)&gt;0)),ROW()-1),1))))))))),"")</f>
        <v/>
      </c>
      <c r="BE51" s="2438"/>
      <c r="BF51" s="2472" t="str">
        <f>IFERROR(IF(OR(BG$2="ZURÜCK ZUR AUSWAHL",BG$2="",BG$2=0),"",IF(BG$2=$BO$1,$BO50,IF(BG$2=$BP$1,$BP50,IF(BG$2=$BQ$1,$BQ50,IF(BG$2=$BR$1,$BR50,IF(BG$2=$BS$1,$BS50,IF(BG$2=$BT$1,$BT50,IF(BG$2=$BU$1,$BU50,INDEX(Tiere!$BN$2:$BN$145,_xlfn.AGGREGATE(15,6,(ROW(Tiere!$BN$2:$BN$145)-1)/(--(SEARCH(BG$2,Tiere!$BN$2:$BN$145)&gt;0)),ROW()-1),1))))))))),"")</f>
        <v/>
      </c>
      <c r="BG51" s="2438"/>
      <c r="BH51" s="2472" t="str">
        <f>IFERROR(IF(OR(BI$2="ZURÜCK ZUR AUSWAHL",BI$2="",BI$2=0),"",IF(BI$2=$BO$1,$BO50,IF(BI$2=$BP$1,$BP50,IF(BI$2=$BQ$1,$BQ50,IF(BI$2=$BR$1,$BR50,IF(BI$2=$BS$1,$BS50,IF(BI$2=$BT$1,$BT50,IF(BI$2=$BU$1,$BU50,INDEX(Tiere!$BN$2:$BN$145,_xlfn.AGGREGATE(15,6,(ROW(Tiere!$BN$2:$BN$145)-1)/(--(SEARCH(BI$2,Tiere!$BN$2:$BN$145)&gt;0)),ROW()-1),1))))))))),"")</f>
        <v/>
      </c>
      <c r="BI51" s="2438"/>
      <c r="BJ51" s="2472" t="str">
        <f>IFERROR(IF(OR(BK$2="ZURÜCK ZUR AUSWAHL",BK$2="",BK$2=0),"",IF(BK$2=$BO$1,$BO50,IF(BK$2=$BP$1,$BP50,IF(BK$2=$BQ$1,$BQ50,IF(BK$2=$BR$1,$BR50,IF(BK$2=$BS$1,$BS50,IF(BK$2=$BT$1,$BT50,IF(BK$2=$BU$1,$BU50,INDEX(Tiere!$BN$2:$BN$145,_xlfn.AGGREGATE(15,6,(ROW(Tiere!$BN$2:$BN$145)-1)/(--(SEARCH(BK$2,Tiere!$BN$2:$BN$145)&gt;0)),ROW()-1),1))))))))),"")</f>
        <v/>
      </c>
      <c r="BK51" s="2438"/>
      <c r="BL51" s="2472" t="str">
        <f>IFERROR(IF(OR(BM$2="ZURÜCK ZUR AUSWAHL",BM$2="",BM$2=0),"",IF(BM$2=$BO$1,$BO50,IF(BM$2=$BP$1,$BP50,IF(BM$2=$BQ$1,$BQ50,IF(BM$2=$BR$1,$BR50,IF(BM$2=$BS$1,$BS50,IF(BM$2=$BT$1,$BT50,IF(BM$2=$BU$1,$BU50,INDEX(Tiere!$BN$2:$BN$145,_xlfn.AGGREGATE(15,6,(ROW(Tiere!$BN$2:$BN$145)-1)/(--(SEARCH(BM$2,Tiere!$BN$2:$BN$145)&gt;0)),ROW()-1),1))))))))),"")</f>
        <v/>
      </c>
      <c r="BM51" s="2438"/>
      <c r="BN51" s="2478" t="s">
        <v>1195</v>
      </c>
      <c r="BO51" s="2470"/>
      <c r="BP51" s="2470"/>
      <c r="BQ51" s="2470"/>
      <c r="BR51" s="2470"/>
      <c r="BS51" s="2470"/>
      <c r="BT51" s="2470"/>
      <c r="BU51" s="2470"/>
    </row>
    <row r="52" spans="36:73" ht="13.8" thickBot="1">
      <c r="AJ52" s="2472" t="str">
        <f>IFERROR(IF(OR(AK$2="ZURÜCK ZUR AUSWAHL",AK$2="",AK$2=0),"",IF(AK$2=$BO$1,$BO51,IF(AK$2=$BP$1,$BP51,IF(AK$2=$BQ$1,$BQ51,IF(AK$2=$BR$1,$BR51,IF(AK$2=$BS$1,$BS51,IF(AK$2=$BT$1,$BT51,IF(AK$2=$BU$1,$BU51,INDEX(Tiere!$BN$2:$BN$145,_xlfn.AGGREGATE(15,6,(ROW(Tiere!$BN$2:$BN$145)-1)/(--(SEARCH(AK$2,Tiere!$BN$2:$BN$145)&gt;0)),ROW()-2),1))))))))),"")</f>
        <v/>
      </c>
      <c r="AK52" s="2436"/>
      <c r="AL52" s="2472" t="str">
        <f>IFERROR(IF(OR(AM$2="ZURÜCK ZUR AUSWAHL",AM$2="",AM$2=0),"",IF(AM$2=$BO$1,$BO51,IF(AM$2=$BP$1,$BP51,IF(AM$2=$BQ$1,$BQ51,IF(AM$2=$BR$1,$BR51,IF(AM$2=$BS$1,$BS51,IF(AM$2=$BT$1,$BT51,IF(AM$2=$BU$1,$BU51,INDEX(Tiere!$BN$2:$BN$145,_xlfn.AGGREGATE(15,6,(ROW(Tiere!$BN$2:$BN$145)-1)/(--(SEARCH(AM$2,Tiere!$BN$2:$BN$145)&gt;0)),ROW()-1),1))))))))),"")</f>
        <v/>
      </c>
      <c r="AM52" s="2436"/>
      <c r="AN52" s="2472" t="str">
        <f>IFERROR(IF(OR(AO$2="ZURÜCK ZUR AUSWAHL",AO$2="",AO$2=0),"",IF(AO$2=$BO$1,$BO51,IF(AO$2=$BP$1,$BP51,IF(AO$2=$BQ$1,$BQ51,IF(AO$2=$BR$1,$BR51,IF(AO$2=$BS$1,$BS51,IF(AO$2=$BT$1,$BT51,IF(AO$2=$BU$1,$BU51,INDEX(Tiere!$BN$2:$BN$145,_xlfn.AGGREGATE(15,6,(ROW(Tiere!$BN$2:$BN$145)-1)/(--(SEARCH(AO$2,Tiere!$BN$2:$BN$145)&gt;0)),ROW()-1),1))))))))),"")</f>
        <v/>
      </c>
      <c r="AO52" s="2436"/>
      <c r="AP52" s="2472" t="str">
        <f>IFERROR(IF(OR(AQ$2="ZURÜCK ZUR AUSWAHL",AQ$2="",AQ$2=0),"",IF(AQ$2=$BO$1,$BO51,IF(AQ$2=$BP$1,$BP51,IF(AQ$2=$BQ$1,$BQ51,IF(AQ$2=$BR$1,$BR51,IF(AQ$2=$BS$1,$BS51,IF(AQ$2=$BT$1,$BT51,IF(AQ$2=$BU$1,$BU51,INDEX(Tiere!$BN$2:$BN$145,_xlfn.AGGREGATE(15,6,(ROW(Tiere!$BN$2:$BN$145)-1)/(--(SEARCH(AQ$2,Tiere!$BN$2:$BN$145)&gt;0)),ROW()-1),1))))))))),"")</f>
        <v/>
      </c>
      <c r="AQ52" s="2436"/>
      <c r="AR52" s="2472" t="str">
        <f>IFERROR(IF(OR(AS$2="ZURÜCK ZUR AUSWAHL",AS$2="",AS$2=0),"",IF(AS$2=$BO$1,$BO51,IF(AS$2=$BP$1,$BP51,IF(AS$2=$BQ$1,$BQ51,IF(AS$2=$BR$1,$BR51,IF(AS$2=$BS$1,$BS51,IF(AS$2=$BT$1,$BT51,IF(AS$2=$BU$1,$BU51,INDEX(Tiere!$BN$2:$BN$145,_xlfn.AGGREGATE(15,6,(ROW(Tiere!$BN$2:$BN$145)-1)/(--(SEARCH(AS$2,Tiere!$BN$2:$BN$145)&gt;0)),ROW()-1),1))))))))),"")</f>
        <v/>
      </c>
      <c r="AS52" s="2436"/>
      <c r="AT52" s="2472" t="str">
        <f>IFERROR(IF(OR(AU$2="ZURÜCK ZUR AUSWAHL",AU$2="",AU$2=0),"",IF(AU$2=$BO$1,$BO51,IF(AU$2=$BP$1,$BP51,IF(AU$2=$BQ$1,$BQ51,IF(AU$2=$BR$1,$BR51,IF(AU$2=$BS$1,$BS51,IF(AU$2=$BT$1,$BT51,IF(AU$2=$BU$1,$BU51,INDEX(Tiere!$BN$2:$BN$145,_xlfn.AGGREGATE(15,6,(ROW(Tiere!$BN$2:$BN$145)-1)/(--(SEARCH(AU$2,Tiere!$BN$2:$BN$145)&gt;0)),ROW()-1),1))))))))),"")</f>
        <v/>
      </c>
      <c r="AU52" s="2436"/>
      <c r="AV52" s="2472" t="str">
        <f>IFERROR(IF(OR(AW$2="ZURÜCK ZUR AUSWAHL",AW$2="",AW$2=0),"",IF(AW$2=$BO$1,$BO51,IF(AW$2=$BP$1,$BP51,IF(AW$2=$BQ$1,$BQ51,IF(AW$2=$BR$1,$BR51,IF(AW$2=$BS$1,$BS51,IF(AW$2=$BT$1,$BT51,IF(AW$2=$BU$1,$BU51,INDEX(Tiere!$BN$2:$BN$145,_xlfn.AGGREGATE(15,6,(ROW(Tiere!$BN$2:$BN$145)-1)/(--(SEARCH(AW$2,Tiere!$BN$2:$BN$145)&gt;0)),ROW()-1),1))))))))),"")</f>
        <v/>
      </c>
      <c r="AW52" s="2436"/>
      <c r="AX52" s="2472" t="str">
        <f>IFERROR(IF(OR(AY$2="ZURÜCK ZUR AUSWAHL",AY$2="",AY$2=0),"",IF(AY$2=$BO$1,$BO51,IF(AY$2=$BP$1,$BP51,IF(AY$2=$BQ$1,$BQ51,IF(AY$2=$BR$1,$BR51,IF(AY$2=$BS$1,$BS51,IF(AY$2=$BT$1,$BT51,IF(AY$2=$BU$1,$BU51,INDEX(Tiere!$BN$2:$BN$145,_xlfn.AGGREGATE(15,6,(ROW(Tiere!$BN$2:$BN$145)-1)/(--(SEARCH(AY$2,Tiere!$BN$2:$BN$145)&gt;0)),ROW()-1),1))))))))),"")</f>
        <v/>
      </c>
      <c r="AY52" s="2436"/>
      <c r="AZ52" s="2472" t="str">
        <f>IFERROR(IF(OR(BA$2="ZURÜCK ZUR AUSWAHL",BA$2="",BA$2=0),"",IF(BA$2=$BO$1,$BO51,IF(BA$2=$BP$1,$BP51,IF(BA$2=$BQ$1,$BQ51,IF(BA$2=$BR$1,$BR51,IF(BA$2=$BS$1,$BS51,IF(BA$2=$BT$1,$BT51,IF(BA$2=$BU$1,$BU51,INDEX(Tiere!$BN$2:$BN$145,_xlfn.AGGREGATE(15,6,(ROW(Tiere!$BN$2:$BN$145)-1)/(--(SEARCH(BA$2,Tiere!$BN$2:$BN$145)&gt;0)),ROW()-1),1))))))))),"")</f>
        <v/>
      </c>
      <c r="BA52" s="2436"/>
      <c r="BB52" s="2472" t="str">
        <f>IFERROR(IF(OR(BC$2="ZURÜCK ZUR AUSWAHL",BC$2="",BC$2=0),"",IF(BC$2=$BO$1,$BO51,IF(BC$2=$BP$1,$BP51,IF(BC$2=$BQ$1,$BQ51,IF(BC$2=$BR$1,$BR51,IF(BC$2=$BS$1,$BS51,IF(BC$2=$BT$1,$BT51,IF(BC$2=$BU$1,$BU51,INDEX(Tiere!$BN$2:$BN$145,_xlfn.AGGREGATE(15,6,(ROW(Tiere!$BN$2:$BN$145)-1)/(--(SEARCH(BC$2,Tiere!$BN$2:$BN$145)&gt;0)),ROW()-1),1))))))))),"")</f>
        <v/>
      </c>
      <c r="BC52" s="2436"/>
      <c r="BD52" s="2472" t="str">
        <f>IFERROR(IF(OR(BE$2="ZURÜCK ZUR AUSWAHL",BE$2="",BE$2=0),"",IF(BE$2=$BO$1,$BO51,IF(BE$2=$BP$1,$BP51,IF(BE$2=$BQ$1,$BQ51,IF(BE$2=$BR$1,$BR51,IF(BE$2=$BS$1,$BS51,IF(BE$2=$BT$1,$BT51,IF(BE$2=$BU$1,$BU51,INDEX(Tiere!$BN$2:$BN$145,_xlfn.AGGREGATE(15,6,(ROW(Tiere!$BN$2:$BN$145)-1)/(--(SEARCH(BE$2,Tiere!$BN$2:$BN$145)&gt;0)),ROW()-1),1))))))))),"")</f>
        <v/>
      </c>
      <c r="BE52" s="2436"/>
      <c r="BF52" s="2472" t="str">
        <f>IFERROR(IF(OR(BG$2="ZURÜCK ZUR AUSWAHL",BG$2="",BG$2=0),"",IF(BG$2=$BO$1,$BO51,IF(BG$2=$BP$1,$BP51,IF(BG$2=$BQ$1,$BQ51,IF(BG$2=$BR$1,$BR51,IF(BG$2=$BS$1,$BS51,IF(BG$2=$BT$1,$BT51,IF(BG$2=$BU$1,$BU51,INDEX(Tiere!$BN$2:$BN$145,_xlfn.AGGREGATE(15,6,(ROW(Tiere!$BN$2:$BN$145)-1)/(--(SEARCH(BG$2,Tiere!$BN$2:$BN$145)&gt;0)),ROW()-1),1))))))))),"")</f>
        <v/>
      </c>
      <c r="BG52" s="2436"/>
      <c r="BH52" s="2472" t="str">
        <f>IFERROR(IF(OR(BI$2="ZURÜCK ZUR AUSWAHL",BI$2="",BI$2=0),"",IF(BI$2=$BO$1,$BO51,IF(BI$2=$BP$1,$BP51,IF(BI$2=$BQ$1,$BQ51,IF(BI$2=$BR$1,$BR51,IF(BI$2=$BS$1,$BS51,IF(BI$2=$BT$1,$BT51,IF(BI$2=$BU$1,$BU51,INDEX(Tiere!$BN$2:$BN$145,_xlfn.AGGREGATE(15,6,(ROW(Tiere!$BN$2:$BN$145)-1)/(--(SEARCH(BI$2,Tiere!$BN$2:$BN$145)&gt;0)),ROW()-1),1))))))))),"")</f>
        <v/>
      </c>
      <c r="BI52" s="2436"/>
      <c r="BJ52" s="2472" t="str">
        <f>IFERROR(IF(OR(BK$2="ZURÜCK ZUR AUSWAHL",BK$2="",BK$2=0),"",IF(BK$2=$BO$1,$BO51,IF(BK$2=$BP$1,$BP51,IF(BK$2=$BQ$1,$BQ51,IF(BK$2=$BR$1,$BR51,IF(BK$2=$BS$1,$BS51,IF(BK$2=$BT$1,$BT51,IF(BK$2=$BU$1,$BU51,INDEX(Tiere!$BN$2:$BN$145,_xlfn.AGGREGATE(15,6,(ROW(Tiere!$BN$2:$BN$145)-1)/(--(SEARCH(BK$2,Tiere!$BN$2:$BN$145)&gt;0)),ROW()-1),1))))))))),"")</f>
        <v/>
      </c>
      <c r="BK52" s="2436"/>
      <c r="BL52" s="2472" t="str">
        <f>IFERROR(IF(OR(BM$2="ZURÜCK ZUR AUSWAHL",BM$2="",BM$2=0),"",IF(BM$2=$BO$1,$BO51,IF(BM$2=$BP$1,$BP51,IF(BM$2=$BQ$1,$BQ51,IF(BM$2=$BR$1,$BR51,IF(BM$2=$BS$1,$BS51,IF(BM$2=$BT$1,$BT51,IF(BM$2=$BU$1,$BU51,INDEX(Tiere!$BN$2:$BN$145,_xlfn.AGGREGATE(15,6,(ROW(Tiere!$BN$2:$BN$145)-1)/(--(SEARCH(BM$2,Tiere!$BN$2:$BN$145)&gt;0)),ROW()-1),1))))))))),"")</f>
        <v/>
      </c>
      <c r="BM52" s="2436"/>
      <c r="BN52" s="2478" t="s">
        <v>1198</v>
      </c>
      <c r="BO52" s="2470"/>
      <c r="BP52" s="2470"/>
      <c r="BQ52" s="2470"/>
      <c r="BR52" s="2470"/>
      <c r="BS52" s="2470"/>
      <c r="BT52" s="2470"/>
      <c r="BU52" s="2470"/>
    </row>
    <row r="53" spans="36:73" ht="13.8" thickBot="1">
      <c r="AJ53" s="2472" t="str">
        <f>IFERROR(IF(OR(AK$2="ZURÜCK ZUR AUSWAHL",AK$2="",AK$2=0),"",IF(AK$2=$BO$1,$BO52,IF(AK$2=$BP$1,$BP52,IF(AK$2=$BQ$1,$BQ52,IF(AK$2=$BR$1,$BR52,IF(AK$2=$BS$1,$BS52,IF(AK$2=$BT$1,$BT52,IF(AK$2=$BU$1,$BU52,INDEX(Tiere!$BN$2:$BN$145,_xlfn.AGGREGATE(15,6,(ROW(Tiere!$BN$2:$BN$145)-1)/(--(SEARCH(AK$2,Tiere!$BN$2:$BN$145)&gt;0)),ROW()-2),1))))))))),"")</f>
        <v/>
      </c>
      <c r="AK53" s="2438"/>
      <c r="AL53" s="2472" t="str">
        <f>IFERROR(IF(OR(AM$2="ZURÜCK ZUR AUSWAHL",AM$2="",AM$2=0),"",IF(AM$2=$BO$1,$BO52,IF(AM$2=$BP$1,$BP52,IF(AM$2=$BQ$1,$BQ52,IF(AM$2=$BR$1,$BR52,IF(AM$2=$BS$1,$BS52,IF(AM$2=$BT$1,$BT52,IF(AM$2=$BU$1,$BU52,INDEX(Tiere!$BN$2:$BN$145,_xlfn.AGGREGATE(15,6,(ROW(Tiere!$BN$2:$BN$145)-1)/(--(SEARCH(AM$2,Tiere!$BN$2:$BN$145)&gt;0)),ROW()-1),1))))))))),"")</f>
        <v/>
      </c>
      <c r="AM53" s="2438"/>
      <c r="AN53" s="2472" t="str">
        <f>IFERROR(IF(OR(AO$2="ZURÜCK ZUR AUSWAHL",AO$2="",AO$2=0),"",IF(AO$2=$BO$1,$BO52,IF(AO$2=$BP$1,$BP52,IF(AO$2=$BQ$1,$BQ52,IF(AO$2=$BR$1,$BR52,IF(AO$2=$BS$1,$BS52,IF(AO$2=$BT$1,$BT52,IF(AO$2=$BU$1,$BU52,INDEX(Tiere!$BN$2:$BN$145,_xlfn.AGGREGATE(15,6,(ROW(Tiere!$BN$2:$BN$145)-1)/(--(SEARCH(AO$2,Tiere!$BN$2:$BN$145)&gt;0)),ROW()-1),1))))))))),"")</f>
        <v/>
      </c>
      <c r="AO53" s="2438"/>
      <c r="AP53" s="2472" t="str">
        <f>IFERROR(IF(OR(AQ$2="ZURÜCK ZUR AUSWAHL",AQ$2="",AQ$2=0),"",IF(AQ$2=$BO$1,$BO52,IF(AQ$2=$BP$1,$BP52,IF(AQ$2=$BQ$1,$BQ52,IF(AQ$2=$BR$1,$BR52,IF(AQ$2=$BS$1,$BS52,IF(AQ$2=$BT$1,$BT52,IF(AQ$2=$BU$1,$BU52,INDEX(Tiere!$BN$2:$BN$145,_xlfn.AGGREGATE(15,6,(ROW(Tiere!$BN$2:$BN$145)-1)/(--(SEARCH(AQ$2,Tiere!$BN$2:$BN$145)&gt;0)),ROW()-1),1))))))))),"")</f>
        <v/>
      </c>
      <c r="AQ53" s="2438"/>
      <c r="AR53" s="2472" t="str">
        <f>IFERROR(IF(OR(AS$2="ZURÜCK ZUR AUSWAHL",AS$2="",AS$2=0),"",IF(AS$2=$BO$1,$BO52,IF(AS$2=$BP$1,$BP52,IF(AS$2=$BQ$1,$BQ52,IF(AS$2=$BR$1,$BR52,IF(AS$2=$BS$1,$BS52,IF(AS$2=$BT$1,$BT52,IF(AS$2=$BU$1,$BU52,INDEX(Tiere!$BN$2:$BN$145,_xlfn.AGGREGATE(15,6,(ROW(Tiere!$BN$2:$BN$145)-1)/(--(SEARCH(AS$2,Tiere!$BN$2:$BN$145)&gt;0)),ROW()-1),1))))))))),"")</f>
        <v/>
      </c>
      <c r="AS53" s="2438"/>
      <c r="AT53" s="2472" t="str">
        <f>IFERROR(IF(OR(AU$2="ZURÜCK ZUR AUSWAHL",AU$2="",AU$2=0),"",IF(AU$2=$BO$1,$BO52,IF(AU$2=$BP$1,$BP52,IF(AU$2=$BQ$1,$BQ52,IF(AU$2=$BR$1,$BR52,IF(AU$2=$BS$1,$BS52,IF(AU$2=$BT$1,$BT52,IF(AU$2=$BU$1,$BU52,INDEX(Tiere!$BN$2:$BN$145,_xlfn.AGGREGATE(15,6,(ROW(Tiere!$BN$2:$BN$145)-1)/(--(SEARCH(AU$2,Tiere!$BN$2:$BN$145)&gt;0)),ROW()-1),1))))))))),"")</f>
        <v/>
      </c>
      <c r="AU53" s="2438"/>
      <c r="AV53" s="2472" t="str">
        <f>IFERROR(IF(OR(AW$2="ZURÜCK ZUR AUSWAHL",AW$2="",AW$2=0),"",IF(AW$2=$BO$1,$BO52,IF(AW$2=$BP$1,$BP52,IF(AW$2=$BQ$1,$BQ52,IF(AW$2=$BR$1,$BR52,IF(AW$2=$BS$1,$BS52,IF(AW$2=$BT$1,$BT52,IF(AW$2=$BU$1,$BU52,INDEX(Tiere!$BN$2:$BN$145,_xlfn.AGGREGATE(15,6,(ROW(Tiere!$BN$2:$BN$145)-1)/(--(SEARCH(AW$2,Tiere!$BN$2:$BN$145)&gt;0)),ROW()-1),1))))))))),"")</f>
        <v/>
      </c>
      <c r="AW53" s="2438"/>
      <c r="AX53" s="2472" t="str">
        <f>IFERROR(IF(OR(AY$2="ZURÜCK ZUR AUSWAHL",AY$2="",AY$2=0),"",IF(AY$2=$BO$1,$BO52,IF(AY$2=$BP$1,$BP52,IF(AY$2=$BQ$1,$BQ52,IF(AY$2=$BR$1,$BR52,IF(AY$2=$BS$1,$BS52,IF(AY$2=$BT$1,$BT52,IF(AY$2=$BU$1,$BU52,INDEX(Tiere!$BN$2:$BN$145,_xlfn.AGGREGATE(15,6,(ROW(Tiere!$BN$2:$BN$145)-1)/(--(SEARCH(AY$2,Tiere!$BN$2:$BN$145)&gt;0)),ROW()-1),1))))))))),"")</f>
        <v/>
      </c>
      <c r="AY53" s="2438"/>
      <c r="AZ53" s="2472" t="str">
        <f>IFERROR(IF(OR(BA$2="ZURÜCK ZUR AUSWAHL",BA$2="",BA$2=0),"",IF(BA$2=$BO$1,$BO52,IF(BA$2=$BP$1,$BP52,IF(BA$2=$BQ$1,$BQ52,IF(BA$2=$BR$1,$BR52,IF(BA$2=$BS$1,$BS52,IF(BA$2=$BT$1,$BT52,IF(BA$2=$BU$1,$BU52,INDEX(Tiere!$BN$2:$BN$145,_xlfn.AGGREGATE(15,6,(ROW(Tiere!$BN$2:$BN$145)-1)/(--(SEARCH(BA$2,Tiere!$BN$2:$BN$145)&gt;0)),ROW()-1),1))))))))),"")</f>
        <v/>
      </c>
      <c r="BA53" s="2438"/>
      <c r="BB53" s="2472" t="str">
        <f>IFERROR(IF(OR(BC$2="ZURÜCK ZUR AUSWAHL",BC$2="",BC$2=0),"",IF(BC$2=$BO$1,$BO52,IF(BC$2=$BP$1,$BP52,IF(BC$2=$BQ$1,$BQ52,IF(BC$2=$BR$1,$BR52,IF(BC$2=$BS$1,$BS52,IF(BC$2=$BT$1,$BT52,IF(BC$2=$BU$1,$BU52,INDEX(Tiere!$BN$2:$BN$145,_xlfn.AGGREGATE(15,6,(ROW(Tiere!$BN$2:$BN$145)-1)/(--(SEARCH(BC$2,Tiere!$BN$2:$BN$145)&gt;0)),ROW()-1),1))))))))),"")</f>
        <v/>
      </c>
      <c r="BC53" s="2438"/>
      <c r="BD53" s="2472" t="str">
        <f>IFERROR(IF(OR(BE$2="ZURÜCK ZUR AUSWAHL",BE$2="",BE$2=0),"",IF(BE$2=$BO$1,$BO52,IF(BE$2=$BP$1,$BP52,IF(BE$2=$BQ$1,$BQ52,IF(BE$2=$BR$1,$BR52,IF(BE$2=$BS$1,$BS52,IF(BE$2=$BT$1,$BT52,IF(BE$2=$BU$1,$BU52,INDEX(Tiere!$BN$2:$BN$145,_xlfn.AGGREGATE(15,6,(ROW(Tiere!$BN$2:$BN$145)-1)/(--(SEARCH(BE$2,Tiere!$BN$2:$BN$145)&gt;0)),ROW()-1),1))))))))),"")</f>
        <v/>
      </c>
      <c r="BE53" s="2438"/>
      <c r="BF53" s="2472" t="str">
        <f>IFERROR(IF(OR(BG$2="ZURÜCK ZUR AUSWAHL",BG$2="",BG$2=0),"",IF(BG$2=$BO$1,$BO52,IF(BG$2=$BP$1,$BP52,IF(BG$2=$BQ$1,$BQ52,IF(BG$2=$BR$1,$BR52,IF(BG$2=$BS$1,$BS52,IF(BG$2=$BT$1,$BT52,IF(BG$2=$BU$1,$BU52,INDEX(Tiere!$BN$2:$BN$145,_xlfn.AGGREGATE(15,6,(ROW(Tiere!$BN$2:$BN$145)-1)/(--(SEARCH(BG$2,Tiere!$BN$2:$BN$145)&gt;0)),ROW()-1),1))))))))),"")</f>
        <v/>
      </c>
      <c r="BG53" s="2438"/>
      <c r="BH53" s="2472" t="str">
        <f>IFERROR(IF(OR(BI$2="ZURÜCK ZUR AUSWAHL",BI$2="",BI$2=0),"",IF(BI$2=$BO$1,$BO52,IF(BI$2=$BP$1,$BP52,IF(BI$2=$BQ$1,$BQ52,IF(BI$2=$BR$1,$BR52,IF(BI$2=$BS$1,$BS52,IF(BI$2=$BT$1,$BT52,IF(BI$2=$BU$1,$BU52,INDEX(Tiere!$BN$2:$BN$145,_xlfn.AGGREGATE(15,6,(ROW(Tiere!$BN$2:$BN$145)-1)/(--(SEARCH(BI$2,Tiere!$BN$2:$BN$145)&gt;0)),ROW()-1),1))))))))),"")</f>
        <v/>
      </c>
      <c r="BI53" s="2438"/>
      <c r="BJ53" s="2472" t="str">
        <f>IFERROR(IF(OR(BK$2="ZURÜCK ZUR AUSWAHL",BK$2="",BK$2=0),"",IF(BK$2=$BO$1,$BO52,IF(BK$2=$BP$1,$BP52,IF(BK$2=$BQ$1,$BQ52,IF(BK$2=$BR$1,$BR52,IF(BK$2=$BS$1,$BS52,IF(BK$2=$BT$1,$BT52,IF(BK$2=$BU$1,$BU52,INDEX(Tiere!$BN$2:$BN$145,_xlfn.AGGREGATE(15,6,(ROW(Tiere!$BN$2:$BN$145)-1)/(--(SEARCH(BK$2,Tiere!$BN$2:$BN$145)&gt;0)),ROW()-1),1))))))))),"")</f>
        <v/>
      </c>
      <c r="BK53" s="2438"/>
      <c r="BL53" s="2472" t="str">
        <f>IFERROR(IF(OR(BM$2="ZURÜCK ZUR AUSWAHL",BM$2="",BM$2=0),"",IF(BM$2=$BO$1,$BO52,IF(BM$2=$BP$1,$BP52,IF(BM$2=$BQ$1,$BQ52,IF(BM$2=$BR$1,$BR52,IF(BM$2=$BS$1,$BS52,IF(BM$2=$BT$1,$BT52,IF(BM$2=$BU$1,$BU52,INDEX(Tiere!$BN$2:$BN$145,_xlfn.AGGREGATE(15,6,(ROW(Tiere!$BN$2:$BN$145)-1)/(--(SEARCH(BM$2,Tiere!$BN$2:$BN$145)&gt;0)),ROW()-1),1))))))))),"")</f>
        <v/>
      </c>
      <c r="BM53" s="2438"/>
      <c r="BN53" s="2478" t="s">
        <v>1200</v>
      </c>
      <c r="BO53" s="2470"/>
      <c r="BP53" s="2470"/>
      <c r="BQ53" s="2470"/>
      <c r="BR53" s="2470"/>
      <c r="BS53" s="2470"/>
      <c r="BT53" s="2470"/>
      <c r="BU53" s="2470"/>
    </row>
    <row r="54" spans="36:73" ht="13.8" thickBot="1">
      <c r="AJ54" s="2472" t="str">
        <f>IFERROR(IF(OR(AK$2="ZURÜCK ZUR AUSWAHL",AK$2="",AK$2=0),"",IF(AK$2=$BO$1,$BO53,IF(AK$2=$BP$1,$BP53,IF(AK$2=$BQ$1,$BQ53,IF(AK$2=$BR$1,$BR53,IF(AK$2=$BS$1,$BS53,IF(AK$2=$BT$1,$BT53,IF(AK$2=$BU$1,$BU53,INDEX(Tiere!$BN$2:$BN$145,_xlfn.AGGREGATE(15,6,(ROW(Tiere!$BN$2:$BN$145)-1)/(--(SEARCH(AK$2,Tiere!$BN$2:$BN$145)&gt;0)),ROW()-2),1))))))))),"")</f>
        <v/>
      </c>
      <c r="AK54" s="2436"/>
      <c r="AL54" s="2472" t="str">
        <f>IFERROR(IF(OR(AM$2="ZURÜCK ZUR AUSWAHL",AM$2="",AM$2=0),"",IF(AM$2=$BO$1,$BO53,IF(AM$2=$BP$1,$BP53,IF(AM$2=$BQ$1,$BQ53,IF(AM$2=$BR$1,$BR53,IF(AM$2=$BS$1,$BS53,IF(AM$2=$BT$1,$BT53,IF(AM$2=$BU$1,$BU53,INDEX(Tiere!$BN$2:$BN$145,_xlfn.AGGREGATE(15,6,(ROW(Tiere!$BN$2:$BN$145)-1)/(--(SEARCH(AM$2,Tiere!$BN$2:$BN$145)&gt;0)),ROW()-1),1))))))))),"")</f>
        <v/>
      </c>
      <c r="AM54" s="2436"/>
      <c r="AN54" s="2472" t="str">
        <f>IFERROR(IF(OR(AO$2="ZURÜCK ZUR AUSWAHL",AO$2="",AO$2=0),"",IF(AO$2=$BO$1,$BO53,IF(AO$2=$BP$1,$BP53,IF(AO$2=$BQ$1,$BQ53,IF(AO$2=$BR$1,$BR53,IF(AO$2=$BS$1,$BS53,IF(AO$2=$BT$1,$BT53,IF(AO$2=$BU$1,$BU53,INDEX(Tiere!$BN$2:$BN$145,_xlfn.AGGREGATE(15,6,(ROW(Tiere!$BN$2:$BN$145)-1)/(--(SEARCH(AO$2,Tiere!$BN$2:$BN$145)&gt;0)),ROW()-1),1))))))))),"")</f>
        <v/>
      </c>
      <c r="AO54" s="2436"/>
      <c r="AP54" s="2472" t="str">
        <f>IFERROR(IF(OR(AQ$2="ZURÜCK ZUR AUSWAHL",AQ$2="",AQ$2=0),"",IF(AQ$2=$BO$1,$BO53,IF(AQ$2=$BP$1,$BP53,IF(AQ$2=$BQ$1,$BQ53,IF(AQ$2=$BR$1,$BR53,IF(AQ$2=$BS$1,$BS53,IF(AQ$2=$BT$1,$BT53,IF(AQ$2=$BU$1,$BU53,INDEX(Tiere!$BN$2:$BN$145,_xlfn.AGGREGATE(15,6,(ROW(Tiere!$BN$2:$BN$145)-1)/(--(SEARCH(AQ$2,Tiere!$BN$2:$BN$145)&gt;0)),ROW()-1),1))))))))),"")</f>
        <v/>
      </c>
      <c r="AQ54" s="2436"/>
      <c r="AR54" s="2472" t="str">
        <f>IFERROR(IF(OR(AS$2="ZURÜCK ZUR AUSWAHL",AS$2="",AS$2=0),"",IF(AS$2=$BO$1,$BO53,IF(AS$2=$BP$1,$BP53,IF(AS$2=$BQ$1,$BQ53,IF(AS$2=$BR$1,$BR53,IF(AS$2=$BS$1,$BS53,IF(AS$2=$BT$1,$BT53,IF(AS$2=$BU$1,$BU53,INDEX(Tiere!$BN$2:$BN$145,_xlfn.AGGREGATE(15,6,(ROW(Tiere!$BN$2:$BN$145)-1)/(--(SEARCH(AS$2,Tiere!$BN$2:$BN$145)&gt;0)),ROW()-1),1))))))))),"")</f>
        <v/>
      </c>
      <c r="AS54" s="2436"/>
      <c r="AT54" s="2472" t="str">
        <f>IFERROR(IF(OR(AU$2="ZURÜCK ZUR AUSWAHL",AU$2="",AU$2=0),"",IF(AU$2=$BO$1,$BO53,IF(AU$2=$BP$1,$BP53,IF(AU$2=$BQ$1,$BQ53,IF(AU$2=$BR$1,$BR53,IF(AU$2=$BS$1,$BS53,IF(AU$2=$BT$1,$BT53,IF(AU$2=$BU$1,$BU53,INDEX(Tiere!$BN$2:$BN$145,_xlfn.AGGREGATE(15,6,(ROW(Tiere!$BN$2:$BN$145)-1)/(--(SEARCH(AU$2,Tiere!$BN$2:$BN$145)&gt;0)),ROW()-1),1))))))))),"")</f>
        <v/>
      </c>
      <c r="AU54" s="2436"/>
      <c r="AV54" s="2472" t="str">
        <f>IFERROR(IF(OR(AW$2="ZURÜCK ZUR AUSWAHL",AW$2="",AW$2=0),"",IF(AW$2=$BO$1,$BO53,IF(AW$2=$BP$1,$BP53,IF(AW$2=$BQ$1,$BQ53,IF(AW$2=$BR$1,$BR53,IF(AW$2=$BS$1,$BS53,IF(AW$2=$BT$1,$BT53,IF(AW$2=$BU$1,$BU53,INDEX(Tiere!$BN$2:$BN$145,_xlfn.AGGREGATE(15,6,(ROW(Tiere!$BN$2:$BN$145)-1)/(--(SEARCH(AW$2,Tiere!$BN$2:$BN$145)&gt;0)),ROW()-1),1))))))))),"")</f>
        <v/>
      </c>
      <c r="AW54" s="2436"/>
      <c r="AX54" s="2472" t="str">
        <f>IFERROR(IF(OR(AY$2="ZURÜCK ZUR AUSWAHL",AY$2="",AY$2=0),"",IF(AY$2=$BO$1,$BO53,IF(AY$2=$BP$1,$BP53,IF(AY$2=$BQ$1,$BQ53,IF(AY$2=$BR$1,$BR53,IF(AY$2=$BS$1,$BS53,IF(AY$2=$BT$1,$BT53,IF(AY$2=$BU$1,$BU53,INDEX(Tiere!$BN$2:$BN$145,_xlfn.AGGREGATE(15,6,(ROW(Tiere!$BN$2:$BN$145)-1)/(--(SEARCH(AY$2,Tiere!$BN$2:$BN$145)&gt;0)),ROW()-1),1))))))))),"")</f>
        <v/>
      </c>
      <c r="AY54" s="2436"/>
      <c r="AZ54" s="2472" t="str">
        <f>IFERROR(IF(OR(BA$2="ZURÜCK ZUR AUSWAHL",BA$2="",BA$2=0),"",IF(BA$2=$BO$1,$BO53,IF(BA$2=$BP$1,$BP53,IF(BA$2=$BQ$1,$BQ53,IF(BA$2=$BR$1,$BR53,IF(BA$2=$BS$1,$BS53,IF(BA$2=$BT$1,$BT53,IF(BA$2=$BU$1,$BU53,INDEX(Tiere!$BN$2:$BN$145,_xlfn.AGGREGATE(15,6,(ROW(Tiere!$BN$2:$BN$145)-1)/(--(SEARCH(BA$2,Tiere!$BN$2:$BN$145)&gt;0)),ROW()-1),1))))))))),"")</f>
        <v/>
      </c>
      <c r="BA54" s="2436"/>
      <c r="BB54" s="2472" t="str">
        <f>IFERROR(IF(OR(BC$2="ZURÜCK ZUR AUSWAHL",BC$2="",BC$2=0),"",IF(BC$2=$BO$1,$BO53,IF(BC$2=$BP$1,$BP53,IF(BC$2=$BQ$1,$BQ53,IF(BC$2=$BR$1,$BR53,IF(BC$2=$BS$1,$BS53,IF(BC$2=$BT$1,$BT53,IF(BC$2=$BU$1,$BU53,INDEX(Tiere!$BN$2:$BN$145,_xlfn.AGGREGATE(15,6,(ROW(Tiere!$BN$2:$BN$145)-1)/(--(SEARCH(BC$2,Tiere!$BN$2:$BN$145)&gt;0)),ROW()-1),1))))))))),"")</f>
        <v/>
      </c>
      <c r="BC54" s="2436"/>
      <c r="BD54" s="2472" t="str">
        <f>IFERROR(IF(OR(BE$2="ZURÜCK ZUR AUSWAHL",BE$2="",BE$2=0),"",IF(BE$2=$BO$1,$BO53,IF(BE$2=$BP$1,$BP53,IF(BE$2=$BQ$1,$BQ53,IF(BE$2=$BR$1,$BR53,IF(BE$2=$BS$1,$BS53,IF(BE$2=$BT$1,$BT53,IF(BE$2=$BU$1,$BU53,INDEX(Tiere!$BN$2:$BN$145,_xlfn.AGGREGATE(15,6,(ROW(Tiere!$BN$2:$BN$145)-1)/(--(SEARCH(BE$2,Tiere!$BN$2:$BN$145)&gt;0)),ROW()-1),1))))))))),"")</f>
        <v/>
      </c>
      <c r="BE54" s="2436"/>
      <c r="BF54" s="2472" t="str">
        <f>IFERROR(IF(OR(BG$2="ZURÜCK ZUR AUSWAHL",BG$2="",BG$2=0),"",IF(BG$2=$BO$1,$BO53,IF(BG$2=$BP$1,$BP53,IF(BG$2=$BQ$1,$BQ53,IF(BG$2=$BR$1,$BR53,IF(BG$2=$BS$1,$BS53,IF(BG$2=$BT$1,$BT53,IF(BG$2=$BU$1,$BU53,INDEX(Tiere!$BN$2:$BN$145,_xlfn.AGGREGATE(15,6,(ROW(Tiere!$BN$2:$BN$145)-1)/(--(SEARCH(BG$2,Tiere!$BN$2:$BN$145)&gt;0)),ROW()-1),1))))))))),"")</f>
        <v/>
      </c>
      <c r="BG54" s="2436"/>
      <c r="BH54" s="2472" t="str">
        <f>IFERROR(IF(OR(BI$2="ZURÜCK ZUR AUSWAHL",BI$2="",BI$2=0),"",IF(BI$2=$BO$1,$BO53,IF(BI$2=$BP$1,$BP53,IF(BI$2=$BQ$1,$BQ53,IF(BI$2=$BR$1,$BR53,IF(BI$2=$BS$1,$BS53,IF(BI$2=$BT$1,$BT53,IF(BI$2=$BU$1,$BU53,INDEX(Tiere!$BN$2:$BN$145,_xlfn.AGGREGATE(15,6,(ROW(Tiere!$BN$2:$BN$145)-1)/(--(SEARCH(BI$2,Tiere!$BN$2:$BN$145)&gt;0)),ROW()-1),1))))))))),"")</f>
        <v/>
      </c>
      <c r="BI54" s="2436"/>
      <c r="BJ54" s="2472" t="str">
        <f>IFERROR(IF(OR(BK$2="ZURÜCK ZUR AUSWAHL",BK$2="",BK$2=0),"",IF(BK$2=$BO$1,$BO53,IF(BK$2=$BP$1,$BP53,IF(BK$2=$BQ$1,$BQ53,IF(BK$2=$BR$1,$BR53,IF(BK$2=$BS$1,$BS53,IF(BK$2=$BT$1,$BT53,IF(BK$2=$BU$1,$BU53,INDEX(Tiere!$BN$2:$BN$145,_xlfn.AGGREGATE(15,6,(ROW(Tiere!$BN$2:$BN$145)-1)/(--(SEARCH(BK$2,Tiere!$BN$2:$BN$145)&gt;0)),ROW()-1),1))))))))),"")</f>
        <v/>
      </c>
      <c r="BK54" s="2436"/>
      <c r="BL54" s="2472" t="str">
        <f>IFERROR(IF(OR(BM$2="ZURÜCK ZUR AUSWAHL",BM$2="",BM$2=0),"",IF(BM$2=$BO$1,$BO53,IF(BM$2=$BP$1,$BP53,IF(BM$2=$BQ$1,$BQ53,IF(BM$2=$BR$1,$BR53,IF(BM$2=$BS$1,$BS53,IF(BM$2=$BT$1,$BT53,IF(BM$2=$BU$1,$BU53,INDEX(Tiere!$BN$2:$BN$145,_xlfn.AGGREGATE(15,6,(ROW(Tiere!$BN$2:$BN$145)-1)/(--(SEARCH(BM$2,Tiere!$BN$2:$BN$145)&gt;0)),ROW()-1),1))))))))),"")</f>
        <v/>
      </c>
      <c r="BM54" s="2436"/>
      <c r="BN54" s="2478" t="s">
        <v>1203</v>
      </c>
      <c r="BO54" s="2470"/>
      <c r="BP54" s="2470"/>
      <c r="BQ54" s="2470"/>
      <c r="BR54" s="2470"/>
      <c r="BS54" s="2470"/>
      <c r="BT54" s="2470"/>
      <c r="BU54" s="2470"/>
    </row>
    <row r="55" spans="36:73" ht="13.8" thickBot="1">
      <c r="AJ55" s="2472" t="str">
        <f>IFERROR(IF(OR(AK$2="ZURÜCK ZUR AUSWAHL",AK$2="",AK$2=0),"",IF(AK$2=$BO$1,$BO54,IF(AK$2=$BP$1,$BP54,IF(AK$2=$BQ$1,$BQ54,IF(AK$2=$BR$1,$BR54,IF(AK$2=$BS$1,$BS54,IF(AK$2=$BT$1,$BT54,IF(AK$2=$BU$1,$BU54,INDEX(Tiere!$BN$2:$BN$145,_xlfn.AGGREGATE(15,6,(ROW(Tiere!$BN$2:$BN$145)-1)/(--(SEARCH(AK$2,Tiere!$BN$2:$BN$145)&gt;0)),ROW()-2),1))))))))),"")</f>
        <v/>
      </c>
      <c r="AK55" s="2438"/>
      <c r="AL55" s="2472" t="str">
        <f>IFERROR(IF(OR(AM$2="ZURÜCK ZUR AUSWAHL",AM$2="",AM$2=0),"",IF(AM$2=$BO$1,$BO54,IF(AM$2=$BP$1,$BP54,IF(AM$2=$BQ$1,$BQ54,IF(AM$2=$BR$1,$BR54,IF(AM$2=$BS$1,$BS54,IF(AM$2=$BT$1,$BT54,IF(AM$2=$BU$1,$BU54,INDEX(Tiere!$BN$2:$BN$145,_xlfn.AGGREGATE(15,6,(ROW(Tiere!$BN$2:$BN$145)-1)/(--(SEARCH(AM$2,Tiere!$BN$2:$BN$145)&gt;0)),ROW()-1),1))))))))),"")</f>
        <v/>
      </c>
      <c r="AM55" s="2438"/>
      <c r="AN55" s="2472" t="str">
        <f>IFERROR(IF(OR(AO$2="ZURÜCK ZUR AUSWAHL",AO$2="",AO$2=0),"",IF(AO$2=$BO$1,$BO54,IF(AO$2=$BP$1,$BP54,IF(AO$2=$BQ$1,$BQ54,IF(AO$2=$BR$1,$BR54,IF(AO$2=$BS$1,$BS54,IF(AO$2=$BT$1,$BT54,IF(AO$2=$BU$1,$BU54,INDEX(Tiere!$BN$2:$BN$145,_xlfn.AGGREGATE(15,6,(ROW(Tiere!$BN$2:$BN$145)-1)/(--(SEARCH(AO$2,Tiere!$BN$2:$BN$145)&gt;0)),ROW()-1),1))))))))),"")</f>
        <v/>
      </c>
      <c r="AO55" s="2438"/>
      <c r="AP55" s="2472" t="str">
        <f>IFERROR(IF(OR(AQ$2="ZURÜCK ZUR AUSWAHL",AQ$2="",AQ$2=0),"",IF(AQ$2=$BO$1,$BO54,IF(AQ$2=$BP$1,$BP54,IF(AQ$2=$BQ$1,$BQ54,IF(AQ$2=$BR$1,$BR54,IF(AQ$2=$BS$1,$BS54,IF(AQ$2=$BT$1,$BT54,IF(AQ$2=$BU$1,$BU54,INDEX(Tiere!$BN$2:$BN$145,_xlfn.AGGREGATE(15,6,(ROW(Tiere!$BN$2:$BN$145)-1)/(--(SEARCH(AQ$2,Tiere!$BN$2:$BN$145)&gt;0)),ROW()-1),1))))))))),"")</f>
        <v/>
      </c>
      <c r="AQ55" s="2438"/>
      <c r="AR55" s="2472" t="str">
        <f>IFERROR(IF(OR(AS$2="ZURÜCK ZUR AUSWAHL",AS$2="",AS$2=0),"",IF(AS$2=$BO$1,$BO54,IF(AS$2=$BP$1,$BP54,IF(AS$2=$BQ$1,$BQ54,IF(AS$2=$BR$1,$BR54,IF(AS$2=$BS$1,$BS54,IF(AS$2=$BT$1,$BT54,IF(AS$2=$BU$1,$BU54,INDEX(Tiere!$BN$2:$BN$145,_xlfn.AGGREGATE(15,6,(ROW(Tiere!$BN$2:$BN$145)-1)/(--(SEARCH(AS$2,Tiere!$BN$2:$BN$145)&gt;0)),ROW()-1),1))))))))),"")</f>
        <v/>
      </c>
      <c r="AS55" s="2438"/>
      <c r="AT55" s="2472" t="str">
        <f>IFERROR(IF(OR(AU$2="ZURÜCK ZUR AUSWAHL",AU$2="",AU$2=0),"",IF(AU$2=$BO$1,$BO54,IF(AU$2=$BP$1,$BP54,IF(AU$2=$BQ$1,$BQ54,IF(AU$2=$BR$1,$BR54,IF(AU$2=$BS$1,$BS54,IF(AU$2=$BT$1,$BT54,IF(AU$2=$BU$1,$BU54,INDEX(Tiere!$BN$2:$BN$145,_xlfn.AGGREGATE(15,6,(ROW(Tiere!$BN$2:$BN$145)-1)/(--(SEARCH(AU$2,Tiere!$BN$2:$BN$145)&gt;0)),ROW()-1),1))))))))),"")</f>
        <v/>
      </c>
      <c r="AU55" s="2438"/>
      <c r="AV55" s="2472" t="str">
        <f>IFERROR(IF(OR(AW$2="ZURÜCK ZUR AUSWAHL",AW$2="",AW$2=0),"",IF(AW$2=$BO$1,$BO54,IF(AW$2=$BP$1,$BP54,IF(AW$2=$BQ$1,$BQ54,IF(AW$2=$BR$1,$BR54,IF(AW$2=$BS$1,$BS54,IF(AW$2=$BT$1,$BT54,IF(AW$2=$BU$1,$BU54,INDEX(Tiere!$BN$2:$BN$145,_xlfn.AGGREGATE(15,6,(ROW(Tiere!$BN$2:$BN$145)-1)/(--(SEARCH(AW$2,Tiere!$BN$2:$BN$145)&gt;0)),ROW()-1),1))))))))),"")</f>
        <v/>
      </c>
      <c r="AW55" s="2438"/>
      <c r="AX55" s="2472" t="str">
        <f>IFERROR(IF(OR(AY$2="ZURÜCK ZUR AUSWAHL",AY$2="",AY$2=0),"",IF(AY$2=$BO$1,$BO54,IF(AY$2=$BP$1,$BP54,IF(AY$2=$BQ$1,$BQ54,IF(AY$2=$BR$1,$BR54,IF(AY$2=$BS$1,$BS54,IF(AY$2=$BT$1,$BT54,IF(AY$2=$BU$1,$BU54,INDEX(Tiere!$BN$2:$BN$145,_xlfn.AGGREGATE(15,6,(ROW(Tiere!$BN$2:$BN$145)-1)/(--(SEARCH(AY$2,Tiere!$BN$2:$BN$145)&gt;0)),ROW()-1),1))))))))),"")</f>
        <v/>
      </c>
      <c r="AY55" s="2438"/>
      <c r="AZ55" s="2472" t="str">
        <f>IFERROR(IF(OR(BA$2="ZURÜCK ZUR AUSWAHL",BA$2="",BA$2=0),"",IF(BA$2=$BO$1,$BO54,IF(BA$2=$BP$1,$BP54,IF(BA$2=$BQ$1,$BQ54,IF(BA$2=$BR$1,$BR54,IF(BA$2=$BS$1,$BS54,IF(BA$2=$BT$1,$BT54,IF(BA$2=$BU$1,$BU54,INDEX(Tiere!$BN$2:$BN$145,_xlfn.AGGREGATE(15,6,(ROW(Tiere!$BN$2:$BN$145)-1)/(--(SEARCH(BA$2,Tiere!$BN$2:$BN$145)&gt;0)),ROW()-1),1))))))))),"")</f>
        <v/>
      </c>
      <c r="BA55" s="2438"/>
      <c r="BB55" s="2472" t="str">
        <f>IFERROR(IF(OR(BC$2="ZURÜCK ZUR AUSWAHL",BC$2="",BC$2=0),"",IF(BC$2=$BO$1,$BO54,IF(BC$2=$BP$1,$BP54,IF(BC$2=$BQ$1,$BQ54,IF(BC$2=$BR$1,$BR54,IF(BC$2=$BS$1,$BS54,IF(BC$2=$BT$1,$BT54,IF(BC$2=$BU$1,$BU54,INDEX(Tiere!$BN$2:$BN$145,_xlfn.AGGREGATE(15,6,(ROW(Tiere!$BN$2:$BN$145)-1)/(--(SEARCH(BC$2,Tiere!$BN$2:$BN$145)&gt;0)),ROW()-1),1))))))))),"")</f>
        <v/>
      </c>
      <c r="BC55" s="2438"/>
      <c r="BD55" s="2472" t="str">
        <f>IFERROR(IF(OR(BE$2="ZURÜCK ZUR AUSWAHL",BE$2="",BE$2=0),"",IF(BE$2=$BO$1,$BO54,IF(BE$2=$BP$1,$BP54,IF(BE$2=$BQ$1,$BQ54,IF(BE$2=$BR$1,$BR54,IF(BE$2=$BS$1,$BS54,IF(BE$2=$BT$1,$BT54,IF(BE$2=$BU$1,$BU54,INDEX(Tiere!$BN$2:$BN$145,_xlfn.AGGREGATE(15,6,(ROW(Tiere!$BN$2:$BN$145)-1)/(--(SEARCH(BE$2,Tiere!$BN$2:$BN$145)&gt;0)),ROW()-1),1))))))))),"")</f>
        <v/>
      </c>
      <c r="BE55" s="2438"/>
      <c r="BF55" s="2472" t="str">
        <f>IFERROR(IF(OR(BG$2="ZURÜCK ZUR AUSWAHL",BG$2="",BG$2=0),"",IF(BG$2=$BO$1,$BO54,IF(BG$2=$BP$1,$BP54,IF(BG$2=$BQ$1,$BQ54,IF(BG$2=$BR$1,$BR54,IF(BG$2=$BS$1,$BS54,IF(BG$2=$BT$1,$BT54,IF(BG$2=$BU$1,$BU54,INDEX(Tiere!$BN$2:$BN$145,_xlfn.AGGREGATE(15,6,(ROW(Tiere!$BN$2:$BN$145)-1)/(--(SEARCH(BG$2,Tiere!$BN$2:$BN$145)&gt;0)),ROW()-1),1))))))))),"")</f>
        <v/>
      </c>
      <c r="BG55" s="2438"/>
      <c r="BH55" s="2472" t="str">
        <f>IFERROR(IF(OR(BI$2="ZURÜCK ZUR AUSWAHL",BI$2="",BI$2=0),"",IF(BI$2=$BO$1,$BO54,IF(BI$2=$BP$1,$BP54,IF(BI$2=$BQ$1,$BQ54,IF(BI$2=$BR$1,$BR54,IF(BI$2=$BS$1,$BS54,IF(BI$2=$BT$1,$BT54,IF(BI$2=$BU$1,$BU54,INDEX(Tiere!$BN$2:$BN$145,_xlfn.AGGREGATE(15,6,(ROW(Tiere!$BN$2:$BN$145)-1)/(--(SEARCH(BI$2,Tiere!$BN$2:$BN$145)&gt;0)),ROW()-1),1))))))))),"")</f>
        <v/>
      </c>
      <c r="BI55" s="2438"/>
      <c r="BJ55" s="2472" t="str">
        <f>IFERROR(IF(OR(BK$2="ZURÜCK ZUR AUSWAHL",BK$2="",BK$2=0),"",IF(BK$2=$BO$1,$BO54,IF(BK$2=$BP$1,$BP54,IF(BK$2=$BQ$1,$BQ54,IF(BK$2=$BR$1,$BR54,IF(BK$2=$BS$1,$BS54,IF(BK$2=$BT$1,$BT54,IF(BK$2=$BU$1,$BU54,INDEX(Tiere!$BN$2:$BN$145,_xlfn.AGGREGATE(15,6,(ROW(Tiere!$BN$2:$BN$145)-1)/(--(SEARCH(BK$2,Tiere!$BN$2:$BN$145)&gt;0)),ROW()-1),1))))))))),"")</f>
        <v/>
      </c>
      <c r="BK55" s="2438"/>
      <c r="BL55" s="2472" t="str">
        <f>IFERROR(IF(OR(BM$2="ZURÜCK ZUR AUSWAHL",BM$2="",BM$2=0),"",IF(BM$2=$BO$1,$BO54,IF(BM$2=$BP$1,$BP54,IF(BM$2=$BQ$1,$BQ54,IF(BM$2=$BR$1,$BR54,IF(BM$2=$BS$1,$BS54,IF(BM$2=$BT$1,$BT54,IF(BM$2=$BU$1,$BU54,INDEX(Tiere!$BN$2:$BN$145,_xlfn.AGGREGATE(15,6,(ROW(Tiere!$BN$2:$BN$145)-1)/(--(SEARCH(BM$2,Tiere!$BN$2:$BN$145)&gt;0)),ROW()-1),1))))))))),"")</f>
        <v/>
      </c>
      <c r="BM55" s="2438"/>
      <c r="BN55" s="2478" t="s">
        <v>1204</v>
      </c>
      <c r="BO55" s="2470"/>
      <c r="BP55" s="2470"/>
      <c r="BQ55" s="2470"/>
      <c r="BR55" s="2470"/>
      <c r="BS55" s="2470"/>
      <c r="BT55" s="2470"/>
      <c r="BU55" s="2470"/>
    </row>
    <row r="56" spans="36:73" ht="13.8" thickBot="1">
      <c r="AJ56" s="2472" t="str">
        <f>IFERROR(IF(OR(AK$2="ZURÜCK ZUR AUSWAHL",AK$2="",AK$2=0),"",IF(AK$2=$BO$1,$BO55,IF(AK$2=$BP$1,$BP55,IF(AK$2=$BQ$1,$BQ55,IF(AK$2=$BR$1,$BR55,IF(AK$2=$BS$1,$BS55,IF(AK$2=$BT$1,$BT55,IF(AK$2=$BU$1,$BU55,INDEX(Tiere!$BN$2:$BN$145,_xlfn.AGGREGATE(15,6,(ROW(Tiere!$BN$2:$BN$145)-1)/(--(SEARCH(AK$2,Tiere!$BN$2:$BN$145)&gt;0)),ROW()-2),1))))))))),"")</f>
        <v/>
      </c>
      <c r="AK56" s="2436"/>
      <c r="AL56" s="2472" t="str">
        <f>IFERROR(IF(OR(AM$2="ZURÜCK ZUR AUSWAHL",AM$2="",AM$2=0),"",IF(AM$2=$BO$1,$BO55,IF(AM$2=$BP$1,$BP55,IF(AM$2=$BQ$1,$BQ55,IF(AM$2=$BR$1,$BR55,IF(AM$2=$BS$1,$BS55,IF(AM$2=$BT$1,$BT55,IF(AM$2=$BU$1,$BU55,INDEX(Tiere!$BN$2:$BN$145,_xlfn.AGGREGATE(15,6,(ROW(Tiere!$BN$2:$BN$145)-1)/(--(SEARCH(AM$2,Tiere!$BN$2:$BN$145)&gt;0)),ROW()-1),1))))))))),"")</f>
        <v/>
      </c>
      <c r="AM56" s="2436"/>
      <c r="AN56" s="2472" t="str">
        <f>IFERROR(IF(OR(AO$2="ZURÜCK ZUR AUSWAHL",AO$2="",AO$2=0),"",IF(AO$2=$BO$1,$BO55,IF(AO$2=$BP$1,$BP55,IF(AO$2=$BQ$1,$BQ55,IF(AO$2=$BR$1,$BR55,IF(AO$2=$BS$1,$BS55,IF(AO$2=$BT$1,$BT55,IF(AO$2=$BU$1,$BU55,INDEX(Tiere!$BN$2:$BN$145,_xlfn.AGGREGATE(15,6,(ROW(Tiere!$BN$2:$BN$145)-1)/(--(SEARCH(AO$2,Tiere!$BN$2:$BN$145)&gt;0)),ROW()-1),1))))))))),"")</f>
        <v/>
      </c>
      <c r="AO56" s="2436"/>
      <c r="AP56" s="2472" t="str">
        <f>IFERROR(IF(OR(AQ$2="ZURÜCK ZUR AUSWAHL",AQ$2="",AQ$2=0),"",IF(AQ$2=$BO$1,$BO55,IF(AQ$2=$BP$1,$BP55,IF(AQ$2=$BQ$1,$BQ55,IF(AQ$2=$BR$1,$BR55,IF(AQ$2=$BS$1,$BS55,IF(AQ$2=$BT$1,$BT55,IF(AQ$2=$BU$1,$BU55,INDEX(Tiere!$BN$2:$BN$145,_xlfn.AGGREGATE(15,6,(ROW(Tiere!$BN$2:$BN$145)-1)/(--(SEARCH(AQ$2,Tiere!$BN$2:$BN$145)&gt;0)),ROW()-1),1))))))))),"")</f>
        <v/>
      </c>
      <c r="AQ56" s="2436"/>
      <c r="AR56" s="2472" t="str">
        <f>IFERROR(IF(OR(AS$2="ZURÜCK ZUR AUSWAHL",AS$2="",AS$2=0),"",IF(AS$2=$BO$1,$BO55,IF(AS$2=$BP$1,$BP55,IF(AS$2=$BQ$1,$BQ55,IF(AS$2=$BR$1,$BR55,IF(AS$2=$BS$1,$BS55,IF(AS$2=$BT$1,$BT55,IF(AS$2=$BU$1,$BU55,INDEX(Tiere!$BN$2:$BN$145,_xlfn.AGGREGATE(15,6,(ROW(Tiere!$BN$2:$BN$145)-1)/(--(SEARCH(AS$2,Tiere!$BN$2:$BN$145)&gt;0)),ROW()-1),1))))))))),"")</f>
        <v/>
      </c>
      <c r="AS56" s="2436"/>
      <c r="AT56" s="2472" t="str">
        <f>IFERROR(IF(OR(AU$2="ZURÜCK ZUR AUSWAHL",AU$2="",AU$2=0),"",IF(AU$2=$BO$1,$BO55,IF(AU$2=$BP$1,$BP55,IF(AU$2=$BQ$1,$BQ55,IF(AU$2=$BR$1,$BR55,IF(AU$2=$BS$1,$BS55,IF(AU$2=$BT$1,$BT55,IF(AU$2=$BU$1,$BU55,INDEX(Tiere!$BN$2:$BN$145,_xlfn.AGGREGATE(15,6,(ROW(Tiere!$BN$2:$BN$145)-1)/(--(SEARCH(AU$2,Tiere!$BN$2:$BN$145)&gt;0)),ROW()-1),1))))))))),"")</f>
        <v/>
      </c>
      <c r="AU56" s="2436"/>
      <c r="AV56" s="2472" t="str">
        <f>IFERROR(IF(OR(AW$2="ZURÜCK ZUR AUSWAHL",AW$2="",AW$2=0),"",IF(AW$2=$BO$1,$BO55,IF(AW$2=$BP$1,$BP55,IF(AW$2=$BQ$1,$BQ55,IF(AW$2=$BR$1,$BR55,IF(AW$2=$BS$1,$BS55,IF(AW$2=$BT$1,$BT55,IF(AW$2=$BU$1,$BU55,INDEX(Tiere!$BN$2:$BN$145,_xlfn.AGGREGATE(15,6,(ROW(Tiere!$BN$2:$BN$145)-1)/(--(SEARCH(AW$2,Tiere!$BN$2:$BN$145)&gt;0)),ROW()-1),1))))))))),"")</f>
        <v/>
      </c>
      <c r="AW56" s="2436"/>
      <c r="AX56" s="2472" t="str">
        <f>IFERROR(IF(OR(AY$2="ZURÜCK ZUR AUSWAHL",AY$2="",AY$2=0),"",IF(AY$2=$BO$1,$BO55,IF(AY$2=$BP$1,$BP55,IF(AY$2=$BQ$1,$BQ55,IF(AY$2=$BR$1,$BR55,IF(AY$2=$BS$1,$BS55,IF(AY$2=$BT$1,$BT55,IF(AY$2=$BU$1,$BU55,INDEX(Tiere!$BN$2:$BN$145,_xlfn.AGGREGATE(15,6,(ROW(Tiere!$BN$2:$BN$145)-1)/(--(SEARCH(AY$2,Tiere!$BN$2:$BN$145)&gt;0)),ROW()-1),1))))))))),"")</f>
        <v/>
      </c>
      <c r="AY56" s="2436"/>
      <c r="AZ56" s="2472" t="str">
        <f>IFERROR(IF(OR(BA$2="ZURÜCK ZUR AUSWAHL",BA$2="",BA$2=0),"",IF(BA$2=$BO$1,$BO55,IF(BA$2=$BP$1,$BP55,IF(BA$2=$BQ$1,$BQ55,IF(BA$2=$BR$1,$BR55,IF(BA$2=$BS$1,$BS55,IF(BA$2=$BT$1,$BT55,IF(BA$2=$BU$1,$BU55,INDEX(Tiere!$BN$2:$BN$145,_xlfn.AGGREGATE(15,6,(ROW(Tiere!$BN$2:$BN$145)-1)/(--(SEARCH(BA$2,Tiere!$BN$2:$BN$145)&gt;0)),ROW()-1),1))))))))),"")</f>
        <v/>
      </c>
      <c r="BA56" s="2436"/>
      <c r="BB56" s="2472" t="str">
        <f>IFERROR(IF(OR(BC$2="ZURÜCK ZUR AUSWAHL",BC$2="",BC$2=0),"",IF(BC$2=$BO$1,$BO55,IF(BC$2=$BP$1,$BP55,IF(BC$2=$BQ$1,$BQ55,IF(BC$2=$BR$1,$BR55,IF(BC$2=$BS$1,$BS55,IF(BC$2=$BT$1,$BT55,IF(BC$2=$BU$1,$BU55,INDEX(Tiere!$BN$2:$BN$145,_xlfn.AGGREGATE(15,6,(ROW(Tiere!$BN$2:$BN$145)-1)/(--(SEARCH(BC$2,Tiere!$BN$2:$BN$145)&gt;0)),ROW()-1),1))))))))),"")</f>
        <v/>
      </c>
      <c r="BC56" s="2436"/>
      <c r="BD56" s="2472" t="str">
        <f>IFERROR(IF(OR(BE$2="ZURÜCK ZUR AUSWAHL",BE$2="",BE$2=0),"",IF(BE$2=$BO$1,$BO55,IF(BE$2=$BP$1,$BP55,IF(BE$2=$BQ$1,$BQ55,IF(BE$2=$BR$1,$BR55,IF(BE$2=$BS$1,$BS55,IF(BE$2=$BT$1,$BT55,IF(BE$2=$BU$1,$BU55,INDEX(Tiere!$BN$2:$BN$145,_xlfn.AGGREGATE(15,6,(ROW(Tiere!$BN$2:$BN$145)-1)/(--(SEARCH(BE$2,Tiere!$BN$2:$BN$145)&gt;0)),ROW()-1),1))))))))),"")</f>
        <v/>
      </c>
      <c r="BE56" s="2436"/>
      <c r="BF56" s="2472" t="str">
        <f>IFERROR(IF(OR(BG$2="ZURÜCK ZUR AUSWAHL",BG$2="",BG$2=0),"",IF(BG$2=$BO$1,$BO55,IF(BG$2=$BP$1,$BP55,IF(BG$2=$BQ$1,$BQ55,IF(BG$2=$BR$1,$BR55,IF(BG$2=$BS$1,$BS55,IF(BG$2=$BT$1,$BT55,IF(BG$2=$BU$1,$BU55,INDEX(Tiere!$BN$2:$BN$145,_xlfn.AGGREGATE(15,6,(ROW(Tiere!$BN$2:$BN$145)-1)/(--(SEARCH(BG$2,Tiere!$BN$2:$BN$145)&gt;0)),ROW()-1),1))))))))),"")</f>
        <v/>
      </c>
      <c r="BG56" s="2436"/>
      <c r="BH56" s="2472" t="str">
        <f>IFERROR(IF(OR(BI$2="ZURÜCK ZUR AUSWAHL",BI$2="",BI$2=0),"",IF(BI$2=$BO$1,$BO55,IF(BI$2=$BP$1,$BP55,IF(BI$2=$BQ$1,$BQ55,IF(BI$2=$BR$1,$BR55,IF(BI$2=$BS$1,$BS55,IF(BI$2=$BT$1,$BT55,IF(BI$2=$BU$1,$BU55,INDEX(Tiere!$BN$2:$BN$145,_xlfn.AGGREGATE(15,6,(ROW(Tiere!$BN$2:$BN$145)-1)/(--(SEARCH(BI$2,Tiere!$BN$2:$BN$145)&gt;0)),ROW()-1),1))))))))),"")</f>
        <v/>
      </c>
      <c r="BI56" s="2436"/>
      <c r="BJ56" s="2472" t="str">
        <f>IFERROR(IF(OR(BK$2="ZURÜCK ZUR AUSWAHL",BK$2="",BK$2=0),"",IF(BK$2=$BO$1,$BO55,IF(BK$2=$BP$1,$BP55,IF(BK$2=$BQ$1,$BQ55,IF(BK$2=$BR$1,$BR55,IF(BK$2=$BS$1,$BS55,IF(BK$2=$BT$1,$BT55,IF(BK$2=$BU$1,$BU55,INDEX(Tiere!$BN$2:$BN$145,_xlfn.AGGREGATE(15,6,(ROW(Tiere!$BN$2:$BN$145)-1)/(--(SEARCH(BK$2,Tiere!$BN$2:$BN$145)&gt;0)),ROW()-1),1))))))))),"")</f>
        <v/>
      </c>
      <c r="BK56" s="2436"/>
      <c r="BL56" s="2472" t="str">
        <f>IFERROR(IF(OR(BM$2="ZURÜCK ZUR AUSWAHL",BM$2="",BM$2=0),"",IF(BM$2=$BO$1,$BO55,IF(BM$2=$BP$1,$BP55,IF(BM$2=$BQ$1,$BQ55,IF(BM$2=$BR$1,$BR55,IF(BM$2=$BS$1,$BS55,IF(BM$2=$BT$1,$BT55,IF(BM$2=$BU$1,$BU55,INDEX(Tiere!$BN$2:$BN$145,_xlfn.AGGREGATE(15,6,(ROW(Tiere!$BN$2:$BN$145)-1)/(--(SEARCH(BM$2,Tiere!$BN$2:$BN$145)&gt;0)),ROW()-1),1))))))))),"")</f>
        <v/>
      </c>
      <c r="BM56" s="2436"/>
      <c r="BN56" s="2478" t="s">
        <v>1206</v>
      </c>
      <c r="BO56" s="2470"/>
      <c r="BP56" s="2470"/>
      <c r="BQ56" s="2470"/>
      <c r="BR56" s="2470"/>
      <c r="BS56" s="2470"/>
      <c r="BT56" s="2470"/>
      <c r="BU56" s="2470"/>
    </row>
    <row r="57" spans="36:73" ht="14.4" thickTop="1" thickBot="1">
      <c r="AJ57" s="2472" t="str">
        <f>IFERROR(IF(OR(AK$2="ZURÜCK ZUR AUSWAHL",AK$2="",AK$2=0),"",IF(AK$2=$BO$1,$BO56,IF(AK$2=$BP$1,$BP56,IF(AK$2=$BQ$1,$BQ56,IF(AK$2=$BR$1,$BR56,IF(AK$2=$BS$1,$BS56,IF(AK$2=$BT$1,$BT56,IF(AK$2=$BU$1,$BU56,INDEX(Tiere!$BN$2:$BN$145,_xlfn.AGGREGATE(15,6,(ROW(Tiere!$BN$2:$BN$145)-1)/(--(SEARCH(AK$2,Tiere!$BN$2:$BN$145)&gt;0)),ROW()-2),1))))))))),"")</f>
        <v/>
      </c>
      <c r="AK57" s="2438"/>
      <c r="AL57" s="2472" t="str">
        <f>IFERROR(IF(OR(AM$2="ZURÜCK ZUR AUSWAHL",AM$2="",AM$2=0),"",IF(AM$2=$BO$1,$BO56,IF(AM$2=$BP$1,$BP56,IF(AM$2=$BQ$1,$BQ56,IF(AM$2=$BR$1,$BR56,IF(AM$2=$BS$1,$BS56,IF(AM$2=$BT$1,$BT56,IF(AM$2=$BU$1,$BU56,INDEX(Tiere!$BN$2:$BN$145,_xlfn.AGGREGATE(15,6,(ROW(Tiere!$BN$2:$BN$145)-1)/(--(SEARCH(AM$2,Tiere!$BN$2:$BN$145)&gt;0)),ROW()-1),1))))))))),"")</f>
        <v/>
      </c>
      <c r="AM57" s="2438"/>
      <c r="AN57" s="2472" t="str">
        <f>IFERROR(IF(OR(AO$2="ZURÜCK ZUR AUSWAHL",AO$2="",AO$2=0),"",IF(AO$2=$BO$1,$BO56,IF(AO$2=$BP$1,$BP56,IF(AO$2=$BQ$1,$BQ56,IF(AO$2=$BR$1,$BR56,IF(AO$2=$BS$1,$BS56,IF(AO$2=$BT$1,$BT56,IF(AO$2=$BU$1,$BU56,INDEX(Tiere!$BN$2:$BN$145,_xlfn.AGGREGATE(15,6,(ROW(Tiere!$BN$2:$BN$145)-1)/(--(SEARCH(AO$2,Tiere!$BN$2:$BN$145)&gt;0)),ROW()-1),1))))))))),"")</f>
        <v/>
      </c>
      <c r="AO57" s="2438"/>
      <c r="AP57" s="2472" t="str">
        <f>IFERROR(IF(OR(AQ$2="ZURÜCK ZUR AUSWAHL",AQ$2="",AQ$2=0),"",IF(AQ$2=$BO$1,$BO56,IF(AQ$2=$BP$1,$BP56,IF(AQ$2=$BQ$1,$BQ56,IF(AQ$2=$BR$1,$BR56,IF(AQ$2=$BS$1,$BS56,IF(AQ$2=$BT$1,$BT56,IF(AQ$2=$BU$1,$BU56,INDEX(Tiere!$BN$2:$BN$145,_xlfn.AGGREGATE(15,6,(ROW(Tiere!$BN$2:$BN$145)-1)/(--(SEARCH(AQ$2,Tiere!$BN$2:$BN$145)&gt;0)),ROW()-1),1))))))))),"")</f>
        <v/>
      </c>
      <c r="AQ57" s="2438"/>
      <c r="AR57" s="2472" t="str">
        <f>IFERROR(IF(OR(AS$2="ZURÜCK ZUR AUSWAHL",AS$2="",AS$2=0),"",IF(AS$2=$BO$1,$BO56,IF(AS$2=$BP$1,$BP56,IF(AS$2=$BQ$1,$BQ56,IF(AS$2=$BR$1,$BR56,IF(AS$2=$BS$1,$BS56,IF(AS$2=$BT$1,$BT56,IF(AS$2=$BU$1,$BU56,INDEX(Tiere!$BN$2:$BN$145,_xlfn.AGGREGATE(15,6,(ROW(Tiere!$BN$2:$BN$145)-1)/(--(SEARCH(AS$2,Tiere!$BN$2:$BN$145)&gt;0)),ROW()-1),1))))))))),"")</f>
        <v/>
      </c>
      <c r="AS57" s="2438"/>
      <c r="AT57" s="2472" t="str">
        <f>IFERROR(IF(OR(AU$2="ZURÜCK ZUR AUSWAHL",AU$2="",AU$2=0),"",IF(AU$2=$BO$1,$BO56,IF(AU$2=$BP$1,$BP56,IF(AU$2=$BQ$1,$BQ56,IF(AU$2=$BR$1,$BR56,IF(AU$2=$BS$1,$BS56,IF(AU$2=$BT$1,$BT56,IF(AU$2=$BU$1,$BU56,INDEX(Tiere!$BN$2:$BN$145,_xlfn.AGGREGATE(15,6,(ROW(Tiere!$BN$2:$BN$145)-1)/(--(SEARCH(AU$2,Tiere!$BN$2:$BN$145)&gt;0)),ROW()-1),1))))))))),"")</f>
        <v/>
      </c>
      <c r="AU57" s="2438"/>
      <c r="AV57" s="2472" t="str">
        <f>IFERROR(IF(OR(AW$2="ZURÜCK ZUR AUSWAHL",AW$2="",AW$2=0),"",IF(AW$2=$BO$1,$BO56,IF(AW$2=$BP$1,$BP56,IF(AW$2=$BQ$1,$BQ56,IF(AW$2=$BR$1,$BR56,IF(AW$2=$BS$1,$BS56,IF(AW$2=$BT$1,$BT56,IF(AW$2=$BU$1,$BU56,INDEX(Tiere!$BN$2:$BN$145,_xlfn.AGGREGATE(15,6,(ROW(Tiere!$BN$2:$BN$145)-1)/(--(SEARCH(AW$2,Tiere!$BN$2:$BN$145)&gt;0)),ROW()-1),1))))))))),"")</f>
        <v/>
      </c>
      <c r="AW57" s="2438"/>
      <c r="AX57" s="2472" t="str">
        <f>IFERROR(IF(OR(AY$2="ZURÜCK ZUR AUSWAHL",AY$2="",AY$2=0),"",IF(AY$2=$BO$1,$BO56,IF(AY$2=$BP$1,$BP56,IF(AY$2=$BQ$1,$BQ56,IF(AY$2=$BR$1,$BR56,IF(AY$2=$BS$1,$BS56,IF(AY$2=$BT$1,$BT56,IF(AY$2=$BU$1,$BU56,INDEX(Tiere!$BN$2:$BN$145,_xlfn.AGGREGATE(15,6,(ROW(Tiere!$BN$2:$BN$145)-1)/(--(SEARCH(AY$2,Tiere!$BN$2:$BN$145)&gt;0)),ROW()-1),1))))))))),"")</f>
        <v/>
      </c>
      <c r="AY57" s="2438"/>
      <c r="AZ57" s="2472" t="str">
        <f>IFERROR(IF(OR(BA$2="ZURÜCK ZUR AUSWAHL",BA$2="",BA$2=0),"",IF(BA$2=$BO$1,$BO56,IF(BA$2=$BP$1,$BP56,IF(BA$2=$BQ$1,$BQ56,IF(BA$2=$BR$1,$BR56,IF(BA$2=$BS$1,$BS56,IF(BA$2=$BT$1,$BT56,IF(BA$2=$BU$1,$BU56,INDEX(Tiere!$BN$2:$BN$145,_xlfn.AGGREGATE(15,6,(ROW(Tiere!$BN$2:$BN$145)-1)/(--(SEARCH(BA$2,Tiere!$BN$2:$BN$145)&gt;0)),ROW()-1),1))))))))),"")</f>
        <v/>
      </c>
      <c r="BA57" s="2438"/>
      <c r="BB57" s="2472" t="str">
        <f>IFERROR(IF(OR(BC$2="ZURÜCK ZUR AUSWAHL",BC$2="",BC$2=0),"",IF(BC$2=$BO$1,$BO56,IF(BC$2=$BP$1,$BP56,IF(BC$2=$BQ$1,$BQ56,IF(BC$2=$BR$1,$BR56,IF(BC$2=$BS$1,$BS56,IF(BC$2=$BT$1,$BT56,IF(BC$2=$BU$1,$BU56,INDEX(Tiere!$BN$2:$BN$145,_xlfn.AGGREGATE(15,6,(ROW(Tiere!$BN$2:$BN$145)-1)/(--(SEARCH(BC$2,Tiere!$BN$2:$BN$145)&gt;0)),ROW()-1),1))))))))),"")</f>
        <v/>
      </c>
      <c r="BC57" s="2438"/>
      <c r="BD57" s="2472" t="str">
        <f>IFERROR(IF(OR(BE$2="ZURÜCK ZUR AUSWAHL",BE$2="",BE$2=0),"",IF(BE$2=$BO$1,$BO56,IF(BE$2=$BP$1,$BP56,IF(BE$2=$BQ$1,$BQ56,IF(BE$2=$BR$1,$BR56,IF(BE$2=$BS$1,$BS56,IF(BE$2=$BT$1,$BT56,IF(BE$2=$BU$1,$BU56,INDEX(Tiere!$BN$2:$BN$145,_xlfn.AGGREGATE(15,6,(ROW(Tiere!$BN$2:$BN$145)-1)/(--(SEARCH(BE$2,Tiere!$BN$2:$BN$145)&gt;0)),ROW()-1),1))))))))),"")</f>
        <v/>
      </c>
      <c r="BE57" s="2438"/>
      <c r="BF57" s="2472" t="str">
        <f>IFERROR(IF(OR(BG$2="ZURÜCK ZUR AUSWAHL",BG$2="",BG$2=0),"",IF(BG$2=$BO$1,$BO56,IF(BG$2=$BP$1,$BP56,IF(BG$2=$BQ$1,$BQ56,IF(BG$2=$BR$1,$BR56,IF(BG$2=$BS$1,$BS56,IF(BG$2=$BT$1,$BT56,IF(BG$2=$BU$1,$BU56,INDEX(Tiere!$BN$2:$BN$145,_xlfn.AGGREGATE(15,6,(ROW(Tiere!$BN$2:$BN$145)-1)/(--(SEARCH(BG$2,Tiere!$BN$2:$BN$145)&gt;0)),ROW()-1),1))))))))),"")</f>
        <v/>
      </c>
      <c r="BG57" s="2438"/>
      <c r="BH57" s="2472" t="str">
        <f>IFERROR(IF(OR(BI$2="ZURÜCK ZUR AUSWAHL",BI$2="",BI$2=0),"",IF(BI$2=$BO$1,$BO56,IF(BI$2=$BP$1,$BP56,IF(BI$2=$BQ$1,$BQ56,IF(BI$2=$BR$1,$BR56,IF(BI$2=$BS$1,$BS56,IF(BI$2=$BT$1,$BT56,IF(BI$2=$BU$1,$BU56,INDEX(Tiere!$BN$2:$BN$145,_xlfn.AGGREGATE(15,6,(ROW(Tiere!$BN$2:$BN$145)-1)/(--(SEARCH(BI$2,Tiere!$BN$2:$BN$145)&gt;0)),ROW()-1),1))))))))),"")</f>
        <v/>
      </c>
      <c r="BI57" s="2438"/>
      <c r="BJ57" s="2472" t="str">
        <f>IFERROR(IF(OR(BK$2="ZURÜCK ZUR AUSWAHL",BK$2="",BK$2=0),"",IF(BK$2=$BO$1,$BO56,IF(BK$2=$BP$1,$BP56,IF(BK$2=$BQ$1,$BQ56,IF(BK$2=$BR$1,$BR56,IF(BK$2=$BS$1,$BS56,IF(BK$2=$BT$1,$BT56,IF(BK$2=$BU$1,$BU56,INDEX(Tiere!$BN$2:$BN$145,_xlfn.AGGREGATE(15,6,(ROW(Tiere!$BN$2:$BN$145)-1)/(--(SEARCH(BK$2,Tiere!$BN$2:$BN$145)&gt;0)),ROW()-1),1))))))))),"")</f>
        <v/>
      </c>
      <c r="BK57" s="2438"/>
      <c r="BL57" s="2472" t="str">
        <f>IFERROR(IF(OR(BM$2="ZURÜCK ZUR AUSWAHL",BM$2="",BM$2=0),"",IF(BM$2=$BO$1,$BO56,IF(BM$2=$BP$1,$BP56,IF(BM$2=$BQ$1,$BQ56,IF(BM$2=$BR$1,$BR56,IF(BM$2=$BS$1,$BS56,IF(BM$2=$BT$1,$BT56,IF(BM$2=$BU$1,$BU56,INDEX(Tiere!$BN$2:$BN$145,_xlfn.AGGREGATE(15,6,(ROW(Tiere!$BN$2:$BN$145)-1)/(--(SEARCH(BM$2,Tiere!$BN$2:$BN$145)&gt;0)),ROW()-1),1))))))))),"")</f>
        <v/>
      </c>
      <c r="BM57" s="2438"/>
      <c r="BN57" s="2478" t="s">
        <v>1207</v>
      </c>
      <c r="BO57" s="2470"/>
      <c r="BP57" s="2470"/>
      <c r="BQ57" s="2470"/>
      <c r="BR57" s="2470"/>
      <c r="BS57" s="2470"/>
      <c r="BT57" s="2470"/>
      <c r="BU57" s="2471"/>
    </row>
    <row r="58" spans="36:73" ht="13.8" thickBot="1">
      <c r="AJ58" s="2472" t="str">
        <f>IFERROR(IF(OR(AK$2="ZURÜCK ZUR AUSWAHL",AK$2="",AK$2=0),"",IF(AK$2=$BO$1,$BO57,IF(AK$2=$BP$1,$BP57,IF(AK$2=$BQ$1,$BQ57,IF(AK$2=$BR$1,$BR57,IF(AK$2=$BS$1,$BS57,IF(AK$2=$BT$1,$BT57,IF(AK$2=$BU$1,$BU57,INDEX(Tiere!$BN$2:$BN$145,_xlfn.AGGREGATE(15,6,(ROW(Tiere!$BN$2:$BN$145)-1)/(--(SEARCH(AK$2,Tiere!$BN$2:$BN$145)&gt;0)),ROW()-2),1))))))))),"")</f>
        <v/>
      </c>
      <c r="AK58" s="2436"/>
      <c r="AL58" s="2472" t="str">
        <f>IFERROR(IF(OR(AM$2="ZURÜCK ZUR AUSWAHL",AM$2="",AM$2=0),"",IF(AM$2=$BO$1,$BO57,IF(AM$2=$BP$1,$BP57,IF(AM$2=$BQ$1,$BQ57,IF(AM$2=$BR$1,$BR57,IF(AM$2=$BS$1,$BS57,IF(AM$2=$BT$1,$BT57,IF(AM$2=$BU$1,$BU57,INDEX(Tiere!$BN$2:$BN$145,_xlfn.AGGREGATE(15,6,(ROW(Tiere!$BN$2:$BN$145)-1)/(--(SEARCH(AM$2,Tiere!$BN$2:$BN$145)&gt;0)),ROW()-1),1))))))))),"")</f>
        <v/>
      </c>
      <c r="AM58" s="2436"/>
      <c r="AN58" s="2472" t="str">
        <f>IFERROR(IF(OR(AO$2="ZURÜCK ZUR AUSWAHL",AO$2="",AO$2=0),"",IF(AO$2=$BO$1,$BO57,IF(AO$2=$BP$1,$BP57,IF(AO$2=$BQ$1,$BQ57,IF(AO$2=$BR$1,$BR57,IF(AO$2=$BS$1,$BS57,IF(AO$2=$BT$1,$BT57,IF(AO$2=$BU$1,$BU57,INDEX(Tiere!$BN$2:$BN$145,_xlfn.AGGREGATE(15,6,(ROW(Tiere!$BN$2:$BN$145)-1)/(--(SEARCH(AO$2,Tiere!$BN$2:$BN$145)&gt;0)),ROW()-1),1))))))))),"")</f>
        <v/>
      </c>
      <c r="AO58" s="2436"/>
      <c r="AP58" s="2472" t="str">
        <f>IFERROR(IF(OR(AQ$2="ZURÜCK ZUR AUSWAHL",AQ$2="",AQ$2=0),"",IF(AQ$2=$BO$1,$BO57,IF(AQ$2=$BP$1,$BP57,IF(AQ$2=$BQ$1,$BQ57,IF(AQ$2=$BR$1,$BR57,IF(AQ$2=$BS$1,$BS57,IF(AQ$2=$BT$1,$BT57,IF(AQ$2=$BU$1,$BU57,INDEX(Tiere!$BN$2:$BN$145,_xlfn.AGGREGATE(15,6,(ROW(Tiere!$BN$2:$BN$145)-1)/(--(SEARCH(AQ$2,Tiere!$BN$2:$BN$145)&gt;0)),ROW()-1),1))))))))),"")</f>
        <v/>
      </c>
      <c r="AQ58" s="2436"/>
      <c r="AR58" s="2472" t="str">
        <f>IFERROR(IF(OR(AS$2="ZURÜCK ZUR AUSWAHL",AS$2="",AS$2=0),"",IF(AS$2=$BO$1,$BO57,IF(AS$2=$BP$1,$BP57,IF(AS$2=$BQ$1,$BQ57,IF(AS$2=$BR$1,$BR57,IF(AS$2=$BS$1,$BS57,IF(AS$2=$BT$1,$BT57,IF(AS$2=$BU$1,$BU57,INDEX(Tiere!$BN$2:$BN$145,_xlfn.AGGREGATE(15,6,(ROW(Tiere!$BN$2:$BN$145)-1)/(--(SEARCH(AS$2,Tiere!$BN$2:$BN$145)&gt;0)),ROW()-1),1))))))))),"")</f>
        <v/>
      </c>
      <c r="AS58" s="2436"/>
      <c r="AT58" s="2472" t="str">
        <f>IFERROR(IF(OR(AU$2="ZURÜCK ZUR AUSWAHL",AU$2="",AU$2=0),"",IF(AU$2=$BO$1,$BO57,IF(AU$2=$BP$1,$BP57,IF(AU$2=$BQ$1,$BQ57,IF(AU$2=$BR$1,$BR57,IF(AU$2=$BS$1,$BS57,IF(AU$2=$BT$1,$BT57,IF(AU$2=$BU$1,$BU57,INDEX(Tiere!$BN$2:$BN$145,_xlfn.AGGREGATE(15,6,(ROW(Tiere!$BN$2:$BN$145)-1)/(--(SEARCH(AU$2,Tiere!$BN$2:$BN$145)&gt;0)),ROW()-1),1))))))))),"")</f>
        <v/>
      </c>
      <c r="AU58" s="2436"/>
      <c r="AV58" s="2472" t="str">
        <f>IFERROR(IF(OR(AW$2="ZURÜCK ZUR AUSWAHL",AW$2="",AW$2=0),"",IF(AW$2=$BO$1,$BO57,IF(AW$2=$BP$1,$BP57,IF(AW$2=$BQ$1,$BQ57,IF(AW$2=$BR$1,$BR57,IF(AW$2=$BS$1,$BS57,IF(AW$2=$BT$1,$BT57,IF(AW$2=$BU$1,$BU57,INDEX(Tiere!$BN$2:$BN$145,_xlfn.AGGREGATE(15,6,(ROW(Tiere!$BN$2:$BN$145)-1)/(--(SEARCH(AW$2,Tiere!$BN$2:$BN$145)&gt;0)),ROW()-1),1))))))))),"")</f>
        <v/>
      </c>
      <c r="AW58" s="2436"/>
      <c r="AX58" s="2472" t="str">
        <f>IFERROR(IF(OR(AY$2="ZURÜCK ZUR AUSWAHL",AY$2="",AY$2=0),"",IF(AY$2=$BO$1,$BO57,IF(AY$2=$BP$1,$BP57,IF(AY$2=$BQ$1,$BQ57,IF(AY$2=$BR$1,$BR57,IF(AY$2=$BS$1,$BS57,IF(AY$2=$BT$1,$BT57,IF(AY$2=$BU$1,$BU57,INDEX(Tiere!$BN$2:$BN$145,_xlfn.AGGREGATE(15,6,(ROW(Tiere!$BN$2:$BN$145)-1)/(--(SEARCH(AY$2,Tiere!$BN$2:$BN$145)&gt;0)),ROW()-1),1))))))))),"")</f>
        <v/>
      </c>
      <c r="AY58" s="2436"/>
      <c r="AZ58" s="2472" t="str">
        <f>IFERROR(IF(OR(BA$2="ZURÜCK ZUR AUSWAHL",BA$2="",BA$2=0),"",IF(BA$2=$BO$1,$BO57,IF(BA$2=$BP$1,$BP57,IF(BA$2=$BQ$1,$BQ57,IF(BA$2=$BR$1,$BR57,IF(BA$2=$BS$1,$BS57,IF(BA$2=$BT$1,$BT57,IF(BA$2=$BU$1,$BU57,INDEX(Tiere!$BN$2:$BN$145,_xlfn.AGGREGATE(15,6,(ROW(Tiere!$BN$2:$BN$145)-1)/(--(SEARCH(BA$2,Tiere!$BN$2:$BN$145)&gt;0)),ROW()-1),1))))))))),"")</f>
        <v/>
      </c>
      <c r="BA58" s="2436"/>
      <c r="BB58" s="2472" t="str">
        <f>IFERROR(IF(OR(BC$2="ZURÜCK ZUR AUSWAHL",BC$2="",BC$2=0),"",IF(BC$2=$BO$1,$BO57,IF(BC$2=$BP$1,$BP57,IF(BC$2=$BQ$1,$BQ57,IF(BC$2=$BR$1,$BR57,IF(BC$2=$BS$1,$BS57,IF(BC$2=$BT$1,$BT57,IF(BC$2=$BU$1,$BU57,INDEX(Tiere!$BN$2:$BN$145,_xlfn.AGGREGATE(15,6,(ROW(Tiere!$BN$2:$BN$145)-1)/(--(SEARCH(BC$2,Tiere!$BN$2:$BN$145)&gt;0)),ROW()-1),1))))))))),"")</f>
        <v/>
      </c>
      <c r="BC58" s="2436"/>
      <c r="BD58" s="2472" t="str">
        <f>IFERROR(IF(OR(BE$2="ZURÜCK ZUR AUSWAHL",BE$2="",BE$2=0),"",IF(BE$2=$BO$1,$BO57,IF(BE$2=$BP$1,$BP57,IF(BE$2=$BQ$1,$BQ57,IF(BE$2=$BR$1,$BR57,IF(BE$2=$BS$1,$BS57,IF(BE$2=$BT$1,$BT57,IF(BE$2=$BU$1,$BU57,INDEX(Tiere!$BN$2:$BN$145,_xlfn.AGGREGATE(15,6,(ROW(Tiere!$BN$2:$BN$145)-1)/(--(SEARCH(BE$2,Tiere!$BN$2:$BN$145)&gt;0)),ROW()-1),1))))))))),"")</f>
        <v/>
      </c>
      <c r="BE58" s="2436"/>
      <c r="BF58" s="2472" t="str">
        <f>IFERROR(IF(OR(BG$2="ZURÜCK ZUR AUSWAHL",BG$2="",BG$2=0),"",IF(BG$2=$BO$1,$BO57,IF(BG$2=$BP$1,$BP57,IF(BG$2=$BQ$1,$BQ57,IF(BG$2=$BR$1,$BR57,IF(BG$2=$BS$1,$BS57,IF(BG$2=$BT$1,$BT57,IF(BG$2=$BU$1,$BU57,INDEX(Tiere!$BN$2:$BN$145,_xlfn.AGGREGATE(15,6,(ROW(Tiere!$BN$2:$BN$145)-1)/(--(SEARCH(BG$2,Tiere!$BN$2:$BN$145)&gt;0)),ROW()-1),1))))))))),"")</f>
        <v/>
      </c>
      <c r="BG58" s="2436"/>
      <c r="BH58" s="2472" t="str">
        <f>IFERROR(IF(OR(BI$2="ZURÜCK ZUR AUSWAHL",BI$2="",BI$2=0),"",IF(BI$2=$BO$1,$BO57,IF(BI$2=$BP$1,$BP57,IF(BI$2=$BQ$1,$BQ57,IF(BI$2=$BR$1,$BR57,IF(BI$2=$BS$1,$BS57,IF(BI$2=$BT$1,$BT57,IF(BI$2=$BU$1,$BU57,INDEX(Tiere!$BN$2:$BN$145,_xlfn.AGGREGATE(15,6,(ROW(Tiere!$BN$2:$BN$145)-1)/(--(SEARCH(BI$2,Tiere!$BN$2:$BN$145)&gt;0)),ROW()-1),1))))))))),"")</f>
        <v/>
      </c>
      <c r="BI58" s="2436"/>
      <c r="BJ58" s="2472" t="str">
        <f>IFERROR(IF(OR(BK$2="ZURÜCK ZUR AUSWAHL",BK$2="",BK$2=0),"",IF(BK$2=$BO$1,$BO57,IF(BK$2=$BP$1,$BP57,IF(BK$2=$BQ$1,$BQ57,IF(BK$2=$BR$1,$BR57,IF(BK$2=$BS$1,$BS57,IF(BK$2=$BT$1,$BT57,IF(BK$2=$BU$1,$BU57,INDEX(Tiere!$BN$2:$BN$145,_xlfn.AGGREGATE(15,6,(ROW(Tiere!$BN$2:$BN$145)-1)/(--(SEARCH(BK$2,Tiere!$BN$2:$BN$145)&gt;0)),ROW()-1),1))))))))),"")</f>
        <v/>
      </c>
      <c r="BK58" s="2436"/>
      <c r="BL58" s="2472" t="str">
        <f>IFERROR(IF(OR(BM$2="ZURÜCK ZUR AUSWAHL",BM$2="",BM$2=0),"",IF(BM$2=$BO$1,$BO57,IF(BM$2=$BP$1,$BP57,IF(BM$2=$BQ$1,$BQ57,IF(BM$2=$BR$1,$BR57,IF(BM$2=$BS$1,$BS57,IF(BM$2=$BT$1,$BT57,IF(BM$2=$BU$1,$BU57,INDEX(Tiere!$BN$2:$BN$145,_xlfn.AGGREGATE(15,6,(ROW(Tiere!$BN$2:$BN$145)-1)/(--(SEARCH(BM$2,Tiere!$BN$2:$BN$145)&gt;0)),ROW()-1),1))))))))),"")</f>
        <v/>
      </c>
      <c r="BM58" s="2436"/>
      <c r="BN58" s="2478" t="s">
        <v>1209</v>
      </c>
      <c r="BO58" s="2470"/>
      <c r="BP58" s="2470"/>
      <c r="BQ58" s="2470"/>
      <c r="BR58" s="2470"/>
      <c r="BS58" s="2470"/>
      <c r="BT58" s="2470"/>
      <c r="BU58" s="2470"/>
    </row>
    <row r="59" spans="36:73" ht="14.4" thickTop="1" thickBot="1">
      <c r="AJ59" s="2472" t="str">
        <f>IFERROR(IF(OR(AK$2="ZURÜCK ZUR AUSWAHL",AK$2="",AK$2=0),"",IF(AK$2=$BO$1,$BO58,IF(AK$2=$BP$1,$BP58,IF(AK$2=$BQ$1,$BQ58,IF(AK$2=$BR$1,$BR58,IF(AK$2=$BS$1,$BS58,IF(AK$2=$BT$1,$BT58,IF(AK$2=$BU$1,$BU58,INDEX(Tiere!$BN$2:$BN$145,_xlfn.AGGREGATE(15,6,(ROW(Tiere!$BN$2:$BN$145)-1)/(--(SEARCH(AK$2,Tiere!$BN$2:$BN$145)&gt;0)),ROW()-2),1))))))))),"")</f>
        <v/>
      </c>
      <c r="AK59" s="2438"/>
      <c r="AL59" s="2472" t="str">
        <f>IFERROR(IF(OR(AM$2="ZURÜCK ZUR AUSWAHL",AM$2="",AM$2=0),"",IF(AM$2=$BO$1,$BO58,IF(AM$2=$BP$1,$BP58,IF(AM$2=$BQ$1,$BQ58,IF(AM$2=$BR$1,$BR58,IF(AM$2=$BS$1,$BS58,IF(AM$2=$BT$1,$BT58,IF(AM$2=$BU$1,$BU58,INDEX(Tiere!$BN$2:$BN$145,_xlfn.AGGREGATE(15,6,(ROW(Tiere!$BN$2:$BN$145)-1)/(--(SEARCH(AM$2,Tiere!$BN$2:$BN$145)&gt;0)),ROW()-1),1))))))))),"")</f>
        <v/>
      </c>
      <c r="AM59" s="2438"/>
      <c r="AN59" s="2472" t="str">
        <f>IFERROR(IF(OR(AO$2="ZURÜCK ZUR AUSWAHL",AO$2="",AO$2=0),"",IF(AO$2=$BO$1,$BO58,IF(AO$2=$BP$1,$BP58,IF(AO$2=$BQ$1,$BQ58,IF(AO$2=$BR$1,$BR58,IF(AO$2=$BS$1,$BS58,IF(AO$2=$BT$1,$BT58,IF(AO$2=$BU$1,$BU58,INDEX(Tiere!$BN$2:$BN$145,_xlfn.AGGREGATE(15,6,(ROW(Tiere!$BN$2:$BN$145)-1)/(--(SEARCH(AO$2,Tiere!$BN$2:$BN$145)&gt;0)),ROW()-1),1))))))))),"")</f>
        <v/>
      </c>
      <c r="AO59" s="2438"/>
      <c r="AP59" s="2472" t="str">
        <f>IFERROR(IF(OR(AQ$2="ZURÜCK ZUR AUSWAHL",AQ$2="",AQ$2=0),"",IF(AQ$2=$BO$1,$BO58,IF(AQ$2=$BP$1,$BP58,IF(AQ$2=$BQ$1,$BQ58,IF(AQ$2=$BR$1,$BR58,IF(AQ$2=$BS$1,$BS58,IF(AQ$2=$BT$1,$BT58,IF(AQ$2=$BU$1,$BU58,INDEX(Tiere!$BN$2:$BN$145,_xlfn.AGGREGATE(15,6,(ROW(Tiere!$BN$2:$BN$145)-1)/(--(SEARCH(AQ$2,Tiere!$BN$2:$BN$145)&gt;0)),ROW()-1),1))))))))),"")</f>
        <v/>
      </c>
      <c r="AQ59" s="2438"/>
      <c r="AR59" s="2472" t="str">
        <f>IFERROR(IF(OR(AS$2="ZURÜCK ZUR AUSWAHL",AS$2="",AS$2=0),"",IF(AS$2=$BO$1,$BO58,IF(AS$2=$BP$1,$BP58,IF(AS$2=$BQ$1,$BQ58,IF(AS$2=$BR$1,$BR58,IF(AS$2=$BS$1,$BS58,IF(AS$2=$BT$1,$BT58,IF(AS$2=$BU$1,$BU58,INDEX(Tiere!$BN$2:$BN$145,_xlfn.AGGREGATE(15,6,(ROW(Tiere!$BN$2:$BN$145)-1)/(--(SEARCH(AS$2,Tiere!$BN$2:$BN$145)&gt;0)),ROW()-1),1))))))))),"")</f>
        <v/>
      </c>
      <c r="AS59" s="2438"/>
      <c r="AT59" s="2472" t="str">
        <f>IFERROR(IF(OR(AU$2="ZURÜCK ZUR AUSWAHL",AU$2="",AU$2=0),"",IF(AU$2=$BO$1,$BO58,IF(AU$2=$BP$1,$BP58,IF(AU$2=$BQ$1,$BQ58,IF(AU$2=$BR$1,$BR58,IF(AU$2=$BS$1,$BS58,IF(AU$2=$BT$1,$BT58,IF(AU$2=$BU$1,$BU58,INDEX(Tiere!$BN$2:$BN$145,_xlfn.AGGREGATE(15,6,(ROW(Tiere!$BN$2:$BN$145)-1)/(--(SEARCH(AU$2,Tiere!$BN$2:$BN$145)&gt;0)),ROW()-1),1))))))))),"")</f>
        <v/>
      </c>
      <c r="AU59" s="2438"/>
      <c r="AV59" s="2472" t="str">
        <f>IFERROR(IF(OR(AW$2="ZURÜCK ZUR AUSWAHL",AW$2="",AW$2=0),"",IF(AW$2=$BO$1,$BO58,IF(AW$2=$BP$1,$BP58,IF(AW$2=$BQ$1,$BQ58,IF(AW$2=$BR$1,$BR58,IF(AW$2=$BS$1,$BS58,IF(AW$2=$BT$1,$BT58,IF(AW$2=$BU$1,$BU58,INDEX(Tiere!$BN$2:$BN$145,_xlfn.AGGREGATE(15,6,(ROW(Tiere!$BN$2:$BN$145)-1)/(--(SEARCH(AW$2,Tiere!$BN$2:$BN$145)&gt;0)),ROW()-1),1))))))))),"")</f>
        <v/>
      </c>
      <c r="AW59" s="2438"/>
      <c r="AX59" s="2472" t="str">
        <f>IFERROR(IF(OR(AY$2="ZURÜCK ZUR AUSWAHL",AY$2="",AY$2=0),"",IF(AY$2=$BO$1,$BO58,IF(AY$2=$BP$1,$BP58,IF(AY$2=$BQ$1,$BQ58,IF(AY$2=$BR$1,$BR58,IF(AY$2=$BS$1,$BS58,IF(AY$2=$BT$1,$BT58,IF(AY$2=$BU$1,$BU58,INDEX(Tiere!$BN$2:$BN$145,_xlfn.AGGREGATE(15,6,(ROW(Tiere!$BN$2:$BN$145)-1)/(--(SEARCH(AY$2,Tiere!$BN$2:$BN$145)&gt;0)),ROW()-1),1))))))))),"")</f>
        <v/>
      </c>
      <c r="AY59" s="2438"/>
      <c r="AZ59" s="2472" t="str">
        <f>IFERROR(IF(OR(BA$2="ZURÜCK ZUR AUSWAHL",BA$2="",BA$2=0),"",IF(BA$2=$BO$1,$BO58,IF(BA$2=$BP$1,$BP58,IF(BA$2=$BQ$1,$BQ58,IF(BA$2=$BR$1,$BR58,IF(BA$2=$BS$1,$BS58,IF(BA$2=$BT$1,$BT58,IF(BA$2=$BU$1,$BU58,INDEX(Tiere!$BN$2:$BN$145,_xlfn.AGGREGATE(15,6,(ROW(Tiere!$BN$2:$BN$145)-1)/(--(SEARCH(BA$2,Tiere!$BN$2:$BN$145)&gt;0)),ROW()-1),1))))))))),"")</f>
        <v/>
      </c>
      <c r="BA59" s="2438"/>
      <c r="BB59" s="2472" t="str">
        <f>IFERROR(IF(OR(BC$2="ZURÜCK ZUR AUSWAHL",BC$2="",BC$2=0),"",IF(BC$2=$BO$1,$BO58,IF(BC$2=$BP$1,$BP58,IF(BC$2=$BQ$1,$BQ58,IF(BC$2=$BR$1,$BR58,IF(BC$2=$BS$1,$BS58,IF(BC$2=$BT$1,$BT58,IF(BC$2=$BU$1,$BU58,INDEX(Tiere!$BN$2:$BN$145,_xlfn.AGGREGATE(15,6,(ROW(Tiere!$BN$2:$BN$145)-1)/(--(SEARCH(BC$2,Tiere!$BN$2:$BN$145)&gt;0)),ROW()-1),1))))))))),"")</f>
        <v/>
      </c>
      <c r="BC59" s="2438"/>
      <c r="BD59" s="2472" t="str">
        <f>IFERROR(IF(OR(BE$2="ZURÜCK ZUR AUSWAHL",BE$2="",BE$2=0),"",IF(BE$2=$BO$1,$BO58,IF(BE$2=$BP$1,$BP58,IF(BE$2=$BQ$1,$BQ58,IF(BE$2=$BR$1,$BR58,IF(BE$2=$BS$1,$BS58,IF(BE$2=$BT$1,$BT58,IF(BE$2=$BU$1,$BU58,INDEX(Tiere!$BN$2:$BN$145,_xlfn.AGGREGATE(15,6,(ROW(Tiere!$BN$2:$BN$145)-1)/(--(SEARCH(BE$2,Tiere!$BN$2:$BN$145)&gt;0)),ROW()-1),1))))))))),"")</f>
        <v/>
      </c>
      <c r="BE59" s="2438"/>
      <c r="BF59" s="2472" t="str">
        <f>IFERROR(IF(OR(BG$2="ZURÜCK ZUR AUSWAHL",BG$2="",BG$2=0),"",IF(BG$2=$BO$1,$BO58,IF(BG$2=$BP$1,$BP58,IF(BG$2=$BQ$1,$BQ58,IF(BG$2=$BR$1,$BR58,IF(BG$2=$BS$1,$BS58,IF(BG$2=$BT$1,$BT58,IF(BG$2=$BU$1,$BU58,INDEX(Tiere!$BN$2:$BN$145,_xlfn.AGGREGATE(15,6,(ROW(Tiere!$BN$2:$BN$145)-1)/(--(SEARCH(BG$2,Tiere!$BN$2:$BN$145)&gt;0)),ROW()-1),1))))))))),"")</f>
        <v/>
      </c>
      <c r="BG59" s="2438"/>
      <c r="BH59" s="2472" t="str">
        <f>IFERROR(IF(OR(BI$2="ZURÜCK ZUR AUSWAHL",BI$2="",BI$2=0),"",IF(BI$2=$BO$1,$BO58,IF(BI$2=$BP$1,$BP58,IF(BI$2=$BQ$1,$BQ58,IF(BI$2=$BR$1,$BR58,IF(BI$2=$BS$1,$BS58,IF(BI$2=$BT$1,$BT58,IF(BI$2=$BU$1,$BU58,INDEX(Tiere!$BN$2:$BN$145,_xlfn.AGGREGATE(15,6,(ROW(Tiere!$BN$2:$BN$145)-1)/(--(SEARCH(BI$2,Tiere!$BN$2:$BN$145)&gt;0)),ROW()-1),1))))))))),"")</f>
        <v/>
      </c>
      <c r="BI59" s="2438"/>
      <c r="BJ59" s="2472" t="str">
        <f>IFERROR(IF(OR(BK$2="ZURÜCK ZUR AUSWAHL",BK$2="",BK$2=0),"",IF(BK$2=$BO$1,$BO58,IF(BK$2=$BP$1,$BP58,IF(BK$2=$BQ$1,$BQ58,IF(BK$2=$BR$1,$BR58,IF(BK$2=$BS$1,$BS58,IF(BK$2=$BT$1,$BT58,IF(BK$2=$BU$1,$BU58,INDEX(Tiere!$BN$2:$BN$145,_xlfn.AGGREGATE(15,6,(ROW(Tiere!$BN$2:$BN$145)-1)/(--(SEARCH(BK$2,Tiere!$BN$2:$BN$145)&gt;0)),ROW()-1),1))))))))),"")</f>
        <v/>
      </c>
      <c r="BK59" s="2438"/>
      <c r="BL59" s="2472" t="str">
        <f>IFERROR(IF(OR(BM$2="ZURÜCK ZUR AUSWAHL",BM$2="",BM$2=0),"",IF(BM$2=$BO$1,$BO58,IF(BM$2=$BP$1,$BP58,IF(BM$2=$BQ$1,$BQ58,IF(BM$2=$BR$1,$BR58,IF(BM$2=$BS$1,$BS58,IF(BM$2=$BT$1,$BT58,IF(BM$2=$BU$1,$BU58,INDEX(Tiere!$BN$2:$BN$145,_xlfn.AGGREGATE(15,6,(ROW(Tiere!$BN$2:$BN$145)-1)/(--(SEARCH(BM$2,Tiere!$BN$2:$BN$145)&gt;0)),ROW()-1),1))))))))),"")</f>
        <v/>
      </c>
      <c r="BM59" s="2438"/>
      <c r="BN59" s="2478" t="s">
        <v>1212</v>
      </c>
      <c r="BO59" s="2470"/>
      <c r="BP59" s="2470"/>
      <c r="BQ59" s="2470"/>
      <c r="BR59" s="2470"/>
      <c r="BS59" s="2470"/>
      <c r="BT59" s="2470"/>
      <c r="BU59" s="2471"/>
    </row>
    <row r="60" spans="36:73" ht="13.8" thickBot="1">
      <c r="AJ60" s="2472" t="str">
        <f>IFERROR(IF(OR(AK$2="ZURÜCK ZUR AUSWAHL",AK$2="",AK$2=0),"",IF(AK$2=$BO$1,$BO59,IF(AK$2=$BP$1,$BP59,IF(AK$2=$BQ$1,$BQ59,IF(AK$2=$BR$1,$BR59,IF(AK$2=$BS$1,$BS59,IF(AK$2=$BT$1,$BT59,IF(AK$2=$BU$1,$BU59,INDEX(Tiere!$BN$2:$BN$145,_xlfn.AGGREGATE(15,6,(ROW(Tiere!$BN$2:$BN$145)-1)/(--(SEARCH(AK$2,Tiere!$BN$2:$BN$145)&gt;0)),ROW()-2),1))))))))),"")</f>
        <v/>
      </c>
      <c r="AK60" s="2436"/>
      <c r="AL60" s="2472" t="str">
        <f>IFERROR(IF(OR(AM$2="ZURÜCK ZUR AUSWAHL",AM$2="",AM$2=0),"",IF(AM$2=$BO$1,$BO59,IF(AM$2=$BP$1,$BP59,IF(AM$2=$BQ$1,$BQ59,IF(AM$2=$BR$1,$BR59,IF(AM$2=$BS$1,$BS59,IF(AM$2=$BT$1,$BT59,IF(AM$2=$BU$1,$BU59,INDEX(Tiere!$BN$2:$BN$145,_xlfn.AGGREGATE(15,6,(ROW(Tiere!$BN$2:$BN$145)-1)/(--(SEARCH(AM$2,Tiere!$BN$2:$BN$145)&gt;0)),ROW()-1),1))))))))),"")</f>
        <v/>
      </c>
      <c r="AM60" s="2436"/>
      <c r="AN60" s="2472" t="str">
        <f>IFERROR(IF(OR(AO$2="ZURÜCK ZUR AUSWAHL",AO$2="",AO$2=0),"",IF(AO$2=$BO$1,$BO59,IF(AO$2=$BP$1,$BP59,IF(AO$2=$BQ$1,$BQ59,IF(AO$2=$BR$1,$BR59,IF(AO$2=$BS$1,$BS59,IF(AO$2=$BT$1,$BT59,IF(AO$2=$BU$1,$BU59,INDEX(Tiere!$BN$2:$BN$145,_xlfn.AGGREGATE(15,6,(ROW(Tiere!$BN$2:$BN$145)-1)/(--(SEARCH(AO$2,Tiere!$BN$2:$BN$145)&gt;0)),ROW()-1),1))))))))),"")</f>
        <v/>
      </c>
      <c r="AO60" s="2436"/>
      <c r="AP60" s="2472" t="str">
        <f>IFERROR(IF(OR(AQ$2="ZURÜCK ZUR AUSWAHL",AQ$2="",AQ$2=0),"",IF(AQ$2=$BO$1,$BO59,IF(AQ$2=$BP$1,$BP59,IF(AQ$2=$BQ$1,$BQ59,IF(AQ$2=$BR$1,$BR59,IF(AQ$2=$BS$1,$BS59,IF(AQ$2=$BT$1,$BT59,IF(AQ$2=$BU$1,$BU59,INDEX(Tiere!$BN$2:$BN$145,_xlfn.AGGREGATE(15,6,(ROW(Tiere!$BN$2:$BN$145)-1)/(--(SEARCH(AQ$2,Tiere!$BN$2:$BN$145)&gt;0)),ROW()-1),1))))))))),"")</f>
        <v/>
      </c>
      <c r="AQ60" s="2436"/>
      <c r="AR60" s="2472" t="str">
        <f>IFERROR(IF(OR(AS$2="ZURÜCK ZUR AUSWAHL",AS$2="",AS$2=0),"",IF(AS$2=$BO$1,$BO59,IF(AS$2=$BP$1,$BP59,IF(AS$2=$BQ$1,$BQ59,IF(AS$2=$BR$1,$BR59,IF(AS$2=$BS$1,$BS59,IF(AS$2=$BT$1,$BT59,IF(AS$2=$BU$1,$BU59,INDEX(Tiere!$BN$2:$BN$145,_xlfn.AGGREGATE(15,6,(ROW(Tiere!$BN$2:$BN$145)-1)/(--(SEARCH(AS$2,Tiere!$BN$2:$BN$145)&gt;0)),ROW()-1),1))))))))),"")</f>
        <v/>
      </c>
      <c r="AS60" s="2436"/>
      <c r="AT60" s="2472" t="str">
        <f>IFERROR(IF(OR(AU$2="ZURÜCK ZUR AUSWAHL",AU$2="",AU$2=0),"",IF(AU$2=$BO$1,$BO59,IF(AU$2=$BP$1,$BP59,IF(AU$2=$BQ$1,$BQ59,IF(AU$2=$BR$1,$BR59,IF(AU$2=$BS$1,$BS59,IF(AU$2=$BT$1,$BT59,IF(AU$2=$BU$1,$BU59,INDEX(Tiere!$BN$2:$BN$145,_xlfn.AGGREGATE(15,6,(ROW(Tiere!$BN$2:$BN$145)-1)/(--(SEARCH(AU$2,Tiere!$BN$2:$BN$145)&gt;0)),ROW()-1),1))))))))),"")</f>
        <v/>
      </c>
      <c r="AU60" s="2436"/>
      <c r="AV60" s="2472" t="str">
        <f>IFERROR(IF(OR(AW$2="ZURÜCK ZUR AUSWAHL",AW$2="",AW$2=0),"",IF(AW$2=$BO$1,$BO59,IF(AW$2=$BP$1,$BP59,IF(AW$2=$BQ$1,$BQ59,IF(AW$2=$BR$1,$BR59,IF(AW$2=$BS$1,$BS59,IF(AW$2=$BT$1,$BT59,IF(AW$2=$BU$1,$BU59,INDEX(Tiere!$BN$2:$BN$145,_xlfn.AGGREGATE(15,6,(ROW(Tiere!$BN$2:$BN$145)-1)/(--(SEARCH(AW$2,Tiere!$BN$2:$BN$145)&gt;0)),ROW()-1),1))))))))),"")</f>
        <v/>
      </c>
      <c r="AW60" s="2436"/>
      <c r="AX60" s="2472" t="str">
        <f>IFERROR(IF(OR(AY$2="ZURÜCK ZUR AUSWAHL",AY$2="",AY$2=0),"",IF(AY$2=$BO$1,$BO59,IF(AY$2=$BP$1,$BP59,IF(AY$2=$BQ$1,$BQ59,IF(AY$2=$BR$1,$BR59,IF(AY$2=$BS$1,$BS59,IF(AY$2=$BT$1,$BT59,IF(AY$2=$BU$1,$BU59,INDEX(Tiere!$BN$2:$BN$145,_xlfn.AGGREGATE(15,6,(ROW(Tiere!$BN$2:$BN$145)-1)/(--(SEARCH(AY$2,Tiere!$BN$2:$BN$145)&gt;0)),ROW()-1),1))))))))),"")</f>
        <v/>
      </c>
      <c r="AY60" s="2436"/>
      <c r="AZ60" s="2472" t="str">
        <f>IFERROR(IF(OR(BA$2="ZURÜCK ZUR AUSWAHL",BA$2="",BA$2=0),"",IF(BA$2=$BO$1,$BO59,IF(BA$2=$BP$1,$BP59,IF(BA$2=$BQ$1,$BQ59,IF(BA$2=$BR$1,$BR59,IF(BA$2=$BS$1,$BS59,IF(BA$2=$BT$1,$BT59,IF(BA$2=$BU$1,$BU59,INDEX(Tiere!$BN$2:$BN$145,_xlfn.AGGREGATE(15,6,(ROW(Tiere!$BN$2:$BN$145)-1)/(--(SEARCH(BA$2,Tiere!$BN$2:$BN$145)&gt;0)),ROW()-1),1))))))))),"")</f>
        <v/>
      </c>
      <c r="BA60" s="2436"/>
      <c r="BB60" s="2472" t="str">
        <f>IFERROR(IF(OR(BC$2="ZURÜCK ZUR AUSWAHL",BC$2="",BC$2=0),"",IF(BC$2=$BO$1,$BO59,IF(BC$2=$BP$1,$BP59,IF(BC$2=$BQ$1,$BQ59,IF(BC$2=$BR$1,$BR59,IF(BC$2=$BS$1,$BS59,IF(BC$2=$BT$1,$BT59,IF(BC$2=$BU$1,$BU59,INDEX(Tiere!$BN$2:$BN$145,_xlfn.AGGREGATE(15,6,(ROW(Tiere!$BN$2:$BN$145)-1)/(--(SEARCH(BC$2,Tiere!$BN$2:$BN$145)&gt;0)),ROW()-1),1))))))))),"")</f>
        <v/>
      </c>
      <c r="BC60" s="2436"/>
      <c r="BD60" s="2472" t="str">
        <f>IFERROR(IF(OR(BE$2="ZURÜCK ZUR AUSWAHL",BE$2="",BE$2=0),"",IF(BE$2=$BO$1,$BO59,IF(BE$2=$BP$1,$BP59,IF(BE$2=$BQ$1,$BQ59,IF(BE$2=$BR$1,$BR59,IF(BE$2=$BS$1,$BS59,IF(BE$2=$BT$1,$BT59,IF(BE$2=$BU$1,$BU59,INDEX(Tiere!$BN$2:$BN$145,_xlfn.AGGREGATE(15,6,(ROW(Tiere!$BN$2:$BN$145)-1)/(--(SEARCH(BE$2,Tiere!$BN$2:$BN$145)&gt;0)),ROW()-1),1))))))))),"")</f>
        <v/>
      </c>
      <c r="BE60" s="2436"/>
      <c r="BF60" s="2472" t="str">
        <f>IFERROR(IF(OR(BG$2="ZURÜCK ZUR AUSWAHL",BG$2="",BG$2=0),"",IF(BG$2=$BO$1,$BO59,IF(BG$2=$BP$1,$BP59,IF(BG$2=$BQ$1,$BQ59,IF(BG$2=$BR$1,$BR59,IF(BG$2=$BS$1,$BS59,IF(BG$2=$BT$1,$BT59,IF(BG$2=$BU$1,$BU59,INDEX(Tiere!$BN$2:$BN$145,_xlfn.AGGREGATE(15,6,(ROW(Tiere!$BN$2:$BN$145)-1)/(--(SEARCH(BG$2,Tiere!$BN$2:$BN$145)&gt;0)),ROW()-1),1))))))))),"")</f>
        <v/>
      </c>
      <c r="BG60" s="2436"/>
      <c r="BH60" s="2472" t="str">
        <f>IFERROR(IF(OR(BI$2="ZURÜCK ZUR AUSWAHL",BI$2="",BI$2=0),"",IF(BI$2=$BO$1,$BO59,IF(BI$2=$BP$1,$BP59,IF(BI$2=$BQ$1,$BQ59,IF(BI$2=$BR$1,$BR59,IF(BI$2=$BS$1,$BS59,IF(BI$2=$BT$1,$BT59,IF(BI$2=$BU$1,$BU59,INDEX(Tiere!$BN$2:$BN$145,_xlfn.AGGREGATE(15,6,(ROW(Tiere!$BN$2:$BN$145)-1)/(--(SEARCH(BI$2,Tiere!$BN$2:$BN$145)&gt;0)),ROW()-1),1))))))))),"")</f>
        <v/>
      </c>
      <c r="BI60" s="2436"/>
      <c r="BJ60" s="2472" t="str">
        <f>IFERROR(IF(OR(BK$2="ZURÜCK ZUR AUSWAHL",BK$2="",BK$2=0),"",IF(BK$2=$BO$1,$BO59,IF(BK$2=$BP$1,$BP59,IF(BK$2=$BQ$1,$BQ59,IF(BK$2=$BR$1,$BR59,IF(BK$2=$BS$1,$BS59,IF(BK$2=$BT$1,$BT59,IF(BK$2=$BU$1,$BU59,INDEX(Tiere!$BN$2:$BN$145,_xlfn.AGGREGATE(15,6,(ROW(Tiere!$BN$2:$BN$145)-1)/(--(SEARCH(BK$2,Tiere!$BN$2:$BN$145)&gt;0)),ROW()-1),1))))))))),"")</f>
        <v/>
      </c>
      <c r="BK60" s="2436"/>
      <c r="BL60" s="2472" t="str">
        <f>IFERROR(IF(OR(BM$2="ZURÜCK ZUR AUSWAHL",BM$2="",BM$2=0),"",IF(BM$2=$BO$1,$BO59,IF(BM$2=$BP$1,$BP59,IF(BM$2=$BQ$1,$BQ59,IF(BM$2=$BR$1,$BR59,IF(BM$2=$BS$1,$BS59,IF(BM$2=$BT$1,$BT59,IF(BM$2=$BU$1,$BU59,INDEX(Tiere!$BN$2:$BN$145,_xlfn.AGGREGATE(15,6,(ROW(Tiere!$BN$2:$BN$145)-1)/(--(SEARCH(BM$2,Tiere!$BN$2:$BN$145)&gt;0)),ROW()-1),1))))))))),"")</f>
        <v/>
      </c>
      <c r="BM60" s="2436"/>
      <c r="BN60" s="2478" t="s">
        <v>1215</v>
      </c>
      <c r="BO60" s="2470"/>
      <c r="BP60" s="2470"/>
      <c r="BQ60" s="2470"/>
      <c r="BR60" s="2470"/>
      <c r="BS60" s="2470"/>
      <c r="BT60" s="2470"/>
      <c r="BU60" s="2470"/>
    </row>
    <row r="61" spans="36:73" ht="13.8" thickBot="1">
      <c r="AJ61" s="2472" t="str">
        <f>IFERROR(IF(OR(AK$2="ZURÜCK ZUR AUSWAHL",AK$2="",AK$2=0),"",IF(AK$2=$BO$1,$BO60,IF(AK$2=$BP$1,$BP60,IF(AK$2=$BQ$1,$BQ60,IF(AK$2=$BR$1,$BR60,IF(AK$2=$BS$1,$BS60,IF(AK$2=$BT$1,$BT60,IF(AK$2=$BU$1,$BU60,INDEX(Tiere!$BN$2:$BN$145,_xlfn.AGGREGATE(15,6,(ROW(Tiere!$BN$2:$BN$145)-1)/(--(SEARCH(AK$2,Tiere!$BN$2:$BN$145)&gt;0)),ROW()-2),1))))))))),"")</f>
        <v/>
      </c>
      <c r="AK61" s="2438"/>
      <c r="AL61" s="2472" t="str">
        <f>IFERROR(IF(OR(AM$2="ZURÜCK ZUR AUSWAHL",AM$2="",AM$2=0),"",IF(AM$2=$BO$1,$BO60,IF(AM$2=$BP$1,$BP60,IF(AM$2=$BQ$1,$BQ60,IF(AM$2=$BR$1,$BR60,IF(AM$2=$BS$1,$BS60,IF(AM$2=$BT$1,$BT60,IF(AM$2=$BU$1,$BU60,INDEX(Tiere!$BN$2:$BN$145,_xlfn.AGGREGATE(15,6,(ROW(Tiere!$BN$2:$BN$145)-1)/(--(SEARCH(AM$2,Tiere!$BN$2:$BN$145)&gt;0)),ROW()-1),1))))))))),"")</f>
        <v/>
      </c>
      <c r="AM61" s="2438"/>
      <c r="AN61" s="2472" t="str">
        <f>IFERROR(IF(OR(AO$2="ZURÜCK ZUR AUSWAHL",AO$2="",AO$2=0),"",IF(AO$2=$BO$1,$BO60,IF(AO$2=$BP$1,$BP60,IF(AO$2=$BQ$1,$BQ60,IF(AO$2=$BR$1,$BR60,IF(AO$2=$BS$1,$BS60,IF(AO$2=$BT$1,$BT60,IF(AO$2=$BU$1,$BU60,INDEX(Tiere!$BN$2:$BN$145,_xlfn.AGGREGATE(15,6,(ROW(Tiere!$BN$2:$BN$145)-1)/(--(SEARCH(AO$2,Tiere!$BN$2:$BN$145)&gt;0)),ROW()-1),1))))))))),"")</f>
        <v/>
      </c>
      <c r="AO61" s="2438"/>
      <c r="AP61" s="2472" t="str">
        <f>IFERROR(IF(OR(AQ$2="ZURÜCK ZUR AUSWAHL",AQ$2="",AQ$2=0),"",IF(AQ$2=$BO$1,$BO60,IF(AQ$2=$BP$1,$BP60,IF(AQ$2=$BQ$1,$BQ60,IF(AQ$2=$BR$1,$BR60,IF(AQ$2=$BS$1,$BS60,IF(AQ$2=$BT$1,$BT60,IF(AQ$2=$BU$1,$BU60,INDEX(Tiere!$BN$2:$BN$145,_xlfn.AGGREGATE(15,6,(ROW(Tiere!$BN$2:$BN$145)-1)/(--(SEARCH(AQ$2,Tiere!$BN$2:$BN$145)&gt;0)),ROW()-1),1))))))))),"")</f>
        <v/>
      </c>
      <c r="AQ61" s="2438"/>
      <c r="AR61" s="2472" t="str">
        <f>IFERROR(IF(OR(AS$2="ZURÜCK ZUR AUSWAHL",AS$2="",AS$2=0),"",IF(AS$2=$BO$1,$BO60,IF(AS$2=$BP$1,$BP60,IF(AS$2=$BQ$1,$BQ60,IF(AS$2=$BR$1,$BR60,IF(AS$2=$BS$1,$BS60,IF(AS$2=$BT$1,$BT60,IF(AS$2=$BU$1,$BU60,INDEX(Tiere!$BN$2:$BN$145,_xlfn.AGGREGATE(15,6,(ROW(Tiere!$BN$2:$BN$145)-1)/(--(SEARCH(AS$2,Tiere!$BN$2:$BN$145)&gt;0)),ROW()-1),1))))))))),"")</f>
        <v/>
      </c>
      <c r="AS61" s="2438"/>
      <c r="AT61" s="2472" t="str">
        <f>IFERROR(IF(OR(AU$2="ZURÜCK ZUR AUSWAHL",AU$2="",AU$2=0),"",IF(AU$2=$BO$1,$BO60,IF(AU$2=$BP$1,$BP60,IF(AU$2=$BQ$1,$BQ60,IF(AU$2=$BR$1,$BR60,IF(AU$2=$BS$1,$BS60,IF(AU$2=$BT$1,$BT60,IF(AU$2=$BU$1,$BU60,INDEX(Tiere!$BN$2:$BN$145,_xlfn.AGGREGATE(15,6,(ROW(Tiere!$BN$2:$BN$145)-1)/(--(SEARCH(AU$2,Tiere!$BN$2:$BN$145)&gt;0)),ROW()-1),1))))))))),"")</f>
        <v/>
      </c>
      <c r="AU61" s="2438"/>
      <c r="AV61" s="2472" t="str">
        <f>IFERROR(IF(OR(AW$2="ZURÜCK ZUR AUSWAHL",AW$2="",AW$2=0),"",IF(AW$2=$BO$1,$BO60,IF(AW$2=$BP$1,$BP60,IF(AW$2=$BQ$1,$BQ60,IF(AW$2=$BR$1,$BR60,IF(AW$2=$BS$1,$BS60,IF(AW$2=$BT$1,$BT60,IF(AW$2=$BU$1,$BU60,INDEX(Tiere!$BN$2:$BN$145,_xlfn.AGGREGATE(15,6,(ROW(Tiere!$BN$2:$BN$145)-1)/(--(SEARCH(AW$2,Tiere!$BN$2:$BN$145)&gt;0)),ROW()-1),1))))))))),"")</f>
        <v/>
      </c>
      <c r="AW61" s="2438"/>
      <c r="AX61" s="2472" t="str">
        <f>IFERROR(IF(OR(AY$2="ZURÜCK ZUR AUSWAHL",AY$2="",AY$2=0),"",IF(AY$2=$BO$1,$BO60,IF(AY$2=$BP$1,$BP60,IF(AY$2=$BQ$1,$BQ60,IF(AY$2=$BR$1,$BR60,IF(AY$2=$BS$1,$BS60,IF(AY$2=$BT$1,$BT60,IF(AY$2=$BU$1,$BU60,INDEX(Tiere!$BN$2:$BN$145,_xlfn.AGGREGATE(15,6,(ROW(Tiere!$BN$2:$BN$145)-1)/(--(SEARCH(AY$2,Tiere!$BN$2:$BN$145)&gt;0)),ROW()-1),1))))))))),"")</f>
        <v/>
      </c>
      <c r="AY61" s="2438"/>
      <c r="AZ61" s="2472" t="str">
        <f>IFERROR(IF(OR(BA$2="ZURÜCK ZUR AUSWAHL",BA$2="",BA$2=0),"",IF(BA$2=$BO$1,$BO60,IF(BA$2=$BP$1,$BP60,IF(BA$2=$BQ$1,$BQ60,IF(BA$2=$BR$1,$BR60,IF(BA$2=$BS$1,$BS60,IF(BA$2=$BT$1,$BT60,IF(BA$2=$BU$1,$BU60,INDEX(Tiere!$BN$2:$BN$145,_xlfn.AGGREGATE(15,6,(ROW(Tiere!$BN$2:$BN$145)-1)/(--(SEARCH(BA$2,Tiere!$BN$2:$BN$145)&gt;0)),ROW()-1),1))))))))),"")</f>
        <v/>
      </c>
      <c r="BA61" s="2438"/>
      <c r="BB61" s="2472" t="str">
        <f>IFERROR(IF(OR(BC$2="ZURÜCK ZUR AUSWAHL",BC$2="",BC$2=0),"",IF(BC$2=$BO$1,$BO60,IF(BC$2=$BP$1,$BP60,IF(BC$2=$BQ$1,$BQ60,IF(BC$2=$BR$1,$BR60,IF(BC$2=$BS$1,$BS60,IF(BC$2=$BT$1,$BT60,IF(BC$2=$BU$1,$BU60,INDEX(Tiere!$BN$2:$BN$145,_xlfn.AGGREGATE(15,6,(ROW(Tiere!$BN$2:$BN$145)-1)/(--(SEARCH(BC$2,Tiere!$BN$2:$BN$145)&gt;0)),ROW()-1),1))))))))),"")</f>
        <v/>
      </c>
      <c r="BC61" s="2438"/>
      <c r="BD61" s="2472" t="str">
        <f>IFERROR(IF(OR(BE$2="ZURÜCK ZUR AUSWAHL",BE$2="",BE$2=0),"",IF(BE$2=$BO$1,$BO60,IF(BE$2=$BP$1,$BP60,IF(BE$2=$BQ$1,$BQ60,IF(BE$2=$BR$1,$BR60,IF(BE$2=$BS$1,$BS60,IF(BE$2=$BT$1,$BT60,IF(BE$2=$BU$1,$BU60,INDEX(Tiere!$BN$2:$BN$145,_xlfn.AGGREGATE(15,6,(ROW(Tiere!$BN$2:$BN$145)-1)/(--(SEARCH(BE$2,Tiere!$BN$2:$BN$145)&gt;0)),ROW()-1),1))))))))),"")</f>
        <v/>
      </c>
      <c r="BE61" s="2438"/>
      <c r="BF61" s="2472" t="str">
        <f>IFERROR(IF(OR(BG$2="ZURÜCK ZUR AUSWAHL",BG$2="",BG$2=0),"",IF(BG$2=$BO$1,$BO60,IF(BG$2=$BP$1,$BP60,IF(BG$2=$BQ$1,$BQ60,IF(BG$2=$BR$1,$BR60,IF(BG$2=$BS$1,$BS60,IF(BG$2=$BT$1,$BT60,IF(BG$2=$BU$1,$BU60,INDEX(Tiere!$BN$2:$BN$145,_xlfn.AGGREGATE(15,6,(ROW(Tiere!$BN$2:$BN$145)-1)/(--(SEARCH(BG$2,Tiere!$BN$2:$BN$145)&gt;0)),ROW()-1),1))))))))),"")</f>
        <v/>
      </c>
      <c r="BG61" s="2438"/>
      <c r="BH61" s="2472" t="str">
        <f>IFERROR(IF(OR(BI$2="ZURÜCK ZUR AUSWAHL",BI$2="",BI$2=0),"",IF(BI$2=$BO$1,$BO60,IF(BI$2=$BP$1,$BP60,IF(BI$2=$BQ$1,$BQ60,IF(BI$2=$BR$1,$BR60,IF(BI$2=$BS$1,$BS60,IF(BI$2=$BT$1,$BT60,IF(BI$2=$BU$1,$BU60,INDEX(Tiere!$BN$2:$BN$145,_xlfn.AGGREGATE(15,6,(ROW(Tiere!$BN$2:$BN$145)-1)/(--(SEARCH(BI$2,Tiere!$BN$2:$BN$145)&gt;0)),ROW()-1),1))))))))),"")</f>
        <v/>
      </c>
      <c r="BI61" s="2438"/>
      <c r="BJ61" s="2472" t="str">
        <f>IFERROR(IF(OR(BK$2="ZURÜCK ZUR AUSWAHL",BK$2="",BK$2=0),"",IF(BK$2=$BO$1,$BO60,IF(BK$2=$BP$1,$BP60,IF(BK$2=$BQ$1,$BQ60,IF(BK$2=$BR$1,$BR60,IF(BK$2=$BS$1,$BS60,IF(BK$2=$BT$1,$BT60,IF(BK$2=$BU$1,$BU60,INDEX(Tiere!$BN$2:$BN$145,_xlfn.AGGREGATE(15,6,(ROW(Tiere!$BN$2:$BN$145)-1)/(--(SEARCH(BK$2,Tiere!$BN$2:$BN$145)&gt;0)),ROW()-1),1))))))))),"")</f>
        <v/>
      </c>
      <c r="BK61" s="2438"/>
      <c r="BL61" s="2472" t="str">
        <f>IFERROR(IF(OR(BM$2="ZURÜCK ZUR AUSWAHL",BM$2="",BM$2=0),"",IF(BM$2=$BO$1,$BO60,IF(BM$2=$BP$1,$BP60,IF(BM$2=$BQ$1,$BQ60,IF(BM$2=$BR$1,$BR60,IF(BM$2=$BS$1,$BS60,IF(BM$2=$BT$1,$BT60,IF(BM$2=$BU$1,$BU60,INDEX(Tiere!$BN$2:$BN$145,_xlfn.AGGREGATE(15,6,(ROW(Tiere!$BN$2:$BN$145)-1)/(--(SEARCH(BM$2,Tiere!$BN$2:$BN$145)&gt;0)),ROW()-1),1))))))))),"")</f>
        <v/>
      </c>
      <c r="BM61" s="2438"/>
      <c r="BN61" s="2478" t="s">
        <v>1218</v>
      </c>
      <c r="BO61" s="2470"/>
      <c r="BP61" s="2470"/>
      <c r="BQ61" s="2470"/>
      <c r="BR61" s="2470"/>
      <c r="BS61" s="2470"/>
      <c r="BT61" s="2470"/>
      <c r="BU61" s="2470"/>
    </row>
    <row r="62" spans="36:73" ht="13.8" thickBot="1">
      <c r="AJ62" s="2472" t="str">
        <f>IFERROR(IF(OR(AK$2="ZURÜCK ZUR AUSWAHL",AK$2="",AK$2=0),"",IF(AK$2=$BO$1,$BO61,IF(AK$2=$BP$1,$BP61,IF(AK$2=$BQ$1,$BQ61,IF(AK$2=$BR$1,$BR61,IF(AK$2=$BS$1,$BS61,IF(AK$2=$BT$1,$BT61,IF(AK$2=$BU$1,$BU61,INDEX(Tiere!$BN$2:$BN$145,_xlfn.AGGREGATE(15,6,(ROW(Tiere!$BN$2:$BN$145)-1)/(--(SEARCH(AK$2,Tiere!$BN$2:$BN$145)&gt;0)),ROW()-2),1))))))))),"")</f>
        <v/>
      </c>
      <c r="AK62" s="2436"/>
      <c r="AL62" s="2472" t="str">
        <f>IFERROR(IF(OR(AM$2="ZURÜCK ZUR AUSWAHL",AM$2="",AM$2=0),"",IF(AM$2=$BO$1,$BO61,IF(AM$2=$BP$1,$BP61,IF(AM$2=$BQ$1,$BQ61,IF(AM$2=$BR$1,$BR61,IF(AM$2=$BS$1,$BS61,IF(AM$2=$BT$1,$BT61,IF(AM$2=$BU$1,$BU61,INDEX(Tiere!$BN$2:$BN$145,_xlfn.AGGREGATE(15,6,(ROW(Tiere!$BN$2:$BN$145)-1)/(--(SEARCH(AM$2,Tiere!$BN$2:$BN$145)&gt;0)),ROW()-1),1))))))))),"")</f>
        <v/>
      </c>
      <c r="AM62" s="2436"/>
      <c r="AN62" s="2472" t="str">
        <f>IFERROR(IF(OR(AO$2="ZURÜCK ZUR AUSWAHL",AO$2="",AO$2=0),"",IF(AO$2=$BO$1,$BO61,IF(AO$2=$BP$1,$BP61,IF(AO$2=$BQ$1,$BQ61,IF(AO$2=$BR$1,$BR61,IF(AO$2=$BS$1,$BS61,IF(AO$2=$BT$1,$BT61,IF(AO$2=$BU$1,$BU61,INDEX(Tiere!$BN$2:$BN$145,_xlfn.AGGREGATE(15,6,(ROW(Tiere!$BN$2:$BN$145)-1)/(--(SEARCH(AO$2,Tiere!$BN$2:$BN$145)&gt;0)),ROW()-1),1))))))))),"")</f>
        <v/>
      </c>
      <c r="AO62" s="2436"/>
      <c r="AP62" s="2472" t="str">
        <f>IFERROR(IF(OR(AQ$2="ZURÜCK ZUR AUSWAHL",AQ$2="",AQ$2=0),"",IF(AQ$2=$BO$1,$BO61,IF(AQ$2=$BP$1,$BP61,IF(AQ$2=$BQ$1,$BQ61,IF(AQ$2=$BR$1,$BR61,IF(AQ$2=$BS$1,$BS61,IF(AQ$2=$BT$1,$BT61,IF(AQ$2=$BU$1,$BU61,INDEX(Tiere!$BN$2:$BN$145,_xlfn.AGGREGATE(15,6,(ROW(Tiere!$BN$2:$BN$145)-1)/(--(SEARCH(AQ$2,Tiere!$BN$2:$BN$145)&gt;0)),ROW()-1),1))))))))),"")</f>
        <v/>
      </c>
      <c r="AQ62" s="2436"/>
      <c r="AR62" s="2472" t="str">
        <f>IFERROR(IF(OR(AS$2="ZURÜCK ZUR AUSWAHL",AS$2="",AS$2=0),"",IF(AS$2=$BO$1,$BO61,IF(AS$2=$BP$1,$BP61,IF(AS$2=$BQ$1,$BQ61,IF(AS$2=$BR$1,$BR61,IF(AS$2=$BS$1,$BS61,IF(AS$2=$BT$1,$BT61,IF(AS$2=$BU$1,$BU61,INDEX(Tiere!$BN$2:$BN$145,_xlfn.AGGREGATE(15,6,(ROW(Tiere!$BN$2:$BN$145)-1)/(--(SEARCH(AS$2,Tiere!$BN$2:$BN$145)&gt;0)),ROW()-1),1))))))))),"")</f>
        <v/>
      </c>
      <c r="AS62" s="2436"/>
      <c r="AT62" s="2472" t="str">
        <f>IFERROR(IF(OR(AU$2="ZURÜCK ZUR AUSWAHL",AU$2="",AU$2=0),"",IF(AU$2=$BO$1,$BO61,IF(AU$2=$BP$1,$BP61,IF(AU$2=$BQ$1,$BQ61,IF(AU$2=$BR$1,$BR61,IF(AU$2=$BS$1,$BS61,IF(AU$2=$BT$1,$BT61,IF(AU$2=$BU$1,$BU61,INDEX(Tiere!$BN$2:$BN$145,_xlfn.AGGREGATE(15,6,(ROW(Tiere!$BN$2:$BN$145)-1)/(--(SEARCH(AU$2,Tiere!$BN$2:$BN$145)&gt;0)),ROW()-1),1))))))))),"")</f>
        <v/>
      </c>
      <c r="AU62" s="2436"/>
      <c r="AV62" s="2472" t="str">
        <f>IFERROR(IF(OR(AW$2="ZURÜCK ZUR AUSWAHL",AW$2="",AW$2=0),"",IF(AW$2=$BO$1,$BO61,IF(AW$2=$BP$1,$BP61,IF(AW$2=$BQ$1,$BQ61,IF(AW$2=$BR$1,$BR61,IF(AW$2=$BS$1,$BS61,IF(AW$2=$BT$1,$BT61,IF(AW$2=$BU$1,$BU61,INDEX(Tiere!$BN$2:$BN$145,_xlfn.AGGREGATE(15,6,(ROW(Tiere!$BN$2:$BN$145)-1)/(--(SEARCH(AW$2,Tiere!$BN$2:$BN$145)&gt;0)),ROW()-1),1))))))))),"")</f>
        <v/>
      </c>
      <c r="AW62" s="2436"/>
      <c r="AX62" s="2472" t="str">
        <f>IFERROR(IF(OR(AY$2="ZURÜCK ZUR AUSWAHL",AY$2="",AY$2=0),"",IF(AY$2=$BO$1,$BO61,IF(AY$2=$BP$1,$BP61,IF(AY$2=$BQ$1,$BQ61,IF(AY$2=$BR$1,$BR61,IF(AY$2=$BS$1,$BS61,IF(AY$2=$BT$1,$BT61,IF(AY$2=$BU$1,$BU61,INDEX(Tiere!$BN$2:$BN$145,_xlfn.AGGREGATE(15,6,(ROW(Tiere!$BN$2:$BN$145)-1)/(--(SEARCH(AY$2,Tiere!$BN$2:$BN$145)&gt;0)),ROW()-1),1))))))))),"")</f>
        <v/>
      </c>
      <c r="AY62" s="2436"/>
      <c r="AZ62" s="2472" t="str">
        <f>IFERROR(IF(OR(BA$2="ZURÜCK ZUR AUSWAHL",BA$2="",BA$2=0),"",IF(BA$2=$BO$1,$BO61,IF(BA$2=$BP$1,$BP61,IF(BA$2=$BQ$1,$BQ61,IF(BA$2=$BR$1,$BR61,IF(BA$2=$BS$1,$BS61,IF(BA$2=$BT$1,$BT61,IF(BA$2=$BU$1,$BU61,INDEX(Tiere!$BN$2:$BN$145,_xlfn.AGGREGATE(15,6,(ROW(Tiere!$BN$2:$BN$145)-1)/(--(SEARCH(BA$2,Tiere!$BN$2:$BN$145)&gt;0)),ROW()-1),1))))))))),"")</f>
        <v/>
      </c>
      <c r="BA62" s="2436"/>
      <c r="BB62" s="2472" t="str">
        <f>IFERROR(IF(OR(BC$2="ZURÜCK ZUR AUSWAHL",BC$2="",BC$2=0),"",IF(BC$2=$BO$1,$BO61,IF(BC$2=$BP$1,$BP61,IF(BC$2=$BQ$1,$BQ61,IF(BC$2=$BR$1,$BR61,IF(BC$2=$BS$1,$BS61,IF(BC$2=$BT$1,$BT61,IF(BC$2=$BU$1,$BU61,INDEX(Tiere!$BN$2:$BN$145,_xlfn.AGGREGATE(15,6,(ROW(Tiere!$BN$2:$BN$145)-1)/(--(SEARCH(BC$2,Tiere!$BN$2:$BN$145)&gt;0)),ROW()-1),1))))))))),"")</f>
        <v/>
      </c>
      <c r="BC62" s="2436"/>
      <c r="BD62" s="2472" t="str">
        <f>IFERROR(IF(OR(BE$2="ZURÜCK ZUR AUSWAHL",BE$2="",BE$2=0),"",IF(BE$2=$BO$1,$BO61,IF(BE$2=$BP$1,$BP61,IF(BE$2=$BQ$1,$BQ61,IF(BE$2=$BR$1,$BR61,IF(BE$2=$BS$1,$BS61,IF(BE$2=$BT$1,$BT61,IF(BE$2=$BU$1,$BU61,INDEX(Tiere!$BN$2:$BN$145,_xlfn.AGGREGATE(15,6,(ROW(Tiere!$BN$2:$BN$145)-1)/(--(SEARCH(BE$2,Tiere!$BN$2:$BN$145)&gt;0)),ROW()-1),1))))))))),"")</f>
        <v/>
      </c>
      <c r="BE62" s="2436"/>
      <c r="BF62" s="2472" t="str">
        <f>IFERROR(IF(OR(BG$2="ZURÜCK ZUR AUSWAHL",BG$2="",BG$2=0),"",IF(BG$2=$BO$1,$BO61,IF(BG$2=$BP$1,$BP61,IF(BG$2=$BQ$1,$BQ61,IF(BG$2=$BR$1,$BR61,IF(BG$2=$BS$1,$BS61,IF(BG$2=$BT$1,$BT61,IF(BG$2=$BU$1,$BU61,INDEX(Tiere!$BN$2:$BN$145,_xlfn.AGGREGATE(15,6,(ROW(Tiere!$BN$2:$BN$145)-1)/(--(SEARCH(BG$2,Tiere!$BN$2:$BN$145)&gt;0)),ROW()-1),1))))))))),"")</f>
        <v/>
      </c>
      <c r="BG62" s="2436"/>
      <c r="BH62" s="2472" t="str">
        <f>IFERROR(IF(OR(BI$2="ZURÜCK ZUR AUSWAHL",BI$2="",BI$2=0),"",IF(BI$2=$BO$1,$BO61,IF(BI$2=$BP$1,$BP61,IF(BI$2=$BQ$1,$BQ61,IF(BI$2=$BR$1,$BR61,IF(BI$2=$BS$1,$BS61,IF(BI$2=$BT$1,$BT61,IF(BI$2=$BU$1,$BU61,INDEX(Tiere!$BN$2:$BN$145,_xlfn.AGGREGATE(15,6,(ROW(Tiere!$BN$2:$BN$145)-1)/(--(SEARCH(BI$2,Tiere!$BN$2:$BN$145)&gt;0)),ROW()-1),1))))))))),"")</f>
        <v/>
      </c>
      <c r="BI62" s="2436"/>
      <c r="BJ62" s="2472" t="str">
        <f>IFERROR(IF(OR(BK$2="ZURÜCK ZUR AUSWAHL",BK$2="",BK$2=0),"",IF(BK$2=$BO$1,$BO61,IF(BK$2=$BP$1,$BP61,IF(BK$2=$BQ$1,$BQ61,IF(BK$2=$BR$1,$BR61,IF(BK$2=$BS$1,$BS61,IF(BK$2=$BT$1,$BT61,IF(BK$2=$BU$1,$BU61,INDEX(Tiere!$BN$2:$BN$145,_xlfn.AGGREGATE(15,6,(ROW(Tiere!$BN$2:$BN$145)-1)/(--(SEARCH(BK$2,Tiere!$BN$2:$BN$145)&gt;0)),ROW()-1),1))))))))),"")</f>
        <v/>
      </c>
      <c r="BK62" s="2436"/>
      <c r="BL62" s="2472" t="str">
        <f>IFERROR(IF(OR(BM$2="ZURÜCK ZUR AUSWAHL",BM$2="",BM$2=0),"",IF(BM$2=$BO$1,$BO61,IF(BM$2=$BP$1,$BP61,IF(BM$2=$BQ$1,$BQ61,IF(BM$2=$BR$1,$BR61,IF(BM$2=$BS$1,$BS61,IF(BM$2=$BT$1,$BT61,IF(BM$2=$BU$1,$BU61,INDEX(Tiere!$BN$2:$BN$145,_xlfn.AGGREGATE(15,6,(ROW(Tiere!$BN$2:$BN$145)-1)/(--(SEARCH(BM$2,Tiere!$BN$2:$BN$145)&gt;0)),ROW()-1),1))))))))),"")</f>
        <v/>
      </c>
      <c r="BM62" s="2436"/>
      <c r="BN62" s="2478" t="s">
        <v>1220</v>
      </c>
      <c r="BO62" s="2470"/>
      <c r="BP62" s="2470"/>
      <c r="BQ62" s="2470"/>
      <c r="BR62" s="2470"/>
      <c r="BS62" s="2470"/>
      <c r="BT62" s="2470"/>
      <c r="BU62" s="2470"/>
    </row>
    <row r="63" spans="36:73" ht="13.8" thickBot="1">
      <c r="AJ63" s="2472" t="str">
        <f>IFERROR(IF(OR(AK$2="ZURÜCK ZUR AUSWAHL",AK$2="",AK$2=0),"",IF(AK$2=$BO$1,$BO62,IF(AK$2=$BP$1,$BP62,IF(AK$2=$BQ$1,$BQ62,IF(AK$2=$BR$1,$BR62,IF(AK$2=$BS$1,$BS62,IF(AK$2=$BT$1,$BT62,IF(AK$2=$BU$1,$BU62,INDEX(Tiere!$BN$2:$BN$145,_xlfn.AGGREGATE(15,6,(ROW(Tiere!$BN$2:$BN$145)-1)/(--(SEARCH(AK$2,Tiere!$BN$2:$BN$145)&gt;0)),ROW()-2),1))))))))),"")</f>
        <v/>
      </c>
      <c r="AK63" s="2438"/>
      <c r="AL63" s="2472" t="str">
        <f>IFERROR(IF(OR(AM$2="ZURÜCK ZUR AUSWAHL",AM$2="",AM$2=0),"",IF(AM$2=$BO$1,$BO62,IF(AM$2=$BP$1,$BP62,IF(AM$2=$BQ$1,$BQ62,IF(AM$2=$BR$1,$BR62,IF(AM$2=$BS$1,$BS62,IF(AM$2=$BT$1,$BT62,IF(AM$2=$BU$1,$BU62,INDEX(Tiere!$BN$2:$BN$145,_xlfn.AGGREGATE(15,6,(ROW(Tiere!$BN$2:$BN$145)-1)/(--(SEARCH(AM$2,Tiere!$BN$2:$BN$145)&gt;0)),ROW()-1),1))))))))),"")</f>
        <v/>
      </c>
      <c r="AM63" s="2438"/>
      <c r="AN63" s="2472" t="str">
        <f>IFERROR(IF(OR(AO$2="ZURÜCK ZUR AUSWAHL",AO$2="",AO$2=0),"",IF(AO$2=$BO$1,$BO62,IF(AO$2=$BP$1,$BP62,IF(AO$2=$BQ$1,$BQ62,IF(AO$2=$BR$1,$BR62,IF(AO$2=$BS$1,$BS62,IF(AO$2=$BT$1,$BT62,IF(AO$2=$BU$1,$BU62,INDEX(Tiere!$BN$2:$BN$145,_xlfn.AGGREGATE(15,6,(ROW(Tiere!$BN$2:$BN$145)-1)/(--(SEARCH(AO$2,Tiere!$BN$2:$BN$145)&gt;0)),ROW()-1),1))))))))),"")</f>
        <v/>
      </c>
      <c r="AO63" s="2438"/>
      <c r="AP63" s="2472" t="str">
        <f>IFERROR(IF(OR(AQ$2="ZURÜCK ZUR AUSWAHL",AQ$2="",AQ$2=0),"",IF(AQ$2=$BO$1,$BO62,IF(AQ$2=$BP$1,$BP62,IF(AQ$2=$BQ$1,$BQ62,IF(AQ$2=$BR$1,$BR62,IF(AQ$2=$BS$1,$BS62,IF(AQ$2=$BT$1,$BT62,IF(AQ$2=$BU$1,$BU62,INDEX(Tiere!$BN$2:$BN$145,_xlfn.AGGREGATE(15,6,(ROW(Tiere!$BN$2:$BN$145)-1)/(--(SEARCH(AQ$2,Tiere!$BN$2:$BN$145)&gt;0)),ROW()-1),1))))))))),"")</f>
        <v/>
      </c>
      <c r="AQ63" s="2438"/>
      <c r="AR63" s="2472" t="str">
        <f>IFERROR(IF(OR(AS$2="ZURÜCK ZUR AUSWAHL",AS$2="",AS$2=0),"",IF(AS$2=$BO$1,$BO62,IF(AS$2=$BP$1,$BP62,IF(AS$2=$BQ$1,$BQ62,IF(AS$2=$BR$1,$BR62,IF(AS$2=$BS$1,$BS62,IF(AS$2=$BT$1,$BT62,IF(AS$2=$BU$1,$BU62,INDEX(Tiere!$BN$2:$BN$145,_xlfn.AGGREGATE(15,6,(ROW(Tiere!$BN$2:$BN$145)-1)/(--(SEARCH(AS$2,Tiere!$BN$2:$BN$145)&gt;0)),ROW()-1),1))))))))),"")</f>
        <v/>
      </c>
      <c r="AS63" s="2438"/>
      <c r="AT63" s="2472" t="str">
        <f>IFERROR(IF(OR(AU$2="ZURÜCK ZUR AUSWAHL",AU$2="",AU$2=0),"",IF(AU$2=$BO$1,$BO62,IF(AU$2=$BP$1,$BP62,IF(AU$2=$BQ$1,$BQ62,IF(AU$2=$BR$1,$BR62,IF(AU$2=$BS$1,$BS62,IF(AU$2=$BT$1,$BT62,IF(AU$2=$BU$1,$BU62,INDEX(Tiere!$BN$2:$BN$145,_xlfn.AGGREGATE(15,6,(ROW(Tiere!$BN$2:$BN$145)-1)/(--(SEARCH(AU$2,Tiere!$BN$2:$BN$145)&gt;0)),ROW()-1),1))))))))),"")</f>
        <v/>
      </c>
      <c r="AU63" s="2438"/>
      <c r="AV63" s="2472" t="str">
        <f>IFERROR(IF(OR(AW$2="ZURÜCK ZUR AUSWAHL",AW$2="",AW$2=0),"",IF(AW$2=$BO$1,$BO62,IF(AW$2=$BP$1,$BP62,IF(AW$2=$BQ$1,$BQ62,IF(AW$2=$BR$1,$BR62,IF(AW$2=$BS$1,$BS62,IF(AW$2=$BT$1,$BT62,IF(AW$2=$BU$1,$BU62,INDEX(Tiere!$BN$2:$BN$145,_xlfn.AGGREGATE(15,6,(ROW(Tiere!$BN$2:$BN$145)-1)/(--(SEARCH(AW$2,Tiere!$BN$2:$BN$145)&gt;0)),ROW()-1),1))))))))),"")</f>
        <v/>
      </c>
      <c r="AW63" s="2438"/>
      <c r="AX63" s="2472" t="str">
        <f>IFERROR(IF(OR(AY$2="ZURÜCK ZUR AUSWAHL",AY$2="",AY$2=0),"",IF(AY$2=$BO$1,$BO62,IF(AY$2=$BP$1,$BP62,IF(AY$2=$BQ$1,$BQ62,IF(AY$2=$BR$1,$BR62,IF(AY$2=$BS$1,$BS62,IF(AY$2=$BT$1,$BT62,IF(AY$2=$BU$1,$BU62,INDEX(Tiere!$BN$2:$BN$145,_xlfn.AGGREGATE(15,6,(ROW(Tiere!$BN$2:$BN$145)-1)/(--(SEARCH(AY$2,Tiere!$BN$2:$BN$145)&gt;0)),ROW()-1),1))))))))),"")</f>
        <v/>
      </c>
      <c r="AY63" s="2438"/>
      <c r="AZ63" s="2472" t="str">
        <f>IFERROR(IF(OR(BA$2="ZURÜCK ZUR AUSWAHL",BA$2="",BA$2=0),"",IF(BA$2=$BO$1,$BO62,IF(BA$2=$BP$1,$BP62,IF(BA$2=$BQ$1,$BQ62,IF(BA$2=$BR$1,$BR62,IF(BA$2=$BS$1,$BS62,IF(BA$2=$BT$1,$BT62,IF(BA$2=$BU$1,$BU62,INDEX(Tiere!$BN$2:$BN$145,_xlfn.AGGREGATE(15,6,(ROW(Tiere!$BN$2:$BN$145)-1)/(--(SEARCH(BA$2,Tiere!$BN$2:$BN$145)&gt;0)),ROW()-1),1))))))))),"")</f>
        <v/>
      </c>
      <c r="BA63" s="2438"/>
      <c r="BB63" s="2472" t="str">
        <f>IFERROR(IF(OR(BC$2="ZURÜCK ZUR AUSWAHL",BC$2="",BC$2=0),"",IF(BC$2=$BO$1,$BO62,IF(BC$2=$BP$1,$BP62,IF(BC$2=$BQ$1,$BQ62,IF(BC$2=$BR$1,$BR62,IF(BC$2=$BS$1,$BS62,IF(BC$2=$BT$1,$BT62,IF(BC$2=$BU$1,$BU62,INDEX(Tiere!$BN$2:$BN$145,_xlfn.AGGREGATE(15,6,(ROW(Tiere!$BN$2:$BN$145)-1)/(--(SEARCH(BC$2,Tiere!$BN$2:$BN$145)&gt;0)),ROW()-1),1))))))))),"")</f>
        <v/>
      </c>
      <c r="BC63" s="2438"/>
      <c r="BD63" s="2472" t="str">
        <f>IFERROR(IF(OR(BE$2="ZURÜCK ZUR AUSWAHL",BE$2="",BE$2=0),"",IF(BE$2=$BO$1,$BO62,IF(BE$2=$BP$1,$BP62,IF(BE$2=$BQ$1,$BQ62,IF(BE$2=$BR$1,$BR62,IF(BE$2=$BS$1,$BS62,IF(BE$2=$BT$1,$BT62,IF(BE$2=$BU$1,$BU62,INDEX(Tiere!$BN$2:$BN$145,_xlfn.AGGREGATE(15,6,(ROW(Tiere!$BN$2:$BN$145)-1)/(--(SEARCH(BE$2,Tiere!$BN$2:$BN$145)&gt;0)),ROW()-1),1))))))))),"")</f>
        <v/>
      </c>
      <c r="BE63" s="2438"/>
      <c r="BF63" s="2472" t="str">
        <f>IFERROR(IF(OR(BG$2="ZURÜCK ZUR AUSWAHL",BG$2="",BG$2=0),"",IF(BG$2=$BO$1,$BO62,IF(BG$2=$BP$1,$BP62,IF(BG$2=$BQ$1,$BQ62,IF(BG$2=$BR$1,$BR62,IF(BG$2=$BS$1,$BS62,IF(BG$2=$BT$1,$BT62,IF(BG$2=$BU$1,$BU62,INDEX(Tiere!$BN$2:$BN$145,_xlfn.AGGREGATE(15,6,(ROW(Tiere!$BN$2:$BN$145)-1)/(--(SEARCH(BG$2,Tiere!$BN$2:$BN$145)&gt;0)),ROW()-1),1))))))))),"")</f>
        <v/>
      </c>
      <c r="BG63" s="2438"/>
      <c r="BH63" s="2472" t="str">
        <f>IFERROR(IF(OR(BI$2="ZURÜCK ZUR AUSWAHL",BI$2="",BI$2=0),"",IF(BI$2=$BO$1,$BO62,IF(BI$2=$BP$1,$BP62,IF(BI$2=$BQ$1,$BQ62,IF(BI$2=$BR$1,$BR62,IF(BI$2=$BS$1,$BS62,IF(BI$2=$BT$1,$BT62,IF(BI$2=$BU$1,$BU62,INDEX(Tiere!$BN$2:$BN$145,_xlfn.AGGREGATE(15,6,(ROW(Tiere!$BN$2:$BN$145)-1)/(--(SEARCH(BI$2,Tiere!$BN$2:$BN$145)&gt;0)),ROW()-1),1))))))))),"")</f>
        <v/>
      </c>
      <c r="BI63" s="2438"/>
      <c r="BJ63" s="2472" t="str">
        <f>IFERROR(IF(OR(BK$2="ZURÜCK ZUR AUSWAHL",BK$2="",BK$2=0),"",IF(BK$2=$BO$1,$BO62,IF(BK$2=$BP$1,$BP62,IF(BK$2=$BQ$1,$BQ62,IF(BK$2=$BR$1,$BR62,IF(BK$2=$BS$1,$BS62,IF(BK$2=$BT$1,$BT62,IF(BK$2=$BU$1,$BU62,INDEX(Tiere!$BN$2:$BN$145,_xlfn.AGGREGATE(15,6,(ROW(Tiere!$BN$2:$BN$145)-1)/(--(SEARCH(BK$2,Tiere!$BN$2:$BN$145)&gt;0)),ROW()-1),1))))))))),"")</f>
        <v/>
      </c>
      <c r="BK63" s="2438"/>
      <c r="BL63" s="2472" t="str">
        <f>IFERROR(IF(OR(BM$2="ZURÜCK ZUR AUSWAHL",BM$2="",BM$2=0),"",IF(BM$2=$BO$1,$BO62,IF(BM$2=$BP$1,$BP62,IF(BM$2=$BQ$1,$BQ62,IF(BM$2=$BR$1,$BR62,IF(BM$2=$BS$1,$BS62,IF(BM$2=$BT$1,$BT62,IF(BM$2=$BU$1,$BU62,INDEX(Tiere!$BN$2:$BN$145,_xlfn.AGGREGATE(15,6,(ROW(Tiere!$BN$2:$BN$145)-1)/(--(SEARCH(BM$2,Tiere!$BN$2:$BN$145)&gt;0)),ROW()-1),1))))))))),"")</f>
        <v/>
      </c>
      <c r="BM63" s="2438"/>
      <c r="BN63" s="2478" t="s">
        <v>1222</v>
      </c>
      <c r="BO63" s="2470"/>
      <c r="BP63" s="2470"/>
      <c r="BQ63" s="2470"/>
      <c r="BR63" s="2470"/>
      <c r="BS63" s="2470"/>
      <c r="BT63" s="2470"/>
      <c r="BU63" s="2470"/>
    </row>
    <row r="64" spans="36:73" ht="14.4" thickTop="1" thickBot="1">
      <c r="AJ64" s="2472" t="str">
        <f>IFERROR(IF(OR(AK$2="ZURÜCK ZUR AUSWAHL",AK$2="",AK$2=0),"",IF(AK$2=$BO$1,$BO63,IF(AK$2=$BP$1,$BP63,IF(AK$2=$BQ$1,$BQ63,IF(AK$2=$BR$1,$BR63,IF(AK$2=$BS$1,$BS63,IF(AK$2=$BT$1,$BT63,IF(AK$2=$BU$1,$BU63,INDEX(Tiere!$BN$2:$BN$145,_xlfn.AGGREGATE(15,6,(ROW(Tiere!$BN$2:$BN$145)-1)/(--(SEARCH(AK$2,Tiere!$BN$2:$BN$145)&gt;0)),ROW()-2),1))))))))),"")</f>
        <v/>
      </c>
      <c r="AK64" s="2436"/>
      <c r="AL64" s="2472" t="str">
        <f>IFERROR(IF(OR(AM$2="ZURÜCK ZUR AUSWAHL",AM$2="",AM$2=0),"",IF(AM$2=$BO$1,$BO63,IF(AM$2=$BP$1,$BP63,IF(AM$2=$BQ$1,$BQ63,IF(AM$2=$BR$1,$BR63,IF(AM$2=$BS$1,$BS63,IF(AM$2=$BT$1,$BT63,IF(AM$2=$BU$1,$BU63,INDEX(Tiere!$BN$2:$BN$145,_xlfn.AGGREGATE(15,6,(ROW(Tiere!$BN$2:$BN$145)-1)/(--(SEARCH(AM$2,Tiere!$BN$2:$BN$145)&gt;0)),ROW()-1),1))))))))),"")</f>
        <v/>
      </c>
      <c r="AM64" s="2436"/>
      <c r="AN64" s="2472" t="str">
        <f>IFERROR(IF(OR(AO$2="ZURÜCK ZUR AUSWAHL",AO$2="",AO$2=0),"",IF(AO$2=$BO$1,$BO63,IF(AO$2=$BP$1,$BP63,IF(AO$2=$BQ$1,$BQ63,IF(AO$2=$BR$1,$BR63,IF(AO$2=$BS$1,$BS63,IF(AO$2=$BT$1,$BT63,IF(AO$2=$BU$1,$BU63,INDEX(Tiere!$BN$2:$BN$145,_xlfn.AGGREGATE(15,6,(ROW(Tiere!$BN$2:$BN$145)-1)/(--(SEARCH(AO$2,Tiere!$BN$2:$BN$145)&gt;0)),ROW()-1),1))))))))),"")</f>
        <v/>
      </c>
      <c r="AO64" s="2436"/>
      <c r="AP64" s="2472" t="str">
        <f>IFERROR(IF(OR(AQ$2="ZURÜCK ZUR AUSWAHL",AQ$2="",AQ$2=0),"",IF(AQ$2=$BO$1,$BO63,IF(AQ$2=$BP$1,$BP63,IF(AQ$2=$BQ$1,$BQ63,IF(AQ$2=$BR$1,$BR63,IF(AQ$2=$BS$1,$BS63,IF(AQ$2=$BT$1,$BT63,IF(AQ$2=$BU$1,$BU63,INDEX(Tiere!$BN$2:$BN$145,_xlfn.AGGREGATE(15,6,(ROW(Tiere!$BN$2:$BN$145)-1)/(--(SEARCH(AQ$2,Tiere!$BN$2:$BN$145)&gt;0)),ROW()-1),1))))))))),"")</f>
        <v/>
      </c>
      <c r="AQ64" s="2436"/>
      <c r="AR64" s="2472" t="str">
        <f>IFERROR(IF(OR(AS$2="ZURÜCK ZUR AUSWAHL",AS$2="",AS$2=0),"",IF(AS$2=$BO$1,$BO63,IF(AS$2=$BP$1,$BP63,IF(AS$2=$BQ$1,$BQ63,IF(AS$2=$BR$1,$BR63,IF(AS$2=$BS$1,$BS63,IF(AS$2=$BT$1,$BT63,IF(AS$2=$BU$1,$BU63,INDEX(Tiere!$BN$2:$BN$145,_xlfn.AGGREGATE(15,6,(ROW(Tiere!$BN$2:$BN$145)-1)/(--(SEARCH(AS$2,Tiere!$BN$2:$BN$145)&gt;0)),ROW()-1),1))))))))),"")</f>
        <v/>
      </c>
      <c r="AS64" s="2436"/>
      <c r="AT64" s="2472" t="str">
        <f>IFERROR(IF(OR(AU$2="ZURÜCK ZUR AUSWAHL",AU$2="",AU$2=0),"",IF(AU$2=$BO$1,$BO63,IF(AU$2=$BP$1,$BP63,IF(AU$2=$BQ$1,$BQ63,IF(AU$2=$BR$1,$BR63,IF(AU$2=$BS$1,$BS63,IF(AU$2=$BT$1,$BT63,IF(AU$2=$BU$1,$BU63,INDEX(Tiere!$BN$2:$BN$145,_xlfn.AGGREGATE(15,6,(ROW(Tiere!$BN$2:$BN$145)-1)/(--(SEARCH(AU$2,Tiere!$BN$2:$BN$145)&gt;0)),ROW()-1),1))))))))),"")</f>
        <v/>
      </c>
      <c r="AU64" s="2436"/>
      <c r="AV64" s="2472" t="str">
        <f>IFERROR(IF(OR(AW$2="ZURÜCK ZUR AUSWAHL",AW$2="",AW$2=0),"",IF(AW$2=$BO$1,$BO63,IF(AW$2=$BP$1,$BP63,IF(AW$2=$BQ$1,$BQ63,IF(AW$2=$BR$1,$BR63,IF(AW$2=$BS$1,$BS63,IF(AW$2=$BT$1,$BT63,IF(AW$2=$BU$1,$BU63,INDEX(Tiere!$BN$2:$BN$145,_xlfn.AGGREGATE(15,6,(ROW(Tiere!$BN$2:$BN$145)-1)/(--(SEARCH(AW$2,Tiere!$BN$2:$BN$145)&gt;0)),ROW()-1),1))))))))),"")</f>
        <v/>
      </c>
      <c r="AW64" s="2436"/>
      <c r="AX64" s="2472" t="str">
        <f>IFERROR(IF(OR(AY$2="ZURÜCK ZUR AUSWAHL",AY$2="",AY$2=0),"",IF(AY$2=$BO$1,$BO63,IF(AY$2=$BP$1,$BP63,IF(AY$2=$BQ$1,$BQ63,IF(AY$2=$BR$1,$BR63,IF(AY$2=$BS$1,$BS63,IF(AY$2=$BT$1,$BT63,IF(AY$2=$BU$1,$BU63,INDEX(Tiere!$BN$2:$BN$145,_xlfn.AGGREGATE(15,6,(ROW(Tiere!$BN$2:$BN$145)-1)/(--(SEARCH(AY$2,Tiere!$BN$2:$BN$145)&gt;0)),ROW()-1),1))))))))),"")</f>
        <v/>
      </c>
      <c r="AY64" s="2436"/>
      <c r="AZ64" s="2472" t="str">
        <f>IFERROR(IF(OR(BA$2="ZURÜCK ZUR AUSWAHL",BA$2="",BA$2=0),"",IF(BA$2=$BO$1,$BO63,IF(BA$2=$BP$1,$BP63,IF(BA$2=$BQ$1,$BQ63,IF(BA$2=$BR$1,$BR63,IF(BA$2=$BS$1,$BS63,IF(BA$2=$BT$1,$BT63,IF(BA$2=$BU$1,$BU63,INDEX(Tiere!$BN$2:$BN$145,_xlfn.AGGREGATE(15,6,(ROW(Tiere!$BN$2:$BN$145)-1)/(--(SEARCH(BA$2,Tiere!$BN$2:$BN$145)&gt;0)),ROW()-1),1))))))))),"")</f>
        <v/>
      </c>
      <c r="BA64" s="2436"/>
      <c r="BB64" s="2472" t="str">
        <f>IFERROR(IF(OR(BC$2="ZURÜCK ZUR AUSWAHL",BC$2="",BC$2=0),"",IF(BC$2=$BO$1,$BO63,IF(BC$2=$BP$1,$BP63,IF(BC$2=$BQ$1,$BQ63,IF(BC$2=$BR$1,$BR63,IF(BC$2=$BS$1,$BS63,IF(BC$2=$BT$1,$BT63,IF(BC$2=$BU$1,$BU63,INDEX(Tiere!$BN$2:$BN$145,_xlfn.AGGREGATE(15,6,(ROW(Tiere!$BN$2:$BN$145)-1)/(--(SEARCH(BC$2,Tiere!$BN$2:$BN$145)&gt;0)),ROW()-1),1))))))))),"")</f>
        <v/>
      </c>
      <c r="BC64" s="2436"/>
      <c r="BD64" s="2472" t="str">
        <f>IFERROR(IF(OR(BE$2="ZURÜCK ZUR AUSWAHL",BE$2="",BE$2=0),"",IF(BE$2=$BO$1,$BO63,IF(BE$2=$BP$1,$BP63,IF(BE$2=$BQ$1,$BQ63,IF(BE$2=$BR$1,$BR63,IF(BE$2=$BS$1,$BS63,IF(BE$2=$BT$1,$BT63,IF(BE$2=$BU$1,$BU63,INDEX(Tiere!$BN$2:$BN$145,_xlfn.AGGREGATE(15,6,(ROW(Tiere!$BN$2:$BN$145)-1)/(--(SEARCH(BE$2,Tiere!$BN$2:$BN$145)&gt;0)),ROW()-1),1))))))))),"")</f>
        <v/>
      </c>
      <c r="BE64" s="2436"/>
      <c r="BF64" s="2472" t="str">
        <f>IFERROR(IF(OR(BG$2="ZURÜCK ZUR AUSWAHL",BG$2="",BG$2=0),"",IF(BG$2=$BO$1,$BO63,IF(BG$2=$BP$1,$BP63,IF(BG$2=$BQ$1,$BQ63,IF(BG$2=$BR$1,$BR63,IF(BG$2=$BS$1,$BS63,IF(BG$2=$BT$1,$BT63,IF(BG$2=$BU$1,$BU63,INDEX(Tiere!$BN$2:$BN$145,_xlfn.AGGREGATE(15,6,(ROW(Tiere!$BN$2:$BN$145)-1)/(--(SEARCH(BG$2,Tiere!$BN$2:$BN$145)&gt;0)),ROW()-1),1))))))))),"")</f>
        <v/>
      </c>
      <c r="BG64" s="2436"/>
      <c r="BH64" s="2472" t="str">
        <f>IFERROR(IF(OR(BI$2="ZURÜCK ZUR AUSWAHL",BI$2="",BI$2=0),"",IF(BI$2=$BO$1,$BO63,IF(BI$2=$BP$1,$BP63,IF(BI$2=$BQ$1,$BQ63,IF(BI$2=$BR$1,$BR63,IF(BI$2=$BS$1,$BS63,IF(BI$2=$BT$1,$BT63,IF(BI$2=$BU$1,$BU63,INDEX(Tiere!$BN$2:$BN$145,_xlfn.AGGREGATE(15,6,(ROW(Tiere!$BN$2:$BN$145)-1)/(--(SEARCH(BI$2,Tiere!$BN$2:$BN$145)&gt;0)),ROW()-1),1))))))))),"")</f>
        <v/>
      </c>
      <c r="BI64" s="2436"/>
      <c r="BJ64" s="2472" t="str">
        <f>IFERROR(IF(OR(BK$2="ZURÜCK ZUR AUSWAHL",BK$2="",BK$2=0),"",IF(BK$2=$BO$1,$BO63,IF(BK$2=$BP$1,$BP63,IF(BK$2=$BQ$1,$BQ63,IF(BK$2=$BR$1,$BR63,IF(BK$2=$BS$1,$BS63,IF(BK$2=$BT$1,$BT63,IF(BK$2=$BU$1,$BU63,INDEX(Tiere!$BN$2:$BN$145,_xlfn.AGGREGATE(15,6,(ROW(Tiere!$BN$2:$BN$145)-1)/(--(SEARCH(BK$2,Tiere!$BN$2:$BN$145)&gt;0)),ROW()-1),1))))))))),"")</f>
        <v/>
      </c>
      <c r="BK64" s="2436"/>
      <c r="BL64" s="2472" t="str">
        <f>IFERROR(IF(OR(BM$2="ZURÜCK ZUR AUSWAHL",BM$2="",BM$2=0),"",IF(BM$2=$BO$1,$BO63,IF(BM$2=$BP$1,$BP63,IF(BM$2=$BQ$1,$BQ63,IF(BM$2=$BR$1,$BR63,IF(BM$2=$BS$1,$BS63,IF(BM$2=$BT$1,$BT63,IF(BM$2=$BU$1,$BU63,INDEX(Tiere!$BN$2:$BN$145,_xlfn.AGGREGATE(15,6,(ROW(Tiere!$BN$2:$BN$145)-1)/(--(SEARCH(BM$2,Tiere!$BN$2:$BN$145)&gt;0)),ROW()-1),1))))))))),"")</f>
        <v/>
      </c>
      <c r="BM64" s="2436"/>
      <c r="BN64" s="2478" t="s">
        <v>1224</v>
      </c>
      <c r="BO64" s="2470"/>
      <c r="BP64" s="2470"/>
      <c r="BQ64" s="2470"/>
      <c r="BR64" s="2470"/>
      <c r="BS64" s="2470"/>
      <c r="BT64" s="2470"/>
      <c r="BU64" s="2471"/>
    </row>
    <row r="65" spans="36:73" ht="13.8" thickBot="1">
      <c r="AJ65" s="2472" t="str">
        <f>IFERROR(IF(OR(AK$2="ZURÜCK ZUR AUSWAHL",AK$2="",AK$2=0),"",IF(AK$2=$BO$1,$BO64,IF(AK$2=$BP$1,$BP64,IF(AK$2=$BQ$1,$BQ64,IF(AK$2=$BR$1,$BR64,IF(AK$2=$BS$1,$BS64,IF(AK$2=$BT$1,$BT64,IF(AK$2=$BU$1,$BU64,INDEX(Tiere!$BN$2:$BN$145,_xlfn.AGGREGATE(15,6,(ROW(Tiere!$BN$2:$BN$145)-1)/(--(SEARCH(AK$2,Tiere!$BN$2:$BN$145)&gt;0)),ROW()-2),1))))))))),"")</f>
        <v/>
      </c>
      <c r="AK65" s="2438"/>
      <c r="AL65" s="2472" t="str">
        <f>IFERROR(IF(OR(AM$2="ZURÜCK ZUR AUSWAHL",AM$2="",AM$2=0),"",IF(AM$2=$BO$1,$BO64,IF(AM$2=$BP$1,$BP64,IF(AM$2=$BQ$1,$BQ64,IF(AM$2=$BR$1,$BR64,IF(AM$2=$BS$1,$BS64,IF(AM$2=$BT$1,$BT64,IF(AM$2=$BU$1,$BU64,INDEX(Tiere!$BN$2:$BN$145,_xlfn.AGGREGATE(15,6,(ROW(Tiere!$BN$2:$BN$145)-1)/(--(SEARCH(AM$2,Tiere!$BN$2:$BN$145)&gt;0)),ROW()-1),1))))))))),"")</f>
        <v/>
      </c>
      <c r="AM65" s="2438"/>
      <c r="AN65" s="2472" t="str">
        <f>IFERROR(IF(OR(AO$2="ZURÜCK ZUR AUSWAHL",AO$2="",AO$2=0),"",IF(AO$2=$BO$1,$BO64,IF(AO$2=$BP$1,$BP64,IF(AO$2=$BQ$1,$BQ64,IF(AO$2=$BR$1,$BR64,IF(AO$2=$BS$1,$BS64,IF(AO$2=$BT$1,$BT64,IF(AO$2=$BU$1,$BU64,INDEX(Tiere!$BN$2:$BN$145,_xlfn.AGGREGATE(15,6,(ROW(Tiere!$BN$2:$BN$145)-1)/(--(SEARCH(AO$2,Tiere!$BN$2:$BN$145)&gt;0)),ROW()-1),1))))))))),"")</f>
        <v/>
      </c>
      <c r="AO65" s="2438"/>
      <c r="AP65" s="2472" t="str">
        <f>IFERROR(IF(OR(AQ$2="ZURÜCK ZUR AUSWAHL",AQ$2="",AQ$2=0),"",IF(AQ$2=$BO$1,$BO64,IF(AQ$2=$BP$1,$BP64,IF(AQ$2=$BQ$1,$BQ64,IF(AQ$2=$BR$1,$BR64,IF(AQ$2=$BS$1,$BS64,IF(AQ$2=$BT$1,$BT64,IF(AQ$2=$BU$1,$BU64,INDEX(Tiere!$BN$2:$BN$145,_xlfn.AGGREGATE(15,6,(ROW(Tiere!$BN$2:$BN$145)-1)/(--(SEARCH(AQ$2,Tiere!$BN$2:$BN$145)&gt;0)),ROW()-1),1))))))))),"")</f>
        <v/>
      </c>
      <c r="AQ65" s="2438"/>
      <c r="AR65" s="2472" t="str">
        <f>IFERROR(IF(OR(AS$2="ZURÜCK ZUR AUSWAHL",AS$2="",AS$2=0),"",IF(AS$2=$BO$1,$BO64,IF(AS$2=$BP$1,$BP64,IF(AS$2=$BQ$1,$BQ64,IF(AS$2=$BR$1,$BR64,IF(AS$2=$BS$1,$BS64,IF(AS$2=$BT$1,$BT64,IF(AS$2=$BU$1,$BU64,INDEX(Tiere!$BN$2:$BN$145,_xlfn.AGGREGATE(15,6,(ROW(Tiere!$BN$2:$BN$145)-1)/(--(SEARCH(AS$2,Tiere!$BN$2:$BN$145)&gt;0)),ROW()-1),1))))))))),"")</f>
        <v/>
      </c>
      <c r="AS65" s="2438"/>
      <c r="AT65" s="2472" t="str">
        <f>IFERROR(IF(OR(AU$2="ZURÜCK ZUR AUSWAHL",AU$2="",AU$2=0),"",IF(AU$2=$BO$1,$BO64,IF(AU$2=$BP$1,$BP64,IF(AU$2=$BQ$1,$BQ64,IF(AU$2=$BR$1,$BR64,IF(AU$2=$BS$1,$BS64,IF(AU$2=$BT$1,$BT64,IF(AU$2=$BU$1,$BU64,INDEX(Tiere!$BN$2:$BN$145,_xlfn.AGGREGATE(15,6,(ROW(Tiere!$BN$2:$BN$145)-1)/(--(SEARCH(AU$2,Tiere!$BN$2:$BN$145)&gt;0)),ROW()-1),1))))))))),"")</f>
        <v/>
      </c>
      <c r="AU65" s="2438"/>
      <c r="AV65" s="2472" t="str">
        <f>IFERROR(IF(OR(AW$2="ZURÜCK ZUR AUSWAHL",AW$2="",AW$2=0),"",IF(AW$2=$BO$1,$BO64,IF(AW$2=$BP$1,$BP64,IF(AW$2=$BQ$1,$BQ64,IF(AW$2=$BR$1,$BR64,IF(AW$2=$BS$1,$BS64,IF(AW$2=$BT$1,$BT64,IF(AW$2=$BU$1,$BU64,INDEX(Tiere!$BN$2:$BN$145,_xlfn.AGGREGATE(15,6,(ROW(Tiere!$BN$2:$BN$145)-1)/(--(SEARCH(AW$2,Tiere!$BN$2:$BN$145)&gt;0)),ROW()-1),1))))))))),"")</f>
        <v/>
      </c>
      <c r="AW65" s="2438"/>
      <c r="AX65" s="2472" t="str">
        <f>IFERROR(IF(OR(AY$2="ZURÜCK ZUR AUSWAHL",AY$2="",AY$2=0),"",IF(AY$2=$BO$1,$BO64,IF(AY$2=$BP$1,$BP64,IF(AY$2=$BQ$1,$BQ64,IF(AY$2=$BR$1,$BR64,IF(AY$2=$BS$1,$BS64,IF(AY$2=$BT$1,$BT64,IF(AY$2=$BU$1,$BU64,INDEX(Tiere!$BN$2:$BN$145,_xlfn.AGGREGATE(15,6,(ROW(Tiere!$BN$2:$BN$145)-1)/(--(SEARCH(AY$2,Tiere!$BN$2:$BN$145)&gt;0)),ROW()-1),1))))))))),"")</f>
        <v/>
      </c>
      <c r="AY65" s="2438"/>
      <c r="AZ65" s="2472" t="str">
        <f>IFERROR(IF(OR(BA$2="ZURÜCK ZUR AUSWAHL",BA$2="",BA$2=0),"",IF(BA$2=$BO$1,$BO64,IF(BA$2=$BP$1,$BP64,IF(BA$2=$BQ$1,$BQ64,IF(BA$2=$BR$1,$BR64,IF(BA$2=$BS$1,$BS64,IF(BA$2=$BT$1,$BT64,IF(BA$2=$BU$1,$BU64,INDEX(Tiere!$BN$2:$BN$145,_xlfn.AGGREGATE(15,6,(ROW(Tiere!$BN$2:$BN$145)-1)/(--(SEARCH(BA$2,Tiere!$BN$2:$BN$145)&gt;0)),ROW()-1),1))))))))),"")</f>
        <v/>
      </c>
      <c r="BA65" s="2438"/>
      <c r="BB65" s="2472" t="str">
        <f>IFERROR(IF(OR(BC$2="ZURÜCK ZUR AUSWAHL",BC$2="",BC$2=0),"",IF(BC$2=$BO$1,$BO64,IF(BC$2=$BP$1,$BP64,IF(BC$2=$BQ$1,$BQ64,IF(BC$2=$BR$1,$BR64,IF(BC$2=$BS$1,$BS64,IF(BC$2=$BT$1,$BT64,IF(BC$2=$BU$1,$BU64,INDEX(Tiere!$BN$2:$BN$145,_xlfn.AGGREGATE(15,6,(ROW(Tiere!$BN$2:$BN$145)-1)/(--(SEARCH(BC$2,Tiere!$BN$2:$BN$145)&gt;0)),ROW()-1),1))))))))),"")</f>
        <v/>
      </c>
      <c r="BC65" s="2438"/>
      <c r="BD65" s="2472" t="str">
        <f>IFERROR(IF(OR(BE$2="ZURÜCK ZUR AUSWAHL",BE$2="",BE$2=0),"",IF(BE$2=$BO$1,$BO64,IF(BE$2=$BP$1,$BP64,IF(BE$2=$BQ$1,$BQ64,IF(BE$2=$BR$1,$BR64,IF(BE$2=$BS$1,$BS64,IF(BE$2=$BT$1,$BT64,IF(BE$2=$BU$1,$BU64,INDEX(Tiere!$BN$2:$BN$145,_xlfn.AGGREGATE(15,6,(ROW(Tiere!$BN$2:$BN$145)-1)/(--(SEARCH(BE$2,Tiere!$BN$2:$BN$145)&gt;0)),ROW()-1),1))))))))),"")</f>
        <v/>
      </c>
      <c r="BE65" s="2438"/>
      <c r="BF65" s="2472" t="str">
        <f>IFERROR(IF(OR(BG$2="ZURÜCK ZUR AUSWAHL",BG$2="",BG$2=0),"",IF(BG$2=$BO$1,$BO64,IF(BG$2=$BP$1,$BP64,IF(BG$2=$BQ$1,$BQ64,IF(BG$2=$BR$1,$BR64,IF(BG$2=$BS$1,$BS64,IF(BG$2=$BT$1,$BT64,IF(BG$2=$BU$1,$BU64,INDEX(Tiere!$BN$2:$BN$145,_xlfn.AGGREGATE(15,6,(ROW(Tiere!$BN$2:$BN$145)-1)/(--(SEARCH(BG$2,Tiere!$BN$2:$BN$145)&gt;0)),ROW()-1),1))))))))),"")</f>
        <v/>
      </c>
      <c r="BG65" s="2438"/>
      <c r="BH65" s="2472" t="str">
        <f>IFERROR(IF(OR(BI$2="ZURÜCK ZUR AUSWAHL",BI$2="",BI$2=0),"",IF(BI$2=$BO$1,$BO64,IF(BI$2=$BP$1,$BP64,IF(BI$2=$BQ$1,$BQ64,IF(BI$2=$BR$1,$BR64,IF(BI$2=$BS$1,$BS64,IF(BI$2=$BT$1,$BT64,IF(BI$2=$BU$1,$BU64,INDEX(Tiere!$BN$2:$BN$145,_xlfn.AGGREGATE(15,6,(ROW(Tiere!$BN$2:$BN$145)-1)/(--(SEARCH(BI$2,Tiere!$BN$2:$BN$145)&gt;0)),ROW()-1),1))))))))),"")</f>
        <v/>
      </c>
      <c r="BI65" s="2438"/>
      <c r="BJ65" s="2472" t="str">
        <f>IFERROR(IF(OR(BK$2="ZURÜCK ZUR AUSWAHL",BK$2="",BK$2=0),"",IF(BK$2=$BO$1,$BO64,IF(BK$2=$BP$1,$BP64,IF(BK$2=$BQ$1,$BQ64,IF(BK$2=$BR$1,$BR64,IF(BK$2=$BS$1,$BS64,IF(BK$2=$BT$1,$BT64,IF(BK$2=$BU$1,$BU64,INDEX(Tiere!$BN$2:$BN$145,_xlfn.AGGREGATE(15,6,(ROW(Tiere!$BN$2:$BN$145)-1)/(--(SEARCH(BK$2,Tiere!$BN$2:$BN$145)&gt;0)),ROW()-1),1))))))))),"")</f>
        <v/>
      </c>
      <c r="BK65" s="2438"/>
      <c r="BL65" s="2472" t="str">
        <f>IFERROR(IF(OR(BM$2="ZURÜCK ZUR AUSWAHL",BM$2="",BM$2=0),"",IF(BM$2=$BO$1,$BO64,IF(BM$2=$BP$1,$BP64,IF(BM$2=$BQ$1,$BQ64,IF(BM$2=$BR$1,$BR64,IF(BM$2=$BS$1,$BS64,IF(BM$2=$BT$1,$BT64,IF(BM$2=$BU$1,$BU64,INDEX(Tiere!$BN$2:$BN$145,_xlfn.AGGREGATE(15,6,(ROW(Tiere!$BN$2:$BN$145)-1)/(--(SEARCH(BM$2,Tiere!$BN$2:$BN$145)&gt;0)),ROW()-1),1))))))))),"")</f>
        <v/>
      </c>
      <c r="BM65" s="2438"/>
      <c r="BN65" s="2478" t="s">
        <v>1226</v>
      </c>
      <c r="BO65" s="2470"/>
      <c r="BP65" s="2470"/>
      <c r="BQ65" s="2470"/>
      <c r="BR65" s="2470"/>
      <c r="BS65" s="2470"/>
      <c r="BT65" s="2470"/>
      <c r="BU65" s="2470"/>
    </row>
    <row r="66" spans="36:73" ht="13.8" thickBot="1">
      <c r="AJ66" s="2472" t="str">
        <f>IFERROR(IF(OR(AK$2="ZURÜCK ZUR AUSWAHL",AK$2="",AK$2=0),"",IF(AK$2=$BO$1,$BO65,IF(AK$2=$BP$1,$BP65,IF(AK$2=$BQ$1,$BQ65,IF(AK$2=$BR$1,$BR65,IF(AK$2=$BS$1,$BS65,IF(AK$2=$BT$1,$BT65,IF(AK$2=$BU$1,$BU65,INDEX(Tiere!$BN$2:$BN$145,_xlfn.AGGREGATE(15,6,(ROW(Tiere!$BN$2:$BN$145)-1)/(--(SEARCH(AK$2,Tiere!$BN$2:$BN$145)&gt;0)),ROW()-2),1))))))))),"")</f>
        <v/>
      </c>
      <c r="AK66" s="2436"/>
      <c r="AL66" s="2472" t="str">
        <f>IFERROR(IF(OR(AM$2="ZURÜCK ZUR AUSWAHL",AM$2="",AM$2=0),"",IF(AM$2=$BO$1,$BO65,IF(AM$2=$BP$1,$BP65,IF(AM$2=$BQ$1,$BQ65,IF(AM$2=$BR$1,$BR65,IF(AM$2=$BS$1,$BS65,IF(AM$2=$BT$1,$BT65,IF(AM$2=$BU$1,$BU65,INDEX(Tiere!$BN$2:$BN$145,_xlfn.AGGREGATE(15,6,(ROW(Tiere!$BN$2:$BN$145)-1)/(--(SEARCH(AM$2,Tiere!$BN$2:$BN$145)&gt;0)),ROW()-1),1))))))))),"")</f>
        <v/>
      </c>
      <c r="AM66" s="2436"/>
      <c r="AN66" s="2472" t="str">
        <f>IFERROR(IF(OR(AO$2="ZURÜCK ZUR AUSWAHL",AO$2="",AO$2=0),"",IF(AO$2=$BO$1,$BO65,IF(AO$2=$BP$1,$BP65,IF(AO$2=$BQ$1,$BQ65,IF(AO$2=$BR$1,$BR65,IF(AO$2=$BS$1,$BS65,IF(AO$2=$BT$1,$BT65,IF(AO$2=$BU$1,$BU65,INDEX(Tiere!$BN$2:$BN$145,_xlfn.AGGREGATE(15,6,(ROW(Tiere!$BN$2:$BN$145)-1)/(--(SEARCH(AO$2,Tiere!$BN$2:$BN$145)&gt;0)),ROW()-1),1))))))))),"")</f>
        <v/>
      </c>
      <c r="AO66" s="2436"/>
      <c r="AP66" s="2472" t="str">
        <f>IFERROR(IF(OR(AQ$2="ZURÜCK ZUR AUSWAHL",AQ$2="",AQ$2=0),"",IF(AQ$2=$BO$1,$BO65,IF(AQ$2=$BP$1,$BP65,IF(AQ$2=$BQ$1,$BQ65,IF(AQ$2=$BR$1,$BR65,IF(AQ$2=$BS$1,$BS65,IF(AQ$2=$BT$1,$BT65,IF(AQ$2=$BU$1,$BU65,INDEX(Tiere!$BN$2:$BN$145,_xlfn.AGGREGATE(15,6,(ROW(Tiere!$BN$2:$BN$145)-1)/(--(SEARCH(AQ$2,Tiere!$BN$2:$BN$145)&gt;0)),ROW()-1),1))))))))),"")</f>
        <v/>
      </c>
      <c r="AQ66" s="2436"/>
      <c r="AR66" s="2472" t="str">
        <f>IFERROR(IF(OR(AS$2="ZURÜCK ZUR AUSWAHL",AS$2="",AS$2=0),"",IF(AS$2=$BO$1,$BO65,IF(AS$2=$BP$1,$BP65,IF(AS$2=$BQ$1,$BQ65,IF(AS$2=$BR$1,$BR65,IF(AS$2=$BS$1,$BS65,IF(AS$2=$BT$1,$BT65,IF(AS$2=$BU$1,$BU65,INDEX(Tiere!$BN$2:$BN$145,_xlfn.AGGREGATE(15,6,(ROW(Tiere!$BN$2:$BN$145)-1)/(--(SEARCH(AS$2,Tiere!$BN$2:$BN$145)&gt;0)),ROW()-1),1))))))))),"")</f>
        <v/>
      </c>
      <c r="AS66" s="2436"/>
      <c r="AT66" s="2472" t="str">
        <f>IFERROR(IF(OR(AU$2="ZURÜCK ZUR AUSWAHL",AU$2="",AU$2=0),"",IF(AU$2=$BO$1,$BO65,IF(AU$2=$BP$1,$BP65,IF(AU$2=$BQ$1,$BQ65,IF(AU$2=$BR$1,$BR65,IF(AU$2=$BS$1,$BS65,IF(AU$2=$BT$1,$BT65,IF(AU$2=$BU$1,$BU65,INDEX(Tiere!$BN$2:$BN$145,_xlfn.AGGREGATE(15,6,(ROW(Tiere!$BN$2:$BN$145)-1)/(--(SEARCH(AU$2,Tiere!$BN$2:$BN$145)&gt;0)),ROW()-1),1))))))))),"")</f>
        <v/>
      </c>
      <c r="AU66" s="2436"/>
      <c r="AV66" s="2472" t="str">
        <f>IFERROR(IF(OR(AW$2="ZURÜCK ZUR AUSWAHL",AW$2="",AW$2=0),"",IF(AW$2=$BO$1,$BO65,IF(AW$2=$BP$1,$BP65,IF(AW$2=$BQ$1,$BQ65,IF(AW$2=$BR$1,$BR65,IF(AW$2=$BS$1,$BS65,IF(AW$2=$BT$1,$BT65,IF(AW$2=$BU$1,$BU65,INDEX(Tiere!$BN$2:$BN$145,_xlfn.AGGREGATE(15,6,(ROW(Tiere!$BN$2:$BN$145)-1)/(--(SEARCH(AW$2,Tiere!$BN$2:$BN$145)&gt;0)),ROW()-1),1))))))))),"")</f>
        <v/>
      </c>
      <c r="AW66" s="2436"/>
      <c r="AX66" s="2472" t="str">
        <f>IFERROR(IF(OR(AY$2="ZURÜCK ZUR AUSWAHL",AY$2="",AY$2=0),"",IF(AY$2=$BO$1,$BO65,IF(AY$2=$BP$1,$BP65,IF(AY$2=$BQ$1,$BQ65,IF(AY$2=$BR$1,$BR65,IF(AY$2=$BS$1,$BS65,IF(AY$2=$BT$1,$BT65,IF(AY$2=$BU$1,$BU65,INDEX(Tiere!$BN$2:$BN$145,_xlfn.AGGREGATE(15,6,(ROW(Tiere!$BN$2:$BN$145)-1)/(--(SEARCH(AY$2,Tiere!$BN$2:$BN$145)&gt;0)),ROW()-1),1))))))))),"")</f>
        <v/>
      </c>
      <c r="AY66" s="2436"/>
      <c r="AZ66" s="2472" t="str">
        <f>IFERROR(IF(OR(BA$2="ZURÜCK ZUR AUSWAHL",BA$2="",BA$2=0),"",IF(BA$2=$BO$1,$BO65,IF(BA$2=$BP$1,$BP65,IF(BA$2=$BQ$1,$BQ65,IF(BA$2=$BR$1,$BR65,IF(BA$2=$BS$1,$BS65,IF(BA$2=$BT$1,$BT65,IF(BA$2=$BU$1,$BU65,INDEX(Tiere!$BN$2:$BN$145,_xlfn.AGGREGATE(15,6,(ROW(Tiere!$BN$2:$BN$145)-1)/(--(SEARCH(BA$2,Tiere!$BN$2:$BN$145)&gt;0)),ROW()-1),1))))))))),"")</f>
        <v/>
      </c>
      <c r="BA66" s="2436"/>
      <c r="BB66" s="2472" t="str">
        <f>IFERROR(IF(OR(BC$2="ZURÜCK ZUR AUSWAHL",BC$2="",BC$2=0),"",IF(BC$2=$BO$1,$BO65,IF(BC$2=$BP$1,$BP65,IF(BC$2=$BQ$1,$BQ65,IF(BC$2=$BR$1,$BR65,IF(BC$2=$BS$1,$BS65,IF(BC$2=$BT$1,$BT65,IF(BC$2=$BU$1,$BU65,INDEX(Tiere!$BN$2:$BN$145,_xlfn.AGGREGATE(15,6,(ROW(Tiere!$BN$2:$BN$145)-1)/(--(SEARCH(BC$2,Tiere!$BN$2:$BN$145)&gt;0)),ROW()-1),1))))))))),"")</f>
        <v/>
      </c>
      <c r="BC66" s="2436"/>
      <c r="BD66" s="2472" t="str">
        <f>IFERROR(IF(OR(BE$2="ZURÜCK ZUR AUSWAHL",BE$2="",BE$2=0),"",IF(BE$2=$BO$1,$BO65,IF(BE$2=$BP$1,$BP65,IF(BE$2=$BQ$1,$BQ65,IF(BE$2=$BR$1,$BR65,IF(BE$2=$BS$1,$BS65,IF(BE$2=$BT$1,$BT65,IF(BE$2=$BU$1,$BU65,INDEX(Tiere!$BN$2:$BN$145,_xlfn.AGGREGATE(15,6,(ROW(Tiere!$BN$2:$BN$145)-1)/(--(SEARCH(BE$2,Tiere!$BN$2:$BN$145)&gt;0)),ROW()-1),1))))))))),"")</f>
        <v/>
      </c>
      <c r="BE66" s="2436"/>
      <c r="BF66" s="2472" t="str">
        <f>IFERROR(IF(OR(BG$2="ZURÜCK ZUR AUSWAHL",BG$2="",BG$2=0),"",IF(BG$2=$BO$1,$BO65,IF(BG$2=$BP$1,$BP65,IF(BG$2=$BQ$1,$BQ65,IF(BG$2=$BR$1,$BR65,IF(BG$2=$BS$1,$BS65,IF(BG$2=$BT$1,$BT65,IF(BG$2=$BU$1,$BU65,INDEX(Tiere!$BN$2:$BN$145,_xlfn.AGGREGATE(15,6,(ROW(Tiere!$BN$2:$BN$145)-1)/(--(SEARCH(BG$2,Tiere!$BN$2:$BN$145)&gt;0)),ROW()-1),1))))))))),"")</f>
        <v/>
      </c>
      <c r="BG66" s="2436"/>
      <c r="BH66" s="2472" t="str">
        <f>IFERROR(IF(OR(BI$2="ZURÜCK ZUR AUSWAHL",BI$2="",BI$2=0),"",IF(BI$2=$BO$1,$BO65,IF(BI$2=$BP$1,$BP65,IF(BI$2=$BQ$1,$BQ65,IF(BI$2=$BR$1,$BR65,IF(BI$2=$BS$1,$BS65,IF(BI$2=$BT$1,$BT65,IF(BI$2=$BU$1,$BU65,INDEX(Tiere!$BN$2:$BN$145,_xlfn.AGGREGATE(15,6,(ROW(Tiere!$BN$2:$BN$145)-1)/(--(SEARCH(BI$2,Tiere!$BN$2:$BN$145)&gt;0)),ROW()-1),1))))))))),"")</f>
        <v/>
      </c>
      <c r="BI66" s="2436"/>
      <c r="BJ66" s="2472" t="str">
        <f>IFERROR(IF(OR(BK$2="ZURÜCK ZUR AUSWAHL",BK$2="",BK$2=0),"",IF(BK$2=$BO$1,$BO65,IF(BK$2=$BP$1,$BP65,IF(BK$2=$BQ$1,$BQ65,IF(BK$2=$BR$1,$BR65,IF(BK$2=$BS$1,$BS65,IF(BK$2=$BT$1,$BT65,IF(BK$2=$BU$1,$BU65,INDEX(Tiere!$BN$2:$BN$145,_xlfn.AGGREGATE(15,6,(ROW(Tiere!$BN$2:$BN$145)-1)/(--(SEARCH(BK$2,Tiere!$BN$2:$BN$145)&gt;0)),ROW()-1),1))))))))),"")</f>
        <v/>
      </c>
      <c r="BK66" s="2436"/>
      <c r="BL66" s="2472" t="str">
        <f>IFERROR(IF(OR(BM$2="ZURÜCK ZUR AUSWAHL",BM$2="",BM$2=0),"",IF(BM$2=$BO$1,$BO65,IF(BM$2=$BP$1,$BP65,IF(BM$2=$BQ$1,$BQ65,IF(BM$2=$BR$1,$BR65,IF(BM$2=$BS$1,$BS65,IF(BM$2=$BT$1,$BT65,IF(BM$2=$BU$1,$BU65,INDEX(Tiere!$BN$2:$BN$145,_xlfn.AGGREGATE(15,6,(ROW(Tiere!$BN$2:$BN$145)-1)/(--(SEARCH(BM$2,Tiere!$BN$2:$BN$145)&gt;0)),ROW()-1),1))))))))),"")</f>
        <v/>
      </c>
      <c r="BM66" s="2436"/>
      <c r="BN66" s="2478" t="s">
        <v>1229</v>
      </c>
      <c r="BO66" s="2470"/>
      <c r="BP66" s="2470"/>
      <c r="BQ66" s="2470"/>
      <c r="BR66" s="2470"/>
      <c r="BS66" s="2470"/>
      <c r="BT66" s="2470"/>
      <c r="BU66" s="2470"/>
    </row>
    <row r="67" spans="36:73" ht="13.8" thickBot="1">
      <c r="AJ67" s="2472" t="str">
        <f>IFERROR(IF(OR(AK$2="ZURÜCK ZUR AUSWAHL",AK$2="",AK$2=0),"",IF(AK$2=$BO$1,$BO66,IF(AK$2=$BP$1,$BP66,IF(AK$2=$BQ$1,$BQ66,IF(AK$2=$BR$1,$BR66,IF(AK$2=$BS$1,$BS66,IF(AK$2=$BT$1,$BT66,IF(AK$2=$BU$1,$BU66,INDEX(Tiere!$BN$2:$BN$145,_xlfn.AGGREGATE(15,6,(ROW(Tiere!$BN$2:$BN$145)-1)/(--(SEARCH(AK$2,Tiere!$BN$2:$BN$145)&gt;0)),ROW()-2),1))))))))),"")</f>
        <v/>
      </c>
      <c r="AK67" s="2438"/>
      <c r="AL67" s="2472" t="str">
        <f>IFERROR(IF(OR(AM$2="ZURÜCK ZUR AUSWAHL",AM$2="",AM$2=0),"",IF(AM$2=$BO$1,$BO66,IF(AM$2=$BP$1,$BP66,IF(AM$2=$BQ$1,$BQ66,IF(AM$2=$BR$1,$BR66,IF(AM$2=$BS$1,$BS66,IF(AM$2=$BT$1,$BT66,IF(AM$2=$BU$1,$BU66,INDEX(Tiere!$BN$2:$BN$145,_xlfn.AGGREGATE(15,6,(ROW(Tiere!$BN$2:$BN$145)-1)/(--(SEARCH(AM$2,Tiere!$BN$2:$BN$145)&gt;0)),ROW()-1),1))))))))),"")</f>
        <v/>
      </c>
      <c r="AM67" s="2438"/>
      <c r="AN67" s="2472" t="str">
        <f>IFERROR(IF(OR(AO$2="ZURÜCK ZUR AUSWAHL",AO$2="",AO$2=0),"",IF(AO$2=$BO$1,$BO66,IF(AO$2=$BP$1,$BP66,IF(AO$2=$BQ$1,$BQ66,IF(AO$2=$BR$1,$BR66,IF(AO$2=$BS$1,$BS66,IF(AO$2=$BT$1,$BT66,IF(AO$2=$BU$1,$BU66,INDEX(Tiere!$BN$2:$BN$145,_xlfn.AGGREGATE(15,6,(ROW(Tiere!$BN$2:$BN$145)-1)/(--(SEARCH(AO$2,Tiere!$BN$2:$BN$145)&gt;0)),ROW()-1),1))))))))),"")</f>
        <v/>
      </c>
      <c r="AO67" s="2438"/>
      <c r="AP67" s="2472" t="str">
        <f>IFERROR(IF(OR(AQ$2="ZURÜCK ZUR AUSWAHL",AQ$2="",AQ$2=0),"",IF(AQ$2=$BO$1,$BO66,IF(AQ$2=$BP$1,$BP66,IF(AQ$2=$BQ$1,$BQ66,IF(AQ$2=$BR$1,$BR66,IF(AQ$2=$BS$1,$BS66,IF(AQ$2=$BT$1,$BT66,IF(AQ$2=$BU$1,$BU66,INDEX(Tiere!$BN$2:$BN$145,_xlfn.AGGREGATE(15,6,(ROW(Tiere!$BN$2:$BN$145)-1)/(--(SEARCH(AQ$2,Tiere!$BN$2:$BN$145)&gt;0)),ROW()-1),1))))))))),"")</f>
        <v/>
      </c>
      <c r="AQ67" s="2438"/>
      <c r="AR67" s="2472" t="str">
        <f>IFERROR(IF(OR(AS$2="ZURÜCK ZUR AUSWAHL",AS$2="",AS$2=0),"",IF(AS$2=$BO$1,$BO66,IF(AS$2=$BP$1,$BP66,IF(AS$2=$BQ$1,$BQ66,IF(AS$2=$BR$1,$BR66,IF(AS$2=$BS$1,$BS66,IF(AS$2=$BT$1,$BT66,IF(AS$2=$BU$1,$BU66,INDEX(Tiere!$BN$2:$BN$145,_xlfn.AGGREGATE(15,6,(ROW(Tiere!$BN$2:$BN$145)-1)/(--(SEARCH(AS$2,Tiere!$BN$2:$BN$145)&gt;0)),ROW()-1),1))))))))),"")</f>
        <v/>
      </c>
      <c r="AS67" s="2438"/>
      <c r="AT67" s="2472" t="str">
        <f>IFERROR(IF(OR(AU$2="ZURÜCK ZUR AUSWAHL",AU$2="",AU$2=0),"",IF(AU$2=$BO$1,$BO66,IF(AU$2=$BP$1,$BP66,IF(AU$2=$BQ$1,$BQ66,IF(AU$2=$BR$1,$BR66,IF(AU$2=$BS$1,$BS66,IF(AU$2=$BT$1,$BT66,IF(AU$2=$BU$1,$BU66,INDEX(Tiere!$BN$2:$BN$145,_xlfn.AGGREGATE(15,6,(ROW(Tiere!$BN$2:$BN$145)-1)/(--(SEARCH(AU$2,Tiere!$BN$2:$BN$145)&gt;0)),ROW()-1),1))))))))),"")</f>
        <v/>
      </c>
      <c r="AU67" s="2438"/>
      <c r="AV67" s="2472" t="str">
        <f>IFERROR(IF(OR(AW$2="ZURÜCK ZUR AUSWAHL",AW$2="",AW$2=0),"",IF(AW$2=$BO$1,$BO66,IF(AW$2=$BP$1,$BP66,IF(AW$2=$BQ$1,$BQ66,IF(AW$2=$BR$1,$BR66,IF(AW$2=$BS$1,$BS66,IF(AW$2=$BT$1,$BT66,IF(AW$2=$BU$1,$BU66,INDEX(Tiere!$BN$2:$BN$145,_xlfn.AGGREGATE(15,6,(ROW(Tiere!$BN$2:$BN$145)-1)/(--(SEARCH(AW$2,Tiere!$BN$2:$BN$145)&gt;0)),ROW()-1),1))))))))),"")</f>
        <v/>
      </c>
      <c r="AW67" s="2438"/>
      <c r="AX67" s="2472" t="str">
        <f>IFERROR(IF(OR(AY$2="ZURÜCK ZUR AUSWAHL",AY$2="",AY$2=0),"",IF(AY$2=$BO$1,$BO66,IF(AY$2=$BP$1,$BP66,IF(AY$2=$BQ$1,$BQ66,IF(AY$2=$BR$1,$BR66,IF(AY$2=$BS$1,$BS66,IF(AY$2=$BT$1,$BT66,IF(AY$2=$BU$1,$BU66,INDEX(Tiere!$BN$2:$BN$145,_xlfn.AGGREGATE(15,6,(ROW(Tiere!$BN$2:$BN$145)-1)/(--(SEARCH(AY$2,Tiere!$BN$2:$BN$145)&gt;0)),ROW()-1),1))))))))),"")</f>
        <v/>
      </c>
      <c r="AY67" s="2438"/>
      <c r="AZ67" s="2472" t="str">
        <f>IFERROR(IF(OR(BA$2="ZURÜCK ZUR AUSWAHL",BA$2="",BA$2=0),"",IF(BA$2=$BO$1,$BO66,IF(BA$2=$BP$1,$BP66,IF(BA$2=$BQ$1,$BQ66,IF(BA$2=$BR$1,$BR66,IF(BA$2=$BS$1,$BS66,IF(BA$2=$BT$1,$BT66,IF(BA$2=$BU$1,$BU66,INDEX(Tiere!$BN$2:$BN$145,_xlfn.AGGREGATE(15,6,(ROW(Tiere!$BN$2:$BN$145)-1)/(--(SEARCH(BA$2,Tiere!$BN$2:$BN$145)&gt;0)),ROW()-1),1))))))))),"")</f>
        <v/>
      </c>
      <c r="BA67" s="2438"/>
      <c r="BB67" s="2472" t="str">
        <f>IFERROR(IF(OR(BC$2="ZURÜCK ZUR AUSWAHL",BC$2="",BC$2=0),"",IF(BC$2=$BO$1,$BO66,IF(BC$2=$BP$1,$BP66,IF(BC$2=$BQ$1,$BQ66,IF(BC$2=$BR$1,$BR66,IF(BC$2=$BS$1,$BS66,IF(BC$2=$BT$1,$BT66,IF(BC$2=$BU$1,$BU66,INDEX(Tiere!$BN$2:$BN$145,_xlfn.AGGREGATE(15,6,(ROW(Tiere!$BN$2:$BN$145)-1)/(--(SEARCH(BC$2,Tiere!$BN$2:$BN$145)&gt;0)),ROW()-1),1))))))))),"")</f>
        <v/>
      </c>
      <c r="BC67" s="2438"/>
      <c r="BD67" s="2472" t="str">
        <f>IFERROR(IF(OR(BE$2="ZURÜCK ZUR AUSWAHL",BE$2="",BE$2=0),"",IF(BE$2=$BO$1,$BO66,IF(BE$2=$BP$1,$BP66,IF(BE$2=$BQ$1,$BQ66,IF(BE$2=$BR$1,$BR66,IF(BE$2=$BS$1,$BS66,IF(BE$2=$BT$1,$BT66,IF(BE$2=$BU$1,$BU66,INDEX(Tiere!$BN$2:$BN$145,_xlfn.AGGREGATE(15,6,(ROW(Tiere!$BN$2:$BN$145)-1)/(--(SEARCH(BE$2,Tiere!$BN$2:$BN$145)&gt;0)),ROW()-1),1))))))))),"")</f>
        <v/>
      </c>
      <c r="BE67" s="2438"/>
      <c r="BF67" s="2472" t="str">
        <f>IFERROR(IF(OR(BG$2="ZURÜCK ZUR AUSWAHL",BG$2="",BG$2=0),"",IF(BG$2=$BO$1,$BO66,IF(BG$2=$BP$1,$BP66,IF(BG$2=$BQ$1,$BQ66,IF(BG$2=$BR$1,$BR66,IF(BG$2=$BS$1,$BS66,IF(BG$2=$BT$1,$BT66,IF(BG$2=$BU$1,$BU66,INDEX(Tiere!$BN$2:$BN$145,_xlfn.AGGREGATE(15,6,(ROW(Tiere!$BN$2:$BN$145)-1)/(--(SEARCH(BG$2,Tiere!$BN$2:$BN$145)&gt;0)),ROW()-1),1))))))))),"")</f>
        <v/>
      </c>
      <c r="BG67" s="2438"/>
      <c r="BH67" s="2472" t="str">
        <f>IFERROR(IF(OR(BI$2="ZURÜCK ZUR AUSWAHL",BI$2="",BI$2=0),"",IF(BI$2=$BO$1,$BO66,IF(BI$2=$BP$1,$BP66,IF(BI$2=$BQ$1,$BQ66,IF(BI$2=$BR$1,$BR66,IF(BI$2=$BS$1,$BS66,IF(BI$2=$BT$1,$BT66,IF(BI$2=$BU$1,$BU66,INDEX(Tiere!$BN$2:$BN$145,_xlfn.AGGREGATE(15,6,(ROW(Tiere!$BN$2:$BN$145)-1)/(--(SEARCH(BI$2,Tiere!$BN$2:$BN$145)&gt;0)),ROW()-1),1))))))))),"")</f>
        <v/>
      </c>
      <c r="BI67" s="2438"/>
      <c r="BJ67" s="2472" t="str">
        <f>IFERROR(IF(OR(BK$2="ZURÜCK ZUR AUSWAHL",BK$2="",BK$2=0),"",IF(BK$2=$BO$1,$BO66,IF(BK$2=$BP$1,$BP66,IF(BK$2=$BQ$1,$BQ66,IF(BK$2=$BR$1,$BR66,IF(BK$2=$BS$1,$BS66,IF(BK$2=$BT$1,$BT66,IF(BK$2=$BU$1,$BU66,INDEX(Tiere!$BN$2:$BN$145,_xlfn.AGGREGATE(15,6,(ROW(Tiere!$BN$2:$BN$145)-1)/(--(SEARCH(BK$2,Tiere!$BN$2:$BN$145)&gt;0)),ROW()-1),1))))))))),"")</f>
        <v/>
      </c>
      <c r="BK67" s="2438"/>
      <c r="BL67" s="2472" t="str">
        <f>IFERROR(IF(OR(BM$2="ZURÜCK ZUR AUSWAHL",BM$2="",BM$2=0),"",IF(BM$2=$BO$1,$BO66,IF(BM$2=$BP$1,$BP66,IF(BM$2=$BQ$1,$BQ66,IF(BM$2=$BR$1,$BR66,IF(BM$2=$BS$1,$BS66,IF(BM$2=$BT$1,$BT66,IF(BM$2=$BU$1,$BU66,INDEX(Tiere!$BN$2:$BN$145,_xlfn.AGGREGATE(15,6,(ROW(Tiere!$BN$2:$BN$145)-1)/(--(SEARCH(BM$2,Tiere!$BN$2:$BN$145)&gt;0)),ROW()-1),1))))))))),"")</f>
        <v/>
      </c>
      <c r="BM67" s="2438"/>
      <c r="BN67" s="2478" t="s">
        <v>1230</v>
      </c>
      <c r="BO67" s="2470"/>
      <c r="BP67" s="2470"/>
      <c r="BQ67" s="2470"/>
      <c r="BR67" s="2470"/>
      <c r="BS67" s="2470"/>
      <c r="BT67" s="2470"/>
      <c r="BU67" s="2470"/>
    </row>
    <row r="68" spans="36:73" ht="13.8" thickBot="1">
      <c r="AJ68" s="2472" t="str">
        <f>IFERROR(IF(OR(AK$2="ZURÜCK ZUR AUSWAHL",AK$2="",AK$2=0),"",IF(AK$2=$BO$1,$BO67,IF(AK$2=$BP$1,$BP67,IF(AK$2=$BQ$1,$BQ67,IF(AK$2=$BR$1,$BR67,IF(AK$2=$BS$1,$BS67,IF(AK$2=$BT$1,$BT67,IF(AK$2=$BU$1,$BU67,INDEX(Tiere!$BN$2:$BN$145,_xlfn.AGGREGATE(15,6,(ROW(Tiere!$BN$2:$BN$145)-1)/(--(SEARCH(AK$2,Tiere!$BN$2:$BN$145)&gt;0)),ROW()-2),1))))))))),"")</f>
        <v/>
      </c>
      <c r="AK68" s="2436"/>
      <c r="AL68" s="2472" t="str">
        <f>IFERROR(IF(OR(AM$2="ZURÜCK ZUR AUSWAHL",AM$2="",AM$2=0),"",IF(AM$2=$BO$1,$BO67,IF(AM$2=$BP$1,$BP67,IF(AM$2=$BQ$1,$BQ67,IF(AM$2=$BR$1,$BR67,IF(AM$2=$BS$1,$BS67,IF(AM$2=$BT$1,$BT67,IF(AM$2=$BU$1,$BU67,INDEX(Tiere!$BN$2:$BN$145,_xlfn.AGGREGATE(15,6,(ROW(Tiere!$BN$2:$BN$145)-1)/(--(SEARCH(AM$2,Tiere!$BN$2:$BN$145)&gt;0)),ROW()-1),1))))))))),"")</f>
        <v/>
      </c>
      <c r="AM68" s="2436"/>
      <c r="AN68" s="2472" t="str">
        <f>IFERROR(IF(OR(AO$2="ZURÜCK ZUR AUSWAHL",AO$2="",AO$2=0),"",IF(AO$2=$BO$1,$BO67,IF(AO$2=$BP$1,$BP67,IF(AO$2=$BQ$1,$BQ67,IF(AO$2=$BR$1,$BR67,IF(AO$2=$BS$1,$BS67,IF(AO$2=$BT$1,$BT67,IF(AO$2=$BU$1,$BU67,INDEX(Tiere!$BN$2:$BN$145,_xlfn.AGGREGATE(15,6,(ROW(Tiere!$BN$2:$BN$145)-1)/(--(SEARCH(AO$2,Tiere!$BN$2:$BN$145)&gt;0)),ROW()-1),1))))))))),"")</f>
        <v/>
      </c>
      <c r="AO68" s="2436"/>
      <c r="AP68" s="2472" t="str">
        <f>IFERROR(IF(OR(AQ$2="ZURÜCK ZUR AUSWAHL",AQ$2="",AQ$2=0),"",IF(AQ$2=$BO$1,$BO67,IF(AQ$2=$BP$1,$BP67,IF(AQ$2=$BQ$1,$BQ67,IF(AQ$2=$BR$1,$BR67,IF(AQ$2=$BS$1,$BS67,IF(AQ$2=$BT$1,$BT67,IF(AQ$2=$BU$1,$BU67,INDEX(Tiere!$BN$2:$BN$145,_xlfn.AGGREGATE(15,6,(ROW(Tiere!$BN$2:$BN$145)-1)/(--(SEARCH(AQ$2,Tiere!$BN$2:$BN$145)&gt;0)),ROW()-1),1))))))))),"")</f>
        <v/>
      </c>
      <c r="AQ68" s="2436"/>
      <c r="AR68" s="2472" t="str">
        <f>IFERROR(IF(OR(AS$2="ZURÜCK ZUR AUSWAHL",AS$2="",AS$2=0),"",IF(AS$2=$BO$1,$BO67,IF(AS$2=$BP$1,$BP67,IF(AS$2=$BQ$1,$BQ67,IF(AS$2=$BR$1,$BR67,IF(AS$2=$BS$1,$BS67,IF(AS$2=$BT$1,$BT67,IF(AS$2=$BU$1,$BU67,INDEX(Tiere!$BN$2:$BN$145,_xlfn.AGGREGATE(15,6,(ROW(Tiere!$BN$2:$BN$145)-1)/(--(SEARCH(AS$2,Tiere!$BN$2:$BN$145)&gt;0)),ROW()-1),1))))))))),"")</f>
        <v/>
      </c>
      <c r="AS68" s="2436"/>
      <c r="AT68" s="2472" t="str">
        <f>IFERROR(IF(OR(AU$2="ZURÜCK ZUR AUSWAHL",AU$2="",AU$2=0),"",IF(AU$2=$BO$1,$BO67,IF(AU$2=$BP$1,$BP67,IF(AU$2=$BQ$1,$BQ67,IF(AU$2=$BR$1,$BR67,IF(AU$2=$BS$1,$BS67,IF(AU$2=$BT$1,$BT67,IF(AU$2=$BU$1,$BU67,INDEX(Tiere!$BN$2:$BN$145,_xlfn.AGGREGATE(15,6,(ROW(Tiere!$BN$2:$BN$145)-1)/(--(SEARCH(AU$2,Tiere!$BN$2:$BN$145)&gt;0)),ROW()-1),1))))))))),"")</f>
        <v/>
      </c>
      <c r="AU68" s="2436"/>
      <c r="AV68" s="2472" t="str">
        <f>IFERROR(IF(OR(AW$2="ZURÜCK ZUR AUSWAHL",AW$2="",AW$2=0),"",IF(AW$2=$BO$1,$BO67,IF(AW$2=$BP$1,$BP67,IF(AW$2=$BQ$1,$BQ67,IF(AW$2=$BR$1,$BR67,IF(AW$2=$BS$1,$BS67,IF(AW$2=$BT$1,$BT67,IF(AW$2=$BU$1,$BU67,INDEX(Tiere!$BN$2:$BN$145,_xlfn.AGGREGATE(15,6,(ROW(Tiere!$BN$2:$BN$145)-1)/(--(SEARCH(AW$2,Tiere!$BN$2:$BN$145)&gt;0)),ROW()-1),1))))))))),"")</f>
        <v/>
      </c>
      <c r="AW68" s="2436"/>
      <c r="AX68" s="2472" t="str">
        <f>IFERROR(IF(OR(AY$2="ZURÜCK ZUR AUSWAHL",AY$2="",AY$2=0),"",IF(AY$2=$BO$1,$BO67,IF(AY$2=$BP$1,$BP67,IF(AY$2=$BQ$1,$BQ67,IF(AY$2=$BR$1,$BR67,IF(AY$2=$BS$1,$BS67,IF(AY$2=$BT$1,$BT67,IF(AY$2=$BU$1,$BU67,INDEX(Tiere!$BN$2:$BN$145,_xlfn.AGGREGATE(15,6,(ROW(Tiere!$BN$2:$BN$145)-1)/(--(SEARCH(AY$2,Tiere!$BN$2:$BN$145)&gt;0)),ROW()-1),1))))))))),"")</f>
        <v/>
      </c>
      <c r="AY68" s="2436"/>
      <c r="AZ68" s="2472" t="str">
        <f>IFERROR(IF(OR(BA$2="ZURÜCK ZUR AUSWAHL",BA$2="",BA$2=0),"",IF(BA$2=$BO$1,$BO67,IF(BA$2=$BP$1,$BP67,IF(BA$2=$BQ$1,$BQ67,IF(BA$2=$BR$1,$BR67,IF(BA$2=$BS$1,$BS67,IF(BA$2=$BT$1,$BT67,IF(BA$2=$BU$1,$BU67,INDEX(Tiere!$BN$2:$BN$145,_xlfn.AGGREGATE(15,6,(ROW(Tiere!$BN$2:$BN$145)-1)/(--(SEARCH(BA$2,Tiere!$BN$2:$BN$145)&gt;0)),ROW()-1),1))))))))),"")</f>
        <v/>
      </c>
      <c r="BA68" s="2436"/>
      <c r="BB68" s="2472" t="str">
        <f>IFERROR(IF(OR(BC$2="ZURÜCK ZUR AUSWAHL",BC$2="",BC$2=0),"",IF(BC$2=$BO$1,$BO67,IF(BC$2=$BP$1,$BP67,IF(BC$2=$BQ$1,$BQ67,IF(BC$2=$BR$1,$BR67,IF(BC$2=$BS$1,$BS67,IF(BC$2=$BT$1,$BT67,IF(BC$2=$BU$1,$BU67,INDEX(Tiere!$BN$2:$BN$145,_xlfn.AGGREGATE(15,6,(ROW(Tiere!$BN$2:$BN$145)-1)/(--(SEARCH(BC$2,Tiere!$BN$2:$BN$145)&gt;0)),ROW()-1),1))))))))),"")</f>
        <v/>
      </c>
      <c r="BC68" s="2436"/>
      <c r="BD68" s="2472" t="str">
        <f>IFERROR(IF(OR(BE$2="ZURÜCK ZUR AUSWAHL",BE$2="",BE$2=0),"",IF(BE$2=$BO$1,$BO67,IF(BE$2=$BP$1,$BP67,IF(BE$2=$BQ$1,$BQ67,IF(BE$2=$BR$1,$BR67,IF(BE$2=$BS$1,$BS67,IF(BE$2=$BT$1,$BT67,IF(BE$2=$BU$1,$BU67,INDEX(Tiere!$BN$2:$BN$145,_xlfn.AGGREGATE(15,6,(ROW(Tiere!$BN$2:$BN$145)-1)/(--(SEARCH(BE$2,Tiere!$BN$2:$BN$145)&gt;0)),ROW()-1),1))))))))),"")</f>
        <v/>
      </c>
      <c r="BE68" s="2436"/>
      <c r="BF68" s="2472" t="str">
        <f>IFERROR(IF(OR(BG$2="ZURÜCK ZUR AUSWAHL",BG$2="",BG$2=0),"",IF(BG$2=$BO$1,$BO67,IF(BG$2=$BP$1,$BP67,IF(BG$2=$BQ$1,$BQ67,IF(BG$2=$BR$1,$BR67,IF(BG$2=$BS$1,$BS67,IF(BG$2=$BT$1,$BT67,IF(BG$2=$BU$1,$BU67,INDEX(Tiere!$BN$2:$BN$145,_xlfn.AGGREGATE(15,6,(ROW(Tiere!$BN$2:$BN$145)-1)/(--(SEARCH(BG$2,Tiere!$BN$2:$BN$145)&gt;0)),ROW()-1),1))))))))),"")</f>
        <v/>
      </c>
      <c r="BG68" s="2436"/>
      <c r="BH68" s="2472" t="str">
        <f>IFERROR(IF(OR(BI$2="ZURÜCK ZUR AUSWAHL",BI$2="",BI$2=0),"",IF(BI$2=$BO$1,$BO67,IF(BI$2=$BP$1,$BP67,IF(BI$2=$BQ$1,$BQ67,IF(BI$2=$BR$1,$BR67,IF(BI$2=$BS$1,$BS67,IF(BI$2=$BT$1,$BT67,IF(BI$2=$BU$1,$BU67,INDEX(Tiere!$BN$2:$BN$145,_xlfn.AGGREGATE(15,6,(ROW(Tiere!$BN$2:$BN$145)-1)/(--(SEARCH(BI$2,Tiere!$BN$2:$BN$145)&gt;0)),ROW()-1),1))))))))),"")</f>
        <v/>
      </c>
      <c r="BI68" s="2436"/>
      <c r="BJ68" s="2472" t="str">
        <f>IFERROR(IF(OR(BK$2="ZURÜCK ZUR AUSWAHL",BK$2="",BK$2=0),"",IF(BK$2=$BO$1,$BO67,IF(BK$2=$BP$1,$BP67,IF(BK$2=$BQ$1,$BQ67,IF(BK$2=$BR$1,$BR67,IF(BK$2=$BS$1,$BS67,IF(BK$2=$BT$1,$BT67,IF(BK$2=$BU$1,$BU67,INDEX(Tiere!$BN$2:$BN$145,_xlfn.AGGREGATE(15,6,(ROW(Tiere!$BN$2:$BN$145)-1)/(--(SEARCH(BK$2,Tiere!$BN$2:$BN$145)&gt;0)),ROW()-1),1))))))))),"")</f>
        <v/>
      </c>
      <c r="BK68" s="2436"/>
      <c r="BL68" s="2472" t="str">
        <f>IFERROR(IF(OR(BM$2="ZURÜCK ZUR AUSWAHL",BM$2="",BM$2=0),"",IF(BM$2=$BO$1,$BO67,IF(BM$2=$BP$1,$BP67,IF(BM$2=$BQ$1,$BQ67,IF(BM$2=$BR$1,$BR67,IF(BM$2=$BS$1,$BS67,IF(BM$2=$BT$1,$BT67,IF(BM$2=$BU$1,$BU67,INDEX(Tiere!$BN$2:$BN$145,_xlfn.AGGREGATE(15,6,(ROW(Tiere!$BN$2:$BN$145)-1)/(--(SEARCH(BM$2,Tiere!$BN$2:$BN$145)&gt;0)),ROW()-1),1))))))))),"")</f>
        <v/>
      </c>
      <c r="BM68" s="2436"/>
      <c r="BN68" s="2478" t="s">
        <v>1232</v>
      </c>
      <c r="BO68" s="2470"/>
      <c r="BP68" s="2470"/>
      <c r="BQ68" s="2470"/>
      <c r="BR68" s="2470"/>
      <c r="BS68" s="2470"/>
      <c r="BT68" s="2470"/>
      <c r="BU68" s="2470"/>
    </row>
    <row r="69" spans="36:73" ht="13.8" thickBot="1">
      <c r="AJ69" s="2472" t="str">
        <f>IFERROR(IF(OR(AK$2="ZURÜCK ZUR AUSWAHL",AK$2="",AK$2=0),"",IF(AK$2=$BO$1,$BO68,IF(AK$2=$BP$1,$BP68,IF(AK$2=$BQ$1,$BQ68,IF(AK$2=$BR$1,$BR68,IF(AK$2=$BS$1,$BS68,IF(AK$2=$BT$1,$BT68,IF(AK$2=$BU$1,$BU68,INDEX(Tiere!$BN$2:$BN$145,_xlfn.AGGREGATE(15,6,(ROW(Tiere!$BN$2:$BN$145)-1)/(--(SEARCH(AK$2,Tiere!$BN$2:$BN$145)&gt;0)),ROW()-2),1))))))))),"")</f>
        <v/>
      </c>
      <c r="AK69" s="2438"/>
      <c r="AL69" s="2472" t="str">
        <f>IFERROR(IF(OR(AM$2="ZURÜCK ZUR AUSWAHL",AM$2="",AM$2=0),"",IF(AM$2=$BO$1,$BO68,IF(AM$2=$BP$1,$BP68,IF(AM$2=$BQ$1,$BQ68,IF(AM$2=$BR$1,$BR68,IF(AM$2=$BS$1,$BS68,IF(AM$2=$BT$1,$BT68,IF(AM$2=$BU$1,$BU68,INDEX(Tiere!$BN$2:$BN$145,_xlfn.AGGREGATE(15,6,(ROW(Tiere!$BN$2:$BN$145)-1)/(--(SEARCH(AM$2,Tiere!$BN$2:$BN$145)&gt;0)),ROW()-1),1))))))))),"")</f>
        <v/>
      </c>
      <c r="AM69" s="2438"/>
      <c r="AN69" s="2472" t="str">
        <f>IFERROR(IF(OR(AO$2="ZURÜCK ZUR AUSWAHL",AO$2="",AO$2=0),"",IF(AO$2=$BO$1,$BO68,IF(AO$2=$BP$1,$BP68,IF(AO$2=$BQ$1,$BQ68,IF(AO$2=$BR$1,$BR68,IF(AO$2=$BS$1,$BS68,IF(AO$2=$BT$1,$BT68,IF(AO$2=$BU$1,$BU68,INDEX(Tiere!$BN$2:$BN$145,_xlfn.AGGREGATE(15,6,(ROW(Tiere!$BN$2:$BN$145)-1)/(--(SEARCH(AO$2,Tiere!$BN$2:$BN$145)&gt;0)),ROW()-1),1))))))))),"")</f>
        <v/>
      </c>
      <c r="AO69" s="2438"/>
      <c r="AP69" s="2472" t="str">
        <f>IFERROR(IF(OR(AQ$2="ZURÜCK ZUR AUSWAHL",AQ$2="",AQ$2=0),"",IF(AQ$2=$BO$1,$BO68,IF(AQ$2=$BP$1,$BP68,IF(AQ$2=$BQ$1,$BQ68,IF(AQ$2=$BR$1,$BR68,IF(AQ$2=$BS$1,$BS68,IF(AQ$2=$BT$1,$BT68,IF(AQ$2=$BU$1,$BU68,INDEX(Tiere!$BN$2:$BN$145,_xlfn.AGGREGATE(15,6,(ROW(Tiere!$BN$2:$BN$145)-1)/(--(SEARCH(AQ$2,Tiere!$BN$2:$BN$145)&gt;0)),ROW()-1),1))))))))),"")</f>
        <v/>
      </c>
      <c r="AQ69" s="2438"/>
      <c r="AR69" s="2472" t="str">
        <f>IFERROR(IF(OR(AS$2="ZURÜCK ZUR AUSWAHL",AS$2="",AS$2=0),"",IF(AS$2=$BO$1,$BO68,IF(AS$2=$BP$1,$BP68,IF(AS$2=$BQ$1,$BQ68,IF(AS$2=$BR$1,$BR68,IF(AS$2=$BS$1,$BS68,IF(AS$2=$BT$1,$BT68,IF(AS$2=$BU$1,$BU68,INDEX(Tiere!$BN$2:$BN$145,_xlfn.AGGREGATE(15,6,(ROW(Tiere!$BN$2:$BN$145)-1)/(--(SEARCH(AS$2,Tiere!$BN$2:$BN$145)&gt;0)),ROW()-1),1))))))))),"")</f>
        <v/>
      </c>
      <c r="AS69" s="2438"/>
      <c r="AT69" s="2472" t="str">
        <f>IFERROR(IF(OR(AU$2="ZURÜCK ZUR AUSWAHL",AU$2="",AU$2=0),"",IF(AU$2=$BO$1,$BO68,IF(AU$2=$BP$1,$BP68,IF(AU$2=$BQ$1,$BQ68,IF(AU$2=$BR$1,$BR68,IF(AU$2=$BS$1,$BS68,IF(AU$2=$BT$1,$BT68,IF(AU$2=$BU$1,$BU68,INDEX(Tiere!$BN$2:$BN$145,_xlfn.AGGREGATE(15,6,(ROW(Tiere!$BN$2:$BN$145)-1)/(--(SEARCH(AU$2,Tiere!$BN$2:$BN$145)&gt;0)),ROW()-1),1))))))))),"")</f>
        <v/>
      </c>
      <c r="AU69" s="2438"/>
      <c r="AV69" s="2472" t="str">
        <f>IFERROR(IF(OR(AW$2="ZURÜCK ZUR AUSWAHL",AW$2="",AW$2=0),"",IF(AW$2=$BO$1,$BO68,IF(AW$2=$BP$1,$BP68,IF(AW$2=$BQ$1,$BQ68,IF(AW$2=$BR$1,$BR68,IF(AW$2=$BS$1,$BS68,IF(AW$2=$BT$1,$BT68,IF(AW$2=$BU$1,$BU68,INDEX(Tiere!$BN$2:$BN$145,_xlfn.AGGREGATE(15,6,(ROW(Tiere!$BN$2:$BN$145)-1)/(--(SEARCH(AW$2,Tiere!$BN$2:$BN$145)&gt;0)),ROW()-1),1))))))))),"")</f>
        <v/>
      </c>
      <c r="AW69" s="2438"/>
      <c r="AX69" s="2472" t="str">
        <f>IFERROR(IF(OR(AY$2="ZURÜCK ZUR AUSWAHL",AY$2="",AY$2=0),"",IF(AY$2=$BO$1,$BO68,IF(AY$2=$BP$1,$BP68,IF(AY$2=$BQ$1,$BQ68,IF(AY$2=$BR$1,$BR68,IF(AY$2=$BS$1,$BS68,IF(AY$2=$BT$1,$BT68,IF(AY$2=$BU$1,$BU68,INDEX(Tiere!$BN$2:$BN$145,_xlfn.AGGREGATE(15,6,(ROW(Tiere!$BN$2:$BN$145)-1)/(--(SEARCH(AY$2,Tiere!$BN$2:$BN$145)&gt;0)),ROW()-1),1))))))))),"")</f>
        <v/>
      </c>
      <c r="AY69" s="2438"/>
      <c r="AZ69" s="2472" t="str">
        <f>IFERROR(IF(OR(BA$2="ZURÜCK ZUR AUSWAHL",BA$2="",BA$2=0),"",IF(BA$2=$BO$1,$BO68,IF(BA$2=$BP$1,$BP68,IF(BA$2=$BQ$1,$BQ68,IF(BA$2=$BR$1,$BR68,IF(BA$2=$BS$1,$BS68,IF(BA$2=$BT$1,$BT68,IF(BA$2=$BU$1,$BU68,INDEX(Tiere!$BN$2:$BN$145,_xlfn.AGGREGATE(15,6,(ROW(Tiere!$BN$2:$BN$145)-1)/(--(SEARCH(BA$2,Tiere!$BN$2:$BN$145)&gt;0)),ROW()-1),1))))))))),"")</f>
        <v/>
      </c>
      <c r="BA69" s="2438"/>
      <c r="BB69" s="2472" t="str">
        <f>IFERROR(IF(OR(BC$2="ZURÜCK ZUR AUSWAHL",BC$2="",BC$2=0),"",IF(BC$2=$BO$1,$BO68,IF(BC$2=$BP$1,$BP68,IF(BC$2=$BQ$1,$BQ68,IF(BC$2=$BR$1,$BR68,IF(BC$2=$BS$1,$BS68,IF(BC$2=$BT$1,$BT68,IF(BC$2=$BU$1,$BU68,INDEX(Tiere!$BN$2:$BN$145,_xlfn.AGGREGATE(15,6,(ROW(Tiere!$BN$2:$BN$145)-1)/(--(SEARCH(BC$2,Tiere!$BN$2:$BN$145)&gt;0)),ROW()-1),1))))))))),"")</f>
        <v/>
      </c>
      <c r="BC69" s="2438"/>
      <c r="BD69" s="2472" t="str">
        <f>IFERROR(IF(OR(BE$2="ZURÜCK ZUR AUSWAHL",BE$2="",BE$2=0),"",IF(BE$2=$BO$1,$BO68,IF(BE$2=$BP$1,$BP68,IF(BE$2=$BQ$1,$BQ68,IF(BE$2=$BR$1,$BR68,IF(BE$2=$BS$1,$BS68,IF(BE$2=$BT$1,$BT68,IF(BE$2=$BU$1,$BU68,INDEX(Tiere!$BN$2:$BN$145,_xlfn.AGGREGATE(15,6,(ROW(Tiere!$BN$2:$BN$145)-1)/(--(SEARCH(BE$2,Tiere!$BN$2:$BN$145)&gt;0)),ROW()-1),1))))))))),"")</f>
        <v/>
      </c>
      <c r="BE69" s="2438"/>
      <c r="BF69" s="2472" t="str">
        <f>IFERROR(IF(OR(BG$2="ZURÜCK ZUR AUSWAHL",BG$2="",BG$2=0),"",IF(BG$2=$BO$1,$BO68,IF(BG$2=$BP$1,$BP68,IF(BG$2=$BQ$1,$BQ68,IF(BG$2=$BR$1,$BR68,IF(BG$2=$BS$1,$BS68,IF(BG$2=$BT$1,$BT68,IF(BG$2=$BU$1,$BU68,INDEX(Tiere!$BN$2:$BN$145,_xlfn.AGGREGATE(15,6,(ROW(Tiere!$BN$2:$BN$145)-1)/(--(SEARCH(BG$2,Tiere!$BN$2:$BN$145)&gt;0)),ROW()-1),1))))))))),"")</f>
        <v/>
      </c>
      <c r="BG69" s="2438"/>
      <c r="BH69" s="2472" t="str">
        <f>IFERROR(IF(OR(BI$2="ZURÜCK ZUR AUSWAHL",BI$2="",BI$2=0),"",IF(BI$2=$BO$1,$BO68,IF(BI$2=$BP$1,$BP68,IF(BI$2=$BQ$1,$BQ68,IF(BI$2=$BR$1,$BR68,IF(BI$2=$BS$1,$BS68,IF(BI$2=$BT$1,$BT68,IF(BI$2=$BU$1,$BU68,INDEX(Tiere!$BN$2:$BN$145,_xlfn.AGGREGATE(15,6,(ROW(Tiere!$BN$2:$BN$145)-1)/(--(SEARCH(BI$2,Tiere!$BN$2:$BN$145)&gt;0)),ROW()-1),1))))))))),"")</f>
        <v/>
      </c>
      <c r="BI69" s="2438"/>
      <c r="BJ69" s="2472" t="str">
        <f>IFERROR(IF(OR(BK$2="ZURÜCK ZUR AUSWAHL",BK$2="",BK$2=0),"",IF(BK$2=$BO$1,$BO68,IF(BK$2=$BP$1,$BP68,IF(BK$2=$BQ$1,$BQ68,IF(BK$2=$BR$1,$BR68,IF(BK$2=$BS$1,$BS68,IF(BK$2=$BT$1,$BT68,IF(BK$2=$BU$1,$BU68,INDEX(Tiere!$BN$2:$BN$145,_xlfn.AGGREGATE(15,6,(ROW(Tiere!$BN$2:$BN$145)-1)/(--(SEARCH(BK$2,Tiere!$BN$2:$BN$145)&gt;0)),ROW()-1),1))))))))),"")</f>
        <v/>
      </c>
      <c r="BK69" s="2438"/>
      <c r="BL69" s="2472" t="str">
        <f>IFERROR(IF(OR(BM$2="ZURÜCK ZUR AUSWAHL",BM$2="",BM$2=0),"",IF(BM$2=$BO$1,$BO68,IF(BM$2=$BP$1,$BP68,IF(BM$2=$BQ$1,$BQ68,IF(BM$2=$BR$1,$BR68,IF(BM$2=$BS$1,$BS68,IF(BM$2=$BT$1,$BT68,IF(BM$2=$BU$1,$BU68,INDEX(Tiere!$BN$2:$BN$145,_xlfn.AGGREGATE(15,6,(ROW(Tiere!$BN$2:$BN$145)-1)/(--(SEARCH(BM$2,Tiere!$BN$2:$BN$145)&gt;0)),ROW()-1),1))))))))),"")</f>
        <v/>
      </c>
      <c r="BM69" s="2438"/>
      <c r="BN69" s="2478" t="s">
        <v>719</v>
      </c>
      <c r="BO69" s="2470"/>
      <c r="BP69" s="2470"/>
      <c r="BQ69" s="2470"/>
      <c r="BR69" s="2470"/>
      <c r="BS69" s="2470"/>
      <c r="BT69" s="2470"/>
      <c r="BU69" s="2470"/>
    </row>
    <row r="70" spans="36:73" ht="13.8" thickBot="1">
      <c r="AJ70" s="2472" t="str">
        <f>IFERROR(IF(OR(AK$2="ZURÜCK ZUR AUSWAHL",AK$2="",AK$2=0),"",IF(AK$2=$BO$1,$BO69,IF(AK$2=$BP$1,$BP69,IF(AK$2=$BQ$1,$BQ69,IF(AK$2=$BR$1,$BR69,IF(AK$2=$BS$1,$BS69,IF(AK$2=$BT$1,$BT69,IF(AK$2=$BU$1,$BU69,INDEX(Tiere!$BN$2:$BN$145,_xlfn.AGGREGATE(15,6,(ROW(Tiere!$BN$2:$BN$145)-1)/(--(SEARCH(AK$2,Tiere!$BN$2:$BN$145)&gt;0)),ROW()-2),1))))))))),"")</f>
        <v/>
      </c>
      <c r="AK70" s="2436"/>
      <c r="AL70" s="2472" t="str">
        <f>IFERROR(IF(OR(AM$2="ZURÜCK ZUR AUSWAHL",AM$2="",AM$2=0),"",IF(AM$2=$BO$1,$BO69,IF(AM$2=$BP$1,$BP69,IF(AM$2=$BQ$1,$BQ69,IF(AM$2=$BR$1,$BR69,IF(AM$2=$BS$1,$BS69,IF(AM$2=$BT$1,$BT69,IF(AM$2=$BU$1,$BU69,INDEX(Tiere!$BN$2:$BN$145,_xlfn.AGGREGATE(15,6,(ROW(Tiere!$BN$2:$BN$145)-1)/(--(SEARCH(AM$2,Tiere!$BN$2:$BN$145)&gt;0)),ROW()-1),1))))))))),"")</f>
        <v/>
      </c>
      <c r="AM70" s="2436"/>
      <c r="AN70" s="2472" t="str">
        <f>IFERROR(IF(OR(AO$2="ZURÜCK ZUR AUSWAHL",AO$2="",AO$2=0),"",IF(AO$2=$BO$1,$BO69,IF(AO$2=$BP$1,$BP69,IF(AO$2=$BQ$1,$BQ69,IF(AO$2=$BR$1,$BR69,IF(AO$2=$BS$1,$BS69,IF(AO$2=$BT$1,$BT69,IF(AO$2=$BU$1,$BU69,INDEX(Tiere!$BN$2:$BN$145,_xlfn.AGGREGATE(15,6,(ROW(Tiere!$BN$2:$BN$145)-1)/(--(SEARCH(AO$2,Tiere!$BN$2:$BN$145)&gt;0)),ROW()-1),1))))))))),"")</f>
        <v/>
      </c>
      <c r="AO70" s="2436"/>
      <c r="AP70" s="2472" t="str">
        <f>IFERROR(IF(OR(AQ$2="ZURÜCK ZUR AUSWAHL",AQ$2="",AQ$2=0),"",IF(AQ$2=$BO$1,$BO69,IF(AQ$2=$BP$1,$BP69,IF(AQ$2=$BQ$1,$BQ69,IF(AQ$2=$BR$1,$BR69,IF(AQ$2=$BS$1,$BS69,IF(AQ$2=$BT$1,$BT69,IF(AQ$2=$BU$1,$BU69,INDEX(Tiere!$BN$2:$BN$145,_xlfn.AGGREGATE(15,6,(ROW(Tiere!$BN$2:$BN$145)-1)/(--(SEARCH(AQ$2,Tiere!$BN$2:$BN$145)&gt;0)),ROW()-1),1))))))))),"")</f>
        <v/>
      </c>
      <c r="AQ70" s="2436"/>
      <c r="AR70" s="2472" t="str">
        <f>IFERROR(IF(OR(AS$2="ZURÜCK ZUR AUSWAHL",AS$2="",AS$2=0),"",IF(AS$2=$BO$1,$BO69,IF(AS$2=$BP$1,$BP69,IF(AS$2=$BQ$1,$BQ69,IF(AS$2=$BR$1,$BR69,IF(AS$2=$BS$1,$BS69,IF(AS$2=$BT$1,$BT69,IF(AS$2=$BU$1,$BU69,INDEX(Tiere!$BN$2:$BN$145,_xlfn.AGGREGATE(15,6,(ROW(Tiere!$BN$2:$BN$145)-1)/(--(SEARCH(AS$2,Tiere!$BN$2:$BN$145)&gt;0)),ROW()-1),1))))))))),"")</f>
        <v/>
      </c>
      <c r="AS70" s="2436"/>
      <c r="AT70" s="2472" t="str">
        <f>IFERROR(IF(OR(AU$2="ZURÜCK ZUR AUSWAHL",AU$2="",AU$2=0),"",IF(AU$2=$BO$1,$BO69,IF(AU$2=$BP$1,$BP69,IF(AU$2=$BQ$1,$BQ69,IF(AU$2=$BR$1,$BR69,IF(AU$2=$BS$1,$BS69,IF(AU$2=$BT$1,$BT69,IF(AU$2=$BU$1,$BU69,INDEX(Tiere!$BN$2:$BN$145,_xlfn.AGGREGATE(15,6,(ROW(Tiere!$BN$2:$BN$145)-1)/(--(SEARCH(AU$2,Tiere!$BN$2:$BN$145)&gt;0)),ROW()-1),1))))))))),"")</f>
        <v/>
      </c>
      <c r="AU70" s="2436"/>
      <c r="AV70" s="2472" t="str">
        <f>IFERROR(IF(OR(AW$2="ZURÜCK ZUR AUSWAHL",AW$2="",AW$2=0),"",IF(AW$2=$BO$1,$BO69,IF(AW$2=$BP$1,$BP69,IF(AW$2=$BQ$1,$BQ69,IF(AW$2=$BR$1,$BR69,IF(AW$2=$BS$1,$BS69,IF(AW$2=$BT$1,$BT69,IF(AW$2=$BU$1,$BU69,INDEX(Tiere!$BN$2:$BN$145,_xlfn.AGGREGATE(15,6,(ROW(Tiere!$BN$2:$BN$145)-1)/(--(SEARCH(AW$2,Tiere!$BN$2:$BN$145)&gt;0)),ROW()-1),1))))))))),"")</f>
        <v/>
      </c>
      <c r="AW70" s="2436"/>
      <c r="AX70" s="2472" t="str">
        <f>IFERROR(IF(OR(AY$2="ZURÜCK ZUR AUSWAHL",AY$2="",AY$2=0),"",IF(AY$2=$BO$1,$BO69,IF(AY$2=$BP$1,$BP69,IF(AY$2=$BQ$1,$BQ69,IF(AY$2=$BR$1,$BR69,IF(AY$2=$BS$1,$BS69,IF(AY$2=$BT$1,$BT69,IF(AY$2=$BU$1,$BU69,INDEX(Tiere!$BN$2:$BN$145,_xlfn.AGGREGATE(15,6,(ROW(Tiere!$BN$2:$BN$145)-1)/(--(SEARCH(AY$2,Tiere!$BN$2:$BN$145)&gt;0)),ROW()-1),1))))))))),"")</f>
        <v/>
      </c>
      <c r="AY70" s="2436"/>
      <c r="AZ70" s="2472" t="str">
        <f>IFERROR(IF(OR(BA$2="ZURÜCK ZUR AUSWAHL",BA$2="",BA$2=0),"",IF(BA$2=$BO$1,$BO69,IF(BA$2=$BP$1,$BP69,IF(BA$2=$BQ$1,$BQ69,IF(BA$2=$BR$1,$BR69,IF(BA$2=$BS$1,$BS69,IF(BA$2=$BT$1,$BT69,IF(BA$2=$BU$1,$BU69,INDEX(Tiere!$BN$2:$BN$145,_xlfn.AGGREGATE(15,6,(ROW(Tiere!$BN$2:$BN$145)-1)/(--(SEARCH(BA$2,Tiere!$BN$2:$BN$145)&gt;0)),ROW()-1),1))))))))),"")</f>
        <v/>
      </c>
      <c r="BA70" s="2436"/>
      <c r="BB70" s="2472" t="str">
        <f>IFERROR(IF(OR(BC$2="ZURÜCK ZUR AUSWAHL",BC$2="",BC$2=0),"",IF(BC$2=$BO$1,$BO69,IF(BC$2=$BP$1,$BP69,IF(BC$2=$BQ$1,$BQ69,IF(BC$2=$BR$1,$BR69,IF(BC$2=$BS$1,$BS69,IF(BC$2=$BT$1,$BT69,IF(BC$2=$BU$1,$BU69,INDEX(Tiere!$BN$2:$BN$145,_xlfn.AGGREGATE(15,6,(ROW(Tiere!$BN$2:$BN$145)-1)/(--(SEARCH(BC$2,Tiere!$BN$2:$BN$145)&gt;0)),ROW()-1),1))))))))),"")</f>
        <v/>
      </c>
      <c r="BC70" s="2436"/>
      <c r="BD70" s="2472" t="str">
        <f>IFERROR(IF(OR(BE$2="ZURÜCK ZUR AUSWAHL",BE$2="",BE$2=0),"",IF(BE$2=$BO$1,$BO69,IF(BE$2=$BP$1,$BP69,IF(BE$2=$BQ$1,$BQ69,IF(BE$2=$BR$1,$BR69,IF(BE$2=$BS$1,$BS69,IF(BE$2=$BT$1,$BT69,IF(BE$2=$BU$1,$BU69,INDEX(Tiere!$BN$2:$BN$145,_xlfn.AGGREGATE(15,6,(ROW(Tiere!$BN$2:$BN$145)-1)/(--(SEARCH(BE$2,Tiere!$BN$2:$BN$145)&gt;0)),ROW()-1),1))))))))),"")</f>
        <v/>
      </c>
      <c r="BE70" s="2436"/>
      <c r="BF70" s="2472" t="str">
        <f>IFERROR(IF(OR(BG$2="ZURÜCK ZUR AUSWAHL",BG$2="",BG$2=0),"",IF(BG$2=$BO$1,$BO69,IF(BG$2=$BP$1,$BP69,IF(BG$2=$BQ$1,$BQ69,IF(BG$2=$BR$1,$BR69,IF(BG$2=$BS$1,$BS69,IF(BG$2=$BT$1,$BT69,IF(BG$2=$BU$1,$BU69,INDEX(Tiere!$BN$2:$BN$145,_xlfn.AGGREGATE(15,6,(ROW(Tiere!$BN$2:$BN$145)-1)/(--(SEARCH(BG$2,Tiere!$BN$2:$BN$145)&gt;0)),ROW()-1),1))))))))),"")</f>
        <v/>
      </c>
      <c r="BG70" s="2436"/>
      <c r="BH70" s="2472" t="str">
        <f>IFERROR(IF(OR(BI$2="ZURÜCK ZUR AUSWAHL",BI$2="",BI$2=0),"",IF(BI$2=$BO$1,$BO69,IF(BI$2=$BP$1,$BP69,IF(BI$2=$BQ$1,$BQ69,IF(BI$2=$BR$1,$BR69,IF(BI$2=$BS$1,$BS69,IF(BI$2=$BT$1,$BT69,IF(BI$2=$BU$1,$BU69,INDEX(Tiere!$BN$2:$BN$145,_xlfn.AGGREGATE(15,6,(ROW(Tiere!$BN$2:$BN$145)-1)/(--(SEARCH(BI$2,Tiere!$BN$2:$BN$145)&gt;0)),ROW()-1),1))))))))),"")</f>
        <v/>
      </c>
      <c r="BI70" s="2436"/>
      <c r="BJ70" s="2472" t="str">
        <f>IFERROR(IF(OR(BK$2="ZURÜCK ZUR AUSWAHL",BK$2="",BK$2=0),"",IF(BK$2=$BO$1,$BO69,IF(BK$2=$BP$1,$BP69,IF(BK$2=$BQ$1,$BQ69,IF(BK$2=$BR$1,$BR69,IF(BK$2=$BS$1,$BS69,IF(BK$2=$BT$1,$BT69,IF(BK$2=$BU$1,$BU69,INDEX(Tiere!$BN$2:$BN$145,_xlfn.AGGREGATE(15,6,(ROW(Tiere!$BN$2:$BN$145)-1)/(--(SEARCH(BK$2,Tiere!$BN$2:$BN$145)&gt;0)),ROW()-1),1))))))))),"")</f>
        <v/>
      </c>
      <c r="BK70" s="2436"/>
      <c r="BL70" s="2472" t="str">
        <f>IFERROR(IF(OR(BM$2="ZURÜCK ZUR AUSWAHL",BM$2="",BM$2=0),"",IF(BM$2=$BO$1,$BO69,IF(BM$2=$BP$1,$BP69,IF(BM$2=$BQ$1,$BQ69,IF(BM$2=$BR$1,$BR69,IF(BM$2=$BS$1,$BS69,IF(BM$2=$BT$1,$BT69,IF(BM$2=$BU$1,$BU69,INDEX(Tiere!$BN$2:$BN$145,_xlfn.AGGREGATE(15,6,(ROW(Tiere!$BN$2:$BN$145)-1)/(--(SEARCH(BM$2,Tiere!$BN$2:$BN$145)&gt;0)),ROW()-1),1))))))))),"")</f>
        <v/>
      </c>
      <c r="BM70" s="2436"/>
      <c r="BN70" s="2478" t="s">
        <v>1234</v>
      </c>
      <c r="BO70" s="2470"/>
      <c r="BP70" s="2470"/>
      <c r="BQ70" s="2470"/>
      <c r="BR70" s="2470"/>
      <c r="BS70" s="2470"/>
      <c r="BT70" s="2470"/>
      <c r="BU70" s="2470"/>
    </row>
    <row r="71" spans="36:73" ht="14.4" thickTop="1" thickBot="1">
      <c r="AJ71" s="2472" t="str">
        <f>IFERROR(IF(OR(AK$2="ZURÜCK ZUR AUSWAHL",AK$2="",AK$2=0),"",IF(AK$2=$BO$1,$BO70,IF(AK$2=$BP$1,$BP70,IF(AK$2=$BQ$1,$BQ70,IF(AK$2=$BR$1,$BR70,IF(AK$2=$BS$1,$BS70,IF(AK$2=$BT$1,$BT70,IF(AK$2=$BU$1,$BU70,INDEX(Tiere!$BN$2:$BN$145,_xlfn.AGGREGATE(15,6,(ROW(Tiere!$BN$2:$BN$145)-1)/(--(SEARCH(AK$2,Tiere!$BN$2:$BN$145)&gt;0)),ROW()-2),1))))))))),"")</f>
        <v/>
      </c>
      <c r="AK71" s="2438"/>
      <c r="AL71" s="2472" t="str">
        <f>IFERROR(IF(OR(AM$2="ZURÜCK ZUR AUSWAHL",AM$2="",AM$2=0),"",IF(AM$2=$BO$1,$BO70,IF(AM$2=$BP$1,$BP70,IF(AM$2=$BQ$1,$BQ70,IF(AM$2=$BR$1,$BR70,IF(AM$2=$BS$1,$BS70,IF(AM$2=$BT$1,$BT70,IF(AM$2=$BU$1,$BU70,INDEX(Tiere!$BN$2:$BN$145,_xlfn.AGGREGATE(15,6,(ROW(Tiere!$BN$2:$BN$145)-1)/(--(SEARCH(AM$2,Tiere!$BN$2:$BN$145)&gt;0)),ROW()-1),1))))))))),"")</f>
        <v/>
      </c>
      <c r="AM71" s="2438"/>
      <c r="AN71" s="2472" t="str">
        <f>IFERROR(IF(OR(AO$2="ZURÜCK ZUR AUSWAHL",AO$2="",AO$2=0),"",IF(AO$2=$BO$1,$BO70,IF(AO$2=$BP$1,$BP70,IF(AO$2=$BQ$1,$BQ70,IF(AO$2=$BR$1,$BR70,IF(AO$2=$BS$1,$BS70,IF(AO$2=$BT$1,$BT70,IF(AO$2=$BU$1,$BU70,INDEX(Tiere!$BN$2:$BN$145,_xlfn.AGGREGATE(15,6,(ROW(Tiere!$BN$2:$BN$145)-1)/(--(SEARCH(AO$2,Tiere!$BN$2:$BN$145)&gt;0)),ROW()-1),1))))))))),"")</f>
        <v/>
      </c>
      <c r="AO71" s="2438"/>
      <c r="AP71" s="2472" t="str">
        <f>IFERROR(IF(OR(AQ$2="ZURÜCK ZUR AUSWAHL",AQ$2="",AQ$2=0),"",IF(AQ$2=$BO$1,$BO70,IF(AQ$2=$BP$1,$BP70,IF(AQ$2=$BQ$1,$BQ70,IF(AQ$2=$BR$1,$BR70,IF(AQ$2=$BS$1,$BS70,IF(AQ$2=$BT$1,$BT70,IF(AQ$2=$BU$1,$BU70,INDEX(Tiere!$BN$2:$BN$145,_xlfn.AGGREGATE(15,6,(ROW(Tiere!$BN$2:$BN$145)-1)/(--(SEARCH(AQ$2,Tiere!$BN$2:$BN$145)&gt;0)),ROW()-1),1))))))))),"")</f>
        <v/>
      </c>
      <c r="AQ71" s="2438"/>
      <c r="AR71" s="2472" t="str">
        <f>IFERROR(IF(OR(AS$2="ZURÜCK ZUR AUSWAHL",AS$2="",AS$2=0),"",IF(AS$2=$BO$1,$BO70,IF(AS$2=$BP$1,$BP70,IF(AS$2=$BQ$1,$BQ70,IF(AS$2=$BR$1,$BR70,IF(AS$2=$BS$1,$BS70,IF(AS$2=$BT$1,$BT70,IF(AS$2=$BU$1,$BU70,INDEX(Tiere!$BN$2:$BN$145,_xlfn.AGGREGATE(15,6,(ROW(Tiere!$BN$2:$BN$145)-1)/(--(SEARCH(AS$2,Tiere!$BN$2:$BN$145)&gt;0)),ROW()-1),1))))))))),"")</f>
        <v/>
      </c>
      <c r="AS71" s="2438"/>
      <c r="AT71" s="2472" t="str">
        <f>IFERROR(IF(OR(AU$2="ZURÜCK ZUR AUSWAHL",AU$2="",AU$2=0),"",IF(AU$2=$BO$1,$BO70,IF(AU$2=$BP$1,$BP70,IF(AU$2=$BQ$1,$BQ70,IF(AU$2=$BR$1,$BR70,IF(AU$2=$BS$1,$BS70,IF(AU$2=$BT$1,$BT70,IF(AU$2=$BU$1,$BU70,INDEX(Tiere!$BN$2:$BN$145,_xlfn.AGGREGATE(15,6,(ROW(Tiere!$BN$2:$BN$145)-1)/(--(SEARCH(AU$2,Tiere!$BN$2:$BN$145)&gt;0)),ROW()-1),1))))))))),"")</f>
        <v/>
      </c>
      <c r="AU71" s="2438"/>
      <c r="AV71" s="2472" t="str">
        <f>IFERROR(IF(OR(AW$2="ZURÜCK ZUR AUSWAHL",AW$2="",AW$2=0),"",IF(AW$2=$BO$1,$BO70,IF(AW$2=$BP$1,$BP70,IF(AW$2=$BQ$1,$BQ70,IF(AW$2=$BR$1,$BR70,IF(AW$2=$BS$1,$BS70,IF(AW$2=$BT$1,$BT70,IF(AW$2=$BU$1,$BU70,INDEX(Tiere!$BN$2:$BN$145,_xlfn.AGGREGATE(15,6,(ROW(Tiere!$BN$2:$BN$145)-1)/(--(SEARCH(AW$2,Tiere!$BN$2:$BN$145)&gt;0)),ROW()-1),1))))))))),"")</f>
        <v/>
      </c>
      <c r="AW71" s="2438"/>
      <c r="AX71" s="2472" t="str">
        <f>IFERROR(IF(OR(AY$2="ZURÜCK ZUR AUSWAHL",AY$2="",AY$2=0),"",IF(AY$2=$BO$1,$BO70,IF(AY$2=$BP$1,$BP70,IF(AY$2=$BQ$1,$BQ70,IF(AY$2=$BR$1,$BR70,IF(AY$2=$BS$1,$BS70,IF(AY$2=$BT$1,$BT70,IF(AY$2=$BU$1,$BU70,INDEX(Tiere!$BN$2:$BN$145,_xlfn.AGGREGATE(15,6,(ROW(Tiere!$BN$2:$BN$145)-1)/(--(SEARCH(AY$2,Tiere!$BN$2:$BN$145)&gt;0)),ROW()-1),1))))))))),"")</f>
        <v/>
      </c>
      <c r="AY71" s="2438"/>
      <c r="AZ71" s="2472" t="str">
        <f>IFERROR(IF(OR(BA$2="ZURÜCK ZUR AUSWAHL",BA$2="",BA$2=0),"",IF(BA$2=$BO$1,$BO70,IF(BA$2=$BP$1,$BP70,IF(BA$2=$BQ$1,$BQ70,IF(BA$2=$BR$1,$BR70,IF(BA$2=$BS$1,$BS70,IF(BA$2=$BT$1,$BT70,IF(BA$2=$BU$1,$BU70,INDEX(Tiere!$BN$2:$BN$145,_xlfn.AGGREGATE(15,6,(ROW(Tiere!$BN$2:$BN$145)-1)/(--(SEARCH(BA$2,Tiere!$BN$2:$BN$145)&gt;0)),ROW()-1),1))))))))),"")</f>
        <v/>
      </c>
      <c r="BA71" s="2438"/>
      <c r="BB71" s="2472" t="str">
        <f>IFERROR(IF(OR(BC$2="ZURÜCK ZUR AUSWAHL",BC$2="",BC$2=0),"",IF(BC$2=$BO$1,$BO70,IF(BC$2=$BP$1,$BP70,IF(BC$2=$BQ$1,$BQ70,IF(BC$2=$BR$1,$BR70,IF(BC$2=$BS$1,$BS70,IF(BC$2=$BT$1,$BT70,IF(BC$2=$BU$1,$BU70,INDEX(Tiere!$BN$2:$BN$145,_xlfn.AGGREGATE(15,6,(ROW(Tiere!$BN$2:$BN$145)-1)/(--(SEARCH(BC$2,Tiere!$BN$2:$BN$145)&gt;0)),ROW()-1),1))))))))),"")</f>
        <v/>
      </c>
      <c r="BC71" s="2438"/>
      <c r="BD71" s="2472" t="str">
        <f>IFERROR(IF(OR(BE$2="ZURÜCK ZUR AUSWAHL",BE$2="",BE$2=0),"",IF(BE$2=$BO$1,$BO70,IF(BE$2=$BP$1,$BP70,IF(BE$2=$BQ$1,$BQ70,IF(BE$2=$BR$1,$BR70,IF(BE$2=$BS$1,$BS70,IF(BE$2=$BT$1,$BT70,IF(BE$2=$BU$1,$BU70,INDEX(Tiere!$BN$2:$BN$145,_xlfn.AGGREGATE(15,6,(ROW(Tiere!$BN$2:$BN$145)-1)/(--(SEARCH(BE$2,Tiere!$BN$2:$BN$145)&gt;0)),ROW()-1),1))))))))),"")</f>
        <v/>
      </c>
      <c r="BE71" s="2438"/>
      <c r="BF71" s="2472" t="str">
        <f>IFERROR(IF(OR(BG$2="ZURÜCK ZUR AUSWAHL",BG$2="",BG$2=0),"",IF(BG$2=$BO$1,$BO70,IF(BG$2=$BP$1,$BP70,IF(BG$2=$BQ$1,$BQ70,IF(BG$2=$BR$1,$BR70,IF(BG$2=$BS$1,$BS70,IF(BG$2=$BT$1,$BT70,IF(BG$2=$BU$1,$BU70,INDEX(Tiere!$BN$2:$BN$145,_xlfn.AGGREGATE(15,6,(ROW(Tiere!$BN$2:$BN$145)-1)/(--(SEARCH(BG$2,Tiere!$BN$2:$BN$145)&gt;0)),ROW()-1),1))))))))),"")</f>
        <v/>
      </c>
      <c r="BG71" s="2438"/>
      <c r="BH71" s="2472" t="str">
        <f>IFERROR(IF(OR(BI$2="ZURÜCK ZUR AUSWAHL",BI$2="",BI$2=0),"",IF(BI$2=$BO$1,$BO70,IF(BI$2=$BP$1,$BP70,IF(BI$2=$BQ$1,$BQ70,IF(BI$2=$BR$1,$BR70,IF(BI$2=$BS$1,$BS70,IF(BI$2=$BT$1,$BT70,IF(BI$2=$BU$1,$BU70,INDEX(Tiere!$BN$2:$BN$145,_xlfn.AGGREGATE(15,6,(ROW(Tiere!$BN$2:$BN$145)-1)/(--(SEARCH(BI$2,Tiere!$BN$2:$BN$145)&gt;0)),ROW()-1),1))))))))),"")</f>
        <v/>
      </c>
      <c r="BI71" s="2438"/>
      <c r="BJ71" s="2472" t="str">
        <f>IFERROR(IF(OR(BK$2="ZURÜCK ZUR AUSWAHL",BK$2="",BK$2=0),"",IF(BK$2=$BO$1,$BO70,IF(BK$2=$BP$1,$BP70,IF(BK$2=$BQ$1,$BQ70,IF(BK$2=$BR$1,$BR70,IF(BK$2=$BS$1,$BS70,IF(BK$2=$BT$1,$BT70,IF(BK$2=$BU$1,$BU70,INDEX(Tiere!$BN$2:$BN$145,_xlfn.AGGREGATE(15,6,(ROW(Tiere!$BN$2:$BN$145)-1)/(--(SEARCH(BK$2,Tiere!$BN$2:$BN$145)&gt;0)),ROW()-1),1))))))))),"")</f>
        <v/>
      </c>
      <c r="BK71" s="2438"/>
      <c r="BL71" s="2472" t="str">
        <f>IFERROR(IF(OR(BM$2="ZURÜCK ZUR AUSWAHL",BM$2="",BM$2=0),"",IF(BM$2=$BO$1,$BO70,IF(BM$2=$BP$1,$BP70,IF(BM$2=$BQ$1,$BQ70,IF(BM$2=$BR$1,$BR70,IF(BM$2=$BS$1,$BS70,IF(BM$2=$BT$1,$BT70,IF(BM$2=$BU$1,$BU70,INDEX(Tiere!$BN$2:$BN$145,_xlfn.AGGREGATE(15,6,(ROW(Tiere!$BN$2:$BN$145)-1)/(--(SEARCH(BM$2,Tiere!$BN$2:$BN$145)&gt;0)),ROW()-1),1))))))))),"")</f>
        <v/>
      </c>
      <c r="BM71" s="2438"/>
      <c r="BN71" s="2478" t="s">
        <v>1236</v>
      </c>
      <c r="BO71" s="2470"/>
      <c r="BP71" s="2470"/>
      <c r="BQ71" s="2470"/>
      <c r="BR71" s="2470"/>
      <c r="BS71" s="2470"/>
      <c r="BT71" s="2470"/>
      <c r="BU71" s="2471"/>
    </row>
    <row r="72" spans="36:73" ht="13.8" thickBot="1">
      <c r="AJ72" s="2472" t="str">
        <f>IFERROR(IF(OR(AK$2="ZURÜCK ZUR AUSWAHL",AK$2="",AK$2=0),"",IF(AK$2=$BO$1,$BO71,IF(AK$2=$BP$1,$BP71,IF(AK$2=$BQ$1,$BQ71,IF(AK$2=$BR$1,$BR71,IF(AK$2=$BS$1,$BS71,IF(AK$2=$BT$1,$BT71,IF(AK$2=$BU$1,$BU71,INDEX(Tiere!$BN$2:$BN$145,_xlfn.AGGREGATE(15,6,(ROW(Tiere!$BN$2:$BN$145)-1)/(--(SEARCH(AK$2,Tiere!$BN$2:$BN$145)&gt;0)),ROW()-2),1))))))))),"")</f>
        <v/>
      </c>
      <c r="AK72" s="2436"/>
      <c r="AL72" s="2472" t="str">
        <f>IFERROR(IF(OR(AM$2="ZURÜCK ZUR AUSWAHL",AM$2="",AM$2=0),"",IF(AM$2=$BO$1,$BO71,IF(AM$2=$BP$1,$BP71,IF(AM$2=$BQ$1,$BQ71,IF(AM$2=$BR$1,$BR71,IF(AM$2=$BS$1,$BS71,IF(AM$2=$BT$1,$BT71,IF(AM$2=$BU$1,$BU71,INDEX(Tiere!$BN$2:$BN$145,_xlfn.AGGREGATE(15,6,(ROW(Tiere!$BN$2:$BN$145)-1)/(--(SEARCH(AM$2,Tiere!$BN$2:$BN$145)&gt;0)),ROW()-1),1))))))))),"")</f>
        <v/>
      </c>
      <c r="AM72" s="2436"/>
      <c r="AN72" s="2472" t="str">
        <f>IFERROR(IF(OR(AO$2="ZURÜCK ZUR AUSWAHL",AO$2="",AO$2=0),"",IF(AO$2=$BO$1,$BO71,IF(AO$2=$BP$1,$BP71,IF(AO$2=$BQ$1,$BQ71,IF(AO$2=$BR$1,$BR71,IF(AO$2=$BS$1,$BS71,IF(AO$2=$BT$1,$BT71,IF(AO$2=$BU$1,$BU71,INDEX(Tiere!$BN$2:$BN$145,_xlfn.AGGREGATE(15,6,(ROW(Tiere!$BN$2:$BN$145)-1)/(--(SEARCH(AO$2,Tiere!$BN$2:$BN$145)&gt;0)),ROW()-1),1))))))))),"")</f>
        <v/>
      </c>
      <c r="AO72" s="2436"/>
      <c r="AP72" s="2472" t="str">
        <f>IFERROR(IF(OR(AQ$2="ZURÜCK ZUR AUSWAHL",AQ$2="",AQ$2=0),"",IF(AQ$2=$BO$1,$BO71,IF(AQ$2=$BP$1,$BP71,IF(AQ$2=$BQ$1,$BQ71,IF(AQ$2=$BR$1,$BR71,IF(AQ$2=$BS$1,$BS71,IF(AQ$2=$BT$1,$BT71,IF(AQ$2=$BU$1,$BU71,INDEX(Tiere!$BN$2:$BN$145,_xlfn.AGGREGATE(15,6,(ROW(Tiere!$BN$2:$BN$145)-1)/(--(SEARCH(AQ$2,Tiere!$BN$2:$BN$145)&gt;0)),ROW()-1),1))))))))),"")</f>
        <v/>
      </c>
      <c r="AQ72" s="2436"/>
      <c r="AR72" s="2472" t="str">
        <f>IFERROR(IF(OR(AS$2="ZURÜCK ZUR AUSWAHL",AS$2="",AS$2=0),"",IF(AS$2=$BO$1,$BO71,IF(AS$2=$BP$1,$BP71,IF(AS$2=$BQ$1,$BQ71,IF(AS$2=$BR$1,$BR71,IF(AS$2=$BS$1,$BS71,IF(AS$2=$BT$1,$BT71,IF(AS$2=$BU$1,$BU71,INDEX(Tiere!$BN$2:$BN$145,_xlfn.AGGREGATE(15,6,(ROW(Tiere!$BN$2:$BN$145)-1)/(--(SEARCH(AS$2,Tiere!$BN$2:$BN$145)&gt;0)),ROW()-1),1))))))))),"")</f>
        <v/>
      </c>
      <c r="AS72" s="2436"/>
      <c r="AT72" s="2472" t="str">
        <f>IFERROR(IF(OR(AU$2="ZURÜCK ZUR AUSWAHL",AU$2="",AU$2=0),"",IF(AU$2=$BO$1,$BO71,IF(AU$2=$BP$1,$BP71,IF(AU$2=$BQ$1,$BQ71,IF(AU$2=$BR$1,$BR71,IF(AU$2=$BS$1,$BS71,IF(AU$2=$BT$1,$BT71,IF(AU$2=$BU$1,$BU71,INDEX(Tiere!$BN$2:$BN$145,_xlfn.AGGREGATE(15,6,(ROW(Tiere!$BN$2:$BN$145)-1)/(--(SEARCH(AU$2,Tiere!$BN$2:$BN$145)&gt;0)),ROW()-1),1))))))))),"")</f>
        <v/>
      </c>
      <c r="AU72" s="2436"/>
      <c r="AV72" s="2472" t="str">
        <f>IFERROR(IF(OR(AW$2="ZURÜCK ZUR AUSWAHL",AW$2="",AW$2=0),"",IF(AW$2=$BO$1,$BO71,IF(AW$2=$BP$1,$BP71,IF(AW$2=$BQ$1,$BQ71,IF(AW$2=$BR$1,$BR71,IF(AW$2=$BS$1,$BS71,IF(AW$2=$BT$1,$BT71,IF(AW$2=$BU$1,$BU71,INDEX(Tiere!$BN$2:$BN$145,_xlfn.AGGREGATE(15,6,(ROW(Tiere!$BN$2:$BN$145)-1)/(--(SEARCH(AW$2,Tiere!$BN$2:$BN$145)&gt;0)),ROW()-1),1))))))))),"")</f>
        <v/>
      </c>
      <c r="AW72" s="2436"/>
      <c r="AX72" s="2472" t="str">
        <f>IFERROR(IF(OR(AY$2="ZURÜCK ZUR AUSWAHL",AY$2="",AY$2=0),"",IF(AY$2=$BO$1,$BO71,IF(AY$2=$BP$1,$BP71,IF(AY$2=$BQ$1,$BQ71,IF(AY$2=$BR$1,$BR71,IF(AY$2=$BS$1,$BS71,IF(AY$2=$BT$1,$BT71,IF(AY$2=$BU$1,$BU71,INDEX(Tiere!$BN$2:$BN$145,_xlfn.AGGREGATE(15,6,(ROW(Tiere!$BN$2:$BN$145)-1)/(--(SEARCH(AY$2,Tiere!$BN$2:$BN$145)&gt;0)),ROW()-1),1))))))))),"")</f>
        <v/>
      </c>
      <c r="AY72" s="2436"/>
      <c r="AZ72" s="2472" t="str">
        <f>IFERROR(IF(OR(BA$2="ZURÜCK ZUR AUSWAHL",BA$2="",BA$2=0),"",IF(BA$2=$BO$1,$BO71,IF(BA$2=$BP$1,$BP71,IF(BA$2=$BQ$1,$BQ71,IF(BA$2=$BR$1,$BR71,IF(BA$2=$BS$1,$BS71,IF(BA$2=$BT$1,$BT71,IF(BA$2=$BU$1,$BU71,INDEX(Tiere!$BN$2:$BN$145,_xlfn.AGGREGATE(15,6,(ROW(Tiere!$BN$2:$BN$145)-1)/(--(SEARCH(BA$2,Tiere!$BN$2:$BN$145)&gt;0)),ROW()-1),1))))))))),"")</f>
        <v/>
      </c>
      <c r="BA72" s="2436"/>
      <c r="BB72" s="2472" t="str">
        <f>IFERROR(IF(OR(BC$2="ZURÜCK ZUR AUSWAHL",BC$2="",BC$2=0),"",IF(BC$2=$BO$1,$BO71,IF(BC$2=$BP$1,$BP71,IF(BC$2=$BQ$1,$BQ71,IF(BC$2=$BR$1,$BR71,IF(BC$2=$BS$1,$BS71,IF(BC$2=$BT$1,$BT71,IF(BC$2=$BU$1,$BU71,INDEX(Tiere!$BN$2:$BN$145,_xlfn.AGGREGATE(15,6,(ROW(Tiere!$BN$2:$BN$145)-1)/(--(SEARCH(BC$2,Tiere!$BN$2:$BN$145)&gt;0)),ROW()-1),1))))))))),"")</f>
        <v/>
      </c>
      <c r="BC72" s="2436"/>
      <c r="BD72" s="2472" t="str">
        <f>IFERROR(IF(OR(BE$2="ZURÜCK ZUR AUSWAHL",BE$2="",BE$2=0),"",IF(BE$2=$BO$1,$BO71,IF(BE$2=$BP$1,$BP71,IF(BE$2=$BQ$1,$BQ71,IF(BE$2=$BR$1,$BR71,IF(BE$2=$BS$1,$BS71,IF(BE$2=$BT$1,$BT71,IF(BE$2=$BU$1,$BU71,INDEX(Tiere!$BN$2:$BN$145,_xlfn.AGGREGATE(15,6,(ROW(Tiere!$BN$2:$BN$145)-1)/(--(SEARCH(BE$2,Tiere!$BN$2:$BN$145)&gt;0)),ROW()-1),1))))))))),"")</f>
        <v/>
      </c>
      <c r="BE72" s="2436"/>
      <c r="BF72" s="2472" t="str">
        <f>IFERROR(IF(OR(BG$2="ZURÜCK ZUR AUSWAHL",BG$2="",BG$2=0),"",IF(BG$2=$BO$1,$BO71,IF(BG$2=$BP$1,$BP71,IF(BG$2=$BQ$1,$BQ71,IF(BG$2=$BR$1,$BR71,IF(BG$2=$BS$1,$BS71,IF(BG$2=$BT$1,$BT71,IF(BG$2=$BU$1,$BU71,INDEX(Tiere!$BN$2:$BN$145,_xlfn.AGGREGATE(15,6,(ROW(Tiere!$BN$2:$BN$145)-1)/(--(SEARCH(BG$2,Tiere!$BN$2:$BN$145)&gt;0)),ROW()-1),1))))))))),"")</f>
        <v/>
      </c>
      <c r="BG72" s="2436"/>
      <c r="BH72" s="2472" t="str">
        <f>IFERROR(IF(OR(BI$2="ZURÜCK ZUR AUSWAHL",BI$2="",BI$2=0),"",IF(BI$2=$BO$1,$BO71,IF(BI$2=$BP$1,$BP71,IF(BI$2=$BQ$1,$BQ71,IF(BI$2=$BR$1,$BR71,IF(BI$2=$BS$1,$BS71,IF(BI$2=$BT$1,$BT71,IF(BI$2=$BU$1,$BU71,INDEX(Tiere!$BN$2:$BN$145,_xlfn.AGGREGATE(15,6,(ROW(Tiere!$BN$2:$BN$145)-1)/(--(SEARCH(BI$2,Tiere!$BN$2:$BN$145)&gt;0)),ROW()-1),1))))))))),"")</f>
        <v/>
      </c>
      <c r="BI72" s="2436"/>
      <c r="BJ72" s="2472" t="str">
        <f>IFERROR(IF(OR(BK$2="ZURÜCK ZUR AUSWAHL",BK$2="",BK$2=0),"",IF(BK$2=$BO$1,$BO71,IF(BK$2=$BP$1,$BP71,IF(BK$2=$BQ$1,$BQ71,IF(BK$2=$BR$1,$BR71,IF(BK$2=$BS$1,$BS71,IF(BK$2=$BT$1,$BT71,IF(BK$2=$BU$1,$BU71,INDEX(Tiere!$BN$2:$BN$145,_xlfn.AGGREGATE(15,6,(ROW(Tiere!$BN$2:$BN$145)-1)/(--(SEARCH(BK$2,Tiere!$BN$2:$BN$145)&gt;0)),ROW()-1),1))))))))),"")</f>
        <v/>
      </c>
      <c r="BK72" s="2436"/>
      <c r="BL72" s="2472" t="str">
        <f>IFERROR(IF(OR(BM$2="ZURÜCK ZUR AUSWAHL",BM$2="",BM$2=0),"",IF(BM$2=$BO$1,$BO71,IF(BM$2=$BP$1,$BP71,IF(BM$2=$BQ$1,$BQ71,IF(BM$2=$BR$1,$BR71,IF(BM$2=$BS$1,$BS71,IF(BM$2=$BT$1,$BT71,IF(BM$2=$BU$1,$BU71,INDEX(Tiere!$BN$2:$BN$145,_xlfn.AGGREGATE(15,6,(ROW(Tiere!$BN$2:$BN$145)-1)/(--(SEARCH(BM$2,Tiere!$BN$2:$BN$145)&gt;0)),ROW()-1),1))))))))),"")</f>
        <v/>
      </c>
      <c r="BM72" s="2436"/>
      <c r="BN72" s="2478" t="s">
        <v>1238</v>
      </c>
      <c r="BO72" s="2470"/>
      <c r="BP72" s="2470"/>
      <c r="BQ72" s="2470"/>
      <c r="BR72" s="2470"/>
      <c r="BS72" s="2470"/>
      <c r="BT72" s="2470"/>
      <c r="BU72" s="2470"/>
    </row>
    <row r="73" spans="36:73" ht="13.8" thickBot="1">
      <c r="AJ73" s="2472" t="str">
        <f>IFERROR(IF(OR(AK$2="ZURÜCK ZUR AUSWAHL",AK$2="",AK$2=0),"",IF(AK$2=$BO$1,$BO72,IF(AK$2=$BP$1,$BP72,IF(AK$2=$BQ$1,$BQ72,IF(AK$2=$BR$1,$BR72,IF(AK$2=$BS$1,$BS72,IF(AK$2=$BT$1,$BT72,IF(AK$2=$BU$1,$BU72,INDEX(Tiere!$BN$2:$BN$145,_xlfn.AGGREGATE(15,6,(ROW(Tiere!$BN$2:$BN$145)-1)/(--(SEARCH(AK$2,Tiere!$BN$2:$BN$145)&gt;0)),ROW()-2),1))))))))),"")</f>
        <v/>
      </c>
      <c r="AK73" s="2438"/>
      <c r="AL73" s="2472" t="str">
        <f>IFERROR(IF(OR(AM$2="ZURÜCK ZUR AUSWAHL",AM$2="",AM$2=0),"",IF(AM$2=$BO$1,$BO72,IF(AM$2=$BP$1,$BP72,IF(AM$2=$BQ$1,$BQ72,IF(AM$2=$BR$1,$BR72,IF(AM$2=$BS$1,$BS72,IF(AM$2=$BT$1,$BT72,IF(AM$2=$BU$1,$BU72,INDEX(Tiere!$BN$2:$BN$145,_xlfn.AGGREGATE(15,6,(ROW(Tiere!$BN$2:$BN$145)-1)/(--(SEARCH(AM$2,Tiere!$BN$2:$BN$145)&gt;0)),ROW()-1),1))))))))),"")</f>
        <v/>
      </c>
      <c r="AM73" s="2438"/>
      <c r="AN73" s="2472" t="str">
        <f>IFERROR(IF(OR(AO$2="ZURÜCK ZUR AUSWAHL",AO$2="",AO$2=0),"",IF(AO$2=$BO$1,$BO72,IF(AO$2=$BP$1,$BP72,IF(AO$2=$BQ$1,$BQ72,IF(AO$2=$BR$1,$BR72,IF(AO$2=$BS$1,$BS72,IF(AO$2=$BT$1,$BT72,IF(AO$2=$BU$1,$BU72,INDEX(Tiere!$BN$2:$BN$145,_xlfn.AGGREGATE(15,6,(ROW(Tiere!$BN$2:$BN$145)-1)/(--(SEARCH(AO$2,Tiere!$BN$2:$BN$145)&gt;0)),ROW()-1),1))))))))),"")</f>
        <v/>
      </c>
      <c r="AO73" s="2438"/>
      <c r="AP73" s="2472" t="str">
        <f>IFERROR(IF(OR(AQ$2="ZURÜCK ZUR AUSWAHL",AQ$2="",AQ$2=0),"",IF(AQ$2=$BO$1,$BO72,IF(AQ$2=$BP$1,$BP72,IF(AQ$2=$BQ$1,$BQ72,IF(AQ$2=$BR$1,$BR72,IF(AQ$2=$BS$1,$BS72,IF(AQ$2=$BT$1,$BT72,IF(AQ$2=$BU$1,$BU72,INDEX(Tiere!$BN$2:$BN$145,_xlfn.AGGREGATE(15,6,(ROW(Tiere!$BN$2:$BN$145)-1)/(--(SEARCH(AQ$2,Tiere!$BN$2:$BN$145)&gt;0)),ROW()-1),1))))))))),"")</f>
        <v/>
      </c>
      <c r="AQ73" s="2438"/>
      <c r="AR73" s="2472" t="str">
        <f>IFERROR(IF(OR(AS$2="ZURÜCK ZUR AUSWAHL",AS$2="",AS$2=0),"",IF(AS$2=$BO$1,$BO72,IF(AS$2=$BP$1,$BP72,IF(AS$2=$BQ$1,$BQ72,IF(AS$2=$BR$1,$BR72,IF(AS$2=$BS$1,$BS72,IF(AS$2=$BT$1,$BT72,IF(AS$2=$BU$1,$BU72,INDEX(Tiere!$BN$2:$BN$145,_xlfn.AGGREGATE(15,6,(ROW(Tiere!$BN$2:$BN$145)-1)/(--(SEARCH(AS$2,Tiere!$BN$2:$BN$145)&gt;0)),ROW()-1),1))))))))),"")</f>
        <v/>
      </c>
      <c r="AS73" s="2438"/>
      <c r="AT73" s="2472" t="str">
        <f>IFERROR(IF(OR(AU$2="ZURÜCK ZUR AUSWAHL",AU$2="",AU$2=0),"",IF(AU$2=$BO$1,$BO72,IF(AU$2=$BP$1,$BP72,IF(AU$2=$BQ$1,$BQ72,IF(AU$2=$BR$1,$BR72,IF(AU$2=$BS$1,$BS72,IF(AU$2=$BT$1,$BT72,IF(AU$2=$BU$1,$BU72,INDEX(Tiere!$BN$2:$BN$145,_xlfn.AGGREGATE(15,6,(ROW(Tiere!$BN$2:$BN$145)-1)/(--(SEARCH(AU$2,Tiere!$BN$2:$BN$145)&gt;0)),ROW()-1),1))))))))),"")</f>
        <v/>
      </c>
      <c r="AU73" s="2438"/>
      <c r="AV73" s="2472" t="str">
        <f>IFERROR(IF(OR(AW$2="ZURÜCK ZUR AUSWAHL",AW$2="",AW$2=0),"",IF(AW$2=$BO$1,$BO72,IF(AW$2=$BP$1,$BP72,IF(AW$2=$BQ$1,$BQ72,IF(AW$2=$BR$1,$BR72,IF(AW$2=$BS$1,$BS72,IF(AW$2=$BT$1,$BT72,IF(AW$2=$BU$1,$BU72,INDEX(Tiere!$BN$2:$BN$145,_xlfn.AGGREGATE(15,6,(ROW(Tiere!$BN$2:$BN$145)-1)/(--(SEARCH(AW$2,Tiere!$BN$2:$BN$145)&gt;0)),ROW()-1),1))))))))),"")</f>
        <v/>
      </c>
      <c r="AW73" s="2438"/>
      <c r="AX73" s="2472" t="str">
        <f>IFERROR(IF(OR(AY$2="ZURÜCK ZUR AUSWAHL",AY$2="",AY$2=0),"",IF(AY$2=$BO$1,$BO72,IF(AY$2=$BP$1,$BP72,IF(AY$2=$BQ$1,$BQ72,IF(AY$2=$BR$1,$BR72,IF(AY$2=$BS$1,$BS72,IF(AY$2=$BT$1,$BT72,IF(AY$2=$BU$1,$BU72,INDEX(Tiere!$BN$2:$BN$145,_xlfn.AGGREGATE(15,6,(ROW(Tiere!$BN$2:$BN$145)-1)/(--(SEARCH(AY$2,Tiere!$BN$2:$BN$145)&gt;0)),ROW()-1),1))))))))),"")</f>
        <v/>
      </c>
      <c r="AY73" s="2438"/>
      <c r="AZ73" s="2472" t="str">
        <f>IFERROR(IF(OR(BA$2="ZURÜCK ZUR AUSWAHL",BA$2="",BA$2=0),"",IF(BA$2=$BO$1,$BO72,IF(BA$2=$BP$1,$BP72,IF(BA$2=$BQ$1,$BQ72,IF(BA$2=$BR$1,$BR72,IF(BA$2=$BS$1,$BS72,IF(BA$2=$BT$1,$BT72,IF(BA$2=$BU$1,$BU72,INDEX(Tiere!$BN$2:$BN$145,_xlfn.AGGREGATE(15,6,(ROW(Tiere!$BN$2:$BN$145)-1)/(--(SEARCH(BA$2,Tiere!$BN$2:$BN$145)&gt;0)),ROW()-1),1))))))))),"")</f>
        <v/>
      </c>
      <c r="BA73" s="2438"/>
      <c r="BB73" s="2472" t="str">
        <f>IFERROR(IF(OR(BC$2="ZURÜCK ZUR AUSWAHL",BC$2="",BC$2=0),"",IF(BC$2=$BO$1,$BO72,IF(BC$2=$BP$1,$BP72,IF(BC$2=$BQ$1,$BQ72,IF(BC$2=$BR$1,$BR72,IF(BC$2=$BS$1,$BS72,IF(BC$2=$BT$1,$BT72,IF(BC$2=$BU$1,$BU72,INDEX(Tiere!$BN$2:$BN$145,_xlfn.AGGREGATE(15,6,(ROW(Tiere!$BN$2:$BN$145)-1)/(--(SEARCH(BC$2,Tiere!$BN$2:$BN$145)&gt;0)),ROW()-1),1))))))))),"")</f>
        <v/>
      </c>
      <c r="BC73" s="2438"/>
      <c r="BD73" s="2472" t="str">
        <f>IFERROR(IF(OR(BE$2="ZURÜCK ZUR AUSWAHL",BE$2="",BE$2=0),"",IF(BE$2=$BO$1,$BO72,IF(BE$2=$BP$1,$BP72,IF(BE$2=$BQ$1,$BQ72,IF(BE$2=$BR$1,$BR72,IF(BE$2=$BS$1,$BS72,IF(BE$2=$BT$1,$BT72,IF(BE$2=$BU$1,$BU72,INDEX(Tiere!$BN$2:$BN$145,_xlfn.AGGREGATE(15,6,(ROW(Tiere!$BN$2:$BN$145)-1)/(--(SEARCH(BE$2,Tiere!$BN$2:$BN$145)&gt;0)),ROW()-1),1))))))))),"")</f>
        <v/>
      </c>
      <c r="BE73" s="2438"/>
      <c r="BF73" s="2472" t="str">
        <f>IFERROR(IF(OR(BG$2="ZURÜCK ZUR AUSWAHL",BG$2="",BG$2=0),"",IF(BG$2=$BO$1,$BO72,IF(BG$2=$BP$1,$BP72,IF(BG$2=$BQ$1,$BQ72,IF(BG$2=$BR$1,$BR72,IF(BG$2=$BS$1,$BS72,IF(BG$2=$BT$1,$BT72,IF(BG$2=$BU$1,$BU72,INDEX(Tiere!$BN$2:$BN$145,_xlfn.AGGREGATE(15,6,(ROW(Tiere!$BN$2:$BN$145)-1)/(--(SEARCH(BG$2,Tiere!$BN$2:$BN$145)&gt;0)),ROW()-1),1))))))))),"")</f>
        <v/>
      </c>
      <c r="BG73" s="2438"/>
      <c r="BH73" s="2472" t="str">
        <f>IFERROR(IF(OR(BI$2="ZURÜCK ZUR AUSWAHL",BI$2="",BI$2=0),"",IF(BI$2=$BO$1,$BO72,IF(BI$2=$BP$1,$BP72,IF(BI$2=$BQ$1,$BQ72,IF(BI$2=$BR$1,$BR72,IF(BI$2=$BS$1,$BS72,IF(BI$2=$BT$1,$BT72,IF(BI$2=$BU$1,$BU72,INDEX(Tiere!$BN$2:$BN$145,_xlfn.AGGREGATE(15,6,(ROW(Tiere!$BN$2:$BN$145)-1)/(--(SEARCH(BI$2,Tiere!$BN$2:$BN$145)&gt;0)),ROW()-1),1))))))))),"")</f>
        <v/>
      </c>
      <c r="BI73" s="2438"/>
      <c r="BJ73" s="2472" t="str">
        <f>IFERROR(IF(OR(BK$2="ZURÜCK ZUR AUSWAHL",BK$2="",BK$2=0),"",IF(BK$2=$BO$1,$BO72,IF(BK$2=$BP$1,$BP72,IF(BK$2=$BQ$1,$BQ72,IF(BK$2=$BR$1,$BR72,IF(BK$2=$BS$1,$BS72,IF(BK$2=$BT$1,$BT72,IF(BK$2=$BU$1,$BU72,INDEX(Tiere!$BN$2:$BN$145,_xlfn.AGGREGATE(15,6,(ROW(Tiere!$BN$2:$BN$145)-1)/(--(SEARCH(BK$2,Tiere!$BN$2:$BN$145)&gt;0)),ROW()-1),1))))))))),"")</f>
        <v/>
      </c>
      <c r="BK73" s="2438"/>
      <c r="BL73" s="2472" t="str">
        <f>IFERROR(IF(OR(BM$2="ZURÜCK ZUR AUSWAHL",BM$2="",BM$2=0),"",IF(BM$2=$BO$1,$BO72,IF(BM$2=$BP$1,$BP72,IF(BM$2=$BQ$1,$BQ72,IF(BM$2=$BR$1,$BR72,IF(BM$2=$BS$1,$BS72,IF(BM$2=$BT$1,$BT72,IF(BM$2=$BU$1,$BU72,INDEX(Tiere!$BN$2:$BN$145,_xlfn.AGGREGATE(15,6,(ROW(Tiere!$BN$2:$BN$145)-1)/(--(SEARCH(BM$2,Tiere!$BN$2:$BN$145)&gt;0)),ROW()-1),1))))))))),"")</f>
        <v/>
      </c>
      <c r="BM73" s="2438"/>
      <c r="BN73" s="2478" t="s">
        <v>1240</v>
      </c>
      <c r="BO73" s="2470"/>
      <c r="BP73" s="2470"/>
      <c r="BQ73" s="2470"/>
      <c r="BR73" s="2470"/>
      <c r="BS73" s="2470"/>
      <c r="BT73" s="2470"/>
      <c r="BU73" s="2470"/>
    </row>
    <row r="74" spans="36:73" ht="13.8" thickBot="1">
      <c r="AJ74" s="2472" t="str">
        <f>IFERROR(IF(OR(AK$2="ZURÜCK ZUR AUSWAHL",AK$2="",AK$2=0),"",IF(AK$2=$BO$1,$BO73,IF(AK$2=$BP$1,$BP73,IF(AK$2=$BQ$1,$BQ73,IF(AK$2=$BR$1,$BR73,IF(AK$2=$BS$1,$BS73,IF(AK$2=$BT$1,$BT73,IF(AK$2=$BU$1,$BU73,INDEX(Tiere!$BN$2:$BN$145,_xlfn.AGGREGATE(15,6,(ROW(Tiere!$BN$2:$BN$145)-1)/(--(SEARCH(AK$2,Tiere!$BN$2:$BN$145)&gt;0)),ROW()-2),1))))))))),"")</f>
        <v/>
      </c>
      <c r="AK74" s="2436"/>
      <c r="AL74" s="2472" t="str">
        <f>IFERROR(IF(OR(AM$2="ZURÜCK ZUR AUSWAHL",AM$2="",AM$2=0),"",IF(AM$2=$BO$1,$BO73,IF(AM$2=$BP$1,$BP73,IF(AM$2=$BQ$1,$BQ73,IF(AM$2=$BR$1,$BR73,IF(AM$2=$BS$1,$BS73,IF(AM$2=$BT$1,$BT73,IF(AM$2=$BU$1,$BU73,INDEX(Tiere!$BN$2:$BN$145,_xlfn.AGGREGATE(15,6,(ROW(Tiere!$BN$2:$BN$145)-1)/(--(SEARCH(AM$2,Tiere!$BN$2:$BN$145)&gt;0)),ROW()-1),1))))))))),"")</f>
        <v/>
      </c>
      <c r="AM74" s="2436"/>
      <c r="AN74" s="2472" t="str">
        <f>IFERROR(IF(OR(AO$2="ZURÜCK ZUR AUSWAHL",AO$2="",AO$2=0),"",IF(AO$2=$BO$1,$BO73,IF(AO$2=$BP$1,$BP73,IF(AO$2=$BQ$1,$BQ73,IF(AO$2=$BR$1,$BR73,IF(AO$2=$BS$1,$BS73,IF(AO$2=$BT$1,$BT73,IF(AO$2=$BU$1,$BU73,INDEX(Tiere!$BN$2:$BN$145,_xlfn.AGGREGATE(15,6,(ROW(Tiere!$BN$2:$BN$145)-1)/(--(SEARCH(AO$2,Tiere!$BN$2:$BN$145)&gt;0)),ROW()-1),1))))))))),"")</f>
        <v/>
      </c>
      <c r="AO74" s="2436"/>
      <c r="AP74" s="2472" t="str">
        <f>IFERROR(IF(OR(AQ$2="ZURÜCK ZUR AUSWAHL",AQ$2="",AQ$2=0),"",IF(AQ$2=$BO$1,$BO73,IF(AQ$2=$BP$1,$BP73,IF(AQ$2=$BQ$1,$BQ73,IF(AQ$2=$BR$1,$BR73,IF(AQ$2=$BS$1,$BS73,IF(AQ$2=$BT$1,$BT73,IF(AQ$2=$BU$1,$BU73,INDEX(Tiere!$BN$2:$BN$145,_xlfn.AGGREGATE(15,6,(ROW(Tiere!$BN$2:$BN$145)-1)/(--(SEARCH(AQ$2,Tiere!$BN$2:$BN$145)&gt;0)),ROW()-1),1))))))))),"")</f>
        <v/>
      </c>
      <c r="AQ74" s="2436"/>
      <c r="AR74" s="2472" t="str">
        <f>IFERROR(IF(OR(AS$2="ZURÜCK ZUR AUSWAHL",AS$2="",AS$2=0),"",IF(AS$2=$BO$1,$BO73,IF(AS$2=$BP$1,$BP73,IF(AS$2=$BQ$1,$BQ73,IF(AS$2=$BR$1,$BR73,IF(AS$2=$BS$1,$BS73,IF(AS$2=$BT$1,$BT73,IF(AS$2=$BU$1,$BU73,INDEX(Tiere!$BN$2:$BN$145,_xlfn.AGGREGATE(15,6,(ROW(Tiere!$BN$2:$BN$145)-1)/(--(SEARCH(AS$2,Tiere!$BN$2:$BN$145)&gt;0)),ROW()-1),1))))))))),"")</f>
        <v/>
      </c>
      <c r="AS74" s="2436"/>
      <c r="AT74" s="2472" t="str">
        <f>IFERROR(IF(OR(AU$2="ZURÜCK ZUR AUSWAHL",AU$2="",AU$2=0),"",IF(AU$2=$BO$1,$BO73,IF(AU$2=$BP$1,$BP73,IF(AU$2=$BQ$1,$BQ73,IF(AU$2=$BR$1,$BR73,IF(AU$2=$BS$1,$BS73,IF(AU$2=$BT$1,$BT73,IF(AU$2=$BU$1,$BU73,INDEX(Tiere!$BN$2:$BN$145,_xlfn.AGGREGATE(15,6,(ROW(Tiere!$BN$2:$BN$145)-1)/(--(SEARCH(AU$2,Tiere!$BN$2:$BN$145)&gt;0)),ROW()-1),1))))))))),"")</f>
        <v/>
      </c>
      <c r="AU74" s="2436"/>
      <c r="AV74" s="2472" t="str">
        <f>IFERROR(IF(OR(AW$2="ZURÜCK ZUR AUSWAHL",AW$2="",AW$2=0),"",IF(AW$2=$BO$1,$BO73,IF(AW$2=$BP$1,$BP73,IF(AW$2=$BQ$1,$BQ73,IF(AW$2=$BR$1,$BR73,IF(AW$2=$BS$1,$BS73,IF(AW$2=$BT$1,$BT73,IF(AW$2=$BU$1,$BU73,INDEX(Tiere!$BN$2:$BN$145,_xlfn.AGGREGATE(15,6,(ROW(Tiere!$BN$2:$BN$145)-1)/(--(SEARCH(AW$2,Tiere!$BN$2:$BN$145)&gt;0)),ROW()-1),1))))))))),"")</f>
        <v/>
      </c>
      <c r="AW74" s="2436"/>
      <c r="AX74" s="2472" t="str">
        <f>IFERROR(IF(OR(AY$2="ZURÜCK ZUR AUSWAHL",AY$2="",AY$2=0),"",IF(AY$2=$BO$1,$BO73,IF(AY$2=$BP$1,$BP73,IF(AY$2=$BQ$1,$BQ73,IF(AY$2=$BR$1,$BR73,IF(AY$2=$BS$1,$BS73,IF(AY$2=$BT$1,$BT73,IF(AY$2=$BU$1,$BU73,INDEX(Tiere!$BN$2:$BN$145,_xlfn.AGGREGATE(15,6,(ROW(Tiere!$BN$2:$BN$145)-1)/(--(SEARCH(AY$2,Tiere!$BN$2:$BN$145)&gt;0)),ROW()-1),1))))))))),"")</f>
        <v/>
      </c>
      <c r="AY74" s="2436"/>
      <c r="AZ74" s="2472" t="str">
        <f>IFERROR(IF(OR(BA$2="ZURÜCK ZUR AUSWAHL",BA$2="",BA$2=0),"",IF(BA$2=$BO$1,$BO73,IF(BA$2=$BP$1,$BP73,IF(BA$2=$BQ$1,$BQ73,IF(BA$2=$BR$1,$BR73,IF(BA$2=$BS$1,$BS73,IF(BA$2=$BT$1,$BT73,IF(BA$2=$BU$1,$BU73,INDEX(Tiere!$BN$2:$BN$145,_xlfn.AGGREGATE(15,6,(ROW(Tiere!$BN$2:$BN$145)-1)/(--(SEARCH(BA$2,Tiere!$BN$2:$BN$145)&gt;0)),ROW()-1),1))))))))),"")</f>
        <v/>
      </c>
      <c r="BA74" s="2436"/>
      <c r="BB74" s="2472" t="str">
        <f>IFERROR(IF(OR(BC$2="ZURÜCK ZUR AUSWAHL",BC$2="",BC$2=0),"",IF(BC$2=$BO$1,$BO73,IF(BC$2=$BP$1,$BP73,IF(BC$2=$BQ$1,$BQ73,IF(BC$2=$BR$1,$BR73,IF(BC$2=$BS$1,$BS73,IF(BC$2=$BT$1,$BT73,IF(BC$2=$BU$1,$BU73,INDEX(Tiere!$BN$2:$BN$145,_xlfn.AGGREGATE(15,6,(ROW(Tiere!$BN$2:$BN$145)-1)/(--(SEARCH(BC$2,Tiere!$BN$2:$BN$145)&gt;0)),ROW()-1),1))))))))),"")</f>
        <v/>
      </c>
      <c r="BC74" s="2436"/>
      <c r="BD74" s="2472" t="str">
        <f>IFERROR(IF(OR(BE$2="ZURÜCK ZUR AUSWAHL",BE$2="",BE$2=0),"",IF(BE$2=$BO$1,$BO73,IF(BE$2=$BP$1,$BP73,IF(BE$2=$BQ$1,$BQ73,IF(BE$2=$BR$1,$BR73,IF(BE$2=$BS$1,$BS73,IF(BE$2=$BT$1,$BT73,IF(BE$2=$BU$1,$BU73,INDEX(Tiere!$BN$2:$BN$145,_xlfn.AGGREGATE(15,6,(ROW(Tiere!$BN$2:$BN$145)-1)/(--(SEARCH(BE$2,Tiere!$BN$2:$BN$145)&gt;0)),ROW()-1),1))))))))),"")</f>
        <v/>
      </c>
      <c r="BE74" s="2436"/>
      <c r="BF74" s="2472" t="str">
        <f>IFERROR(IF(OR(BG$2="ZURÜCK ZUR AUSWAHL",BG$2="",BG$2=0),"",IF(BG$2=$BO$1,$BO73,IF(BG$2=$BP$1,$BP73,IF(BG$2=$BQ$1,$BQ73,IF(BG$2=$BR$1,$BR73,IF(BG$2=$BS$1,$BS73,IF(BG$2=$BT$1,$BT73,IF(BG$2=$BU$1,$BU73,INDEX(Tiere!$BN$2:$BN$145,_xlfn.AGGREGATE(15,6,(ROW(Tiere!$BN$2:$BN$145)-1)/(--(SEARCH(BG$2,Tiere!$BN$2:$BN$145)&gt;0)),ROW()-1),1))))))))),"")</f>
        <v/>
      </c>
      <c r="BG74" s="2436"/>
      <c r="BH74" s="2472" t="str">
        <f>IFERROR(IF(OR(BI$2="ZURÜCK ZUR AUSWAHL",BI$2="",BI$2=0),"",IF(BI$2=$BO$1,$BO73,IF(BI$2=$BP$1,$BP73,IF(BI$2=$BQ$1,$BQ73,IF(BI$2=$BR$1,$BR73,IF(BI$2=$BS$1,$BS73,IF(BI$2=$BT$1,$BT73,IF(BI$2=$BU$1,$BU73,INDEX(Tiere!$BN$2:$BN$145,_xlfn.AGGREGATE(15,6,(ROW(Tiere!$BN$2:$BN$145)-1)/(--(SEARCH(BI$2,Tiere!$BN$2:$BN$145)&gt;0)),ROW()-1),1))))))))),"")</f>
        <v/>
      </c>
      <c r="BI74" s="2436"/>
      <c r="BJ74" s="2472" t="str">
        <f>IFERROR(IF(OR(BK$2="ZURÜCK ZUR AUSWAHL",BK$2="",BK$2=0),"",IF(BK$2=$BO$1,$BO73,IF(BK$2=$BP$1,$BP73,IF(BK$2=$BQ$1,$BQ73,IF(BK$2=$BR$1,$BR73,IF(BK$2=$BS$1,$BS73,IF(BK$2=$BT$1,$BT73,IF(BK$2=$BU$1,$BU73,INDEX(Tiere!$BN$2:$BN$145,_xlfn.AGGREGATE(15,6,(ROW(Tiere!$BN$2:$BN$145)-1)/(--(SEARCH(BK$2,Tiere!$BN$2:$BN$145)&gt;0)),ROW()-1),1))))))))),"")</f>
        <v/>
      </c>
      <c r="BK74" s="2436"/>
      <c r="BL74" s="2472" t="str">
        <f>IFERROR(IF(OR(BM$2="ZURÜCK ZUR AUSWAHL",BM$2="",BM$2=0),"",IF(BM$2=$BO$1,$BO73,IF(BM$2=$BP$1,$BP73,IF(BM$2=$BQ$1,$BQ73,IF(BM$2=$BR$1,$BR73,IF(BM$2=$BS$1,$BS73,IF(BM$2=$BT$1,$BT73,IF(BM$2=$BU$1,$BU73,INDEX(Tiere!$BN$2:$BN$145,_xlfn.AGGREGATE(15,6,(ROW(Tiere!$BN$2:$BN$145)-1)/(--(SEARCH(BM$2,Tiere!$BN$2:$BN$145)&gt;0)),ROW()-1),1))))))))),"")</f>
        <v/>
      </c>
      <c r="BM74" s="2436"/>
      <c r="BN74" s="2478" t="s">
        <v>1243</v>
      </c>
      <c r="BO74" s="2470"/>
      <c r="BP74" s="2470"/>
      <c r="BQ74" s="2470"/>
      <c r="BR74" s="2470"/>
      <c r="BS74" s="2470"/>
      <c r="BT74" s="2470"/>
      <c r="BU74" s="2470"/>
    </row>
    <row r="75" spans="36:73" ht="13.8" thickBot="1">
      <c r="AJ75" s="2472" t="str">
        <f>IFERROR(IF(OR(AK$2="ZURÜCK ZUR AUSWAHL",AK$2="",AK$2=0),"",IF(AK$2=$BO$1,$BO74,IF(AK$2=$BP$1,$BP74,IF(AK$2=$BQ$1,$BQ74,IF(AK$2=$BR$1,$BR74,IF(AK$2=$BS$1,$BS74,IF(AK$2=$BT$1,$BT74,IF(AK$2=$BU$1,$BU74,INDEX(Tiere!$BN$2:$BN$145,_xlfn.AGGREGATE(15,6,(ROW(Tiere!$BN$2:$BN$145)-1)/(--(SEARCH(AK$2,Tiere!$BN$2:$BN$145)&gt;0)),ROW()-2),1))))))))),"")</f>
        <v/>
      </c>
      <c r="AK75" s="2438"/>
      <c r="AL75" s="2472" t="str">
        <f>IFERROR(IF(OR(AM$2="ZURÜCK ZUR AUSWAHL",AM$2="",AM$2=0),"",IF(AM$2=$BO$1,$BO74,IF(AM$2=$BP$1,$BP74,IF(AM$2=$BQ$1,$BQ74,IF(AM$2=$BR$1,$BR74,IF(AM$2=$BS$1,$BS74,IF(AM$2=$BT$1,$BT74,IF(AM$2=$BU$1,$BU74,INDEX(Tiere!$BN$2:$BN$145,_xlfn.AGGREGATE(15,6,(ROW(Tiere!$BN$2:$BN$145)-1)/(--(SEARCH(AM$2,Tiere!$BN$2:$BN$145)&gt;0)),ROW()-1),1))))))))),"")</f>
        <v/>
      </c>
      <c r="AM75" s="2438"/>
      <c r="AN75" s="2472" t="str">
        <f>IFERROR(IF(OR(AO$2="ZURÜCK ZUR AUSWAHL",AO$2="",AO$2=0),"",IF(AO$2=$BO$1,$BO74,IF(AO$2=$BP$1,$BP74,IF(AO$2=$BQ$1,$BQ74,IF(AO$2=$BR$1,$BR74,IF(AO$2=$BS$1,$BS74,IF(AO$2=$BT$1,$BT74,IF(AO$2=$BU$1,$BU74,INDEX(Tiere!$BN$2:$BN$145,_xlfn.AGGREGATE(15,6,(ROW(Tiere!$BN$2:$BN$145)-1)/(--(SEARCH(AO$2,Tiere!$BN$2:$BN$145)&gt;0)),ROW()-1),1))))))))),"")</f>
        <v/>
      </c>
      <c r="AO75" s="2438"/>
      <c r="AP75" s="2472" t="str">
        <f>IFERROR(IF(OR(AQ$2="ZURÜCK ZUR AUSWAHL",AQ$2="",AQ$2=0),"",IF(AQ$2=$BO$1,$BO74,IF(AQ$2=$BP$1,$BP74,IF(AQ$2=$BQ$1,$BQ74,IF(AQ$2=$BR$1,$BR74,IF(AQ$2=$BS$1,$BS74,IF(AQ$2=$BT$1,$BT74,IF(AQ$2=$BU$1,$BU74,INDEX(Tiere!$BN$2:$BN$145,_xlfn.AGGREGATE(15,6,(ROW(Tiere!$BN$2:$BN$145)-1)/(--(SEARCH(AQ$2,Tiere!$BN$2:$BN$145)&gt;0)),ROW()-1),1))))))))),"")</f>
        <v/>
      </c>
      <c r="AQ75" s="2438"/>
      <c r="AR75" s="2472" t="str">
        <f>IFERROR(IF(OR(AS$2="ZURÜCK ZUR AUSWAHL",AS$2="",AS$2=0),"",IF(AS$2=$BO$1,$BO74,IF(AS$2=$BP$1,$BP74,IF(AS$2=$BQ$1,$BQ74,IF(AS$2=$BR$1,$BR74,IF(AS$2=$BS$1,$BS74,IF(AS$2=$BT$1,$BT74,IF(AS$2=$BU$1,$BU74,INDEX(Tiere!$BN$2:$BN$145,_xlfn.AGGREGATE(15,6,(ROW(Tiere!$BN$2:$BN$145)-1)/(--(SEARCH(AS$2,Tiere!$BN$2:$BN$145)&gt;0)),ROW()-1),1))))))))),"")</f>
        <v/>
      </c>
      <c r="AS75" s="2438"/>
      <c r="AT75" s="2472" t="str">
        <f>IFERROR(IF(OR(AU$2="ZURÜCK ZUR AUSWAHL",AU$2="",AU$2=0),"",IF(AU$2=$BO$1,$BO74,IF(AU$2=$BP$1,$BP74,IF(AU$2=$BQ$1,$BQ74,IF(AU$2=$BR$1,$BR74,IF(AU$2=$BS$1,$BS74,IF(AU$2=$BT$1,$BT74,IF(AU$2=$BU$1,$BU74,INDEX(Tiere!$BN$2:$BN$145,_xlfn.AGGREGATE(15,6,(ROW(Tiere!$BN$2:$BN$145)-1)/(--(SEARCH(AU$2,Tiere!$BN$2:$BN$145)&gt;0)),ROW()-1),1))))))))),"")</f>
        <v/>
      </c>
      <c r="AU75" s="2438"/>
      <c r="AV75" s="2472" t="str">
        <f>IFERROR(IF(OR(AW$2="ZURÜCK ZUR AUSWAHL",AW$2="",AW$2=0),"",IF(AW$2=$BO$1,$BO74,IF(AW$2=$BP$1,$BP74,IF(AW$2=$BQ$1,$BQ74,IF(AW$2=$BR$1,$BR74,IF(AW$2=$BS$1,$BS74,IF(AW$2=$BT$1,$BT74,IF(AW$2=$BU$1,$BU74,INDEX(Tiere!$BN$2:$BN$145,_xlfn.AGGREGATE(15,6,(ROW(Tiere!$BN$2:$BN$145)-1)/(--(SEARCH(AW$2,Tiere!$BN$2:$BN$145)&gt;0)),ROW()-1),1))))))))),"")</f>
        <v/>
      </c>
      <c r="AW75" s="2438"/>
      <c r="AX75" s="2472" t="str">
        <f>IFERROR(IF(OR(AY$2="ZURÜCK ZUR AUSWAHL",AY$2="",AY$2=0),"",IF(AY$2=$BO$1,$BO74,IF(AY$2=$BP$1,$BP74,IF(AY$2=$BQ$1,$BQ74,IF(AY$2=$BR$1,$BR74,IF(AY$2=$BS$1,$BS74,IF(AY$2=$BT$1,$BT74,IF(AY$2=$BU$1,$BU74,INDEX(Tiere!$BN$2:$BN$145,_xlfn.AGGREGATE(15,6,(ROW(Tiere!$BN$2:$BN$145)-1)/(--(SEARCH(AY$2,Tiere!$BN$2:$BN$145)&gt;0)),ROW()-1),1))))))))),"")</f>
        <v/>
      </c>
      <c r="AY75" s="2438"/>
      <c r="AZ75" s="2472" t="str">
        <f>IFERROR(IF(OR(BA$2="ZURÜCK ZUR AUSWAHL",BA$2="",BA$2=0),"",IF(BA$2=$BO$1,$BO74,IF(BA$2=$BP$1,$BP74,IF(BA$2=$BQ$1,$BQ74,IF(BA$2=$BR$1,$BR74,IF(BA$2=$BS$1,$BS74,IF(BA$2=$BT$1,$BT74,IF(BA$2=$BU$1,$BU74,INDEX(Tiere!$BN$2:$BN$145,_xlfn.AGGREGATE(15,6,(ROW(Tiere!$BN$2:$BN$145)-1)/(--(SEARCH(BA$2,Tiere!$BN$2:$BN$145)&gt;0)),ROW()-1),1))))))))),"")</f>
        <v/>
      </c>
      <c r="BA75" s="2438"/>
      <c r="BB75" s="2472" t="str">
        <f>IFERROR(IF(OR(BC$2="ZURÜCK ZUR AUSWAHL",BC$2="",BC$2=0),"",IF(BC$2=$BO$1,$BO74,IF(BC$2=$BP$1,$BP74,IF(BC$2=$BQ$1,$BQ74,IF(BC$2=$BR$1,$BR74,IF(BC$2=$BS$1,$BS74,IF(BC$2=$BT$1,$BT74,IF(BC$2=$BU$1,$BU74,INDEX(Tiere!$BN$2:$BN$145,_xlfn.AGGREGATE(15,6,(ROW(Tiere!$BN$2:$BN$145)-1)/(--(SEARCH(BC$2,Tiere!$BN$2:$BN$145)&gt;0)),ROW()-1),1))))))))),"")</f>
        <v/>
      </c>
      <c r="BC75" s="2438"/>
      <c r="BD75" s="2472" t="str">
        <f>IFERROR(IF(OR(BE$2="ZURÜCK ZUR AUSWAHL",BE$2="",BE$2=0),"",IF(BE$2=$BO$1,$BO74,IF(BE$2=$BP$1,$BP74,IF(BE$2=$BQ$1,$BQ74,IF(BE$2=$BR$1,$BR74,IF(BE$2=$BS$1,$BS74,IF(BE$2=$BT$1,$BT74,IF(BE$2=$BU$1,$BU74,INDEX(Tiere!$BN$2:$BN$145,_xlfn.AGGREGATE(15,6,(ROW(Tiere!$BN$2:$BN$145)-1)/(--(SEARCH(BE$2,Tiere!$BN$2:$BN$145)&gt;0)),ROW()-1),1))))))))),"")</f>
        <v/>
      </c>
      <c r="BE75" s="2438"/>
      <c r="BF75" s="2472" t="str">
        <f>IFERROR(IF(OR(BG$2="ZURÜCK ZUR AUSWAHL",BG$2="",BG$2=0),"",IF(BG$2=$BO$1,$BO74,IF(BG$2=$BP$1,$BP74,IF(BG$2=$BQ$1,$BQ74,IF(BG$2=$BR$1,$BR74,IF(BG$2=$BS$1,$BS74,IF(BG$2=$BT$1,$BT74,IF(BG$2=$BU$1,$BU74,INDEX(Tiere!$BN$2:$BN$145,_xlfn.AGGREGATE(15,6,(ROW(Tiere!$BN$2:$BN$145)-1)/(--(SEARCH(BG$2,Tiere!$BN$2:$BN$145)&gt;0)),ROW()-1),1))))))))),"")</f>
        <v/>
      </c>
      <c r="BG75" s="2438"/>
      <c r="BH75" s="2472" t="str">
        <f>IFERROR(IF(OR(BI$2="ZURÜCK ZUR AUSWAHL",BI$2="",BI$2=0),"",IF(BI$2=$BO$1,$BO74,IF(BI$2=$BP$1,$BP74,IF(BI$2=$BQ$1,$BQ74,IF(BI$2=$BR$1,$BR74,IF(BI$2=$BS$1,$BS74,IF(BI$2=$BT$1,$BT74,IF(BI$2=$BU$1,$BU74,INDEX(Tiere!$BN$2:$BN$145,_xlfn.AGGREGATE(15,6,(ROW(Tiere!$BN$2:$BN$145)-1)/(--(SEARCH(BI$2,Tiere!$BN$2:$BN$145)&gt;0)),ROW()-1),1))))))))),"")</f>
        <v/>
      </c>
      <c r="BI75" s="2438"/>
      <c r="BJ75" s="2472" t="str">
        <f>IFERROR(IF(OR(BK$2="ZURÜCK ZUR AUSWAHL",BK$2="",BK$2=0),"",IF(BK$2=$BO$1,$BO74,IF(BK$2=$BP$1,$BP74,IF(BK$2=$BQ$1,$BQ74,IF(BK$2=$BR$1,$BR74,IF(BK$2=$BS$1,$BS74,IF(BK$2=$BT$1,$BT74,IF(BK$2=$BU$1,$BU74,INDEX(Tiere!$BN$2:$BN$145,_xlfn.AGGREGATE(15,6,(ROW(Tiere!$BN$2:$BN$145)-1)/(--(SEARCH(BK$2,Tiere!$BN$2:$BN$145)&gt;0)),ROW()-1),1))))))))),"")</f>
        <v/>
      </c>
      <c r="BK75" s="2438"/>
      <c r="BL75" s="2472" t="str">
        <f>IFERROR(IF(OR(BM$2="ZURÜCK ZUR AUSWAHL",BM$2="",BM$2=0),"",IF(BM$2=$BO$1,$BO74,IF(BM$2=$BP$1,$BP74,IF(BM$2=$BQ$1,$BQ74,IF(BM$2=$BR$1,$BR74,IF(BM$2=$BS$1,$BS74,IF(BM$2=$BT$1,$BT74,IF(BM$2=$BU$1,$BU74,INDEX(Tiere!$BN$2:$BN$145,_xlfn.AGGREGATE(15,6,(ROW(Tiere!$BN$2:$BN$145)-1)/(--(SEARCH(BM$2,Tiere!$BN$2:$BN$145)&gt;0)),ROW()-1),1))))))))),"")</f>
        <v/>
      </c>
      <c r="BM75" s="2438"/>
      <c r="BN75" s="2478" t="s">
        <v>1246</v>
      </c>
      <c r="BO75" s="2470"/>
      <c r="BP75" s="2470"/>
      <c r="BQ75" s="2470"/>
      <c r="BR75" s="2470"/>
      <c r="BS75" s="2470"/>
      <c r="BT75" s="2470"/>
      <c r="BU75" s="2470"/>
    </row>
    <row r="76" spans="36:73" ht="13.8" thickBot="1">
      <c r="AJ76" s="2472" t="str">
        <f>IFERROR(IF(OR(AK$2="ZURÜCK ZUR AUSWAHL",AK$2="",AK$2=0),"",IF(AK$2=$BO$1,$BO75,IF(AK$2=$BP$1,$BP75,IF(AK$2=$BQ$1,$BQ75,IF(AK$2=$BR$1,$BR75,IF(AK$2=$BS$1,$BS75,IF(AK$2=$BT$1,$BT75,IF(AK$2=$BU$1,$BU75,INDEX(Tiere!$BN$2:$BN$145,_xlfn.AGGREGATE(15,6,(ROW(Tiere!$BN$2:$BN$145)-1)/(--(SEARCH(AK$2,Tiere!$BN$2:$BN$145)&gt;0)),ROW()-2),1))))))))),"")</f>
        <v/>
      </c>
      <c r="AK76" s="2436"/>
      <c r="AL76" s="2472" t="str">
        <f>IFERROR(IF(OR(AM$2="ZURÜCK ZUR AUSWAHL",AM$2="",AM$2=0),"",IF(AM$2=$BO$1,$BO75,IF(AM$2=$BP$1,$BP75,IF(AM$2=$BQ$1,$BQ75,IF(AM$2=$BR$1,$BR75,IF(AM$2=$BS$1,$BS75,IF(AM$2=$BT$1,$BT75,IF(AM$2=$BU$1,$BU75,INDEX(Tiere!$BN$2:$BN$145,_xlfn.AGGREGATE(15,6,(ROW(Tiere!$BN$2:$BN$145)-1)/(--(SEARCH(AM$2,Tiere!$BN$2:$BN$145)&gt;0)),ROW()-1),1))))))))),"")</f>
        <v/>
      </c>
      <c r="AM76" s="2436"/>
      <c r="AN76" s="2472" t="str">
        <f>IFERROR(IF(OR(AO$2="ZURÜCK ZUR AUSWAHL",AO$2="",AO$2=0),"",IF(AO$2=$BO$1,$BO75,IF(AO$2=$BP$1,$BP75,IF(AO$2=$BQ$1,$BQ75,IF(AO$2=$BR$1,$BR75,IF(AO$2=$BS$1,$BS75,IF(AO$2=$BT$1,$BT75,IF(AO$2=$BU$1,$BU75,INDEX(Tiere!$BN$2:$BN$145,_xlfn.AGGREGATE(15,6,(ROW(Tiere!$BN$2:$BN$145)-1)/(--(SEARCH(AO$2,Tiere!$BN$2:$BN$145)&gt;0)),ROW()-1),1))))))))),"")</f>
        <v/>
      </c>
      <c r="AO76" s="2436"/>
      <c r="AP76" s="2472" t="str">
        <f>IFERROR(IF(OR(AQ$2="ZURÜCK ZUR AUSWAHL",AQ$2="",AQ$2=0),"",IF(AQ$2=$BO$1,$BO75,IF(AQ$2=$BP$1,$BP75,IF(AQ$2=$BQ$1,$BQ75,IF(AQ$2=$BR$1,$BR75,IF(AQ$2=$BS$1,$BS75,IF(AQ$2=$BT$1,$BT75,IF(AQ$2=$BU$1,$BU75,INDEX(Tiere!$BN$2:$BN$145,_xlfn.AGGREGATE(15,6,(ROW(Tiere!$BN$2:$BN$145)-1)/(--(SEARCH(AQ$2,Tiere!$BN$2:$BN$145)&gt;0)),ROW()-1),1))))))))),"")</f>
        <v/>
      </c>
      <c r="AQ76" s="2436"/>
      <c r="AR76" s="2472" t="str">
        <f>IFERROR(IF(OR(AS$2="ZURÜCK ZUR AUSWAHL",AS$2="",AS$2=0),"",IF(AS$2=$BO$1,$BO75,IF(AS$2=$BP$1,$BP75,IF(AS$2=$BQ$1,$BQ75,IF(AS$2=$BR$1,$BR75,IF(AS$2=$BS$1,$BS75,IF(AS$2=$BT$1,$BT75,IF(AS$2=$BU$1,$BU75,INDEX(Tiere!$BN$2:$BN$145,_xlfn.AGGREGATE(15,6,(ROW(Tiere!$BN$2:$BN$145)-1)/(--(SEARCH(AS$2,Tiere!$BN$2:$BN$145)&gt;0)),ROW()-1),1))))))))),"")</f>
        <v/>
      </c>
      <c r="AS76" s="2436"/>
      <c r="AT76" s="2472" t="str">
        <f>IFERROR(IF(OR(AU$2="ZURÜCK ZUR AUSWAHL",AU$2="",AU$2=0),"",IF(AU$2=$BO$1,$BO75,IF(AU$2=$BP$1,$BP75,IF(AU$2=$BQ$1,$BQ75,IF(AU$2=$BR$1,$BR75,IF(AU$2=$BS$1,$BS75,IF(AU$2=$BT$1,$BT75,IF(AU$2=$BU$1,$BU75,INDEX(Tiere!$BN$2:$BN$145,_xlfn.AGGREGATE(15,6,(ROW(Tiere!$BN$2:$BN$145)-1)/(--(SEARCH(AU$2,Tiere!$BN$2:$BN$145)&gt;0)),ROW()-1),1))))))))),"")</f>
        <v/>
      </c>
      <c r="AU76" s="2436"/>
      <c r="AV76" s="2472" t="str">
        <f>IFERROR(IF(OR(AW$2="ZURÜCK ZUR AUSWAHL",AW$2="",AW$2=0),"",IF(AW$2=$BO$1,$BO75,IF(AW$2=$BP$1,$BP75,IF(AW$2=$BQ$1,$BQ75,IF(AW$2=$BR$1,$BR75,IF(AW$2=$BS$1,$BS75,IF(AW$2=$BT$1,$BT75,IF(AW$2=$BU$1,$BU75,INDEX(Tiere!$BN$2:$BN$145,_xlfn.AGGREGATE(15,6,(ROW(Tiere!$BN$2:$BN$145)-1)/(--(SEARCH(AW$2,Tiere!$BN$2:$BN$145)&gt;0)),ROW()-1),1))))))))),"")</f>
        <v/>
      </c>
      <c r="AW76" s="2436"/>
      <c r="AX76" s="2472" t="str">
        <f>IFERROR(IF(OR(AY$2="ZURÜCK ZUR AUSWAHL",AY$2="",AY$2=0),"",IF(AY$2=$BO$1,$BO75,IF(AY$2=$BP$1,$BP75,IF(AY$2=$BQ$1,$BQ75,IF(AY$2=$BR$1,$BR75,IF(AY$2=$BS$1,$BS75,IF(AY$2=$BT$1,$BT75,IF(AY$2=$BU$1,$BU75,INDEX(Tiere!$BN$2:$BN$145,_xlfn.AGGREGATE(15,6,(ROW(Tiere!$BN$2:$BN$145)-1)/(--(SEARCH(AY$2,Tiere!$BN$2:$BN$145)&gt;0)),ROW()-1),1))))))))),"")</f>
        <v/>
      </c>
      <c r="AY76" s="2436"/>
      <c r="AZ76" s="2472" t="str">
        <f>IFERROR(IF(OR(BA$2="ZURÜCK ZUR AUSWAHL",BA$2="",BA$2=0),"",IF(BA$2=$BO$1,$BO75,IF(BA$2=$BP$1,$BP75,IF(BA$2=$BQ$1,$BQ75,IF(BA$2=$BR$1,$BR75,IF(BA$2=$BS$1,$BS75,IF(BA$2=$BT$1,$BT75,IF(BA$2=$BU$1,$BU75,INDEX(Tiere!$BN$2:$BN$145,_xlfn.AGGREGATE(15,6,(ROW(Tiere!$BN$2:$BN$145)-1)/(--(SEARCH(BA$2,Tiere!$BN$2:$BN$145)&gt;0)),ROW()-1),1))))))))),"")</f>
        <v/>
      </c>
      <c r="BA76" s="2436"/>
      <c r="BB76" s="2472" t="str">
        <f>IFERROR(IF(OR(BC$2="ZURÜCK ZUR AUSWAHL",BC$2="",BC$2=0),"",IF(BC$2=$BO$1,$BO75,IF(BC$2=$BP$1,$BP75,IF(BC$2=$BQ$1,$BQ75,IF(BC$2=$BR$1,$BR75,IF(BC$2=$BS$1,$BS75,IF(BC$2=$BT$1,$BT75,IF(BC$2=$BU$1,$BU75,INDEX(Tiere!$BN$2:$BN$145,_xlfn.AGGREGATE(15,6,(ROW(Tiere!$BN$2:$BN$145)-1)/(--(SEARCH(BC$2,Tiere!$BN$2:$BN$145)&gt;0)),ROW()-1),1))))))))),"")</f>
        <v/>
      </c>
      <c r="BC76" s="2436"/>
      <c r="BD76" s="2472" t="str">
        <f>IFERROR(IF(OR(BE$2="ZURÜCK ZUR AUSWAHL",BE$2="",BE$2=0),"",IF(BE$2=$BO$1,$BO75,IF(BE$2=$BP$1,$BP75,IF(BE$2=$BQ$1,$BQ75,IF(BE$2=$BR$1,$BR75,IF(BE$2=$BS$1,$BS75,IF(BE$2=$BT$1,$BT75,IF(BE$2=$BU$1,$BU75,INDEX(Tiere!$BN$2:$BN$145,_xlfn.AGGREGATE(15,6,(ROW(Tiere!$BN$2:$BN$145)-1)/(--(SEARCH(BE$2,Tiere!$BN$2:$BN$145)&gt;0)),ROW()-1),1))))))))),"")</f>
        <v/>
      </c>
      <c r="BE76" s="2436"/>
      <c r="BF76" s="2472" t="str">
        <f>IFERROR(IF(OR(BG$2="ZURÜCK ZUR AUSWAHL",BG$2="",BG$2=0),"",IF(BG$2=$BO$1,$BO75,IF(BG$2=$BP$1,$BP75,IF(BG$2=$BQ$1,$BQ75,IF(BG$2=$BR$1,$BR75,IF(BG$2=$BS$1,$BS75,IF(BG$2=$BT$1,$BT75,IF(BG$2=$BU$1,$BU75,INDEX(Tiere!$BN$2:$BN$145,_xlfn.AGGREGATE(15,6,(ROW(Tiere!$BN$2:$BN$145)-1)/(--(SEARCH(BG$2,Tiere!$BN$2:$BN$145)&gt;0)),ROW()-1),1))))))))),"")</f>
        <v/>
      </c>
      <c r="BG76" s="2436"/>
      <c r="BH76" s="2472" t="str">
        <f>IFERROR(IF(OR(BI$2="ZURÜCK ZUR AUSWAHL",BI$2="",BI$2=0),"",IF(BI$2=$BO$1,$BO75,IF(BI$2=$BP$1,$BP75,IF(BI$2=$BQ$1,$BQ75,IF(BI$2=$BR$1,$BR75,IF(BI$2=$BS$1,$BS75,IF(BI$2=$BT$1,$BT75,IF(BI$2=$BU$1,$BU75,INDEX(Tiere!$BN$2:$BN$145,_xlfn.AGGREGATE(15,6,(ROW(Tiere!$BN$2:$BN$145)-1)/(--(SEARCH(BI$2,Tiere!$BN$2:$BN$145)&gt;0)),ROW()-1),1))))))))),"")</f>
        <v/>
      </c>
      <c r="BI76" s="2436"/>
      <c r="BJ76" s="2472" t="str">
        <f>IFERROR(IF(OR(BK$2="ZURÜCK ZUR AUSWAHL",BK$2="",BK$2=0),"",IF(BK$2=$BO$1,$BO75,IF(BK$2=$BP$1,$BP75,IF(BK$2=$BQ$1,$BQ75,IF(BK$2=$BR$1,$BR75,IF(BK$2=$BS$1,$BS75,IF(BK$2=$BT$1,$BT75,IF(BK$2=$BU$1,$BU75,INDEX(Tiere!$BN$2:$BN$145,_xlfn.AGGREGATE(15,6,(ROW(Tiere!$BN$2:$BN$145)-1)/(--(SEARCH(BK$2,Tiere!$BN$2:$BN$145)&gt;0)),ROW()-1),1))))))))),"")</f>
        <v/>
      </c>
      <c r="BK76" s="2436"/>
      <c r="BL76" s="2472" t="str">
        <f>IFERROR(IF(OR(BM$2="ZURÜCK ZUR AUSWAHL",BM$2="",BM$2=0),"",IF(BM$2=$BO$1,$BO75,IF(BM$2=$BP$1,$BP75,IF(BM$2=$BQ$1,$BQ75,IF(BM$2=$BR$1,$BR75,IF(BM$2=$BS$1,$BS75,IF(BM$2=$BT$1,$BT75,IF(BM$2=$BU$1,$BU75,INDEX(Tiere!$BN$2:$BN$145,_xlfn.AGGREGATE(15,6,(ROW(Tiere!$BN$2:$BN$145)-1)/(--(SEARCH(BM$2,Tiere!$BN$2:$BN$145)&gt;0)),ROW()-1),1))))))))),"")</f>
        <v/>
      </c>
      <c r="BM76" s="2436"/>
      <c r="BN76" s="2478" t="s">
        <v>1248</v>
      </c>
      <c r="BO76" s="2470"/>
      <c r="BP76" s="2470"/>
      <c r="BQ76" s="2470"/>
      <c r="BR76" s="2470"/>
      <c r="BS76" s="2470"/>
      <c r="BT76" s="2470"/>
      <c r="BU76" s="2470"/>
    </row>
    <row r="77" spans="36:73" ht="13.8" thickBot="1">
      <c r="AJ77" s="2472" t="str">
        <f>IFERROR(IF(OR(AK$2="ZURÜCK ZUR AUSWAHL",AK$2="",AK$2=0),"",IF(AK$2=$BO$1,$BO76,IF(AK$2=$BP$1,$BP76,IF(AK$2=$BQ$1,$BQ76,IF(AK$2=$BR$1,$BR76,IF(AK$2=$BS$1,$BS76,IF(AK$2=$BT$1,$BT76,IF(AK$2=$BU$1,$BU76,INDEX(Tiere!$BN$2:$BN$145,_xlfn.AGGREGATE(15,6,(ROW(Tiere!$BN$2:$BN$145)-1)/(--(SEARCH(AK$2,Tiere!$BN$2:$BN$145)&gt;0)),ROW()-2),1))))))))),"")</f>
        <v/>
      </c>
      <c r="AK77" s="2438"/>
      <c r="AL77" s="2472" t="str">
        <f>IFERROR(IF(OR(AM$2="ZURÜCK ZUR AUSWAHL",AM$2="",AM$2=0),"",IF(AM$2=$BO$1,$BO76,IF(AM$2=$BP$1,$BP76,IF(AM$2=$BQ$1,$BQ76,IF(AM$2=$BR$1,$BR76,IF(AM$2=$BS$1,$BS76,IF(AM$2=$BT$1,$BT76,IF(AM$2=$BU$1,$BU76,INDEX(Tiere!$BN$2:$BN$145,_xlfn.AGGREGATE(15,6,(ROW(Tiere!$BN$2:$BN$145)-1)/(--(SEARCH(AM$2,Tiere!$BN$2:$BN$145)&gt;0)),ROW()-1),1))))))))),"")</f>
        <v/>
      </c>
      <c r="AM77" s="2438"/>
      <c r="AN77" s="2472" t="str">
        <f>IFERROR(IF(OR(AO$2="ZURÜCK ZUR AUSWAHL",AO$2="",AO$2=0),"",IF(AO$2=$BO$1,$BO76,IF(AO$2=$BP$1,$BP76,IF(AO$2=$BQ$1,$BQ76,IF(AO$2=$BR$1,$BR76,IF(AO$2=$BS$1,$BS76,IF(AO$2=$BT$1,$BT76,IF(AO$2=$BU$1,$BU76,INDEX(Tiere!$BN$2:$BN$145,_xlfn.AGGREGATE(15,6,(ROW(Tiere!$BN$2:$BN$145)-1)/(--(SEARCH(AO$2,Tiere!$BN$2:$BN$145)&gt;0)),ROW()-1),1))))))))),"")</f>
        <v/>
      </c>
      <c r="AO77" s="2438"/>
      <c r="AP77" s="2472" t="str">
        <f>IFERROR(IF(OR(AQ$2="ZURÜCK ZUR AUSWAHL",AQ$2="",AQ$2=0),"",IF(AQ$2=$BO$1,$BO76,IF(AQ$2=$BP$1,$BP76,IF(AQ$2=$BQ$1,$BQ76,IF(AQ$2=$BR$1,$BR76,IF(AQ$2=$BS$1,$BS76,IF(AQ$2=$BT$1,$BT76,IF(AQ$2=$BU$1,$BU76,INDEX(Tiere!$BN$2:$BN$145,_xlfn.AGGREGATE(15,6,(ROW(Tiere!$BN$2:$BN$145)-1)/(--(SEARCH(AQ$2,Tiere!$BN$2:$BN$145)&gt;0)),ROW()-1),1))))))))),"")</f>
        <v/>
      </c>
      <c r="AQ77" s="2438"/>
      <c r="AR77" s="2472" t="str">
        <f>IFERROR(IF(OR(AS$2="ZURÜCK ZUR AUSWAHL",AS$2="",AS$2=0),"",IF(AS$2=$BO$1,$BO76,IF(AS$2=$BP$1,$BP76,IF(AS$2=$BQ$1,$BQ76,IF(AS$2=$BR$1,$BR76,IF(AS$2=$BS$1,$BS76,IF(AS$2=$BT$1,$BT76,IF(AS$2=$BU$1,$BU76,INDEX(Tiere!$BN$2:$BN$145,_xlfn.AGGREGATE(15,6,(ROW(Tiere!$BN$2:$BN$145)-1)/(--(SEARCH(AS$2,Tiere!$BN$2:$BN$145)&gt;0)),ROW()-1),1))))))))),"")</f>
        <v/>
      </c>
      <c r="AS77" s="2438"/>
      <c r="AT77" s="2472" t="str">
        <f>IFERROR(IF(OR(AU$2="ZURÜCK ZUR AUSWAHL",AU$2="",AU$2=0),"",IF(AU$2=$BO$1,$BO76,IF(AU$2=$BP$1,$BP76,IF(AU$2=$BQ$1,$BQ76,IF(AU$2=$BR$1,$BR76,IF(AU$2=$BS$1,$BS76,IF(AU$2=$BT$1,$BT76,IF(AU$2=$BU$1,$BU76,INDEX(Tiere!$BN$2:$BN$145,_xlfn.AGGREGATE(15,6,(ROW(Tiere!$BN$2:$BN$145)-1)/(--(SEARCH(AU$2,Tiere!$BN$2:$BN$145)&gt;0)),ROW()-1),1))))))))),"")</f>
        <v/>
      </c>
      <c r="AU77" s="2438"/>
      <c r="AV77" s="2472" t="str">
        <f>IFERROR(IF(OR(AW$2="ZURÜCK ZUR AUSWAHL",AW$2="",AW$2=0),"",IF(AW$2=$BO$1,$BO76,IF(AW$2=$BP$1,$BP76,IF(AW$2=$BQ$1,$BQ76,IF(AW$2=$BR$1,$BR76,IF(AW$2=$BS$1,$BS76,IF(AW$2=$BT$1,$BT76,IF(AW$2=$BU$1,$BU76,INDEX(Tiere!$BN$2:$BN$145,_xlfn.AGGREGATE(15,6,(ROW(Tiere!$BN$2:$BN$145)-1)/(--(SEARCH(AW$2,Tiere!$BN$2:$BN$145)&gt;0)),ROW()-1),1))))))))),"")</f>
        <v/>
      </c>
      <c r="AW77" s="2438"/>
      <c r="AX77" s="2472" t="str">
        <f>IFERROR(IF(OR(AY$2="ZURÜCK ZUR AUSWAHL",AY$2="",AY$2=0),"",IF(AY$2=$BO$1,$BO76,IF(AY$2=$BP$1,$BP76,IF(AY$2=$BQ$1,$BQ76,IF(AY$2=$BR$1,$BR76,IF(AY$2=$BS$1,$BS76,IF(AY$2=$BT$1,$BT76,IF(AY$2=$BU$1,$BU76,INDEX(Tiere!$BN$2:$BN$145,_xlfn.AGGREGATE(15,6,(ROW(Tiere!$BN$2:$BN$145)-1)/(--(SEARCH(AY$2,Tiere!$BN$2:$BN$145)&gt;0)),ROW()-1),1))))))))),"")</f>
        <v/>
      </c>
      <c r="AY77" s="2438"/>
      <c r="AZ77" s="2472" t="str">
        <f>IFERROR(IF(OR(BA$2="ZURÜCK ZUR AUSWAHL",BA$2="",BA$2=0),"",IF(BA$2=$BO$1,$BO76,IF(BA$2=$BP$1,$BP76,IF(BA$2=$BQ$1,$BQ76,IF(BA$2=$BR$1,$BR76,IF(BA$2=$BS$1,$BS76,IF(BA$2=$BT$1,$BT76,IF(BA$2=$BU$1,$BU76,INDEX(Tiere!$BN$2:$BN$145,_xlfn.AGGREGATE(15,6,(ROW(Tiere!$BN$2:$BN$145)-1)/(--(SEARCH(BA$2,Tiere!$BN$2:$BN$145)&gt;0)),ROW()-1),1))))))))),"")</f>
        <v/>
      </c>
      <c r="BA77" s="2438"/>
      <c r="BB77" s="2472" t="str">
        <f>IFERROR(IF(OR(BC$2="ZURÜCK ZUR AUSWAHL",BC$2="",BC$2=0),"",IF(BC$2=$BO$1,$BO76,IF(BC$2=$BP$1,$BP76,IF(BC$2=$BQ$1,$BQ76,IF(BC$2=$BR$1,$BR76,IF(BC$2=$BS$1,$BS76,IF(BC$2=$BT$1,$BT76,IF(BC$2=$BU$1,$BU76,INDEX(Tiere!$BN$2:$BN$145,_xlfn.AGGREGATE(15,6,(ROW(Tiere!$BN$2:$BN$145)-1)/(--(SEARCH(BC$2,Tiere!$BN$2:$BN$145)&gt;0)),ROW()-1),1))))))))),"")</f>
        <v/>
      </c>
      <c r="BC77" s="2438"/>
      <c r="BD77" s="2472" t="str">
        <f>IFERROR(IF(OR(BE$2="ZURÜCK ZUR AUSWAHL",BE$2="",BE$2=0),"",IF(BE$2=$BO$1,$BO76,IF(BE$2=$BP$1,$BP76,IF(BE$2=$BQ$1,$BQ76,IF(BE$2=$BR$1,$BR76,IF(BE$2=$BS$1,$BS76,IF(BE$2=$BT$1,$BT76,IF(BE$2=$BU$1,$BU76,INDEX(Tiere!$BN$2:$BN$145,_xlfn.AGGREGATE(15,6,(ROW(Tiere!$BN$2:$BN$145)-1)/(--(SEARCH(BE$2,Tiere!$BN$2:$BN$145)&gt;0)),ROW()-1),1))))))))),"")</f>
        <v/>
      </c>
      <c r="BE77" s="2438"/>
      <c r="BF77" s="2472" t="str">
        <f>IFERROR(IF(OR(BG$2="ZURÜCK ZUR AUSWAHL",BG$2="",BG$2=0),"",IF(BG$2=$BO$1,$BO76,IF(BG$2=$BP$1,$BP76,IF(BG$2=$BQ$1,$BQ76,IF(BG$2=$BR$1,$BR76,IF(BG$2=$BS$1,$BS76,IF(BG$2=$BT$1,$BT76,IF(BG$2=$BU$1,$BU76,INDEX(Tiere!$BN$2:$BN$145,_xlfn.AGGREGATE(15,6,(ROW(Tiere!$BN$2:$BN$145)-1)/(--(SEARCH(BG$2,Tiere!$BN$2:$BN$145)&gt;0)),ROW()-1),1))))))))),"")</f>
        <v/>
      </c>
      <c r="BG77" s="2438"/>
      <c r="BH77" s="2472" t="str">
        <f>IFERROR(IF(OR(BI$2="ZURÜCK ZUR AUSWAHL",BI$2="",BI$2=0),"",IF(BI$2=$BO$1,$BO76,IF(BI$2=$BP$1,$BP76,IF(BI$2=$BQ$1,$BQ76,IF(BI$2=$BR$1,$BR76,IF(BI$2=$BS$1,$BS76,IF(BI$2=$BT$1,$BT76,IF(BI$2=$BU$1,$BU76,INDEX(Tiere!$BN$2:$BN$145,_xlfn.AGGREGATE(15,6,(ROW(Tiere!$BN$2:$BN$145)-1)/(--(SEARCH(BI$2,Tiere!$BN$2:$BN$145)&gt;0)),ROW()-1),1))))))))),"")</f>
        <v/>
      </c>
      <c r="BI77" s="2438"/>
      <c r="BJ77" s="2472" t="str">
        <f>IFERROR(IF(OR(BK$2="ZURÜCK ZUR AUSWAHL",BK$2="",BK$2=0),"",IF(BK$2=$BO$1,$BO76,IF(BK$2=$BP$1,$BP76,IF(BK$2=$BQ$1,$BQ76,IF(BK$2=$BR$1,$BR76,IF(BK$2=$BS$1,$BS76,IF(BK$2=$BT$1,$BT76,IF(BK$2=$BU$1,$BU76,INDEX(Tiere!$BN$2:$BN$145,_xlfn.AGGREGATE(15,6,(ROW(Tiere!$BN$2:$BN$145)-1)/(--(SEARCH(BK$2,Tiere!$BN$2:$BN$145)&gt;0)),ROW()-1),1))))))))),"")</f>
        <v/>
      </c>
      <c r="BK77" s="2438"/>
      <c r="BL77" s="2472" t="str">
        <f>IFERROR(IF(OR(BM$2="ZURÜCK ZUR AUSWAHL",BM$2="",BM$2=0),"",IF(BM$2=$BO$1,$BO76,IF(BM$2=$BP$1,$BP76,IF(BM$2=$BQ$1,$BQ76,IF(BM$2=$BR$1,$BR76,IF(BM$2=$BS$1,$BS76,IF(BM$2=$BT$1,$BT76,IF(BM$2=$BU$1,$BU76,INDEX(Tiere!$BN$2:$BN$145,_xlfn.AGGREGATE(15,6,(ROW(Tiere!$BN$2:$BN$145)-1)/(--(SEARCH(BM$2,Tiere!$BN$2:$BN$145)&gt;0)),ROW()-1),1))))))))),"")</f>
        <v/>
      </c>
      <c r="BM77" s="2438"/>
      <c r="BN77" s="2478" t="s">
        <v>1249</v>
      </c>
      <c r="BO77" s="2470"/>
      <c r="BP77" s="2470"/>
      <c r="BQ77" s="2470"/>
      <c r="BR77" s="2470"/>
      <c r="BS77" s="2470"/>
      <c r="BT77" s="2470"/>
      <c r="BU77" s="2470"/>
    </row>
    <row r="78" spans="36:73" ht="13.8" thickBot="1">
      <c r="AJ78" s="2472" t="str">
        <f>IFERROR(IF(OR(AK$2="ZURÜCK ZUR AUSWAHL",AK$2="",AK$2=0),"",IF(AK$2=$BO$1,$BO77,IF(AK$2=$BP$1,$BP77,IF(AK$2=$BQ$1,$BQ77,IF(AK$2=$BR$1,$BR77,IF(AK$2=$BS$1,$BS77,IF(AK$2=$BT$1,$BT77,IF(AK$2=$BU$1,$BU77,INDEX(Tiere!$BN$2:$BN$145,_xlfn.AGGREGATE(15,6,(ROW(Tiere!$BN$2:$BN$145)-1)/(--(SEARCH(AK$2,Tiere!$BN$2:$BN$145)&gt;0)),ROW()-2),1))))))))),"")</f>
        <v/>
      </c>
      <c r="AK78" s="2436"/>
      <c r="AL78" s="2472" t="str">
        <f>IFERROR(IF(OR(AM$2="ZURÜCK ZUR AUSWAHL",AM$2="",AM$2=0),"",IF(AM$2=$BO$1,$BO77,IF(AM$2=$BP$1,$BP77,IF(AM$2=$BQ$1,$BQ77,IF(AM$2=$BR$1,$BR77,IF(AM$2=$BS$1,$BS77,IF(AM$2=$BT$1,$BT77,IF(AM$2=$BU$1,$BU77,INDEX(Tiere!$BN$2:$BN$145,_xlfn.AGGREGATE(15,6,(ROW(Tiere!$BN$2:$BN$145)-1)/(--(SEARCH(AM$2,Tiere!$BN$2:$BN$145)&gt;0)),ROW()-1),1))))))))),"")</f>
        <v/>
      </c>
      <c r="AM78" s="2436"/>
      <c r="AN78" s="2472" t="str">
        <f>IFERROR(IF(OR(AO$2="ZURÜCK ZUR AUSWAHL",AO$2="",AO$2=0),"",IF(AO$2=$BO$1,$BO77,IF(AO$2=$BP$1,$BP77,IF(AO$2=$BQ$1,$BQ77,IF(AO$2=$BR$1,$BR77,IF(AO$2=$BS$1,$BS77,IF(AO$2=$BT$1,$BT77,IF(AO$2=$BU$1,$BU77,INDEX(Tiere!$BN$2:$BN$145,_xlfn.AGGREGATE(15,6,(ROW(Tiere!$BN$2:$BN$145)-1)/(--(SEARCH(AO$2,Tiere!$BN$2:$BN$145)&gt;0)),ROW()-1),1))))))))),"")</f>
        <v/>
      </c>
      <c r="AO78" s="2436"/>
      <c r="AP78" s="2472" t="str">
        <f>IFERROR(IF(OR(AQ$2="ZURÜCK ZUR AUSWAHL",AQ$2="",AQ$2=0),"",IF(AQ$2=$BO$1,$BO77,IF(AQ$2=$BP$1,$BP77,IF(AQ$2=$BQ$1,$BQ77,IF(AQ$2=$BR$1,$BR77,IF(AQ$2=$BS$1,$BS77,IF(AQ$2=$BT$1,$BT77,IF(AQ$2=$BU$1,$BU77,INDEX(Tiere!$BN$2:$BN$145,_xlfn.AGGREGATE(15,6,(ROW(Tiere!$BN$2:$BN$145)-1)/(--(SEARCH(AQ$2,Tiere!$BN$2:$BN$145)&gt;0)),ROW()-1),1))))))))),"")</f>
        <v/>
      </c>
      <c r="AQ78" s="2436"/>
      <c r="AR78" s="2472" t="str">
        <f>IFERROR(IF(OR(AS$2="ZURÜCK ZUR AUSWAHL",AS$2="",AS$2=0),"",IF(AS$2=$BO$1,$BO77,IF(AS$2=$BP$1,$BP77,IF(AS$2=$BQ$1,$BQ77,IF(AS$2=$BR$1,$BR77,IF(AS$2=$BS$1,$BS77,IF(AS$2=$BT$1,$BT77,IF(AS$2=$BU$1,$BU77,INDEX(Tiere!$BN$2:$BN$145,_xlfn.AGGREGATE(15,6,(ROW(Tiere!$BN$2:$BN$145)-1)/(--(SEARCH(AS$2,Tiere!$BN$2:$BN$145)&gt;0)),ROW()-1),1))))))))),"")</f>
        <v/>
      </c>
      <c r="AS78" s="2436"/>
      <c r="AT78" s="2472" t="str">
        <f>IFERROR(IF(OR(AU$2="ZURÜCK ZUR AUSWAHL",AU$2="",AU$2=0),"",IF(AU$2=$BO$1,$BO77,IF(AU$2=$BP$1,$BP77,IF(AU$2=$BQ$1,$BQ77,IF(AU$2=$BR$1,$BR77,IF(AU$2=$BS$1,$BS77,IF(AU$2=$BT$1,$BT77,IF(AU$2=$BU$1,$BU77,INDEX(Tiere!$BN$2:$BN$145,_xlfn.AGGREGATE(15,6,(ROW(Tiere!$BN$2:$BN$145)-1)/(--(SEARCH(AU$2,Tiere!$BN$2:$BN$145)&gt;0)),ROW()-1),1))))))))),"")</f>
        <v/>
      </c>
      <c r="AU78" s="2436"/>
      <c r="AV78" s="2472" t="str">
        <f>IFERROR(IF(OR(AW$2="ZURÜCK ZUR AUSWAHL",AW$2="",AW$2=0),"",IF(AW$2=$BO$1,$BO77,IF(AW$2=$BP$1,$BP77,IF(AW$2=$BQ$1,$BQ77,IF(AW$2=$BR$1,$BR77,IF(AW$2=$BS$1,$BS77,IF(AW$2=$BT$1,$BT77,IF(AW$2=$BU$1,$BU77,INDEX(Tiere!$BN$2:$BN$145,_xlfn.AGGREGATE(15,6,(ROW(Tiere!$BN$2:$BN$145)-1)/(--(SEARCH(AW$2,Tiere!$BN$2:$BN$145)&gt;0)),ROW()-1),1))))))))),"")</f>
        <v/>
      </c>
      <c r="AW78" s="2436"/>
      <c r="AX78" s="2472" t="str">
        <f>IFERROR(IF(OR(AY$2="ZURÜCK ZUR AUSWAHL",AY$2="",AY$2=0),"",IF(AY$2=$BO$1,$BO77,IF(AY$2=$BP$1,$BP77,IF(AY$2=$BQ$1,$BQ77,IF(AY$2=$BR$1,$BR77,IF(AY$2=$BS$1,$BS77,IF(AY$2=$BT$1,$BT77,IF(AY$2=$BU$1,$BU77,INDEX(Tiere!$BN$2:$BN$145,_xlfn.AGGREGATE(15,6,(ROW(Tiere!$BN$2:$BN$145)-1)/(--(SEARCH(AY$2,Tiere!$BN$2:$BN$145)&gt;0)),ROW()-1),1))))))))),"")</f>
        <v/>
      </c>
      <c r="AY78" s="2436"/>
      <c r="AZ78" s="2472" t="str">
        <f>IFERROR(IF(OR(BA$2="ZURÜCK ZUR AUSWAHL",BA$2="",BA$2=0),"",IF(BA$2=$BO$1,$BO77,IF(BA$2=$BP$1,$BP77,IF(BA$2=$BQ$1,$BQ77,IF(BA$2=$BR$1,$BR77,IF(BA$2=$BS$1,$BS77,IF(BA$2=$BT$1,$BT77,IF(BA$2=$BU$1,$BU77,INDEX(Tiere!$BN$2:$BN$145,_xlfn.AGGREGATE(15,6,(ROW(Tiere!$BN$2:$BN$145)-1)/(--(SEARCH(BA$2,Tiere!$BN$2:$BN$145)&gt;0)),ROW()-1),1))))))))),"")</f>
        <v/>
      </c>
      <c r="BA78" s="2436"/>
      <c r="BB78" s="2472" t="str">
        <f>IFERROR(IF(OR(BC$2="ZURÜCK ZUR AUSWAHL",BC$2="",BC$2=0),"",IF(BC$2=$BO$1,$BO77,IF(BC$2=$BP$1,$BP77,IF(BC$2=$BQ$1,$BQ77,IF(BC$2=$BR$1,$BR77,IF(BC$2=$BS$1,$BS77,IF(BC$2=$BT$1,$BT77,IF(BC$2=$BU$1,$BU77,INDEX(Tiere!$BN$2:$BN$145,_xlfn.AGGREGATE(15,6,(ROW(Tiere!$BN$2:$BN$145)-1)/(--(SEARCH(BC$2,Tiere!$BN$2:$BN$145)&gt;0)),ROW()-1),1))))))))),"")</f>
        <v/>
      </c>
      <c r="BC78" s="2436"/>
      <c r="BD78" s="2472" t="str">
        <f>IFERROR(IF(OR(BE$2="ZURÜCK ZUR AUSWAHL",BE$2="",BE$2=0),"",IF(BE$2=$BO$1,$BO77,IF(BE$2=$BP$1,$BP77,IF(BE$2=$BQ$1,$BQ77,IF(BE$2=$BR$1,$BR77,IF(BE$2=$BS$1,$BS77,IF(BE$2=$BT$1,$BT77,IF(BE$2=$BU$1,$BU77,INDEX(Tiere!$BN$2:$BN$145,_xlfn.AGGREGATE(15,6,(ROW(Tiere!$BN$2:$BN$145)-1)/(--(SEARCH(BE$2,Tiere!$BN$2:$BN$145)&gt;0)),ROW()-1),1))))))))),"")</f>
        <v/>
      </c>
      <c r="BE78" s="2436"/>
      <c r="BF78" s="2472" t="str">
        <f>IFERROR(IF(OR(BG$2="ZURÜCK ZUR AUSWAHL",BG$2="",BG$2=0),"",IF(BG$2=$BO$1,$BO77,IF(BG$2=$BP$1,$BP77,IF(BG$2=$BQ$1,$BQ77,IF(BG$2=$BR$1,$BR77,IF(BG$2=$BS$1,$BS77,IF(BG$2=$BT$1,$BT77,IF(BG$2=$BU$1,$BU77,INDEX(Tiere!$BN$2:$BN$145,_xlfn.AGGREGATE(15,6,(ROW(Tiere!$BN$2:$BN$145)-1)/(--(SEARCH(BG$2,Tiere!$BN$2:$BN$145)&gt;0)),ROW()-1),1))))))))),"")</f>
        <v/>
      </c>
      <c r="BG78" s="2436"/>
      <c r="BH78" s="2472" t="str">
        <f>IFERROR(IF(OR(BI$2="ZURÜCK ZUR AUSWAHL",BI$2="",BI$2=0),"",IF(BI$2=$BO$1,$BO77,IF(BI$2=$BP$1,$BP77,IF(BI$2=$BQ$1,$BQ77,IF(BI$2=$BR$1,$BR77,IF(BI$2=$BS$1,$BS77,IF(BI$2=$BT$1,$BT77,IF(BI$2=$BU$1,$BU77,INDEX(Tiere!$BN$2:$BN$145,_xlfn.AGGREGATE(15,6,(ROW(Tiere!$BN$2:$BN$145)-1)/(--(SEARCH(BI$2,Tiere!$BN$2:$BN$145)&gt;0)),ROW()-1),1))))))))),"")</f>
        <v/>
      </c>
      <c r="BI78" s="2436"/>
      <c r="BJ78" s="2472" t="str">
        <f>IFERROR(IF(OR(BK$2="ZURÜCK ZUR AUSWAHL",BK$2="",BK$2=0),"",IF(BK$2=$BO$1,$BO77,IF(BK$2=$BP$1,$BP77,IF(BK$2=$BQ$1,$BQ77,IF(BK$2=$BR$1,$BR77,IF(BK$2=$BS$1,$BS77,IF(BK$2=$BT$1,$BT77,IF(BK$2=$BU$1,$BU77,INDEX(Tiere!$BN$2:$BN$145,_xlfn.AGGREGATE(15,6,(ROW(Tiere!$BN$2:$BN$145)-1)/(--(SEARCH(BK$2,Tiere!$BN$2:$BN$145)&gt;0)),ROW()-1),1))))))))),"")</f>
        <v/>
      </c>
      <c r="BK78" s="2436"/>
      <c r="BL78" s="2472" t="str">
        <f>IFERROR(IF(OR(BM$2="ZURÜCK ZUR AUSWAHL",BM$2="",BM$2=0),"",IF(BM$2=$BO$1,$BO77,IF(BM$2=$BP$1,$BP77,IF(BM$2=$BQ$1,$BQ77,IF(BM$2=$BR$1,$BR77,IF(BM$2=$BS$1,$BS77,IF(BM$2=$BT$1,$BT77,IF(BM$2=$BU$1,$BU77,INDEX(Tiere!$BN$2:$BN$145,_xlfn.AGGREGATE(15,6,(ROW(Tiere!$BN$2:$BN$145)-1)/(--(SEARCH(BM$2,Tiere!$BN$2:$BN$145)&gt;0)),ROW()-1),1))))))))),"")</f>
        <v/>
      </c>
      <c r="BM78" s="2436"/>
      <c r="BN78" s="2478" t="s">
        <v>1250</v>
      </c>
      <c r="BO78" s="2470"/>
      <c r="BP78" s="2470"/>
      <c r="BQ78" s="2470"/>
      <c r="BR78" s="2470"/>
      <c r="BS78" s="2470"/>
      <c r="BT78" s="2470"/>
      <c r="BU78" s="2470"/>
    </row>
    <row r="79" spans="36:73" ht="13.8" thickBot="1">
      <c r="AJ79" s="2472" t="str">
        <f>IFERROR(IF(OR(AK$2="ZURÜCK ZUR AUSWAHL",AK$2="",AK$2=0),"",IF(AK$2=$BO$1,$BO78,IF(AK$2=$BP$1,$BP78,IF(AK$2=$BQ$1,$BQ78,IF(AK$2=$BR$1,$BR78,IF(AK$2=$BS$1,$BS78,IF(AK$2=$BT$1,$BT78,IF(AK$2=$BU$1,$BU78,INDEX(Tiere!$BN$2:$BN$145,_xlfn.AGGREGATE(15,6,(ROW(Tiere!$BN$2:$BN$145)-1)/(--(SEARCH(AK$2,Tiere!$BN$2:$BN$145)&gt;0)),ROW()-2),1))))))))),"")</f>
        <v/>
      </c>
      <c r="AK79" s="2438"/>
      <c r="AL79" s="2472" t="str">
        <f>IFERROR(IF(OR(AM$2="ZURÜCK ZUR AUSWAHL",AM$2="",AM$2=0),"",IF(AM$2=$BO$1,$BO78,IF(AM$2=$BP$1,$BP78,IF(AM$2=$BQ$1,$BQ78,IF(AM$2=$BR$1,$BR78,IF(AM$2=$BS$1,$BS78,IF(AM$2=$BT$1,$BT78,IF(AM$2=$BU$1,$BU78,INDEX(Tiere!$BN$2:$BN$145,_xlfn.AGGREGATE(15,6,(ROW(Tiere!$BN$2:$BN$145)-1)/(--(SEARCH(AM$2,Tiere!$BN$2:$BN$145)&gt;0)),ROW()-1),1))))))))),"")</f>
        <v/>
      </c>
      <c r="AM79" s="2438"/>
      <c r="AN79" s="2472" t="str">
        <f>IFERROR(IF(OR(AO$2="ZURÜCK ZUR AUSWAHL",AO$2="",AO$2=0),"",IF(AO$2=$BO$1,$BO78,IF(AO$2=$BP$1,$BP78,IF(AO$2=$BQ$1,$BQ78,IF(AO$2=$BR$1,$BR78,IF(AO$2=$BS$1,$BS78,IF(AO$2=$BT$1,$BT78,IF(AO$2=$BU$1,$BU78,INDEX(Tiere!$BN$2:$BN$145,_xlfn.AGGREGATE(15,6,(ROW(Tiere!$BN$2:$BN$145)-1)/(--(SEARCH(AO$2,Tiere!$BN$2:$BN$145)&gt;0)),ROW()-1),1))))))))),"")</f>
        <v/>
      </c>
      <c r="AO79" s="2438"/>
      <c r="AP79" s="2472" t="str">
        <f>IFERROR(IF(OR(AQ$2="ZURÜCK ZUR AUSWAHL",AQ$2="",AQ$2=0),"",IF(AQ$2=$BO$1,$BO78,IF(AQ$2=$BP$1,$BP78,IF(AQ$2=$BQ$1,$BQ78,IF(AQ$2=$BR$1,$BR78,IF(AQ$2=$BS$1,$BS78,IF(AQ$2=$BT$1,$BT78,IF(AQ$2=$BU$1,$BU78,INDEX(Tiere!$BN$2:$BN$145,_xlfn.AGGREGATE(15,6,(ROW(Tiere!$BN$2:$BN$145)-1)/(--(SEARCH(AQ$2,Tiere!$BN$2:$BN$145)&gt;0)),ROW()-1),1))))))))),"")</f>
        <v/>
      </c>
      <c r="AQ79" s="2438"/>
      <c r="AR79" s="2472" t="str">
        <f>IFERROR(IF(OR(AS$2="ZURÜCK ZUR AUSWAHL",AS$2="",AS$2=0),"",IF(AS$2=$BO$1,$BO78,IF(AS$2=$BP$1,$BP78,IF(AS$2=$BQ$1,$BQ78,IF(AS$2=$BR$1,$BR78,IF(AS$2=$BS$1,$BS78,IF(AS$2=$BT$1,$BT78,IF(AS$2=$BU$1,$BU78,INDEX(Tiere!$BN$2:$BN$145,_xlfn.AGGREGATE(15,6,(ROW(Tiere!$BN$2:$BN$145)-1)/(--(SEARCH(AS$2,Tiere!$BN$2:$BN$145)&gt;0)),ROW()-1),1))))))))),"")</f>
        <v/>
      </c>
      <c r="AS79" s="2438"/>
      <c r="AT79" s="2472" t="str">
        <f>IFERROR(IF(OR(AU$2="ZURÜCK ZUR AUSWAHL",AU$2="",AU$2=0),"",IF(AU$2=$BO$1,$BO78,IF(AU$2=$BP$1,$BP78,IF(AU$2=$BQ$1,$BQ78,IF(AU$2=$BR$1,$BR78,IF(AU$2=$BS$1,$BS78,IF(AU$2=$BT$1,$BT78,IF(AU$2=$BU$1,$BU78,INDEX(Tiere!$BN$2:$BN$145,_xlfn.AGGREGATE(15,6,(ROW(Tiere!$BN$2:$BN$145)-1)/(--(SEARCH(AU$2,Tiere!$BN$2:$BN$145)&gt;0)),ROW()-1),1))))))))),"")</f>
        <v/>
      </c>
      <c r="AU79" s="2438"/>
      <c r="AV79" s="2472" t="str">
        <f>IFERROR(IF(OR(AW$2="ZURÜCK ZUR AUSWAHL",AW$2="",AW$2=0),"",IF(AW$2=$BO$1,$BO78,IF(AW$2=$BP$1,$BP78,IF(AW$2=$BQ$1,$BQ78,IF(AW$2=$BR$1,$BR78,IF(AW$2=$BS$1,$BS78,IF(AW$2=$BT$1,$BT78,IF(AW$2=$BU$1,$BU78,INDEX(Tiere!$BN$2:$BN$145,_xlfn.AGGREGATE(15,6,(ROW(Tiere!$BN$2:$BN$145)-1)/(--(SEARCH(AW$2,Tiere!$BN$2:$BN$145)&gt;0)),ROW()-1),1))))))))),"")</f>
        <v/>
      </c>
      <c r="AW79" s="2438"/>
      <c r="AX79" s="2472" t="str">
        <f>IFERROR(IF(OR(AY$2="ZURÜCK ZUR AUSWAHL",AY$2="",AY$2=0),"",IF(AY$2=$BO$1,$BO78,IF(AY$2=$BP$1,$BP78,IF(AY$2=$BQ$1,$BQ78,IF(AY$2=$BR$1,$BR78,IF(AY$2=$BS$1,$BS78,IF(AY$2=$BT$1,$BT78,IF(AY$2=$BU$1,$BU78,INDEX(Tiere!$BN$2:$BN$145,_xlfn.AGGREGATE(15,6,(ROW(Tiere!$BN$2:$BN$145)-1)/(--(SEARCH(AY$2,Tiere!$BN$2:$BN$145)&gt;0)),ROW()-1),1))))))))),"")</f>
        <v/>
      </c>
      <c r="AY79" s="2438"/>
      <c r="AZ79" s="2472" t="str">
        <f>IFERROR(IF(OR(BA$2="ZURÜCK ZUR AUSWAHL",BA$2="",BA$2=0),"",IF(BA$2=$BO$1,$BO78,IF(BA$2=$BP$1,$BP78,IF(BA$2=$BQ$1,$BQ78,IF(BA$2=$BR$1,$BR78,IF(BA$2=$BS$1,$BS78,IF(BA$2=$BT$1,$BT78,IF(BA$2=$BU$1,$BU78,INDEX(Tiere!$BN$2:$BN$145,_xlfn.AGGREGATE(15,6,(ROW(Tiere!$BN$2:$BN$145)-1)/(--(SEARCH(BA$2,Tiere!$BN$2:$BN$145)&gt;0)),ROW()-1),1))))))))),"")</f>
        <v/>
      </c>
      <c r="BA79" s="2438"/>
      <c r="BB79" s="2472" t="str">
        <f>IFERROR(IF(OR(BC$2="ZURÜCK ZUR AUSWAHL",BC$2="",BC$2=0),"",IF(BC$2=$BO$1,$BO78,IF(BC$2=$BP$1,$BP78,IF(BC$2=$BQ$1,$BQ78,IF(BC$2=$BR$1,$BR78,IF(BC$2=$BS$1,$BS78,IF(BC$2=$BT$1,$BT78,IF(BC$2=$BU$1,$BU78,INDEX(Tiere!$BN$2:$BN$145,_xlfn.AGGREGATE(15,6,(ROW(Tiere!$BN$2:$BN$145)-1)/(--(SEARCH(BC$2,Tiere!$BN$2:$BN$145)&gt;0)),ROW()-1),1))))))))),"")</f>
        <v/>
      </c>
      <c r="BC79" s="2438"/>
      <c r="BD79" s="2472" t="str">
        <f>IFERROR(IF(OR(BE$2="ZURÜCK ZUR AUSWAHL",BE$2="",BE$2=0),"",IF(BE$2=$BO$1,$BO78,IF(BE$2=$BP$1,$BP78,IF(BE$2=$BQ$1,$BQ78,IF(BE$2=$BR$1,$BR78,IF(BE$2=$BS$1,$BS78,IF(BE$2=$BT$1,$BT78,IF(BE$2=$BU$1,$BU78,INDEX(Tiere!$BN$2:$BN$145,_xlfn.AGGREGATE(15,6,(ROW(Tiere!$BN$2:$BN$145)-1)/(--(SEARCH(BE$2,Tiere!$BN$2:$BN$145)&gt;0)),ROW()-1),1))))))))),"")</f>
        <v/>
      </c>
      <c r="BE79" s="2438"/>
      <c r="BF79" s="2472" t="str">
        <f>IFERROR(IF(OR(BG$2="ZURÜCK ZUR AUSWAHL",BG$2="",BG$2=0),"",IF(BG$2=$BO$1,$BO78,IF(BG$2=$BP$1,$BP78,IF(BG$2=$BQ$1,$BQ78,IF(BG$2=$BR$1,$BR78,IF(BG$2=$BS$1,$BS78,IF(BG$2=$BT$1,$BT78,IF(BG$2=$BU$1,$BU78,INDEX(Tiere!$BN$2:$BN$145,_xlfn.AGGREGATE(15,6,(ROW(Tiere!$BN$2:$BN$145)-1)/(--(SEARCH(BG$2,Tiere!$BN$2:$BN$145)&gt;0)),ROW()-1),1))))))))),"")</f>
        <v/>
      </c>
      <c r="BG79" s="2438"/>
      <c r="BH79" s="2472" t="str">
        <f>IFERROR(IF(OR(BI$2="ZURÜCK ZUR AUSWAHL",BI$2="",BI$2=0),"",IF(BI$2=$BO$1,$BO78,IF(BI$2=$BP$1,$BP78,IF(BI$2=$BQ$1,$BQ78,IF(BI$2=$BR$1,$BR78,IF(BI$2=$BS$1,$BS78,IF(BI$2=$BT$1,$BT78,IF(BI$2=$BU$1,$BU78,INDEX(Tiere!$BN$2:$BN$145,_xlfn.AGGREGATE(15,6,(ROW(Tiere!$BN$2:$BN$145)-1)/(--(SEARCH(BI$2,Tiere!$BN$2:$BN$145)&gt;0)),ROW()-1),1))))))))),"")</f>
        <v/>
      </c>
      <c r="BI79" s="2438"/>
      <c r="BJ79" s="2472" t="str">
        <f>IFERROR(IF(OR(BK$2="ZURÜCK ZUR AUSWAHL",BK$2="",BK$2=0),"",IF(BK$2=$BO$1,$BO78,IF(BK$2=$BP$1,$BP78,IF(BK$2=$BQ$1,$BQ78,IF(BK$2=$BR$1,$BR78,IF(BK$2=$BS$1,$BS78,IF(BK$2=$BT$1,$BT78,IF(BK$2=$BU$1,$BU78,INDEX(Tiere!$BN$2:$BN$145,_xlfn.AGGREGATE(15,6,(ROW(Tiere!$BN$2:$BN$145)-1)/(--(SEARCH(BK$2,Tiere!$BN$2:$BN$145)&gt;0)),ROW()-1),1))))))))),"")</f>
        <v/>
      </c>
      <c r="BK79" s="2438"/>
      <c r="BL79" s="2472" t="str">
        <f>IFERROR(IF(OR(BM$2="ZURÜCK ZUR AUSWAHL",BM$2="",BM$2=0),"",IF(BM$2=$BO$1,$BO78,IF(BM$2=$BP$1,$BP78,IF(BM$2=$BQ$1,$BQ78,IF(BM$2=$BR$1,$BR78,IF(BM$2=$BS$1,$BS78,IF(BM$2=$BT$1,$BT78,IF(BM$2=$BU$1,$BU78,INDEX(Tiere!$BN$2:$BN$145,_xlfn.AGGREGATE(15,6,(ROW(Tiere!$BN$2:$BN$145)-1)/(--(SEARCH(BM$2,Tiere!$BN$2:$BN$145)&gt;0)),ROW()-1),1))))))))),"")</f>
        <v/>
      </c>
      <c r="BM79" s="2438"/>
      <c r="BN79" s="2478" t="s">
        <v>1252</v>
      </c>
      <c r="BO79" s="2470"/>
      <c r="BP79" s="2470"/>
      <c r="BQ79" s="2470"/>
      <c r="BR79" s="2470"/>
      <c r="BS79" s="2470"/>
      <c r="BT79" s="2470"/>
      <c r="BU79" s="2470"/>
    </row>
    <row r="80" spans="36:73" ht="14.4" thickTop="1" thickBot="1">
      <c r="AJ80" s="2472" t="str">
        <f>IFERROR(IF(OR(AK$2="ZURÜCK ZUR AUSWAHL",AK$2="",AK$2=0),"",IF(AK$2=$BO$1,$BO79,IF(AK$2=$BP$1,$BP79,IF(AK$2=$BQ$1,$BQ79,IF(AK$2=$BR$1,$BR79,IF(AK$2=$BS$1,$BS79,IF(AK$2=$BT$1,$BT79,IF(AK$2=$BU$1,$BU79,INDEX(Tiere!$BN$2:$BN$145,_xlfn.AGGREGATE(15,6,(ROW(Tiere!$BN$2:$BN$145)-1)/(--(SEARCH(AK$2,Tiere!$BN$2:$BN$145)&gt;0)),ROW()-2),1))))))))),"")</f>
        <v/>
      </c>
      <c r="AK80" s="2436"/>
      <c r="AL80" s="2472" t="str">
        <f>IFERROR(IF(OR(AM$2="ZURÜCK ZUR AUSWAHL",AM$2="",AM$2=0),"",IF(AM$2=$BO$1,$BO79,IF(AM$2=$BP$1,$BP79,IF(AM$2=$BQ$1,$BQ79,IF(AM$2=$BR$1,$BR79,IF(AM$2=$BS$1,$BS79,IF(AM$2=$BT$1,$BT79,IF(AM$2=$BU$1,$BU79,INDEX(Tiere!$BN$2:$BN$145,_xlfn.AGGREGATE(15,6,(ROW(Tiere!$BN$2:$BN$145)-1)/(--(SEARCH(AM$2,Tiere!$BN$2:$BN$145)&gt;0)),ROW()-1),1))))))))),"")</f>
        <v/>
      </c>
      <c r="AM80" s="2436"/>
      <c r="AN80" s="2472" t="str">
        <f>IFERROR(IF(OR(AO$2="ZURÜCK ZUR AUSWAHL",AO$2="",AO$2=0),"",IF(AO$2=$BO$1,$BO79,IF(AO$2=$BP$1,$BP79,IF(AO$2=$BQ$1,$BQ79,IF(AO$2=$BR$1,$BR79,IF(AO$2=$BS$1,$BS79,IF(AO$2=$BT$1,$BT79,IF(AO$2=$BU$1,$BU79,INDEX(Tiere!$BN$2:$BN$145,_xlfn.AGGREGATE(15,6,(ROW(Tiere!$BN$2:$BN$145)-1)/(--(SEARCH(AO$2,Tiere!$BN$2:$BN$145)&gt;0)),ROW()-1),1))))))))),"")</f>
        <v/>
      </c>
      <c r="AO80" s="2436"/>
      <c r="AP80" s="2472" t="str">
        <f>IFERROR(IF(OR(AQ$2="ZURÜCK ZUR AUSWAHL",AQ$2="",AQ$2=0),"",IF(AQ$2=$BO$1,$BO79,IF(AQ$2=$BP$1,$BP79,IF(AQ$2=$BQ$1,$BQ79,IF(AQ$2=$BR$1,$BR79,IF(AQ$2=$BS$1,$BS79,IF(AQ$2=$BT$1,$BT79,IF(AQ$2=$BU$1,$BU79,INDEX(Tiere!$BN$2:$BN$145,_xlfn.AGGREGATE(15,6,(ROW(Tiere!$BN$2:$BN$145)-1)/(--(SEARCH(AQ$2,Tiere!$BN$2:$BN$145)&gt;0)),ROW()-1),1))))))))),"")</f>
        <v/>
      </c>
      <c r="AQ80" s="2436"/>
      <c r="AR80" s="2472" t="str">
        <f>IFERROR(IF(OR(AS$2="ZURÜCK ZUR AUSWAHL",AS$2="",AS$2=0),"",IF(AS$2=$BO$1,$BO79,IF(AS$2=$BP$1,$BP79,IF(AS$2=$BQ$1,$BQ79,IF(AS$2=$BR$1,$BR79,IF(AS$2=$BS$1,$BS79,IF(AS$2=$BT$1,$BT79,IF(AS$2=$BU$1,$BU79,INDEX(Tiere!$BN$2:$BN$145,_xlfn.AGGREGATE(15,6,(ROW(Tiere!$BN$2:$BN$145)-1)/(--(SEARCH(AS$2,Tiere!$BN$2:$BN$145)&gt;0)),ROW()-1),1))))))))),"")</f>
        <v/>
      </c>
      <c r="AS80" s="2436"/>
      <c r="AT80" s="2472" t="str">
        <f>IFERROR(IF(OR(AU$2="ZURÜCK ZUR AUSWAHL",AU$2="",AU$2=0),"",IF(AU$2=$BO$1,$BO79,IF(AU$2=$BP$1,$BP79,IF(AU$2=$BQ$1,$BQ79,IF(AU$2=$BR$1,$BR79,IF(AU$2=$BS$1,$BS79,IF(AU$2=$BT$1,$BT79,IF(AU$2=$BU$1,$BU79,INDEX(Tiere!$BN$2:$BN$145,_xlfn.AGGREGATE(15,6,(ROW(Tiere!$BN$2:$BN$145)-1)/(--(SEARCH(AU$2,Tiere!$BN$2:$BN$145)&gt;0)),ROW()-1),1))))))))),"")</f>
        <v/>
      </c>
      <c r="AU80" s="2436"/>
      <c r="AV80" s="2472" t="str">
        <f>IFERROR(IF(OR(AW$2="ZURÜCK ZUR AUSWAHL",AW$2="",AW$2=0),"",IF(AW$2=$BO$1,$BO79,IF(AW$2=$BP$1,$BP79,IF(AW$2=$BQ$1,$BQ79,IF(AW$2=$BR$1,$BR79,IF(AW$2=$BS$1,$BS79,IF(AW$2=$BT$1,$BT79,IF(AW$2=$BU$1,$BU79,INDEX(Tiere!$BN$2:$BN$145,_xlfn.AGGREGATE(15,6,(ROW(Tiere!$BN$2:$BN$145)-1)/(--(SEARCH(AW$2,Tiere!$BN$2:$BN$145)&gt;0)),ROW()-1),1))))))))),"")</f>
        <v/>
      </c>
      <c r="AW80" s="2436"/>
      <c r="AX80" s="2472" t="str">
        <f>IFERROR(IF(OR(AY$2="ZURÜCK ZUR AUSWAHL",AY$2="",AY$2=0),"",IF(AY$2=$BO$1,$BO79,IF(AY$2=$BP$1,$BP79,IF(AY$2=$BQ$1,$BQ79,IF(AY$2=$BR$1,$BR79,IF(AY$2=$BS$1,$BS79,IF(AY$2=$BT$1,$BT79,IF(AY$2=$BU$1,$BU79,INDEX(Tiere!$BN$2:$BN$145,_xlfn.AGGREGATE(15,6,(ROW(Tiere!$BN$2:$BN$145)-1)/(--(SEARCH(AY$2,Tiere!$BN$2:$BN$145)&gt;0)),ROW()-1),1))))))))),"")</f>
        <v/>
      </c>
      <c r="AY80" s="2436"/>
      <c r="AZ80" s="2472" t="str">
        <f>IFERROR(IF(OR(BA$2="ZURÜCK ZUR AUSWAHL",BA$2="",BA$2=0),"",IF(BA$2=$BO$1,$BO79,IF(BA$2=$BP$1,$BP79,IF(BA$2=$BQ$1,$BQ79,IF(BA$2=$BR$1,$BR79,IF(BA$2=$BS$1,$BS79,IF(BA$2=$BT$1,$BT79,IF(BA$2=$BU$1,$BU79,INDEX(Tiere!$BN$2:$BN$145,_xlfn.AGGREGATE(15,6,(ROW(Tiere!$BN$2:$BN$145)-1)/(--(SEARCH(BA$2,Tiere!$BN$2:$BN$145)&gt;0)),ROW()-1),1))))))))),"")</f>
        <v/>
      </c>
      <c r="BA80" s="2436"/>
      <c r="BB80" s="2472" t="str">
        <f>IFERROR(IF(OR(BC$2="ZURÜCK ZUR AUSWAHL",BC$2="",BC$2=0),"",IF(BC$2=$BO$1,$BO79,IF(BC$2=$BP$1,$BP79,IF(BC$2=$BQ$1,$BQ79,IF(BC$2=$BR$1,$BR79,IF(BC$2=$BS$1,$BS79,IF(BC$2=$BT$1,$BT79,IF(BC$2=$BU$1,$BU79,INDEX(Tiere!$BN$2:$BN$145,_xlfn.AGGREGATE(15,6,(ROW(Tiere!$BN$2:$BN$145)-1)/(--(SEARCH(BC$2,Tiere!$BN$2:$BN$145)&gt;0)),ROW()-1),1))))))))),"")</f>
        <v/>
      </c>
      <c r="BC80" s="2436"/>
      <c r="BD80" s="2472" t="str">
        <f>IFERROR(IF(OR(BE$2="ZURÜCK ZUR AUSWAHL",BE$2="",BE$2=0),"",IF(BE$2=$BO$1,$BO79,IF(BE$2=$BP$1,$BP79,IF(BE$2=$BQ$1,$BQ79,IF(BE$2=$BR$1,$BR79,IF(BE$2=$BS$1,$BS79,IF(BE$2=$BT$1,$BT79,IF(BE$2=$BU$1,$BU79,INDEX(Tiere!$BN$2:$BN$145,_xlfn.AGGREGATE(15,6,(ROW(Tiere!$BN$2:$BN$145)-1)/(--(SEARCH(BE$2,Tiere!$BN$2:$BN$145)&gt;0)),ROW()-1),1))))))))),"")</f>
        <v/>
      </c>
      <c r="BE80" s="2436"/>
      <c r="BF80" s="2472" t="str">
        <f>IFERROR(IF(OR(BG$2="ZURÜCK ZUR AUSWAHL",BG$2="",BG$2=0),"",IF(BG$2=$BO$1,$BO79,IF(BG$2=$BP$1,$BP79,IF(BG$2=$BQ$1,$BQ79,IF(BG$2=$BR$1,$BR79,IF(BG$2=$BS$1,$BS79,IF(BG$2=$BT$1,$BT79,IF(BG$2=$BU$1,$BU79,INDEX(Tiere!$BN$2:$BN$145,_xlfn.AGGREGATE(15,6,(ROW(Tiere!$BN$2:$BN$145)-1)/(--(SEARCH(BG$2,Tiere!$BN$2:$BN$145)&gt;0)),ROW()-1),1))))))))),"")</f>
        <v/>
      </c>
      <c r="BG80" s="2436"/>
      <c r="BH80" s="2472" t="str">
        <f>IFERROR(IF(OR(BI$2="ZURÜCK ZUR AUSWAHL",BI$2="",BI$2=0),"",IF(BI$2=$BO$1,$BO79,IF(BI$2=$BP$1,$BP79,IF(BI$2=$BQ$1,$BQ79,IF(BI$2=$BR$1,$BR79,IF(BI$2=$BS$1,$BS79,IF(BI$2=$BT$1,$BT79,IF(BI$2=$BU$1,$BU79,INDEX(Tiere!$BN$2:$BN$145,_xlfn.AGGREGATE(15,6,(ROW(Tiere!$BN$2:$BN$145)-1)/(--(SEARCH(BI$2,Tiere!$BN$2:$BN$145)&gt;0)),ROW()-1),1))))))))),"")</f>
        <v/>
      </c>
      <c r="BI80" s="2436"/>
      <c r="BJ80" s="2472" t="str">
        <f>IFERROR(IF(OR(BK$2="ZURÜCK ZUR AUSWAHL",BK$2="",BK$2=0),"",IF(BK$2=$BO$1,$BO79,IF(BK$2=$BP$1,$BP79,IF(BK$2=$BQ$1,$BQ79,IF(BK$2=$BR$1,$BR79,IF(BK$2=$BS$1,$BS79,IF(BK$2=$BT$1,$BT79,IF(BK$2=$BU$1,$BU79,INDEX(Tiere!$BN$2:$BN$145,_xlfn.AGGREGATE(15,6,(ROW(Tiere!$BN$2:$BN$145)-1)/(--(SEARCH(BK$2,Tiere!$BN$2:$BN$145)&gt;0)),ROW()-1),1))))))))),"")</f>
        <v/>
      </c>
      <c r="BK80" s="2436"/>
      <c r="BL80" s="2472" t="str">
        <f>IFERROR(IF(OR(BM$2="ZURÜCK ZUR AUSWAHL",BM$2="",BM$2=0),"",IF(BM$2=$BO$1,$BO79,IF(BM$2=$BP$1,$BP79,IF(BM$2=$BQ$1,$BQ79,IF(BM$2=$BR$1,$BR79,IF(BM$2=$BS$1,$BS79,IF(BM$2=$BT$1,$BT79,IF(BM$2=$BU$1,$BU79,INDEX(Tiere!$BN$2:$BN$145,_xlfn.AGGREGATE(15,6,(ROW(Tiere!$BN$2:$BN$145)-1)/(--(SEARCH(BM$2,Tiere!$BN$2:$BN$145)&gt;0)),ROW()-1),1))))))))),"")</f>
        <v/>
      </c>
      <c r="BM80" s="2436"/>
      <c r="BN80" s="2478" t="s">
        <v>1254</v>
      </c>
      <c r="BO80" s="2470"/>
      <c r="BP80" s="2470"/>
      <c r="BQ80" s="2470"/>
      <c r="BR80" s="2470"/>
      <c r="BS80" s="2470"/>
      <c r="BT80" s="2470"/>
      <c r="BU80" s="2471"/>
    </row>
    <row r="81" spans="36:73" ht="13.8" thickBot="1">
      <c r="AJ81" s="2472" t="str">
        <f>IFERROR(IF(OR(AK$2="ZURÜCK ZUR AUSWAHL",AK$2="",AK$2=0),"",IF(AK$2=$BO$1,$BO80,IF(AK$2=$BP$1,$BP80,IF(AK$2=$BQ$1,$BQ80,IF(AK$2=$BR$1,$BR80,IF(AK$2=$BS$1,$BS80,IF(AK$2=$BT$1,$BT80,IF(AK$2=$BU$1,$BU80,INDEX(Tiere!$BN$2:$BN$145,_xlfn.AGGREGATE(15,6,(ROW(Tiere!$BN$2:$BN$145)-1)/(--(SEARCH(AK$2,Tiere!$BN$2:$BN$145)&gt;0)),ROW()-2),1))))))))),"")</f>
        <v/>
      </c>
      <c r="AK81" s="2438"/>
      <c r="AL81" s="2472" t="str">
        <f>IFERROR(IF(OR(AM$2="ZURÜCK ZUR AUSWAHL",AM$2="",AM$2=0),"",IF(AM$2=$BO$1,$BO80,IF(AM$2=$BP$1,$BP80,IF(AM$2=$BQ$1,$BQ80,IF(AM$2=$BR$1,$BR80,IF(AM$2=$BS$1,$BS80,IF(AM$2=$BT$1,$BT80,IF(AM$2=$BU$1,$BU80,INDEX(Tiere!$BN$2:$BN$145,_xlfn.AGGREGATE(15,6,(ROW(Tiere!$BN$2:$BN$145)-1)/(--(SEARCH(AM$2,Tiere!$BN$2:$BN$145)&gt;0)),ROW()-1),1))))))))),"")</f>
        <v/>
      </c>
      <c r="AM81" s="2438"/>
      <c r="AN81" s="2472" t="str">
        <f>IFERROR(IF(OR(AO$2="ZURÜCK ZUR AUSWAHL",AO$2="",AO$2=0),"",IF(AO$2=$BO$1,$BO80,IF(AO$2=$BP$1,$BP80,IF(AO$2=$BQ$1,$BQ80,IF(AO$2=$BR$1,$BR80,IF(AO$2=$BS$1,$BS80,IF(AO$2=$BT$1,$BT80,IF(AO$2=$BU$1,$BU80,INDEX(Tiere!$BN$2:$BN$145,_xlfn.AGGREGATE(15,6,(ROW(Tiere!$BN$2:$BN$145)-1)/(--(SEARCH(AO$2,Tiere!$BN$2:$BN$145)&gt;0)),ROW()-1),1))))))))),"")</f>
        <v/>
      </c>
      <c r="AO81" s="2438"/>
      <c r="AP81" s="2472" t="str">
        <f>IFERROR(IF(OR(AQ$2="ZURÜCK ZUR AUSWAHL",AQ$2="",AQ$2=0),"",IF(AQ$2=$BO$1,$BO80,IF(AQ$2=$BP$1,$BP80,IF(AQ$2=$BQ$1,$BQ80,IF(AQ$2=$BR$1,$BR80,IF(AQ$2=$BS$1,$BS80,IF(AQ$2=$BT$1,$BT80,IF(AQ$2=$BU$1,$BU80,INDEX(Tiere!$BN$2:$BN$145,_xlfn.AGGREGATE(15,6,(ROW(Tiere!$BN$2:$BN$145)-1)/(--(SEARCH(AQ$2,Tiere!$BN$2:$BN$145)&gt;0)),ROW()-1),1))))))))),"")</f>
        <v/>
      </c>
      <c r="AQ81" s="2438"/>
      <c r="AR81" s="2472" t="str">
        <f>IFERROR(IF(OR(AS$2="ZURÜCK ZUR AUSWAHL",AS$2="",AS$2=0),"",IF(AS$2=$BO$1,$BO80,IF(AS$2=$BP$1,$BP80,IF(AS$2=$BQ$1,$BQ80,IF(AS$2=$BR$1,$BR80,IF(AS$2=$BS$1,$BS80,IF(AS$2=$BT$1,$BT80,IF(AS$2=$BU$1,$BU80,INDEX(Tiere!$BN$2:$BN$145,_xlfn.AGGREGATE(15,6,(ROW(Tiere!$BN$2:$BN$145)-1)/(--(SEARCH(AS$2,Tiere!$BN$2:$BN$145)&gt;0)),ROW()-1),1))))))))),"")</f>
        <v/>
      </c>
      <c r="AS81" s="2438"/>
      <c r="AT81" s="2472" t="str">
        <f>IFERROR(IF(OR(AU$2="ZURÜCK ZUR AUSWAHL",AU$2="",AU$2=0),"",IF(AU$2=$BO$1,$BO80,IF(AU$2=$BP$1,$BP80,IF(AU$2=$BQ$1,$BQ80,IF(AU$2=$BR$1,$BR80,IF(AU$2=$BS$1,$BS80,IF(AU$2=$BT$1,$BT80,IF(AU$2=$BU$1,$BU80,INDEX(Tiere!$BN$2:$BN$145,_xlfn.AGGREGATE(15,6,(ROW(Tiere!$BN$2:$BN$145)-1)/(--(SEARCH(AU$2,Tiere!$BN$2:$BN$145)&gt;0)),ROW()-1),1))))))))),"")</f>
        <v/>
      </c>
      <c r="AU81" s="2438"/>
      <c r="AV81" s="2472" t="str">
        <f>IFERROR(IF(OR(AW$2="ZURÜCK ZUR AUSWAHL",AW$2="",AW$2=0),"",IF(AW$2=$BO$1,$BO80,IF(AW$2=$BP$1,$BP80,IF(AW$2=$BQ$1,$BQ80,IF(AW$2=$BR$1,$BR80,IF(AW$2=$BS$1,$BS80,IF(AW$2=$BT$1,$BT80,IF(AW$2=$BU$1,$BU80,INDEX(Tiere!$BN$2:$BN$145,_xlfn.AGGREGATE(15,6,(ROW(Tiere!$BN$2:$BN$145)-1)/(--(SEARCH(AW$2,Tiere!$BN$2:$BN$145)&gt;0)),ROW()-1),1))))))))),"")</f>
        <v/>
      </c>
      <c r="AW81" s="2438"/>
      <c r="AX81" s="2472" t="str">
        <f>IFERROR(IF(OR(AY$2="ZURÜCK ZUR AUSWAHL",AY$2="",AY$2=0),"",IF(AY$2=$BO$1,$BO80,IF(AY$2=$BP$1,$BP80,IF(AY$2=$BQ$1,$BQ80,IF(AY$2=$BR$1,$BR80,IF(AY$2=$BS$1,$BS80,IF(AY$2=$BT$1,$BT80,IF(AY$2=$BU$1,$BU80,INDEX(Tiere!$BN$2:$BN$145,_xlfn.AGGREGATE(15,6,(ROW(Tiere!$BN$2:$BN$145)-1)/(--(SEARCH(AY$2,Tiere!$BN$2:$BN$145)&gt;0)),ROW()-1),1))))))))),"")</f>
        <v/>
      </c>
      <c r="AY81" s="2438"/>
      <c r="AZ81" s="2472" t="str">
        <f>IFERROR(IF(OR(BA$2="ZURÜCK ZUR AUSWAHL",BA$2="",BA$2=0),"",IF(BA$2=$BO$1,$BO80,IF(BA$2=$BP$1,$BP80,IF(BA$2=$BQ$1,$BQ80,IF(BA$2=$BR$1,$BR80,IF(BA$2=$BS$1,$BS80,IF(BA$2=$BT$1,$BT80,IF(BA$2=$BU$1,$BU80,INDEX(Tiere!$BN$2:$BN$145,_xlfn.AGGREGATE(15,6,(ROW(Tiere!$BN$2:$BN$145)-1)/(--(SEARCH(BA$2,Tiere!$BN$2:$BN$145)&gt;0)),ROW()-1),1))))))))),"")</f>
        <v/>
      </c>
      <c r="BA81" s="2438"/>
      <c r="BB81" s="2472" t="str">
        <f>IFERROR(IF(OR(BC$2="ZURÜCK ZUR AUSWAHL",BC$2="",BC$2=0),"",IF(BC$2=$BO$1,$BO80,IF(BC$2=$BP$1,$BP80,IF(BC$2=$BQ$1,$BQ80,IF(BC$2=$BR$1,$BR80,IF(BC$2=$BS$1,$BS80,IF(BC$2=$BT$1,$BT80,IF(BC$2=$BU$1,$BU80,INDEX(Tiere!$BN$2:$BN$145,_xlfn.AGGREGATE(15,6,(ROW(Tiere!$BN$2:$BN$145)-1)/(--(SEARCH(BC$2,Tiere!$BN$2:$BN$145)&gt;0)),ROW()-1),1))))))))),"")</f>
        <v/>
      </c>
      <c r="BC81" s="2438"/>
      <c r="BD81" s="2472" t="str">
        <f>IFERROR(IF(OR(BE$2="ZURÜCK ZUR AUSWAHL",BE$2="",BE$2=0),"",IF(BE$2=$BO$1,$BO80,IF(BE$2=$BP$1,$BP80,IF(BE$2=$BQ$1,$BQ80,IF(BE$2=$BR$1,$BR80,IF(BE$2=$BS$1,$BS80,IF(BE$2=$BT$1,$BT80,IF(BE$2=$BU$1,$BU80,INDEX(Tiere!$BN$2:$BN$145,_xlfn.AGGREGATE(15,6,(ROW(Tiere!$BN$2:$BN$145)-1)/(--(SEARCH(BE$2,Tiere!$BN$2:$BN$145)&gt;0)),ROW()-1),1))))))))),"")</f>
        <v/>
      </c>
      <c r="BE81" s="2438"/>
      <c r="BF81" s="2472" t="str">
        <f>IFERROR(IF(OR(BG$2="ZURÜCK ZUR AUSWAHL",BG$2="",BG$2=0),"",IF(BG$2=$BO$1,$BO80,IF(BG$2=$BP$1,$BP80,IF(BG$2=$BQ$1,$BQ80,IF(BG$2=$BR$1,$BR80,IF(BG$2=$BS$1,$BS80,IF(BG$2=$BT$1,$BT80,IF(BG$2=$BU$1,$BU80,INDEX(Tiere!$BN$2:$BN$145,_xlfn.AGGREGATE(15,6,(ROW(Tiere!$BN$2:$BN$145)-1)/(--(SEARCH(BG$2,Tiere!$BN$2:$BN$145)&gt;0)),ROW()-1),1))))))))),"")</f>
        <v/>
      </c>
      <c r="BG81" s="2438"/>
      <c r="BH81" s="2472" t="str">
        <f>IFERROR(IF(OR(BI$2="ZURÜCK ZUR AUSWAHL",BI$2="",BI$2=0),"",IF(BI$2=$BO$1,$BO80,IF(BI$2=$BP$1,$BP80,IF(BI$2=$BQ$1,$BQ80,IF(BI$2=$BR$1,$BR80,IF(BI$2=$BS$1,$BS80,IF(BI$2=$BT$1,$BT80,IF(BI$2=$BU$1,$BU80,INDEX(Tiere!$BN$2:$BN$145,_xlfn.AGGREGATE(15,6,(ROW(Tiere!$BN$2:$BN$145)-1)/(--(SEARCH(BI$2,Tiere!$BN$2:$BN$145)&gt;0)),ROW()-1),1))))))))),"")</f>
        <v/>
      </c>
      <c r="BI81" s="2438"/>
      <c r="BJ81" s="2472" t="str">
        <f>IFERROR(IF(OR(BK$2="ZURÜCK ZUR AUSWAHL",BK$2="",BK$2=0),"",IF(BK$2=$BO$1,$BO80,IF(BK$2=$BP$1,$BP80,IF(BK$2=$BQ$1,$BQ80,IF(BK$2=$BR$1,$BR80,IF(BK$2=$BS$1,$BS80,IF(BK$2=$BT$1,$BT80,IF(BK$2=$BU$1,$BU80,INDEX(Tiere!$BN$2:$BN$145,_xlfn.AGGREGATE(15,6,(ROW(Tiere!$BN$2:$BN$145)-1)/(--(SEARCH(BK$2,Tiere!$BN$2:$BN$145)&gt;0)),ROW()-1),1))))))))),"")</f>
        <v/>
      </c>
      <c r="BK81" s="2438"/>
      <c r="BL81" s="2472" t="str">
        <f>IFERROR(IF(OR(BM$2="ZURÜCK ZUR AUSWAHL",BM$2="",BM$2=0),"",IF(BM$2=$BO$1,$BO80,IF(BM$2=$BP$1,$BP80,IF(BM$2=$BQ$1,$BQ80,IF(BM$2=$BR$1,$BR80,IF(BM$2=$BS$1,$BS80,IF(BM$2=$BT$1,$BT80,IF(BM$2=$BU$1,$BU80,INDEX(Tiere!$BN$2:$BN$145,_xlfn.AGGREGATE(15,6,(ROW(Tiere!$BN$2:$BN$145)-1)/(--(SEARCH(BM$2,Tiere!$BN$2:$BN$145)&gt;0)),ROW()-1),1))))))))),"")</f>
        <v/>
      </c>
      <c r="BM81" s="2438"/>
      <c r="BN81" s="2478" t="s">
        <v>1255</v>
      </c>
      <c r="BO81" s="2470"/>
      <c r="BP81" s="2470"/>
      <c r="BQ81" s="2470"/>
      <c r="BR81" s="2470"/>
      <c r="BS81" s="2470"/>
      <c r="BT81" s="2470"/>
      <c r="BU81" s="2470"/>
    </row>
    <row r="82" spans="36:73" ht="14.4" thickTop="1" thickBot="1">
      <c r="AJ82" s="2472" t="str">
        <f>IFERROR(IF(OR(AK$2="ZURÜCK ZUR AUSWAHL",AK$2="",AK$2=0),"",IF(AK$2=$BO$1,$BO81,IF(AK$2=$BP$1,$BP81,IF(AK$2=$BQ$1,$BQ81,IF(AK$2=$BR$1,$BR81,IF(AK$2=$BS$1,$BS81,IF(AK$2=$BT$1,$BT81,IF(AK$2=$BU$1,$BU81,INDEX(Tiere!$BN$2:$BN$145,_xlfn.AGGREGATE(15,6,(ROW(Tiere!$BN$2:$BN$145)-1)/(--(SEARCH(AK$2,Tiere!$BN$2:$BN$145)&gt;0)),ROW()-2),1))))))))),"")</f>
        <v/>
      </c>
      <c r="AK82" s="2436"/>
      <c r="AL82" s="2472" t="str">
        <f>IFERROR(IF(OR(AM$2="ZURÜCK ZUR AUSWAHL",AM$2="",AM$2=0),"",IF(AM$2=$BO$1,$BO81,IF(AM$2=$BP$1,$BP81,IF(AM$2=$BQ$1,$BQ81,IF(AM$2=$BR$1,$BR81,IF(AM$2=$BS$1,$BS81,IF(AM$2=$BT$1,$BT81,IF(AM$2=$BU$1,$BU81,INDEX(Tiere!$BN$2:$BN$145,_xlfn.AGGREGATE(15,6,(ROW(Tiere!$BN$2:$BN$145)-1)/(--(SEARCH(AM$2,Tiere!$BN$2:$BN$145)&gt;0)),ROW()-1),1))))))))),"")</f>
        <v/>
      </c>
      <c r="AM82" s="2436"/>
      <c r="AN82" s="2472" t="str">
        <f>IFERROR(IF(OR(AO$2="ZURÜCK ZUR AUSWAHL",AO$2="",AO$2=0),"",IF(AO$2=$BO$1,$BO81,IF(AO$2=$BP$1,$BP81,IF(AO$2=$BQ$1,$BQ81,IF(AO$2=$BR$1,$BR81,IF(AO$2=$BS$1,$BS81,IF(AO$2=$BT$1,$BT81,IF(AO$2=$BU$1,$BU81,INDEX(Tiere!$BN$2:$BN$145,_xlfn.AGGREGATE(15,6,(ROW(Tiere!$BN$2:$BN$145)-1)/(--(SEARCH(AO$2,Tiere!$BN$2:$BN$145)&gt;0)),ROW()-1),1))))))))),"")</f>
        <v/>
      </c>
      <c r="AO82" s="2436"/>
      <c r="AP82" s="2472" t="str">
        <f>IFERROR(IF(OR(AQ$2="ZURÜCK ZUR AUSWAHL",AQ$2="",AQ$2=0),"",IF(AQ$2=$BO$1,$BO81,IF(AQ$2=$BP$1,$BP81,IF(AQ$2=$BQ$1,$BQ81,IF(AQ$2=$BR$1,$BR81,IF(AQ$2=$BS$1,$BS81,IF(AQ$2=$BT$1,$BT81,IF(AQ$2=$BU$1,$BU81,INDEX(Tiere!$BN$2:$BN$145,_xlfn.AGGREGATE(15,6,(ROW(Tiere!$BN$2:$BN$145)-1)/(--(SEARCH(AQ$2,Tiere!$BN$2:$BN$145)&gt;0)),ROW()-1),1))))))))),"")</f>
        <v/>
      </c>
      <c r="AQ82" s="2436"/>
      <c r="AR82" s="2472" t="str">
        <f>IFERROR(IF(OR(AS$2="ZURÜCK ZUR AUSWAHL",AS$2="",AS$2=0),"",IF(AS$2=$BO$1,$BO81,IF(AS$2=$BP$1,$BP81,IF(AS$2=$BQ$1,$BQ81,IF(AS$2=$BR$1,$BR81,IF(AS$2=$BS$1,$BS81,IF(AS$2=$BT$1,$BT81,IF(AS$2=$BU$1,$BU81,INDEX(Tiere!$BN$2:$BN$145,_xlfn.AGGREGATE(15,6,(ROW(Tiere!$BN$2:$BN$145)-1)/(--(SEARCH(AS$2,Tiere!$BN$2:$BN$145)&gt;0)),ROW()-1),1))))))))),"")</f>
        <v/>
      </c>
      <c r="AS82" s="2436"/>
      <c r="AT82" s="2472" t="str">
        <f>IFERROR(IF(OR(AU$2="ZURÜCK ZUR AUSWAHL",AU$2="",AU$2=0),"",IF(AU$2=$BO$1,$BO81,IF(AU$2=$BP$1,$BP81,IF(AU$2=$BQ$1,$BQ81,IF(AU$2=$BR$1,$BR81,IF(AU$2=$BS$1,$BS81,IF(AU$2=$BT$1,$BT81,IF(AU$2=$BU$1,$BU81,INDEX(Tiere!$BN$2:$BN$145,_xlfn.AGGREGATE(15,6,(ROW(Tiere!$BN$2:$BN$145)-1)/(--(SEARCH(AU$2,Tiere!$BN$2:$BN$145)&gt;0)),ROW()-1),1))))))))),"")</f>
        <v/>
      </c>
      <c r="AU82" s="2436"/>
      <c r="AV82" s="2472" t="str">
        <f>IFERROR(IF(OR(AW$2="ZURÜCK ZUR AUSWAHL",AW$2="",AW$2=0),"",IF(AW$2=$BO$1,$BO81,IF(AW$2=$BP$1,$BP81,IF(AW$2=$BQ$1,$BQ81,IF(AW$2=$BR$1,$BR81,IF(AW$2=$BS$1,$BS81,IF(AW$2=$BT$1,$BT81,IF(AW$2=$BU$1,$BU81,INDEX(Tiere!$BN$2:$BN$145,_xlfn.AGGREGATE(15,6,(ROW(Tiere!$BN$2:$BN$145)-1)/(--(SEARCH(AW$2,Tiere!$BN$2:$BN$145)&gt;0)),ROW()-1),1))))))))),"")</f>
        <v/>
      </c>
      <c r="AW82" s="2436"/>
      <c r="AX82" s="2472" t="str">
        <f>IFERROR(IF(OR(AY$2="ZURÜCK ZUR AUSWAHL",AY$2="",AY$2=0),"",IF(AY$2=$BO$1,$BO81,IF(AY$2=$BP$1,$BP81,IF(AY$2=$BQ$1,$BQ81,IF(AY$2=$BR$1,$BR81,IF(AY$2=$BS$1,$BS81,IF(AY$2=$BT$1,$BT81,IF(AY$2=$BU$1,$BU81,INDEX(Tiere!$BN$2:$BN$145,_xlfn.AGGREGATE(15,6,(ROW(Tiere!$BN$2:$BN$145)-1)/(--(SEARCH(AY$2,Tiere!$BN$2:$BN$145)&gt;0)),ROW()-1),1))))))))),"")</f>
        <v/>
      </c>
      <c r="AY82" s="2436"/>
      <c r="AZ82" s="2472" t="str">
        <f>IFERROR(IF(OR(BA$2="ZURÜCK ZUR AUSWAHL",BA$2="",BA$2=0),"",IF(BA$2=$BO$1,$BO81,IF(BA$2=$BP$1,$BP81,IF(BA$2=$BQ$1,$BQ81,IF(BA$2=$BR$1,$BR81,IF(BA$2=$BS$1,$BS81,IF(BA$2=$BT$1,$BT81,IF(BA$2=$BU$1,$BU81,INDEX(Tiere!$BN$2:$BN$145,_xlfn.AGGREGATE(15,6,(ROW(Tiere!$BN$2:$BN$145)-1)/(--(SEARCH(BA$2,Tiere!$BN$2:$BN$145)&gt;0)),ROW()-1),1))))))))),"")</f>
        <v/>
      </c>
      <c r="BA82" s="2436"/>
      <c r="BB82" s="2472" t="str">
        <f>IFERROR(IF(OR(BC$2="ZURÜCK ZUR AUSWAHL",BC$2="",BC$2=0),"",IF(BC$2=$BO$1,$BO81,IF(BC$2=$BP$1,$BP81,IF(BC$2=$BQ$1,$BQ81,IF(BC$2=$BR$1,$BR81,IF(BC$2=$BS$1,$BS81,IF(BC$2=$BT$1,$BT81,IF(BC$2=$BU$1,$BU81,INDEX(Tiere!$BN$2:$BN$145,_xlfn.AGGREGATE(15,6,(ROW(Tiere!$BN$2:$BN$145)-1)/(--(SEARCH(BC$2,Tiere!$BN$2:$BN$145)&gt;0)),ROW()-1),1))))))))),"")</f>
        <v/>
      </c>
      <c r="BC82" s="2436"/>
      <c r="BD82" s="2472" t="str">
        <f>IFERROR(IF(OR(BE$2="ZURÜCK ZUR AUSWAHL",BE$2="",BE$2=0),"",IF(BE$2=$BO$1,$BO81,IF(BE$2=$BP$1,$BP81,IF(BE$2=$BQ$1,$BQ81,IF(BE$2=$BR$1,$BR81,IF(BE$2=$BS$1,$BS81,IF(BE$2=$BT$1,$BT81,IF(BE$2=$BU$1,$BU81,INDEX(Tiere!$BN$2:$BN$145,_xlfn.AGGREGATE(15,6,(ROW(Tiere!$BN$2:$BN$145)-1)/(--(SEARCH(BE$2,Tiere!$BN$2:$BN$145)&gt;0)),ROW()-1),1))))))))),"")</f>
        <v/>
      </c>
      <c r="BE82" s="2436"/>
      <c r="BF82" s="2472" t="str">
        <f>IFERROR(IF(OR(BG$2="ZURÜCK ZUR AUSWAHL",BG$2="",BG$2=0),"",IF(BG$2=$BO$1,$BO81,IF(BG$2=$BP$1,$BP81,IF(BG$2=$BQ$1,$BQ81,IF(BG$2=$BR$1,$BR81,IF(BG$2=$BS$1,$BS81,IF(BG$2=$BT$1,$BT81,IF(BG$2=$BU$1,$BU81,INDEX(Tiere!$BN$2:$BN$145,_xlfn.AGGREGATE(15,6,(ROW(Tiere!$BN$2:$BN$145)-1)/(--(SEARCH(BG$2,Tiere!$BN$2:$BN$145)&gt;0)),ROW()-1),1))))))))),"")</f>
        <v/>
      </c>
      <c r="BG82" s="2436"/>
      <c r="BH82" s="2472" t="str">
        <f>IFERROR(IF(OR(BI$2="ZURÜCK ZUR AUSWAHL",BI$2="",BI$2=0),"",IF(BI$2=$BO$1,$BO81,IF(BI$2=$BP$1,$BP81,IF(BI$2=$BQ$1,$BQ81,IF(BI$2=$BR$1,$BR81,IF(BI$2=$BS$1,$BS81,IF(BI$2=$BT$1,$BT81,IF(BI$2=$BU$1,$BU81,INDEX(Tiere!$BN$2:$BN$145,_xlfn.AGGREGATE(15,6,(ROW(Tiere!$BN$2:$BN$145)-1)/(--(SEARCH(BI$2,Tiere!$BN$2:$BN$145)&gt;0)),ROW()-1),1))))))))),"")</f>
        <v/>
      </c>
      <c r="BI82" s="2436"/>
      <c r="BJ82" s="2472" t="str">
        <f>IFERROR(IF(OR(BK$2="ZURÜCK ZUR AUSWAHL",BK$2="",BK$2=0),"",IF(BK$2=$BO$1,$BO81,IF(BK$2=$BP$1,$BP81,IF(BK$2=$BQ$1,$BQ81,IF(BK$2=$BR$1,$BR81,IF(BK$2=$BS$1,$BS81,IF(BK$2=$BT$1,$BT81,IF(BK$2=$BU$1,$BU81,INDEX(Tiere!$BN$2:$BN$145,_xlfn.AGGREGATE(15,6,(ROW(Tiere!$BN$2:$BN$145)-1)/(--(SEARCH(BK$2,Tiere!$BN$2:$BN$145)&gt;0)),ROW()-1),1))))))))),"")</f>
        <v/>
      </c>
      <c r="BK82" s="2436"/>
      <c r="BL82" s="2472" t="str">
        <f>IFERROR(IF(OR(BM$2="ZURÜCK ZUR AUSWAHL",BM$2="",BM$2=0),"",IF(BM$2=$BO$1,$BO81,IF(BM$2=$BP$1,$BP81,IF(BM$2=$BQ$1,$BQ81,IF(BM$2=$BR$1,$BR81,IF(BM$2=$BS$1,$BS81,IF(BM$2=$BT$1,$BT81,IF(BM$2=$BU$1,$BU81,INDEX(Tiere!$BN$2:$BN$145,_xlfn.AGGREGATE(15,6,(ROW(Tiere!$BN$2:$BN$145)-1)/(--(SEARCH(BM$2,Tiere!$BN$2:$BN$145)&gt;0)),ROW()-1),1))))))))),"")</f>
        <v/>
      </c>
      <c r="BM82" s="2436"/>
      <c r="BN82" s="2478" t="s">
        <v>1257</v>
      </c>
      <c r="BO82" s="2470"/>
      <c r="BP82" s="2470"/>
      <c r="BQ82" s="2470"/>
      <c r="BR82" s="2470"/>
      <c r="BS82" s="2470"/>
      <c r="BT82" s="2470"/>
      <c r="BU82" s="2471"/>
    </row>
    <row r="83" spans="36:73" ht="14.4" thickTop="1" thickBot="1">
      <c r="AJ83" s="2472" t="str">
        <f>IFERROR(IF(OR(AK$2="ZURÜCK ZUR AUSWAHL",AK$2="",AK$2=0),"",IF(AK$2=$BO$1,$BO82,IF(AK$2=$BP$1,$BP82,IF(AK$2=$BQ$1,$BQ82,IF(AK$2=$BR$1,$BR82,IF(AK$2=$BS$1,$BS82,IF(AK$2=$BT$1,$BT82,IF(AK$2=$BU$1,$BU82,INDEX(Tiere!$BN$2:$BN$145,_xlfn.AGGREGATE(15,6,(ROW(Tiere!$BN$2:$BN$145)-1)/(--(SEARCH(AK$2,Tiere!$BN$2:$BN$145)&gt;0)),ROW()-2),1))))))))),"")</f>
        <v/>
      </c>
      <c r="AK83" s="2438"/>
      <c r="AL83" s="2472" t="str">
        <f>IFERROR(IF(OR(AM$2="ZURÜCK ZUR AUSWAHL",AM$2="",AM$2=0),"",IF(AM$2=$BO$1,$BO82,IF(AM$2=$BP$1,$BP82,IF(AM$2=$BQ$1,$BQ82,IF(AM$2=$BR$1,$BR82,IF(AM$2=$BS$1,$BS82,IF(AM$2=$BT$1,$BT82,IF(AM$2=$BU$1,$BU82,INDEX(Tiere!$BN$2:$BN$145,_xlfn.AGGREGATE(15,6,(ROW(Tiere!$BN$2:$BN$145)-1)/(--(SEARCH(AM$2,Tiere!$BN$2:$BN$145)&gt;0)),ROW()-1),1))))))))),"")</f>
        <v/>
      </c>
      <c r="AM83" s="2438"/>
      <c r="AN83" s="2472" t="str">
        <f>IFERROR(IF(OR(AO$2="ZURÜCK ZUR AUSWAHL",AO$2="",AO$2=0),"",IF(AO$2=$BO$1,$BO82,IF(AO$2=$BP$1,$BP82,IF(AO$2=$BQ$1,$BQ82,IF(AO$2=$BR$1,$BR82,IF(AO$2=$BS$1,$BS82,IF(AO$2=$BT$1,$BT82,IF(AO$2=$BU$1,$BU82,INDEX(Tiere!$BN$2:$BN$145,_xlfn.AGGREGATE(15,6,(ROW(Tiere!$BN$2:$BN$145)-1)/(--(SEARCH(AO$2,Tiere!$BN$2:$BN$145)&gt;0)),ROW()-1),1))))))))),"")</f>
        <v/>
      </c>
      <c r="AO83" s="2438"/>
      <c r="AP83" s="2472" t="str">
        <f>IFERROR(IF(OR(AQ$2="ZURÜCK ZUR AUSWAHL",AQ$2="",AQ$2=0),"",IF(AQ$2=$BO$1,$BO82,IF(AQ$2=$BP$1,$BP82,IF(AQ$2=$BQ$1,$BQ82,IF(AQ$2=$BR$1,$BR82,IF(AQ$2=$BS$1,$BS82,IF(AQ$2=$BT$1,$BT82,IF(AQ$2=$BU$1,$BU82,INDEX(Tiere!$BN$2:$BN$145,_xlfn.AGGREGATE(15,6,(ROW(Tiere!$BN$2:$BN$145)-1)/(--(SEARCH(AQ$2,Tiere!$BN$2:$BN$145)&gt;0)),ROW()-1),1))))))))),"")</f>
        <v/>
      </c>
      <c r="AQ83" s="2438"/>
      <c r="AR83" s="2472" t="str">
        <f>IFERROR(IF(OR(AS$2="ZURÜCK ZUR AUSWAHL",AS$2="",AS$2=0),"",IF(AS$2=$BO$1,$BO82,IF(AS$2=$BP$1,$BP82,IF(AS$2=$BQ$1,$BQ82,IF(AS$2=$BR$1,$BR82,IF(AS$2=$BS$1,$BS82,IF(AS$2=$BT$1,$BT82,IF(AS$2=$BU$1,$BU82,INDEX(Tiere!$BN$2:$BN$145,_xlfn.AGGREGATE(15,6,(ROW(Tiere!$BN$2:$BN$145)-1)/(--(SEARCH(AS$2,Tiere!$BN$2:$BN$145)&gt;0)),ROW()-1),1))))))))),"")</f>
        <v/>
      </c>
      <c r="AS83" s="2438"/>
      <c r="AT83" s="2472" t="str">
        <f>IFERROR(IF(OR(AU$2="ZURÜCK ZUR AUSWAHL",AU$2="",AU$2=0),"",IF(AU$2=$BO$1,$BO82,IF(AU$2=$BP$1,$BP82,IF(AU$2=$BQ$1,$BQ82,IF(AU$2=$BR$1,$BR82,IF(AU$2=$BS$1,$BS82,IF(AU$2=$BT$1,$BT82,IF(AU$2=$BU$1,$BU82,INDEX(Tiere!$BN$2:$BN$145,_xlfn.AGGREGATE(15,6,(ROW(Tiere!$BN$2:$BN$145)-1)/(--(SEARCH(AU$2,Tiere!$BN$2:$BN$145)&gt;0)),ROW()-1),1))))))))),"")</f>
        <v/>
      </c>
      <c r="AU83" s="2438"/>
      <c r="AV83" s="2472" t="str">
        <f>IFERROR(IF(OR(AW$2="ZURÜCK ZUR AUSWAHL",AW$2="",AW$2=0),"",IF(AW$2=$BO$1,$BO82,IF(AW$2=$BP$1,$BP82,IF(AW$2=$BQ$1,$BQ82,IF(AW$2=$BR$1,$BR82,IF(AW$2=$BS$1,$BS82,IF(AW$2=$BT$1,$BT82,IF(AW$2=$BU$1,$BU82,INDEX(Tiere!$BN$2:$BN$145,_xlfn.AGGREGATE(15,6,(ROW(Tiere!$BN$2:$BN$145)-1)/(--(SEARCH(AW$2,Tiere!$BN$2:$BN$145)&gt;0)),ROW()-1),1))))))))),"")</f>
        <v/>
      </c>
      <c r="AW83" s="2438"/>
      <c r="AX83" s="2472" t="str">
        <f>IFERROR(IF(OR(AY$2="ZURÜCK ZUR AUSWAHL",AY$2="",AY$2=0),"",IF(AY$2=$BO$1,$BO82,IF(AY$2=$BP$1,$BP82,IF(AY$2=$BQ$1,$BQ82,IF(AY$2=$BR$1,$BR82,IF(AY$2=$BS$1,$BS82,IF(AY$2=$BT$1,$BT82,IF(AY$2=$BU$1,$BU82,INDEX(Tiere!$BN$2:$BN$145,_xlfn.AGGREGATE(15,6,(ROW(Tiere!$BN$2:$BN$145)-1)/(--(SEARCH(AY$2,Tiere!$BN$2:$BN$145)&gt;0)),ROW()-1),1))))))))),"")</f>
        <v/>
      </c>
      <c r="AY83" s="2438"/>
      <c r="AZ83" s="2472" t="str">
        <f>IFERROR(IF(OR(BA$2="ZURÜCK ZUR AUSWAHL",BA$2="",BA$2=0),"",IF(BA$2=$BO$1,$BO82,IF(BA$2=$BP$1,$BP82,IF(BA$2=$BQ$1,$BQ82,IF(BA$2=$BR$1,$BR82,IF(BA$2=$BS$1,$BS82,IF(BA$2=$BT$1,$BT82,IF(BA$2=$BU$1,$BU82,INDEX(Tiere!$BN$2:$BN$145,_xlfn.AGGREGATE(15,6,(ROW(Tiere!$BN$2:$BN$145)-1)/(--(SEARCH(BA$2,Tiere!$BN$2:$BN$145)&gt;0)),ROW()-1),1))))))))),"")</f>
        <v/>
      </c>
      <c r="BA83" s="2438"/>
      <c r="BB83" s="2472" t="str">
        <f>IFERROR(IF(OR(BC$2="ZURÜCK ZUR AUSWAHL",BC$2="",BC$2=0),"",IF(BC$2=$BO$1,$BO82,IF(BC$2=$BP$1,$BP82,IF(BC$2=$BQ$1,$BQ82,IF(BC$2=$BR$1,$BR82,IF(BC$2=$BS$1,$BS82,IF(BC$2=$BT$1,$BT82,IF(BC$2=$BU$1,$BU82,INDEX(Tiere!$BN$2:$BN$145,_xlfn.AGGREGATE(15,6,(ROW(Tiere!$BN$2:$BN$145)-1)/(--(SEARCH(BC$2,Tiere!$BN$2:$BN$145)&gt;0)),ROW()-1),1))))))))),"")</f>
        <v/>
      </c>
      <c r="BC83" s="2438"/>
      <c r="BD83" s="2472" t="str">
        <f>IFERROR(IF(OR(BE$2="ZURÜCK ZUR AUSWAHL",BE$2="",BE$2=0),"",IF(BE$2=$BO$1,$BO82,IF(BE$2=$BP$1,$BP82,IF(BE$2=$BQ$1,$BQ82,IF(BE$2=$BR$1,$BR82,IF(BE$2=$BS$1,$BS82,IF(BE$2=$BT$1,$BT82,IF(BE$2=$BU$1,$BU82,INDEX(Tiere!$BN$2:$BN$145,_xlfn.AGGREGATE(15,6,(ROW(Tiere!$BN$2:$BN$145)-1)/(--(SEARCH(BE$2,Tiere!$BN$2:$BN$145)&gt;0)),ROW()-1),1))))))))),"")</f>
        <v/>
      </c>
      <c r="BE83" s="2438"/>
      <c r="BF83" s="2472" t="str">
        <f>IFERROR(IF(OR(BG$2="ZURÜCK ZUR AUSWAHL",BG$2="",BG$2=0),"",IF(BG$2=$BO$1,$BO82,IF(BG$2=$BP$1,$BP82,IF(BG$2=$BQ$1,$BQ82,IF(BG$2=$BR$1,$BR82,IF(BG$2=$BS$1,$BS82,IF(BG$2=$BT$1,$BT82,IF(BG$2=$BU$1,$BU82,INDEX(Tiere!$BN$2:$BN$145,_xlfn.AGGREGATE(15,6,(ROW(Tiere!$BN$2:$BN$145)-1)/(--(SEARCH(BG$2,Tiere!$BN$2:$BN$145)&gt;0)),ROW()-1),1))))))))),"")</f>
        <v/>
      </c>
      <c r="BG83" s="2438"/>
      <c r="BH83" s="2472" t="str">
        <f>IFERROR(IF(OR(BI$2="ZURÜCK ZUR AUSWAHL",BI$2="",BI$2=0),"",IF(BI$2=$BO$1,$BO82,IF(BI$2=$BP$1,$BP82,IF(BI$2=$BQ$1,$BQ82,IF(BI$2=$BR$1,$BR82,IF(BI$2=$BS$1,$BS82,IF(BI$2=$BT$1,$BT82,IF(BI$2=$BU$1,$BU82,INDEX(Tiere!$BN$2:$BN$145,_xlfn.AGGREGATE(15,6,(ROW(Tiere!$BN$2:$BN$145)-1)/(--(SEARCH(BI$2,Tiere!$BN$2:$BN$145)&gt;0)),ROW()-1),1))))))))),"")</f>
        <v/>
      </c>
      <c r="BI83" s="2438"/>
      <c r="BJ83" s="2472" t="str">
        <f>IFERROR(IF(OR(BK$2="ZURÜCK ZUR AUSWAHL",BK$2="",BK$2=0),"",IF(BK$2=$BO$1,$BO82,IF(BK$2=$BP$1,$BP82,IF(BK$2=$BQ$1,$BQ82,IF(BK$2=$BR$1,$BR82,IF(BK$2=$BS$1,$BS82,IF(BK$2=$BT$1,$BT82,IF(BK$2=$BU$1,$BU82,INDEX(Tiere!$BN$2:$BN$145,_xlfn.AGGREGATE(15,6,(ROW(Tiere!$BN$2:$BN$145)-1)/(--(SEARCH(BK$2,Tiere!$BN$2:$BN$145)&gt;0)),ROW()-1),1))))))))),"")</f>
        <v/>
      </c>
      <c r="BK83" s="2438"/>
      <c r="BL83" s="2472" t="str">
        <f>IFERROR(IF(OR(BM$2="ZURÜCK ZUR AUSWAHL",BM$2="",BM$2=0),"",IF(BM$2=$BO$1,$BO82,IF(BM$2=$BP$1,$BP82,IF(BM$2=$BQ$1,$BQ82,IF(BM$2=$BR$1,$BR82,IF(BM$2=$BS$1,$BS82,IF(BM$2=$BT$1,$BT82,IF(BM$2=$BU$1,$BU82,INDEX(Tiere!$BN$2:$BN$145,_xlfn.AGGREGATE(15,6,(ROW(Tiere!$BN$2:$BN$145)-1)/(--(SEARCH(BM$2,Tiere!$BN$2:$BN$145)&gt;0)),ROW()-1),1))))))))),"")</f>
        <v/>
      </c>
      <c r="BM83" s="2438"/>
      <c r="BN83" s="2481" t="s">
        <v>1258</v>
      </c>
      <c r="BO83" s="2470"/>
      <c r="BP83" s="2470"/>
      <c r="BQ83" s="2470"/>
      <c r="BR83" s="2470"/>
      <c r="BS83" s="2470"/>
      <c r="BT83" s="2470"/>
      <c r="BU83" s="2470"/>
    </row>
    <row r="84" spans="36:73" ht="13.8" thickBot="1">
      <c r="AJ84" s="2472" t="str">
        <f>IFERROR(IF(OR(AK$2="ZURÜCK ZUR AUSWAHL",AK$2="",AK$2=0),"",IF(AK$2=$BO$1,$BO83,IF(AK$2=$BP$1,$BP83,IF(AK$2=$BQ$1,$BQ83,IF(AK$2=$BR$1,$BR83,IF(AK$2=$BS$1,$BS83,IF(AK$2=$BT$1,$BT83,IF(AK$2=$BU$1,$BU83,INDEX(Tiere!$BN$2:$BN$145,_xlfn.AGGREGATE(15,6,(ROW(Tiere!$BN$2:$BN$145)-1)/(--(SEARCH(AK$2,Tiere!$BN$2:$BN$145)&gt;0)),ROW()-2),1))))))))),"")</f>
        <v/>
      </c>
      <c r="AK84" s="2436"/>
      <c r="AL84" s="2472" t="str">
        <f>IFERROR(IF(OR(AM$2="ZURÜCK ZUR AUSWAHL",AM$2="",AM$2=0),"",IF(AM$2=$BO$1,$BO83,IF(AM$2=$BP$1,$BP83,IF(AM$2=$BQ$1,$BQ83,IF(AM$2=$BR$1,$BR83,IF(AM$2=$BS$1,$BS83,IF(AM$2=$BT$1,$BT83,IF(AM$2=$BU$1,$BU83,INDEX(Tiere!$BN$2:$BN$145,_xlfn.AGGREGATE(15,6,(ROW(Tiere!$BN$2:$BN$145)-1)/(--(SEARCH(AM$2,Tiere!$BN$2:$BN$145)&gt;0)),ROW()-1),1))))))))),"")</f>
        <v/>
      </c>
      <c r="AM84" s="2436"/>
      <c r="AN84" s="2472" t="str">
        <f>IFERROR(IF(OR(AO$2="ZURÜCK ZUR AUSWAHL",AO$2="",AO$2=0),"",IF(AO$2=$BO$1,$BO83,IF(AO$2=$BP$1,$BP83,IF(AO$2=$BQ$1,$BQ83,IF(AO$2=$BR$1,$BR83,IF(AO$2=$BS$1,$BS83,IF(AO$2=$BT$1,$BT83,IF(AO$2=$BU$1,$BU83,INDEX(Tiere!$BN$2:$BN$145,_xlfn.AGGREGATE(15,6,(ROW(Tiere!$BN$2:$BN$145)-1)/(--(SEARCH(AO$2,Tiere!$BN$2:$BN$145)&gt;0)),ROW()-1),1))))))))),"")</f>
        <v/>
      </c>
      <c r="AO84" s="2436"/>
      <c r="AP84" s="2472" t="str">
        <f>IFERROR(IF(OR(AQ$2="ZURÜCK ZUR AUSWAHL",AQ$2="",AQ$2=0),"",IF(AQ$2=$BO$1,$BO83,IF(AQ$2=$BP$1,$BP83,IF(AQ$2=$BQ$1,$BQ83,IF(AQ$2=$BR$1,$BR83,IF(AQ$2=$BS$1,$BS83,IF(AQ$2=$BT$1,$BT83,IF(AQ$2=$BU$1,$BU83,INDEX(Tiere!$BN$2:$BN$145,_xlfn.AGGREGATE(15,6,(ROW(Tiere!$BN$2:$BN$145)-1)/(--(SEARCH(AQ$2,Tiere!$BN$2:$BN$145)&gt;0)),ROW()-1),1))))))))),"")</f>
        <v/>
      </c>
      <c r="AQ84" s="2436"/>
      <c r="AR84" s="2472" t="str">
        <f>IFERROR(IF(OR(AS$2="ZURÜCK ZUR AUSWAHL",AS$2="",AS$2=0),"",IF(AS$2=$BO$1,$BO83,IF(AS$2=$BP$1,$BP83,IF(AS$2=$BQ$1,$BQ83,IF(AS$2=$BR$1,$BR83,IF(AS$2=$BS$1,$BS83,IF(AS$2=$BT$1,$BT83,IF(AS$2=$BU$1,$BU83,INDEX(Tiere!$BN$2:$BN$145,_xlfn.AGGREGATE(15,6,(ROW(Tiere!$BN$2:$BN$145)-1)/(--(SEARCH(AS$2,Tiere!$BN$2:$BN$145)&gt;0)),ROW()-1),1))))))))),"")</f>
        <v/>
      </c>
      <c r="AS84" s="2436"/>
      <c r="AT84" s="2472" t="str">
        <f>IFERROR(IF(OR(AU$2="ZURÜCK ZUR AUSWAHL",AU$2="",AU$2=0),"",IF(AU$2=$BO$1,$BO83,IF(AU$2=$BP$1,$BP83,IF(AU$2=$BQ$1,$BQ83,IF(AU$2=$BR$1,$BR83,IF(AU$2=$BS$1,$BS83,IF(AU$2=$BT$1,$BT83,IF(AU$2=$BU$1,$BU83,INDEX(Tiere!$BN$2:$BN$145,_xlfn.AGGREGATE(15,6,(ROW(Tiere!$BN$2:$BN$145)-1)/(--(SEARCH(AU$2,Tiere!$BN$2:$BN$145)&gt;0)),ROW()-1),1))))))))),"")</f>
        <v/>
      </c>
      <c r="AU84" s="2436"/>
      <c r="AV84" s="2472" t="str">
        <f>IFERROR(IF(OR(AW$2="ZURÜCK ZUR AUSWAHL",AW$2="",AW$2=0),"",IF(AW$2=$BO$1,$BO83,IF(AW$2=$BP$1,$BP83,IF(AW$2=$BQ$1,$BQ83,IF(AW$2=$BR$1,$BR83,IF(AW$2=$BS$1,$BS83,IF(AW$2=$BT$1,$BT83,IF(AW$2=$BU$1,$BU83,INDEX(Tiere!$BN$2:$BN$145,_xlfn.AGGREGATE(15,6,(ROW(Tiere!$BN$2:$BN$145)-1)/(--(SEARCH(AW$2,Tiere!$BN$2:$BN$145)&gt;0)),ROW()-1),1))))))))),"")</f>
        <v/>
      </c>
      <c r="AW84" s="2436"/>
      <c r="AX84" s="2472" t="str">
        <f>IFERROR(IF(OR(AY$2="ZURÜCK ZUR AUSWAHL",AY$2="",AY$2=0),"",IF(AY$2=$BO$1,$BO83,IF(AY$2=$BP$1,$BP83,IF(AY$2=$BQ$1,$BQ83,IF(AY$2=$BR$1,$BR83,IF(AY$2=$BS$1,$BS83,IF(AY$2=$BT$1,$BT83,IF(AY$2=$BU$1,$BU83,INDEX(Tiere!$BN$2:$BN$145,_xlfn.AGGREGATE(15,6,(ROW(Tiere!$BN$2:$BN$145)-1)/(--(SEARCH(AY$2,Tiere!$BN$2:$BN$145)&gt;0)),ROW()-1),1))))))))),"")</f>
        <v/>
      </c>
      <c r="AY84" s="2436"/>
      <c r="AZ84" s="2472" t="str">
        <f>IFERROR(IF(OR(BA$2="ZURÜCK ZUR AUSWAHL",BA$2="",BA$2=0),"",IF(BA$2=$BO$1,$BO83,IF(BA$2=$BP$1,$BP83,IF(BA$2=$BQ$1,$BQ83,IF(BA$2=$BR$1,$BR83,IF(BA$2=$BS$1,$BS83,IF(BA$2=$BT$1,$BT83,IF(BA$2=$BU$1,$BU83,INDEX(Tiere!$BN$2:$BN$145,_xlfn.AGGREGATE(15,6,(ROW(Tiere!$BN$2:$BN$145)-1)/(--(SEARCH(BA$2,Tiere!$BN$2:$BN$145)&gt;0)),ROW()-1),1))))))))),"")</f>
        <v/>
      </c>
      <c r="BA84" s="2436"/>
      <c r="BB84" s="2472" t="str">
        <f>IFERROR(IF(OR(BC$2="ZURÜCK ZUR AUSWAHL",BC$2="",BC$2=0),"",IF(BC$2=$BO$1,$BO83,IF(BC$2=$BP$1,$BP83,IF(BC$2=$BQ$1,$BQ83,IF(BC$2=$BR$1,$BR83,IF(BC$2=$BS$1,$BS83,IF(BC$2=$BT$1,$BT83,IF(BC$2=$BU$1,$BU83,INDEX(Tiere!$BN$2:$BN$145,_xlfn.AGGREGATE(15,6,(ROW(Tiere!$BN$2:$BN$145)-1)/(--(SEARCH(BC$2,Tiere!$BN$2:$BN$145)&gt;0)),ROW()-1),1))))))))),"")</f>
        <v/>
      </c>
      <c r="BC84" s="2436"/>
      <c r="BD84" s="2472" t="str">
        <f>IFERROR(IF(OR(BE$2="ZURÜCK ZUR AUSWAHL",BE$2="",BE$2=0),"",IF(BE$2=$BO$1,$BO83,IF(BE$2=$BP$1,$BP83,IF(BE$2=$BQ$1,$BQ83,IF(BE$2=$BR$1,$BR83,IF(BE$2=$BS$1,$BS83,IF(BE$2=$BT$1,$BT83,IF(BE$2=$BU$1,$BU83,INDEX(Tiere!$BN$2:$BN$145,_xlfn.AGGREGATE(15,6,(ROW(Tiere!$BN$2:$BN$145)-1)/(--(SEARCH(BE$2,Tiere!$BN$2:$BN$145)&gt;0)),ROW()-1),1))))))))),"")</f>
        <v/>
      </c>
      <c r="BE84" s="2436"/>
      <c r="BF84" s="2472" t="str">
        <f>IFERROR(IF(OR(BG$2="ZURÜCK ZUR AUSWAHL",BG$2="",BG$2=0),"",IF(BG$2=$BO$1,$BO83,IF(BG$2=$BP$1,$BP83,IF(BG$2=$BQ$1,$BQ83,IF(BG$2=$BR$1,$BR83,IF(BG$2=$BS$1,$BS83,IF(BG$2=$BT$1,$BT83,IF(BG$2=$BU$1,$BU83,INDEX(Tiere!$BN$2:$BN$145,_xlfn.AGGREGATE(15,6,(ROW(Tiere!$BN$2:$BN$145)-1)/(--(SEARCH(BG$2,Tiere!$BN$2:$BN$145)&gt;0)),ROW()-1),1))))))))),"")</f>
        <v/>
      </c>
      <c r="BG84" s="2436"/>
      <c r="BH84" s="2472" t="str">
        <f>IFERROR(IF(OR(BI$2="ZURÜCK ZUR AUSWAHL",BI$2="",BI$2=0),"",IF(BI$2=$BO$1,$BO83,IF(BI$2=$BP$1,$BP83,IF(BI$2=$BQ$1,$BQ83,IF(BI$2=$BR$1,$BR83,IF(BI$2=$BS$1,$BS83,IF(BI$2=$BT$1,$BT83,IF(BI$2=$BU$1,$BU83,INDEX(Tiere!$BN$2:$BN$145,_xlfn.AGGREGATE(15,6,(ROW(Tiere!$BN$2:$BN$145)-1)/(--(SEARCH(BI$2,Tiere!$BN$2:$BN$145)&gt;0)),ROW()-1),1))))))))),"")</f>
        <v/>
      </c>
      <c r="BI84" s="2436"/>
      <c r="BJ84" s="2472" t="str">
        <f>IFERROR(IF(OR(BK$2="ZURÜCK ZUR AUSWAHL",BK$2="",BK$2=0),"",IF(BK$2=$BO$1,$BO83,IF(BK$2=$BP$1,$BP83,IF(BK$2=$BQ$1,$BQ83,IF(BK$2=$BR$1,$BR83,IF(BK$2=$BS$1,$BS83,IF(BK$2=$BT$1,$BT83,IF(BK$2=$BU$1,$BU83,INDEX(Tiere!$BN$2:$BN$145,_xlfn.AGGREGATE(15,6,(ROW(Tiere!$BN$2:$BN$145)-1)/(--(SEARCH(BK$2,Tiere!$BN$2:$BN$145)&gt;0)),ROW()-1),1))))))))),"")</f>
        <v/>
      </c>
      <c r="BK84" s="2436"/>
      <c r="BL84" s="2472" t="str">
        <f>IFERROR(IF(OR(BM$2="ZURÜCK ZUR AUSWAHL",BM$2="",BM$2=0),"",IF(BM$2=$BO$1,$BO83,IF(BM$2=$BP$1,$BP83,IF(BM$2=$BQ$1,$BQ83,IF(BM$2=$BR$1,$BR83,IF(BM$2=$BS$1,$BS83,IF(BM$2=$BT$1,$BT83,IF(BM$2=$BU$1,$BU83,INDEX(Tiere!$BN$2:$BN$145,_xlfn.AGGREGATE(15,6,(ROW(Tiere!$BN$2:$BN$145)-1)/(--(SEARCH(BM$2,Tiere!$BN$2:$BN$145)&gt;0)),ROW()-1),1))))))))),"")</f>
        <v/>
      </c>
      <c r="BM84" s="2436"/>
      <c r="BN84" s="2478" t="s">
        <v>1260</v>
      </c>
      <c r="BO84" s="2470"/>
      <c r="BP84" s="2470"/>
      <c r="BQ84" s="2470"/>
      <c r="BR84" s="2470"/>
      <c r="BS84" s="2470"/>
      <c r="BT84" s="2470"/>
      <c r="BU84" s="2470"/>
    </row>
    <row r="85" spans="36:73" ht="13.8" thickBot="1">
      <c r="AJ85" s="2472" t="str">
        <f>IFERROR(IF(OR(AK$2="ZURÜCK ZUR AUSWAHL",AK$2="",AK$2=0),"",IF(AK$2=$BO$1,$BO84,IF(AK$2=$BP$1,$BP84,IF(AK$2=$BQ$1,$BQ84,IF(AK$2=$BR$1,$BR84,IF(AK$2=$BS$1,$BS84,IF(AK$2=$BT$1,$BT84,IF(AK$2=$BU$1,$BU84,INDEX(Tiere!$BN$2:$BN$145,_xlfn.AGGREGATE(15,6,(ROW(Tiere!$BN$2:$BN$145)-1)/(--(SEARCH(AK$2,Tiere!$BN$2:$BN$145)&gt;0)),ROW()-2),1))))))))),"")</f>
        <v/>
      </c>
      <c r="AK85" s="2438"/>
      <c r="AL85" s="2472" t="str">
        <f>IFERROR(IF(OR(AM$2="ZURÜCK ZUR AUSWAHL",AM$2="",AM$2=0),"",IF(AM$2=$BO$1,$BO84,IF(AM$2=$BP$1,$BP84,IF(AM$2=$BQ$1,$BQ84,IF(AM$2=$BR$1,$BR84,IF(AM$2=$BS$1,$BS84,IF(AM$2=$BT$1,$BT84,IF(AM$2=$BU$1,$BU84,INDEX(Tiere!$BN$2:$BN$145,_xlfn.AGGREGATE(15,6,(ROW(Tiere!$BN$2:$BN$145)-1)/(--(SEARCH(AM$2,Tiere!$BN$2:$BN$145)&gt;0)),ROW()-1),1))))))))),"")</f>
        <v/>
      </c>
      <c r="AM85" s="2438"/>
      <c r="AN85" s="2472" t="str">
        <f>IFERROR(IF(OR(AO$2="ZURÜCK ZUR AUSWAHL",AO$2="",AO$2=0),"",IF(AO$2=$BO$1,$BO84,IF(AO$2=$BP$1,$BP84,IF(AO$2=$BQ$1,$BQ84,IF(AO$2=$BR$1,$BR84,IF(AO$2=$BS$1,$BS84,IF(AO$2=$BT$1,$BT84,IF(AO$2=$BU$1,$BU84,INDEX(Tiere!$BN$2:$BN$145,_xlfn.AGGREGATE(15,6,(ROW(Tiere!$BN$2:$BN$145)-1)/(--(SEARCH(AO$2,Tiere!$BN$2:$BN$145)&gt;0)),ROW()-1),1))))))))),"")</f>
        <v/>
      </c>
      <c r="AO85" s="2438"/>
      <c r="AP85" s="2472" t="str">
        <f>IFERROR(IF(OR(AQ$2="ZURÜCK ZUR AUSWAHL",AQ$2="",AQ$2=0),"",IF(AQ$2=$BO$1,$BO84,IF(AQ$2=$BP$1,$BP84,IF(AQ$2=$BQ$1,$BQ84,IF(AQ$2=$BR$1,$BR84,IF(AQ$2=$BS$1,$BS84,IF(AQ$2=$BT$1,$BT84,IF(AQ$2=$BU$1,$BU84,INDEX(Tiere!$BN$2:$BN$145,_xlfn.AGGREGATE(15,6,(ROW(Tiere!$BN$2:$BN$145)-1)/(--(SEARCH(AQ$2,Tiere!$BN$2:$BN$145)&gt;0)),ROW()-1),1))))))))),"")</f>
        <v/>
      </c>
      <c r="AQ85" s="2438"/>
      <c r="AR85" s="2472" t="str">
        <f>IFERROR(IF(OR(AS$2="ZURÜCK ZUR AUSWAHL",AS$2="",AS$2=0),"",IF(AS$2=$BO$1,$BO84,IF(AS$2=$BP$1,$BP84,IF(AS$2=$BQ$1,$BQ84,IF(AS$2=$BR$1,$BR84,IF(AS$2=$BS$1,$BS84,IF(AS$2=$BT$1,$BT84,IF(AS$2=$BU$1,$BU84,INDEX(Tiere!$BN$2:$BN$145,_xlfn.AGGREGATE(15,6,(ROW(Tiere!$BN$2:$BN$145)-1)/(--(SEARCH(AS$2,Tiere!$BN$2:$BN$145)&gt;0)),ROW()-1),1))))))))),"")</f>
        <v/>
      </c>
      <c r="AS85" s="2438"/>
      <c r="AT85" s="2472" t="str">
        <f>IFERROR(IF(OR(AU$2="ZURÜCK ZUR AUSWAHL",AU$2="",AU$2=0),"",IF(AU$2=$BO$1,$BO84,IF(AU$2=$BP$1,$BP84,IF(AU$2=$BQ$1,$BQ84,IF(AU$2=$BR$1,$BR84,IF(AU$2=$BS$1,$BS84,IF(AU$2=$BT$1,$BT84,IF(AU$2=$BU$1,$BU84,INDEX(Tiere!$BN$2:$BN$145,_xlfn.AGGREGATE(15,6,(ROW(Tiere!$BN$2:$BN$145)-1)/(--(SEARCH(AU$2,Tiere!$BN$2:$BN$145)&gt;0)),ROW()-1),1))))))))),"")</f>
        <v/>
      </c>
      <c r="AU85" s="2438"/>
      <c r="AV85" s="2472" t="str">
        <f>IFERROR(IF(OR(AW$2="ZURÜCK ZUR AUSWAHL",AW$2="",AW$2=0),"",IF(AW$2=$BO$1,$BO84,IF(AW$2=$BP$1,$BP84,IF(AW$2=$BQ$1,$BQ84,IF(AW$2=$BR$1,$BR84,IF(AW$2=$BS$1,$BS84,IF(AW$2=$BT$1,$BT84,IF(AW$2=$BU$1,$BU84,INDEX(Tiere!$BN$2:$BN$145,_xlfn.AGGREGATE(15,6,(ROW(Tiere!$BN$2:$BN$145)-1)/(--(SEARCH(AW$2,Tiere!$BN$2:$BN$145)&gt;0)),ROW()-1),1))))))))),"")</f>
        <v/>
      </c>
      <c r="AW85" s="2438"/>
      <c r="AX85" s="2472" t="str">
        <f>IFERROR(IF(OR(AY$2="ZURÜCK ZUR AUSWAHL",AY$2="",AY$2=0),"",IF(AY$2=$BO$1,$BO84,IF(AY$2=$BP$1,$BP84,IF(AY$2=$BQ$1,$BQ84,IF(AY$2=$BR$1,$BR84,IF(AY$2=$BS$1,$BS84,IF(AY$2=$BT$1,$BT84,IF(AY$2=$BU$1,$BU84,INDEX(Tiere!$BN$2:$BN$145,_xlfn.AGGREGATE(15,6,(ROW(Tiere!$BN$2:$BN$145)-1)/(--(SEARCH(AY$2,Tiere!$BN$2:$BN$145)&gt;0)),ROW()-1),1))))))))),"")</f>
        <v/>
      </c>
      <c r="AY85" s="2438"/>
      <c r="AZ85" s="2472" t="str">
        <f>IFERROR(IF(OR(BA$2="ZURÜCK ZUR AUSWAHL",BA$2="",BA$2=0),"",IF(BA$2=$BO$1,$BO84,IF(BA$2=$BP$1,$BP84,IF(BA$2=$BQ$1,$BQ84,IF(BA$2=$BR$1,$BR84,IF(BA$2=$BS$1,$BS84,IF(BA$2=$BT$1,$BT84,IF(BA$2=$BU$1,$BU84,INDEX(Tiere!$BN$2:$BN$145,_xlfn.AGGREGATE(15,6,(ROW(Tiere!$BN$2:$BN$145)-1)/(--(SEARCH(BA$2,Tiere!$BN$2:$BN$145)&gt;0)),ROW()-1),1))))))))),"")</f>
        <v/>
      </c>
      <c r="BA85" s="2438"/>
      <c r="BB85" s="2472" t="str">
        <f>IFERROR(IF(OR(BC$2="ZURÜCK ZUR AUSWAHL",BC$2="",BC$2=0),"",IF(BC$2=$BO$1,$BO84,IF(BC$2=$BP$1,$BP84,IF(BC$2=$BQ$1,$BQ84,IF(BC$2=$BR$1,$BR84,IF(BC$2=$BS$1,$BS84,IF(BC$2=$BT$1,$BT84,IF(BC$2=$BU$1,$BU84,INDEX(Tiere!$BN$2:$BN$145,_xlfn.AGGREGATE(15,6,(ROW(Tiere!$BN$2:$BN$145)-1)/(--(SEARCH(BC$2,Tiere!$BN$2:$BN$145)&gt;0)),ROW()-1),1))))))))),"")</f>
        <v/>
      </c>
      <c r="BC85" s="2438"/>
      <c r="BD85" s="2472" t="str">
        <f>IFERROR(IF(OR(BE$2="ZURÜCK ZUR AUSWAHL",BE$2="",BE$2=0),"",IF(BE$2=$BO$1,$BO84,IF(BE$2=$BP$1,$BP84,IF(BE$2=$BQ$1,$BQ84,IF(BE$2=$BR$1,$BR84,IF(BE$2=$BS$1,$BS84,IF(BE$2=$BT$1,$BT84,IF(BE$2=$BU$1,$BU84,INDEX(Tiere!$BN$2:$BN$145,_xlfn.AGGREGATE(15,6,(ROW(Tiere!$BN$2:$BN$145)-1)/(--(SEARCH(BE$2,Tiere!$BN$2:$BN$145)&gt;0)),ROW()-1),1))))))))),"")</f>
        <v/>
      </c>
      <c r="BE85" s="2438"/>
      <c r="BF85" s="2472" t="str">
        <f>IFERROR(IF(OR(BG$2="ZURÜCK ZUR AUSWAHL",BG$2="",BG$2=0),"",IF(BG$2=$BO$1,$BO84,IF(BG$2=$BP$1,$BP84,IF(BG$2=$BQ$1,$BQ84,IF(BG$2=$BR$1,$BR84,IF(BG$2=$BS$1,$BS84,IF(BG$2=$BT$1,$BT84,IF(BG$2=$BU$1,$BU84,INDEX(Tiere!$BN$2:$BN$145,_xlfn.AGGREGATE(15,6,(ROW(Tiere!$BN$2:$BN$145)-1)/(--(SEARCH(BG$2,Tiere!$BN$2:$BN$145)&gt;0)),ROW()-1),1))))))))),"")</f>
        <v/>
      </c>
      <c r="BG85" s="2438"/>
      <c r="BH85" s="2472" t="str">
        <f>IFERROR(IF(OR(BI$2="ZURÜCK ZUR AUSWAHL",BI$2="",BI$2=0),"",IF(BI$2=$BO$1,$BO84,IF(BI$2=$BP$1,$BP84,IF(BI$2=$BQ$1,$BQ84,IF(BI$2=$BR$1,$BR84,IF(BI$2=$BS$1,$BS84,IF(BI$2=$BT$1,$BT84,IF(BI$2=$BU$1,$BU84,INDEX(Tiere!$BN$2:$BN$145,_xlfn.AGGREGATE(15,6,(ROW(Tiere!$BN$2:$BN$145)-1)/(--(SEARCH(BI$2,Tiere!$BN$2:$BN$145)&gt;0)),ROW()-1),1))))))))),"")</f>
        <v/>
      </c>
      <c r="BI85" s="2438"/>
      <c r="BJ85" s="2472" t="str">
        <f>IFERROR(IF(OR(BK$2="ZURÜCK ZUR AUSWAHL",BK$2="",BK$2=0),"",IF(BK$2=$BO$1,$BO84,IF(BK$2=$BP$1,$BP84,IF(BK$2=$BQ$1,$BQ84,IF(BK$2=$BR$1,$BR84,IF(BK$2=$BS$1,$BS84,IF(BK$2=$BT$1,$BT84,IF(BK$2=$BU$1,$BU84,INDEX(Tiere!$BN$2:$BN$145,_xlfn.AGGREGATE(15,6,(ROW(Tiere!$BN$2:$BN$145)-1)/(--(SEARCH(BK$2,Tiere!$BN$2:$BN$145)&gt;0)),ROW()-1),1))))))))),"")</f>
        <v/>
      </c>
      <c r="BK85" s="2438"/>
      <c r="BL85" s="2472" t="str">
        <f>IFERROR(IF(OR(BM$2="ZURÜCK ZUR AUSWAHL",BM$2="",BM$2=0),"",IF(BM$2=$BO$1,$BO84,IF(BM$2=$BP$1,$BP84,IF(BM$2=$BQ$1,$BQ84,IF(BM$2=$BR$1,$BR84,IF(BM$2=$BS$1,$BS84,IF(BM$2=$BT$1,$BT84,IF(BM$2=$BU$1,$BU84,INDEX(Tiere!$BN$2:$BN$145,_xlfn.AGGREGATE(15,6,(ROW(Tiere!$BN$2:$BN$145)-1)/(--(SEARCH(BM$2,Tiere!$BN$2:$BN$145)&gt;0)),ROW()-1),1))))))))),"")</f>
        <v/>
      </c>
      <c r="BM85" s="2438"/>
      <c r="BN85" s="2478" t="s">
        <v>1261</v>
      </c>
      <c r="BO85" s="2470"/>
      <c r="BP85" s="2470"/>
      <c r="BQ85" s="2470"/>
      <c r="BR85" s="2470"/>
      <c r="BS85" s="2470"/>
      <c r="BT85" s="2470"/>
      <c r="BU85" s="2470"/>
    </row>
    <row r="86" spans="36:73" ht="13.8" thickBot="1">
      <c r="AJ86" s="2472" t="str">
        <f>IFERROR(IF(OR(AK$2="ZURÜCK ZUR AUSWAHL",AK$2="",AK$2=0),"",IF(AK$2=$BO$1,$BO85,IF(AK$2=$BP$1,$BP85,IF(AK$2=$BQ$1,$BQ85,IF(AK$2=$BR$1,$BR85,IF(AK$2=$BS$1,$BS85,IF(AK$2=$BT$1,$BT85,IF(AK$2=$BU$1,$BU85,INDEX(Tiere!$BN$2:$BN$145,_xlfn.AGGREGATE(15,6,(ROW(Tiere!$BN$2:$BN$145)-1)/(--(SEARCH(AK$2,Tiere!$BN$2:$BN$145)&gt;0)),ROW()-2),1))))))))),"")</f>
        <v/>
      </c>
      <c r="AK86" s="2436"/>
      <c r="AL86" s="2472" t="str">
        <f>IFERROR(IF(OR(AM$2="ZURÜCK ZUR AUSWAHL",AM$2="",AM$2=0),"",IF(AM$2=$BO$1,$BO85,IF(AM$2=$BP$1,$BP85,IF(AM$2=$BQ$1,$BQ85,IF(AM$2=$BR$1,$BR85,IF(AM$2=$BS$1,$BS85,IF(AM$2=$BT$1,$BT85,IF(AM$2=$BU$1,$BU85,INDEX(Tiere!$BN$2:$BN$145,_xlfn.AGGREGATE(15,6,(ROW(Tiere!$BN$2:$BN$145)-1)/(--(SEARCH(AM$2,Tiere!$BN$2:$BN$145)&gt;0)),ROW()-1),1))))))))),"")</f>
        <v/>
      </c>
      <c r="AM86" s="2436"/>
      <c r="AN86" s="2472" t="str">
        <f>IFERROR(IF(OR(AO$2="ZURÜCK ZUR AUSWAHL",AO$2="",AO$2=0),"",IF(AO$2=$BO$1,$BO85,IF(AO$2=$BP$1,$BP85,IF(AO$2=$BQ$1,$BQ85,IF(AO$2=$BR$1,$BR85,IF(AO$2=$BS$1,$BS85,IF(AO$2=$BT$1,$BT85,IF(AO$2=$BU$1,$BU85,INDEX(Tiere!$BN$2:$BN$145,_xlfn.AGGREGATE(15,6,(ROW(Tiere!$BN$2:$BN$145)-1)/(--(SEARCH(AO$2,Tiere!$BN$2:$BN$145)&gt;0)),ROW()-1),1))))))))),"")</f>
        <v/>
      </c>
      <c r="AO86" s="2436"/>
      <c r="AP86" s="2472" t="str">
        <f>IFERROR(IF(OR(AQ$2="ZURÜCK ZUR AUSWAHL",AQ$2="",AQ$2=0),"",IF(AQ$2=$BO$1,$BO85,IF(AQ$2=$BP$1,$BP85,IF(AQ$2=$BQ$1,$BQ85,IF(AQ$2=$BR$1,$BR85,IF(AQ$2=$BS$1,$BS85,IF(AQ$2=$BT$1,$BT85,IF(AQ$2=$BU$1,$BU85,INDEX(Tiere!$BN$2:$BN$145,_xlfn.AGGREGATE(15,6,(ROW(Tiere!$BN$2:$BN$145)-1)/(--(SEARCH(AQ$2,Tiere!$BN$2:$BN$145)&gt;0)),ROW()-1),1))))))))),"")</f>
        <v/>
      </c>
      <c r="AQ86" s="2436"/>
      <c r="AR86" s="2472" t="str">
        <f>IFERROR(IF(OR(AS$2="ZURÜCK ZUR AUSWAHL",AS$2="",AS$2=0),"",IF(AS$2=$BO$1,$BO85,IF(AS$2=$BP$1,$BP85,IF(AS$2=$BQ$1,$BQ85,IF(AS$2=$BR$1,$BR85,IF(AS$2=$BS$1,$BS85,IF(AS$2=$BT$1,$BT85,IF(AS$2=$BU$1,$BU85,INDEX(Tiere!$BN$2:$BN$145,_xlfn.AGGREGATE(15,6,(ROW(Tiere!$BN$2:$BN$145)-1)/(--(SEARCH(AS$2,Tiere!$BN$2:$BN$145)&gt;0)),ROW()-1),1))))))))),"")</f>
        <v/>
      </c>
      <c r="AS86" s="2436"/>
      <c r="AT86" s="2472" t="str">
        <f>IFERROR(IF(OR(AU$2="ZURÜCK ZUR AUSWAHL",AU$2="",AU$2=0),"",IF(AU$2=$BO$1,$BO85,IF(AU$2=$BP$1,$BP85,IF(AU$2=$BQ$1,$BQ85,IF(AU$2=$BR$1,$BR85,IF(AU$2=$BS$1,$BS85,IF(AU$2=$BT$1,$BT85,IF(AU$2=$BU$1,$BU85,INDEX(Tiere!$BN$2:$BN$145,_xlfn.AGGREGATE(15,6,(ROW(Tiere!$BN$2:$BN$145)-1)/(--(SEARCH(AU$2,Tiere!$BN$2:$BN$145)&gt;0)),ROW()-1),1))))))))),"")</f>
        <v/>
      </c>
      <c r="AU86" s="2436"/>
      <c r="AV86" s="2472" t="str">
        <f>IFERROR(IF(OR(AW$2="ZURÜCK ZUR AUSWAHL",AW$2="",AW$2=0),"",IF(AW$2=$BO$1,$BO85,IF(AW$2=$BP$1,$BP85,IF(AW$2=$BQ$1,$BQ85,IF(AW$2=$BR$1,$BR85,IF(AW$2=$BS$1,$BS85,IF(AW$2=$BT$1,$BT85,IF(AW$2=$BU$1,$BU85,INDEX(Tiere!$BN$2:$BN$145,_xlfn.AGGREGATE(15,6,(ROW(Tiere!$BN$2:$BN$145)-1)/(--(SEARCH(AW$2,Tiere!$BN$2:$BN$145)&gt;0)),ROW()-1),1))))))))),"")</f>
        <v/>
      </c>
      <c r="AW86" s="2436"/>
      <c r="AX86" s="2472" t="str">
        <f>IFERROR(IF(OR(AY$2="ZURÜCK ZUR AUSWAHL",AY$2="",AY$2=0),"",IF(AY$2=$BO$1,$BO85,IF(AY$2=$BP$1,$BP85,IF(AY$2=$BQ$1,$BQ85,IF(AY$2=$BR$1,$BR85,IF(AY$2=$BS$1,$BS85,IF(AY$2=$BT$1,$BT85,IF(AY$2=$BU$1,$BU85,INDEX(Tiere!$BN$2:$BN$145,_xlfn.AGGREGATE(15,6,(ROW(Tiere!$BN$2:$BN$145)-1)/(--(SEARCH(AY$2,Tiere!$BN$2:$BN$145)&gt;0)),ROW()-1),1))))))))),"")</f>
        <v/>
      </c>
      <c r="AY86" s="2436"/>
      <c r="AZ86" s="2472" t="str">
        <f>IFERROR(IF(OR(BA$2="ZURÜCK ZUR AUSWAHL",BA$2="",BA$2=0),"",IF(BA$2=$BO$1,$BO85,IF(BA$2=$BP$1,$BP85,IF(BA$2=$BQ$1,$BQ85,IF(BA$2=$BR$1,$BR85,IF(BA$2=$BS$1,$BS85,IF(BA$2=$BT$1,$BT85,IF(BA$2=$BU$1,$BU85,INDEX(Tiere!$BN$2:$BN$145,_xlfn.AGGREGATE(15,6,(ROW(Tiere!$BN$2:$BN$145)-1)/(--(SEARCH(BA$2,Tiere!$BN$2:$BN$145)&gt;0)),ROW()-1),1))))))))),"")</f>
        <v/>
      </c>
      <c r="BA86" s="2436"/>
      <c r="BB86" s="2472" t="str">
        <f>IFERROR(IF(OR(BC$2="ZURÜCK ZUR AUSWAHL",BC$2="",BC$2=0),"",IF(BC$2=$BO$1,$BO85,IF(BC$2=$BP$1,$BP85,IF(BC$2=$BQ$1,$BQ85,IF(BC$2=$BR$1,$BR85,IF(BC$2=$BS$1,$BS85,IF(BC$2=$BT$1,$BT85,IF(BC$2=$BU$1,$BU85,INDEX(Tiere!$BN$2:$BN$145,_xlfn.AGGREGATE(15,6,(ROW(Tiere!$BN$2:$BN$145)-1)/(--(SEARCH(BC$2,Tiere!$BN$2:$BN$145)&gt;0)),ROW()-1),1))))))))),"")</f>
        <v/>
      </c>
      <c r="BC86" s="2436"/>
      <c r="BD86" s="2472" t="str">
        <f>IFERROR(IF(OR(BE$2="ZURÜCK ZUR AUSWAHL",BE$2="",BE$2=0),"",IF(BE$2=$BO$1,$BO85,IF(BE$2=$BP$1,$BP85,IF(BE$2=$BQ$1,$BQ85,IF(BE$2=$BR$1,$BR85,IF(BE$2=$BS$1,$BS85,IF(BE$2=$BT$1,$BT85,IF(BE$2=$BU$1,$BU85,INDEX(Tiere!$BN$2:$BN$145,_xlfn.AGGREGATE(15,6,(ROW(Tiere!$BN$2:$BN$145)-1)/(--(SEARCH(BE$2,Tiere!$BN$2:$BN$145)&gt;0)),ROW()-1),1))))))))),"")</f>
        <v/>
      </c>
      <c r="BE86" s="2436"/>
      <c r="BF86" s="2472" t="str">
        <f>IFERROR(IF(OR(BG$2="ZURÜCK ZUR AUSWAHL",BG$2="",BG$2=0),"",IF(BG$2=$BO$1,$BO85,IF(BG$2=$BP$1,$BP85,IF(BG$2=$BQ$1,$BQ85,IF(BG$2=$BR$1,$BR85,IF(BG$2=$BS$1,$BS85,IF(BG$2=$BT$1,$BT85,IF(BG$2=$BU$1,$BU85,INDEX(Tiere!$BN$2:$BN$145,_xlfn.AGGREGATE(15,6,(ROW(Tiere!$BN$2:$BN$145)-1)/(--(SEARCH(BG$2,Tiere!$BN$2:$BN$145)&gt;0)),ROW()-1),1))))))))),"")</f>
        <v/>
      </c>
      <c r="BG86" s="2436"/>
      <c r="BH86" s="2472" t="str">
        <f>IFERROR(IF(OR(BI$2="ZURÜCK ZUR AUSWAHL",BI$2="",BI$2=0),"",IF(BI$2=$BO$1,$BO85,IF(BI$2=$BP$1,$BP85,IF(BI$2=$BQ$1,$BQ85,IF(BI$2=$BR$1,$BR85,IF(BI$2=$BS$1,$BS85,IF(BI$2=$BT$1,$BT85,IF(BI$2=$BU$1,$BU85,INDEX(Tiere!$BN$2:$BN$145,_xlfn.AGGREGATE(15,6,(ROW(Tiere!$BN$2:$BN$145)-1)/(--(SEARCH(BI$2,Tiere!$BN$2:$BN$145)&gt;0)),ROW()-1),1))))))))),"")</f>
        <v/>
      </c>
      <c r="BI86" s="2436"/>
      <c r="BJ86" s="2472" t="str">
        <f>IFERROR(IF(OR(BK$2="ZURÜCK ZUR AUSWAHL",BK$2="",BK$2=0),"",IF(BK$2=$BO$1,$BO85,IF(BK$2=$BP$1,$BP85,IF(BK$2=$BQ$1,$BQ85,IF(BK$2=$BR$1,$BR85,IF(BK$2=$BS$1,$BS85,IF(BK$2=$BT$1,$BT85,IF(BK$2=$BU$1,$BU85,INDEX(Tiere!$BN$2:$BN$145,_xlfn.AGGREGATE(15,6,(ROW(Tiere!$BN$2:$BN$145)-1)/(--(SEARCH(BK$2,Tiere!$BN$2:$BN$145)&gt;0)),ROW()-1),1))))))))),"")</f>
        <v/>
      </c>
      <c r="BK86" s="2436"/>
      <c r="BL86" s="2472" t="str">
        <f>IFERROR(IF(OR(BM$2="ZURÜCK ZUR AUSWAHL",BM$2="",BM$2=0),"",IF(BM$2=$BO$1,$BO85,IF(BM$2=$BP$1,$BP85,IF(BM$2=$BQ$1,$BQ85,IF(BM$2=$BR$1,$BR85,IF(BM$2=$BS$1,$BS85,IF(BM$2=$BT$1,$BT85,IF(BM$2=$BU$1,$BU85,INDEX(Tiere!$BN$2:$BN$145,_xlfn.AGGREGATE(15,6,(ROW(Tiere!$BN$2:$BN$145)-1)/(--(SEARCH(BM$2,Tiere!$BN$2:$BN$145)&gt;0)),ROW()-1),1))))))))),"")</f>
        <v/>
      </c>
      <c r="BM86" s="2436"/>
      <c r="BN86" s="2478" t="s">
        <v>1262</v>
      </c>
      <c r="BO86" s="2470"/>
      <c r="BP86" s="2470"/>
      <c r="BQ86" s="2470"/>
      <c r="BR86" s="2470"/>
      <c r="BS86" s="2470"/>
      <c r="BT86" s="2470"/>
      <c r="BU86" s="2470"/>
    </row>
    <row r="87" spans="36:73" ht="14.4" thickTop="1" thickBot="1">
      <c r="AJ87" s="2472" t="str">
        <f>IFERROR(IF(OR(AK$2="ZURÜCK ZUR AUSWAHL",AK$2="",AK$2=0),"",IF(AK$2=$BO$1,$BO86,IF(AK$2=$BP$1,$BP86,IF(AK$2=$BQ$1,$BQ86,IF(AK$2=$BR$1,$BR86,IF(AK$2=$BS$1,$BS86,IF(AK$2=$BT$1,$BT86,IF(AK$2=$BU$1,$BU86,INDEX(Tiere!$BN$2:$BN$145,_xlfn.AGGREGATE(15,6,(ROW(Tiere!$BN$2:$BN$145)-1)/(--(SEARCH(AK$2,Tiere!$BN$2:$BN$145)&gt;0)),ROW()-2),1))))))))),"")</f>
        <v/>
      </c>
      <c r="AK87" s="2438"/>
      <c r="AL87" s="2472" t="str">
        <f>IFERROR(IF(OR(AM$2="ZURÜCK ZUR AUSWAHL",AM$2="",AM$2=0),"",IF(AM$2=$BO$1,$BO86,IF(AM$2=$BP$1,$BP86,IF(AM$2=$BQ$1,$BQ86,IF(AM$2=$BR$1,$BR86,IF(AM$2=$BS$1,$BS86,IF(AM$2=$BT$1,$BT86,IF(AM$2=$BU$1,$BU86,INDEX(Tiere!$BN$2:$BN$145,_xlfn.AGGREGATE(15,6,(ROW(Tiere!$BN$2:$BN$145)-1)/(--(SEARCH(AM$2,Tiere!$BN$2:$BN$145)&gt;0)),ROW()-1),1))))))))),"")</f>
        <v/>
      </c>
      <c r="AM87" s="2438"/>
      <c r="AN87" s="2472" t="str">
        <f>IFERROR(IF(OR(AO$2="ZURÜCK ZUR AUSWAHL",AO$2="",AO$2=0),"",IF(AO$2=$BO$1,$BO86,IF(AO$2=$BP$1,$BP86,IF(AO$2=$BQ$1,$BQ86,IF(AO$2=$BR$1,$BR86,IF(AO$2=$BS$1,$BS86,IF(AO$2=$BT$1,$BT86,IF(AO$2=$BU$1,$BU86,INDEX(Tiere!$BN$2:$BN$145,_xlfn.AGGREGATE(15,6,(ROW(Tiere!$BN$2:$BN$145)-1)/(--(SEARCH(AO$2,Tiere!$BN$2:$BN$145)&gt;0)),ROW()-1),1))))))))),"")</f>
        <v/>
      </c>
      <c r="AO87" s="2438"/>
      <c r="AP87" s="2472" t="str">
        <f>IFERROR(IF(OR(AQ$2="ZURÜCK ZUR AUSWAHL",AQ$2="",AQ$2=0),"",IF(AQ$2=$BO$1,$BO86,IF(AQ$2=$BP$1,$BP86,IF(AQ$2=$BQ$1,$BQ86,IF(AQ$2=$BR$1,$BR86,IF(AQ$2=$BS$1,$BS86,IF(AQ$2=$BT$1,$BT86,IF(AQ$2=$BU$1,$BU86,INDEX(Tiere!$BN$2:$BN$145,_xlfn.AGGREGATE(15,6,(ROW(Tiere!$BN$2:$BN$145)-1)/(--(SEARCH(AQ$2,Tiere!$BN$2:$BN$145)&gt;0)),ROW()-1),1))))))))),"")</f>
        <v/>
      </c>
      <c r="AQ87" s="2438"/>
      <c r="AR87" s="2472" t="str">
        <f>IFERROR(IF(OR(AS$2="ZURÜCK ZUR AUSWAHL",AS$2="",AS$2=0),"",IF(AS$2=$BO$1,$BO86,IF(AS$2=$BP$1,$BP86,IF(AS$2=$BQ$1,$BQ86,IF(AS$2=$BR$1,$BR86,IF(AS$2=$BS$1,$BS86,IF(AS$2=$BT$1,$BT86,IF(AS$2=$BU$1,$BU86,INDEX(Tiere!$BN$2:$BN$145,_xlfn.AGGREGATE(15,6,(ROW(Tiere!$BN$2:$BN$145)-1)/(--(SEARCH(AS$2,Tiere!$BN$2:$BN$145)&gt;0)),ROW()-1),1))))))))),"")</f>
        <v/>
      </c>
      <c r="AS87" s="2438"/>
      <c r="AT87" s="2472" t="str">
        <f>IFERROR(IF(OR(AU$2="ZURÜCK ZUR AUSWAHL",AU$2="",AU$2=0),"",IF(AU$2=$BO$1,$BO86,IF(AU$2=$BP$1,$BP86,IF(AU$2=$BQ$1,$BQ86,IF(AU$2=$BR$1,$BR86,IF(AU$2=$BS$1,$BS86,IF(AU$2=$BT$1,$BT86,IF(AU$2=$BU$1,$BU86,INDEX(Tiere!$BN$2:$BN$145,_xlfn.AGGREGATE(15,6,(ROW(Tiere!$BN$2:$BN$145)-1)/(--(SEARCH(AU$2,Tiere!$BN$2:$BN$145)&gt;0)),ROW()-1),1))))))))),"")</f>
        <v/>
      </c>
      <c r="AU87" s="2438"/>
      <c r="AV87" s="2472" t="str">
        <f>IFERROR(IF(OR(AW$2="ZURÜCK ZUR AUSWAHL",AW$2="",AW$2=0),"",IF(AW$2=$BO$1,$BO86,IF(AW$2=$BP$1,$BP86,IF(AW$2=$BQ$1,$BQ86,IF(AW$2=$BR$1,$BR86,IF(AW$2=$BS$1,$BS86,IF(AW$2=$BT$1,$BT86,IF(AW$2=$BU$1,$BU86,INDEX(Tiere!$BN$2:$BN$145,_xlfn.AGGREGATE(15,6,(ROW(Tiere!$BN$2:$BN$145)-1)/(--(SEARCH(AW$2,Tiere!$BN$2:$BN$145)&gt;0)),ROW()-1),1))))))))),"")</f>
        <v/>
      </c>
      <c r="AW87" s="2438"/>
      <c r="AX87" s="2472" t="str">
        <f>IFERROR(IF(OR(AY$2="ZURÜCK ZUR AUSWAHL",AY$2="",AY$2=0),"",IF(AY$2=$BO$1,$BO86,IF(AY$2=$BP$1,$BP86,IF(AY$2=$BQ$1,$BQ86,IF(AY$2=$BR$1,$BR86,IF(AY$2=$BS$1,$BS86,IF(AY$2=$BT$1,$BT86,IF(AY$2=$BU$1,$BU86,INDEX(Tiere!$BN$2:$BN$145,_xlfn.AGGREGATE(15,6,(ROW(Tiere!$BN$2:$BN$145)-1)/(--(SEARCH(AY$2,Tiere!$BN$2:$BN$145)&gt;0)),ROW()-1),1))))))))),"")</f>
        <v/>
      </c>
      <c r="AY87" s="2438"/>
      <c r="AZ87" s="2472" t="str">
        <f>IFERROR(IF(OR(BA$2="ZURÜCK ZUR AUSWAHL",BA$2="",BA$2=0),"",IF(BA$2=$BO$1,$BO86,IF(BA$2=$BP$1,$BP86,IF(BA$2=$BQ$1,$BQ86,IF(BA$2=$BR$1,$BR86,IF(BA$2=$BS$1,$BS86,IF(BA$2=$BT$1,$BT86,IF(BA$2=$BU$1,$BU86,INDEX(Tiere!$BN$2:$BN$145,_xlfn.AGGREGATE(15,6,(ROW(Tiere!$BN$2:$BN$145)-1)/(--(SEARCH(BA$2,Tiere!$BN$2:$BN$145)&gt;0)),ROW()-1),1))))))))),"")</f>
        <v/>
      </c>
      <c r="BA87" s="2438"/>
      <c r="BB87" s="2472" t="str">
        <f>IFERROR(IF(OR(BC$2="ZURÜCK ZUR AUSWAHL",BC$2="",BC$2=0),"",IF(BC$2=$BO$1,$BO86,IF(BC$2=$BP$1,$BP86,IF(BC$2=$BQ$1,$BQ86,IF(BC$2=$BR$1,$BR86,IF(BC$2=$BS$1,$BS86,IF(BC$2=$BT$1,$BT86,IF(BC$2=$BU$1,$BU86,INDEX(Tiere!$BN$2:$BN$145,_xlfn.AGGREGATE(15,6,(ROW(Tiere!$BN$2:$BN$145)-1)/(--(SEARCH(BC$2,Tiere!$BN$2:$BN$145)&gt;0)),ROW()-1),1))))))))),"")</f>
        <v/>
      </c>
      <c r="BC87" s="2438"/>
      <c r="BD87" s="2472" t="str">
        <f>IFERROR(IF(OR(BE$2="ZURÜCK ZUR AUSWAHL",BE$2="",BE$2=0),"",IF(BE$2=$BO$1,$BO86,IF(BE$2=$BP$1,$BP86,IF(BE$2=$BQ$1,$BQ86,IF(BE$2=$BR$1,$BR86,IF(BE$2=$BS$1,$BS86,IF(BE$2=$BT$1,$BT86,IF(BE$2=$BU$1,$BU86,INDEX(Tiere!$BN$2:$BN$145,_xlfn.AGGREGATE(15,6,(ROW(Tiere!$BN$2:$BN$145)-1)/(--(SEARCH(BE$2,Tiere!$BN$2:$BN$145)&gt;0)),ROW()-1),1))))))))),"")</f>
        <v/>
      </c>
      <c r="BE87" s="2438"/>
      <c r="BF87" s="2472" t="str">
        <f>IFERROR(IF(OR(BG$2="ZURÜCK ZUR AUSWAHL",BG$2="",BG$2=0),"",IF(BG$2=$BO$1,$BO86,IF(BG$2=$BP$1,$BP86,IF(BG$2=$BQ$1,$BQ86,IF(BG$2=$BR$1,$BR86,IF(BG$2=$BS$1,$BS86,IF(BG$2=$BT$1,$BT86,IF(BG$2=$BU$1,$BU86,INDEX(Tiere!$BN$2:$BN$145,_xlfn.AGGREGATE(15,6,(ROW(Tiere!$BN$2:$BN$145)-1)/(--(SEARCH(BG$2,Tiere!$BN$2:$BN$145)&gt;0)),ROW()-1),1))))))))),"")</f>
        <v/>
      </c>
      <c r="BG87" s="2438"/>
      <c r="BH87" s="2472" t="str">
        <f>IFERROR(IF(OR(BI$2="ZURÜCK ZUR AUSWAHL",BI$2="",BI$2=0),"",IF(BI$2=$BO$1,$BO86,IF(BI$2=$BP$1,$BP86,IF(BI$2=$BQ$1,$BQ86,IF(BI$2=$BR$1,$BR86,IF(BI$2=$BS$1,$BS86,IF(BI$2=$BT$1,$BT86,IF(BI$2=$BU$1,$BU86,INDEX(Tiere!$BN$2:$BN$145,_xlfn.AGGREGATE(15,6,(ROW(Tiere!$BN$2:$BN$145)-1)/(--(SEARCH(BI$2,Tiere!$BN$2:$BN$145)&gt;0)),ROW()-1),1))))))))),"")</f>
        <v/>
      </c>
      <c r="BI87" s="2438"/>
      <c r="BJ87" s="2472" t="str">
        <f>IFERROR(IF(OR(BK$2="ZURÜCK ZUR AUSWAHL",BK$2="",BK$2=0),"",IF(BK$2=$BO$1,$BO86,IF(BK$2=$BP$1,$BP86,IF(BK$2=$BQ$1,$BQ86,IF(BK$2=$BR$1,$BR86,IF(BK$2=$BS$1,$BS86,IF(BK$2=$BT$1,$BT86,IF(BK$2=$BU$1,$BU86,INDEX(Tiere!$BN$2:$BN$145,_xlfn.AGGREGATE(15,6,(ROW(Tiere!$BN$2:$BN$145)-1)/(--(SEARCH(BK$2,Tiere!$BN$2:$BN$145)&gt;0)),ROW()-1),1))))))))),"")</f>
        <v/>
      </c>
      <c r="BK87" s="2438"/>
      <c r="BL87" s="2472" t="str">
        <f>IFERROR(IF(OR(BM$2="ZURÜCK ZUR AUSWAHL",BM$2="",BM$2=0),"",IF(BM$2=$BO$1,$BO86,IF(BM$2=$BP$1,$BP86,IF(BM$2=$BQ$1,$BQ86,IF(BM$2=$BR$1,$BR86,IF(BM$2=$BS$1,$BS86,IF(BM$2=$BT$1,$BT86,IF(BM$2=$BU$1,$BU86,INDEX(Tiere!$BN$2:$BN$145,_xlfn.AGGREGATE(15,6,(ROW(Tiere!$BN$2:$BN$145)-1)/(--(SEARCH(BM$2,Tiere!$BN$2:$BN$145)&gt;0)),ROW()-1),1))))))))),"")</f>
        <v/>
      </c>
      <c r="BM87" s="2438"/>
      <c r="BN87" s="2478" t="s">
        <v>1263</v>
      </c>
      <c r="BO87" s="2470"/>
      <c r="BP87" s="2470"/>
      <c r="BQ87" s="2470"/>
      <c r="BR87" s="2470"/>
      <c r="BS87" s="2470"/>
      <c r="BT87" s="2470"/>
      <c r="BU87" s="2471"/>
    </row>
    <row r="88" spans="36:73" ht="13.8" thickBot="1">
      <c r="AJ88" s="2472" t="str">
        <f>IFERROR(IF(OR(AK$2="ZURÜCK ZUR AUSWAHL",AK$2="",AK$2=0),"",IF(AK$2=$BO$1,$BO87,IF(AK$2=$BP$1,$BP87,IF(AK$2=$BQ$1,$BQ87,IF(AK$2=$BR$1,$BR87,IF(AK$2=$BS$1,$BS87,IF(AK$2=$BT$1,$BT87,IF(AK$2=$BU$1,$BU87,INDEX(Tiere!$BN$2:$BN$145,_xlfn.AGGREGATE(15,6,(ROW(Tiere!$BN$2:$BN$145)-1)/(--(SEARCH(AK$2,Tiere!$BN$2:$BN$145)&gt;0)),ROW()-2),1))))))))),"")</f>
        <v/>
      </c>
      <c r="AK88" s="2436"/>
      <c r="AL88" s="2472" t="str">
        <f>IFERROR(IF(OR(AM$2="ZURÜCK ZUR AUSWAHL",AM$2="",AM$2=0),"",IF(AM$2=$BO$1,$BO87,IF(AM$2=$BP$1,$BP87,IF(AM$2=$BQ$1,$BQ87,IF(AM$2=$BR$1,$BR87,IF(AM$2=$BS$1,$BS87,IF(AM$2=$BT$1,$BT87,IF(AM$2=$BU$1,$BU87,INDEX(Tiere!$BN$2:$BN$145,_xlfn.AGGREGATE(15,6,(ROW(Tiere!$BN$2:$BN$145)-1)/(--(SEARCH(AM$2,Tiere!$BN$2:$BN$145)&gt;0)),ROW()-1),1))))))))),"")</f>
        <v/>
      </c>
      <c r="AM88" s="2436"/>
      <c r="AN88" s="2472" t="str">
        <f>IFERROR(IF(OR(AO$2="ZURÜCK ZUR AUSWAHL",AO$2="",AO$2=0),"",IF(AO$2=$BO$1,$BO87,IF(AO$2=$BP$1,$BP87,IF(AO$2=$BQ$1,$BQ87,IF(AO$2=$BR$1,$BR87,IF(AO$2=$BS$1,$BS87,IF(AO$2=$BT$1,$BT87,IF(AO$2=$BU$1,$BU87,INDEX(Tiere!$BN$2:$BN$145,_xlfn.AGGREGATE(15,6,(ROW(Tiere!$BN$2:$BN$145)-1)/(--(SEARCH(AO$2,Tiere!$BN$2:$BN$145)&gt;0)),ROW()-1),1))))))))),"")</f>
        <v/>
      </c>
      <c r="AO88" s="2436"/>
      <c r="AP88" s="2472" t="str">
        <f>IFERROR(IF(OR(AQ$2="ZURÜCK ZUR AUSWAHL",AQ$2="",AQ$2=0),"",IF(AQ$2=$BO$1,$BO87,IF(AQ$2=$BP$1,$BP87,IF(AQ$2=$BQ$1,$BQ87,IF(AQ$2=$BR$1,$BR87,IF(AQ$2=$BS$1,$BS87,IF(AQ$2=$BT$1,$BT87,IF(AQ$2=$BU$1,$BU87,INDEX(Tiere!$BN$2:$BN$145,_xlfn.AGGREGATE(15,6,(ROW(Tiere!$BN$2:$BN$145)-1)/(--(SEARCH(AQ$2,Tiere!$BN$2:$BN$145)&gt;0)),ROW()-1),1))))))))),"")</f>
        <v/>
      </c>
      <c r="AQ88" s="2436"/>
      <c r="AR88" s="2472" t="str">
        <f>IFERROR(IF(OR(AS$2="ZURÜCK ZUR AUSWAHL",AS$2="",AS$2=0),"",IF(AS$2=$BO$1,$BO87,IF(AS$2=$BP$1,$BP87,IF(AS$2=$BQ$1,$BQ87,IF(AS$2=$BR$1,$BR87,IF(AS$2=$BS$1,$BS87,IF(AS$2=$BT$1,$BT87,IF(AS$2=$BU$1,$BU87,INDEX(Tiere!$BN$2:$BN$145,_xlfn.AGGREGATE(15,6,(ROW(Tiere!$BN$2:$BN$145)-1)/(--(SEARCH(AS$2,Tiere!$BN$2:$BN$145)&gt;0)),ROW()-1),1))))))))),"")</f>
        <v/>
      </c>
      <c r="AS88" s="2436"/>
      <c r="AT88" s="2472" t="str">
        <f>IFERROR(IF(OR(AU$2="ZURÜCK ZUR AUSWAHL",AU$2="",AU$2=0),"",IF(AU$2=$BO$1,$BO87,IF(AU$2=$BP$1,$BP87,IF(AU$2=$BQ$1,$BQ87,IF(AU$2=$BR$1,$BR87,IF(AU$2=$BS$1,$BS87,IF(AU$2=$BT$1,$BT87,IF(AU$2=$BU$1,$BU87,INDEX(Tiere!$BN$2:$BN$145,_xlfn.AGGREGATE(15,6,(ROW(Tiere!$BN$2:$BN$145)-1)/(--(SEARCH(AU$2,Tiere!$BN$2:$BN$145)&gt;0)),ROW()-1),1))))))))),"")</f>
        <v/>
      </c>
      <c r="AU88" s="2436"/>
      <c r="AV88" s="2472" t="str">
        <f>IFERROR(IF(OR(AW$2="ZURÜCK ZUR AUSWAHL",AW$2="",AW$2=0),"",IF(AW$2=$BO$1,$BO87,IF(AW$2=$BP$1,$BP87,IF(AW$2=$BQ$1,$BQ87,IF(AW$2=$BR$1,$BR87,IF(AW$2=$BS$1,$BS87,IF(AW$2=$BT$1,$BT87,IF(AW$2=$BU$1,$BU87,INDEX(Tiere!$BN$2:$BN$145,_xlfn.AGGREGATE(15,6,(ROW(Tiere!$BN$2:$BN$145)-1)/(--(SEARCH(AW$2,Tiere!$BN$2:$BN$145)&gt;0)),ROW()-1),1))))))))),"")</f>
        <v/>
      </c>
      <c r="AW88" s="2436"/>
      <c r="AX88" s="2472" t="str">
        <f>IFERROR(IF(OR(AY$2="ZURÜCK ZUR AUSWAHL",AY$2="",AY$2=0),"",IF(AY$2=$BO$1,$BO87,IF(AY$2=$BP$1,$BP87,IF(AY$2=$BQ$1,$BQ87,IF(AY$2=$BR$1,$BR87,IF(AY$2=$BS$1,$BS87,IF(AY$2=$BT$1,$BT87,IF(AY$2=$BU$1,$BU87,INDEX(Tiere!$BN$2:$BN$145,_xlfn.AGGREGATE(15,6,(ROW(Tiere!$BN$2:$BN$145)-1)/(--(SEARCH(AY$2,Tiere!$BN$2:$BN$145)&gt;0)),ROW()-1),1))))))))),"")</f>
        <v/>
      </c>
      <c r="AY88" s="2436"/>
      <c r="AZ88" s="2472" t="str">
        <f>IFERROR(IF(OR(BA$2="ZURÜCK ZUR AUSWAHL",BA$2="",BA$2=0),"",IF(BA$2=$BO$1,$BO87,IF(BA$2=$BP$1,$BP87,IF(BA$2=$BQ$1,$BQ87,IF(BA$2=$BR$1,$BR87,IF(BA$2=$BS$1,$BS87,IF(BA$2=$BT$1,$BT87,IF(BA$2=$BU$1,$BU87,INDEX(Tiere!$BN$2:$BN$145,_xlfn.AGGREGATE(15,6,(ROW(Tiere!$BN$2:$BN$145)-1)/(--(SEARCH(BA$2,Tiere!$BN$2:$BN$145)&gt;0)),ROW()-1),1))))))))),"")</f>
        <v/>
      </c>
      <c r="BA88" s="2436"/>
      <c r="BB88" s="2472" t="str">
        <f>IFERROR(IF(OR(BC$2="ZURÜCK ZUR AUSWAHL",BC$2="",BC$2=0),"",IF(BC$2=$BO$1,$BO87,IF(BC$2=$BP$1,$BP87,IF(BC$2=$BQ$1,$BQ87,IF(BC$2=$BR$1,$BR87,IF(BC$2=$BS$1,$BS87,IF(BC$2=$BT$1,$BT87,IF(BC$2=$BU$1,$BU87,INDEX(Tiere!$BN$2:$BN$145,_xlfn.AGGREGATE(15,6,(ROW(Tiere!$BN$2:$BN$145)-1)/(--(SEARCH(BC$2,Tiere!$BN$2:$BN$145)&gt;0)),ROW()-1),1))))))))),"")</f>
        <v/>
      </c>
      <c r="BC88" s="2436"/>
      <c r="BD88" s="2472" t="str">
        <f>IFERROR(IF(OR(BE$2="ZURÜCK ZUR AUSWAHL",BE$2="",BE$2=0),"",IF(BE$2=$BO$1,$BO87,IF(BE$2=$BP$1,$BP87,IF(BE$2=$BQ$1,$BQ87,IF(BE$2=$BR$1,$BR87,IF(BE$2=$BS$1,$BS87,IF(BE$2=$BT$1,$BT87,IF(BE$2=$BU$1,$BU87,INDEX(Tiere!$BN$2:$BN$145,_xlfn.AGGREGATE(15,6,(ROW(Tiere!$BN$2:$BN$145)-1)/(--(SEARCH(BE$2,Tiere!$BN$2:$BN$145)&gt;0)),ROW()-1),1))))))))),"")</f>
        <v/>
      </c>
      <c r="BE88" s="2436"/>
      <c r="BF88" s="2472" t="str">
        <f>IFERROR(IF(OR(BG$2="ZURÜCK ZUR AUSWAHL",BG$2="",BG$2=0),"",IF(BG$2=$BO$1,$BO87,IF(BG$2=$BP$1,$BP87,IF(BG$2=$BQ$1,$BQ87,IF(BG$2=$BR$1,$BR87,IF(BG$2=$BS$1,$BS87,IF(BG$2=$BT$1,$BT87,IF(BG$2=$BU$1,$BU87,INDEX(Tiere!$BN$2:$BN$145,_xlfn.AGGREGATE(15,6,(ROW(Tiere!$BN$2:$BN$145)-1)/(--(SEARCH(BG$2,Tiere!$BN$2:$BN$145)&gt;0)),ROW()-1),1))))))))),"")</f>
        <v/>
      </c>
      <c r="BG88" s="2436"/>
      <c r="BH88" s="2472" t="str">
        <f>IFERROR(IF(OR(BI$2="ZURÜCK ZUR AUSWAHL",BI$2="",BI$2=0),"",IF(BI$2=$BO$1,$BO87,IF(BI$2=$BP$1,$BP87,IF(BI$2=$BQ$1,$BQ87,IF(BI$2=$BR$1,$BR87,IF(BI$2=$BS$1,$BS87,IF(BI$2=$BT$1,$BT87,IF(BI$2=$BU$1,$BU87,INDEX(Tiere!$BN$2:$BN$145,_xlfn.AGGREGATE(15,6,(ROW(Tiere!$BN$2:$BN$145)-1)/(--(SEARCH(BI$2,Tiere!$BN$2:$BN$145)&gt;0)),ROW()-1),1))))))))),"")</f>
        <v/>
      </c>
      <c r="BI88" s="2436"/>
      <c r="BJ88" s="2472" t="str">
        <f>IFERROR(IF(OR(BK$2="ZURÜCK ZUR AUSWAHL",BK$2="",BK$2=0),"",IF(BK$2=$BO$1,$BO87,IF(BK$2=$BP$1,$BP87,IF(BK$2=$BQ$1,$BQ87,IF(BK$2=$BR$1,$BR87,IF(BK$2=$BS$1,$BS87,IF(BK$2=$BT$1,$BT87,IF(BK$2=$BU$1,$BU87,INDEX(Tiere!$BN$2:$BN$145,_xlfn.AGGREGATE(15,6,(ROW(Tiere!$BN$2:$BN$145)-1)/(--(SEARCH(BK$2,Tiere!$BN$2:$BN$145)&gt;0)),ROW()-1),1))))))))),"")</f>
        <v/>
      </c>
      <c r="BK88" s="2436"/>
      <c r="BL88" s="2472" t="str">
        <f>IFERROR(IF(OR(BM$2="ZURÜCK ZUR AUSWAHL",BM$2="",BM$2=0),"",IF(BM$2=$BO$1,$BO87,IF(BM$2=$BP$1,$BP87,IF(BM$2=$BQ$1,$BQ87,IF(BM$2=$BR$1,$BR87,IF(BM$2=$BS$1,$BS87,IF(BM$2=$BT$1,$BT87,IF(BM$2=$BU$1,$BU87,INDEX(Tiere!$BN$2:$BN$145,_xlfn.AGGREGATE(15,6,(ROW(Tiere!$BN$2:$BN$145)-1)/(--(SEARCH(BM$2,Tiere!$BN$2:$BN$145)&gt;0)),ROW()-1),1))))))))),"")</f>
        <v/>
      </c>
      <c r="BM88" s="2436"/>
      <c r="BN88" s="2478" t="s">
        <v>1264</v>
      </c>
      <c r="BO88" s="2470"/>
      <c r="BP88" s="2470"/>
      <c r="BQ88" s="2470"/>
      <c r="BR88" s="2470"/>
      <c r="BS88" s="2470"/>
      <c r="BT88" s="2470"/>
      <c r="BU88" s="2470"/>
    </row>
    <row r="89" spans="36:73" ht="13.8" thickBot="1">
      <c r="AJ89" s="2472" t="str">
        <f>IFERROR(IF(OR(AK$2="ZURÜCK ZUR AUSWAHL",AK$2="",AK$2=0),"",IF(AK$2=$BO$1,$BO88,IF(AK$2=$BP$1,$BP88,IF(AK$2=$BQ$1,$BQ88,IF(AK$2=$BR$1,$BR88,IF(AK$2=$BS$1,$BS88,IF(AK$2=$BT$1,$BT88,IF(AK$2=$BU$1,$BU88,INDEX(Tiere!$BN$2:$BN$145,_xlfn.AGGREGATE(15,6,(ROW(Tiere!$BN$2:$BN$145)-1)/(--(SEARCH(AK$2,Tiere!$BN$2:$BN$145)&gt;0)),ROW()-2),1))))))))),"")</f>
        <v/>
      </c>
      <c r="AK89" s="2438"/>
      <c r="AL89" s="2472" t="str">
        <f>IFERROR(IF(OR(AM$2="ZURÜCK ZUR AUSWAHL",AM$2="",AM$2=0),"",IF(AM$2=$BO$1,$BO88,IF(AM$2=$BP$1,$BP88,IF(AM$2=$BQ$1,$BQ88,IF(AM$2=$BR$1,$BR88,IF(AM$2=$BS$1,$BS88,IF(AM$2=$BT$1,$BT88,IF(AM$2=$BU$1,$BU88,INDEX(Tiere!$BN$2:$BN$145,_xlfn.AGGREGATE(15,6,(ROW(Tiere!$BN$2:$BN$145)-1)/(--(SEARCH(AM$2,Tiere!$BN$2:$BN$145)&gt;0)),ROW()-1),1))))))))),"")</f>
        <v/>
      </c>
      <c r="AM89" s="2438"/>
      <c r="AN89" s="2472" t="str">
        <f>IFERROR(IF(OR(AO$2="ZURÜCK ZUR AUSWAHL",AO$2="",AO$2=0),"",IF(AO$2=$BO$1,$BO88,IF(AO$2=$BP$1,$BP88,IF(AO$2=$BQ$1,$BQ88,IF(AO$2=$BR$1,$BR88,IF(AO$2=$BS$1,$BS88,IF(AO$2=$BT$1,$BT88,IF(AO$2=$BU$1,$BU88,INDEX(Tiere!$BN$2:$BN$145,_xlfn.AGGREGATE(15,6,(ROW(Tiere!$BN$2:$BN$145)-1)/(--(SEARCH(AO$2,Tiere!$BN$2:$BN$145)&gt;0)),ROW()-1),1))))))))),"")</f>
        <v/>
      </c>
      <c r="AO89" s="2438"/>
      <c r="AP89" s="2472" t="str">
        <f>IFERROR(IF(OR(AQ$2="ZURÜCK ZUR AUSWAHL",AQ$2="",AQ$2=0),"",IF(AQ$2=$BO$1,$BO88,IF(AQ$2=$BP$1,$BP88,IF(AQ$2=$BQ$1,$BQ88,IF(AQ$2=$BR$1,$BR88,IF(AQ$2=$BS$1,$BS88,IF(AQ$2=$BT$1,$BT88,IF(AQ$2=$BU$1,$BU88,INDEX(Tiere!$BN$2:$BN$145,_xlfn.AGGREGATE(15,6,(ROW(Tiere!$BN$2:$BN$145)-1)/(--(SEARCH(AQ$2,Tiere!$BN$2:$BN$145)&gt;0)),ROW()-1),1))))))))),"")</f>
        <v/>
      </c>
      <c r="AQ89" s="2438"/>
      <c r="AR89" s="2472" t="str">
        <f>IFERROR(IF(OR(AS$2="ZURÜCK ZUR AUSWAHL",AS$2="",AS$2=0),"",IF(AS$2=$BO$1,$BO88,IF(AS$2=$BP$1,$BP88,IF(AS$2=$BQ$1,$BQ88,IF(AS$2=$BR$1,$BR88,IF(AS$2=$BS$1,$BS88,IF(AS$2=$BT$1,$BT88,IF(AS$2=$BU$1,$BU88,INDEX(Tiere!$BN$2:$BN$145,_xlfn.AGGREGATE(15,6,(ROW(Tiere!$BN$2:$BN$145)-1)/(--(SEARCH(AS$2,Tiere!$BN$2:$BN$145)&gt;0)),ROW()-1),1))))))))),"")</f>
        <v/>
      </c>
      <c r="AS89" s="2438"/>
      <c r="AT89" s="2472" t="str">
        <f>IFERROR(IF(OR(AU$2="ZURÜCK ZUR AUSWAHL",AU$2="",AU$2=0),"",IF(AU$2=$BO$1,$BO88,IF(AU$2=$BP$1,$BP88,IF(AU$2=$BQ$1,$BQ88,IF(AU$2=$BR$1,$BR88,IF(AU$2=$BS$1,$BS88,IF(AU$2=$BT$1,$BT88,IF(AU$2=$BU$1,$BU88,INDEX(Tiere!$BN$2:$BN$145,_xlfn.AGGREGATE(15,6,(ROW(Tiere!$BN$2:$BN$145)-1)/(--(SEARCH(AU$2,Tiere!$BN$2:$BN$145)&gt;0)),ROW()-1),1))))))))),"")</f>
        <v/>
      </c>
      <c r="AU89" s="2438"/>
      <c r="AV89" s="2472" t="str">
        <f>IFERROR(IF(OR(AW$2="ZURÜCK ZUR AUSWAHL",AW$2="",AW$2=0),"",IF(AW$2=$BO$1,$BO88,IF(AW$2=$BP$1,$BP88,IF(AW$2=$BQ$1,$BQ88,IF(AW$2=$BR$1,$BR88,IF(AW$2=$BS$1,$BS88,IF(AW$2=$BT$1,$BT88,IF(AW$2=$BU$1,$BU88,INDEX(Tiere!$BN$2:$BN$145,_xlfn.AGGREGATE(15,6,(ROW(Tiere!$BN$2:$BN$145)-1)/(--(SEARCH(AW$2,Tiere!$BN$2:$BN$145)&gt;0)),ROW()-1),1))))))))),"")</f>
        <v/>
      </c>
      <c r="AW89" s="2438"/>
      <c r="AX89" s="2472" t="str">
        <f>IFERROR(IF(OR(AY$2="ZURÜCK ZUR AUSWAHL",AY$2="",AY$2=0),"",IF(AY$2=$BO$1,$BO88,IF(AY$2=$BP$1,$BP88,IF(AY$2=$BQ$1,$BQ88,IF(AY$2=$BR$1,$BR88,IF(AY$2=$BS$1,$BS88,IF(AY$2=$BT$1,$BT88,IF(AY$2=$BU$1,$BU88,INDEX(Tiere!$BN$2:$BN$145,_xlfn.AGGREGATE(15,6,(ROW(Tiere!$BN$2:$BN$145)-1)/(--(SEARCH(AY$2,Tiere!$BN$2:$BN$145)&gt;0)),ROW()-1),1))))))))),"")</f>
        <v/>
      </c>
      <c r="AY89" s="2438"/>
      <c r="AZ89" s="2472" t="str">
        <f>IFERROR(IF(OR(BA$2="ZURÜCK ZUR AUSWAHL",BA$2="",BA$2=0),"",IF(BA$2=$BO$1,$BO88,IF(BA$2=$BP$1,$BP88,IF(BA$2=$BQ$1,$BQ88,IF(BA$2=$BR$1,$BR88,IF(BA$2=$BS$1,$BS88,IF(BA$2=$BT$1,$BT88,IF(BA$2=$BU$1,$BU88,INDEX(Tiere!$BN$2:$BN$145,_xlfn.AGGREGATE(15,6,(ROW(Tiere!$BN$2:$BN$145)-1)/(--(SEARCH(BA$2,Tiere!$BN$2:$BN$145)&gt;0)),ROW()-1),1))))))))),"")</f>
        <v/>
      </c>
      <c r="BA89" s="2438"/>
      <c r="BB89" s="2472" t="str">
        <f>IFERROR(IF(OR(BC$2="ZURÜCK ZUR AUSWAHL",BC$2="",BC$2=0),"",IF(BC$2=$BO$1,$BO88,IF(BC$2=$BP$1,$BP88,IF(BC$2=$BQ$1,$BQ88,IF(BC$2=$BR$1,$BR88,IF(BC$2=$BS$1,$BS88,IF(BC$2=$BT$1,$BT88,IF(BC$2=$BU$1,$BU88,INDEX(Tiere!$BN$2:$BN$145,_xlfn.AGGREGATE(15,6,(ROW(Tiere!$BN$2:$BN$145)-1)/(--(SEARCH(BC$2,Tiere!$BN$2:$BN$145)&gt;0)),ROW()-1),1))))))))),"")</f>
        <v/>
      </c>
      <c r="BC89" s="2438"/>
      <c r="BD89" s="2472" t="str">
        <f>IFERROR(IF(OR(BE$2="ZURÜCK ZUR AUSWAHL",BE$2="",BE$2=0),"",IF(BE$2=$BO$1,$BO88,IF(BE$2=$BP$1,$BP88,IF(BE$2=$BQ$1,$BQ88,IF(BE$2=$BR$1,$BR88,IF(BE$2=$BS$1,$BS88,IF(BE$2=$BT$1,$BT88,IF(BE$2=$BU$1,$BU88,INDEX(Tiere!$BN$2:$BN$145,_xlfn.AGGREGATE(15,6,(ROW(Tiere!$BN$2:$BN$145)-1)/(--(SEARCH(BE$2,Tiere!$BN$2:$BN$145)&gt;0)),ROW()-1),1))))))))),"")</f>
        <v/>
      </c>
      <c r="BE89" s="2438"/>
      <c r="BF89" s="2472" t="str">
        <f>IFERROR(IF(OR(BG$2="ZURÜCK ZUR AUSWAHL",BG$2="",BG$2=0),"",IF(BG$2=$BO$1,$BO88,IF(BG$2=$BP$1,$BP88,IF(BG$2=$BQ$1,$BQ88,IF(BG$2=$BR$1,$BR88,IF(BG$2=$BS$1,$BS88,IF(BG$2=$BT$1,$BT88,IF(BG$2=$BU$1,$BU88,INDEX(Tiere!$BN$2:$BN$145,_xlfn.AGGREGATE(15,6,(ROW(Tiere!$BN$2:$BN$145)-1)/(--(SEARCH(BG$2,Tiere!$BN$2:$BN$145)&gt;0)),ROW()-1),1))))))))),"")</f>
        <v/>
      </c>
      <c r="BG89" s="2438"/>
      <c r="BH89" s="2472" t="str">
        <f>IFERROR(IF(OR(BI$2="ZURÜCK ZUR AUSWAHL",BI$2="",BI$2=0),"",IF(BI$2=$BO$1,$BO88,IF(BI$2=$BP$1,$BP88,IF(BI$2=$BQ$1,$BQ88,IF(BI$2=$BR$1,$BR88,IF(BI$2=$BS$1,$BS88,IF(BI$2=$BT$1,$BT88,IF(BI$2=$BU$1,$BU88,INDEX(Tiere!$BN$2:$BN$145,_xlfn.AGGREGATE(15,6,(ROW(Tiere!$BN$2:$BN$145)-1)/(--(SEARCH(BI$2,Tiere!$BN$2:$BN$145)&gt;0)),ROW()-1),1))))))))),"")</f>
        <v/>
      </c>
      <c r="BI89" s="2438"/>
      <c r="BJ89" s="2472" t="str">
        <f>IFERROR(IF(OR(BK$2="ZURÜCK ZUR AUSWAHL",BK$2="",BK$2=0),"",IF(BK$2=$BO$1,$BO88,IF(BK$2=$BP$1,$BP88,IF(BK$2=$BQ$1,$BQ88,IF(BK$2=$BR$1,$BR88,IF(BK$2=$BS$1,$BS88,IF(BK$2=$BT$1,$BT88,IF(BK$2=$BU$1,$BU88,INDEX(Tiere!$BN$2:$BN$145,_xlfn.AGGREGATE(15,6,(ROW(Tiere!$BN$2:$BN$145)-1)/(--(SEARCH(BK$2,Tiere!$BN$2:$BN$145)&gt;0)),ROW()-1),1))))))))),"")</f>
        <v/>
      </c>
      <c r="BK89" s="2438"/>
      <c r="BL89" s="2472" t="str">
        <f>IFERROR(IF(OR(BM$2="ZURÜCK ZUR AUSWAHL",BM$2="",BM$2=0),"",IF(BM$2=$BO$1,$BO88,IF(BM$2=$BP$1,$BP88,IF(BM$2=$BQ$1,$BQ88,IF(BM$2=$BR$1,$BR88,IF(BM$2=$BS$1,$BS88,IF(BM$2=$BT$1,$BT88,IF(BM$2=$BU$1,$BU88,INDEX(Tiere!$BN$2:$BN$145,_xlfn.AGGREGATE(15,6,(ROW(Tiere!$BN$2:$BN$145)-1)/(--(SEARCH(BM$2,Tiere!$BN$2:$BN$145)&gt;0)),ROW()-1),1))))))))),"")</f>
        <v/>
      </c>
      <c r="BM89" s="2438"/>
      <c r="BN89" s="2478" t="s">
        <v>1265</v>
      </c>
      <c r="BO89" s="2470"/>
      <c r="BP89" s="2470"/>
      <c r="BQ89" s="2470"/>
      <c r="BR89" s="2470"/>
      <c r="BS89" s="2470"/>
      <c r="BT89" s="2470"/>
      <c r="BU89" s="2470"/>
    </row>
    <row r="90" spans="36:73" ht="13.8" thickBot="1">
      <c r="AJ90" s="2472" t="str">
        <f>IFERROR(IF(OR(AK$2="ZURÜCK ZUR AUSWAHL",AK$2="",AK$2=0),"",IF(AK$2=$BO$1,$BO89,IF(AK$2=$BP$1,$BP89,IF(AK$2=$BQ$1,$BQ89,IF(AK$2=$BR$1,$BR89,IF(AK$2=$BS$1,$BS89,IF(AK$2=$BT$1,$BT89,IF(AK$2=$BU$1,$BU89,INDEX(Tiere!$BN$2:$BN$145,_xlfn.AGGREGATE(15,6,(ROW(Tiere!$BN$2:$BN$145)-1)/(--(SEARCH(AK$2,Tiere!$BN$2:$BN$145)&gt;0)),ROW()-2),1))))))))),"")</f>
        <v/>
      </c>
      <c r="AK90" s="2436"/>
      <c r="AL90" s="2472" t="str">
        <f>IFERROR(IF(OR(AM$2="ZURÜCK ZUR AUSWAHL",AM$2="",AM$2=0),"",IF(AM$2=$BO$1,$BO89,IF(AM$2=$BP$1,$BP89,IF(AM$2=$BQ$1,$BQ89,IF(AM$2=$BR$1,$BR89,IF(AM$2=$BS$1,$BS89,IF(AM$2=$BT$1,$BT89,IF(AM$2=$BU$1,$BU89,INDEX(Tiere!$BN$2:$BN$145,_xlfn.AGGREGATE(15,6,(ROW(Tiere!$BN$2:$BN$145)-1)/(--(SEARCH(AM$2,Tiere!$BN$2:$BN$145)&gt;0)),ROW()-1),1))))))))),"")</f>
        <v/>
      </c>
      <c r="AM90" s="2436"/>
      <c r="AN90" s="2472" t="str">
        <f>IFERROR(IF(OR(AO$2="ZURÜCK ZUR AUSWAHL",AO$2="",AO$2=0),"",IF(AO$2=$BO$1,$BO89,IF(AO$2=$BP$1,$BP89,IF(AO$2=$BQ$1,$BQ89,IF(AO$2=$BR$1,$BR89,IF(AO$2=$BS$1,$BS89,IF(AO$2=$BT$1,$BT89,IF(AO$2=$BU$1,$BU89,INDEX(Tiere!$BN$2:$BN$145,_xlfn.AGGREGATE(15,6,(ROW(Tiere!$BN$2:$BN$145)-1)/(--(SEARCH(AO$2,Tiere!$BN$2:$BN$145)&gt;0)),ROW()-1),1))))))))),"")</f>
        <v/>
      </c>
      <c r="AO90" s="2436"/>
      <c r="AP90" s="2472" t="str">
        <f>IFERROR(IF(OR(AQ$2="ZURÜCK ZUR AUSWAHL",AQ$2="",AQ$2=0),"",IF(AQ$2=$BO$1,$BO89,IF(AQ$2=$BP$1,$BP89,IF(AQ$2=$BQ$1,$BQ89,IF(AQ$2=$BR$1,$BR89,IF(AQ$2=$BS$1,$BS89,IF(AQ$2=$BT$1,$BT89,IF(AQ$2=$BU$1,$BU89,INDEX(Tiere!$BN$2:$BN$145,_xlfn.AGGREGATE(15,6,(ROW(Tiere!$BN$2:$BN$145)-1)/(--(SEARCH(AQ$2,Tiere!$BN$2:$BN$145)&gt;0)),ROW()-1),1))))))))),"")</f>
        <v/>
      </c>
      <c r="AQ90" s="2436"/>
      <c r="AR90" s="2472" t="str">
        <f>IFERROR(IF(OR(AS$2="ZURÜCK ZUR AUSWAHL",AS$2="",AS$2=0),"",IF(AS$2=$BO$1,$BO89,IF(AS$2=$BP$1,$BP89,IF(AS$2=$BQ$1,$BQ89,IF(AS$2=$BR$1,$BR89,IF(AS$2=$BS$1,$BS89,IF(AS$2=$BT$1,$BT89,IF(AS$2=$BU$1,$BU89,INDEX(Tiere!$BN$2:$BN$145,_xlfn.AGGREGATE(15,6,(ROW(Tiere!$BN$2:$BN$145)-1)/(--(SEARCH(AS$2,Tiere!$BN$2:$BN$145)&gt;0)),ROW()-1),1))))))))),"")</f>
        <v/>
      </c>
      <c r="AS90" s="2436"/>
      <c r="AT90" s="2472" t="str">
        <f>IFERROR(IF(OR(AU$2="ZURÜCK ZUR AUSWAHL",AU$2="",AU$2=0),"",IF(AU$2=$BO$1,$BO89,IF(AU$2=$BP$1,$BP89,IF(AU$2=$BQ$1,$BQ89,IF(AU$2=$BR$1,$BR89,IF(AU$2=$BS$1,$BS89,IF(AU$2=$BT$1,$BT89,IF(AU$2=$BU$1,$BU89,INDEX(Tiere!$BN$2:$BN$145,_xlfn.AGGREGATE(15,6,(ROW(Tiere!$BN$2:$BN$145)-1)/(--(SEARCH(AU$2,Tiere!$BN$2:$BN$145)&gt;0)),ROW()-1),1))))))))),"")</f>
        <v/>
      </c>
      <c r="AU90" s="2436"/>
      <c r="AV90" s="2472" t="str">
        <f>IFERROR(IF(OR(AW$2="ZURÜCK ZUR AUSWAHL",AW$2="",AW$2=0),"",IF(AW$2=$BO$1,$BO89,IF(AW$2=$BP$1,$BP89,IF(AW$2=$BQ$1,$BQ89,IF(AW$2=$BR$1,$BR89,IF(AW$2=$BS$1,$BS89,IF(AW$2=$BT$1,$BT89,IF(AW$2=$BU$1,$BU89,INDEX(Tiere!$BN$2:$BN$145,_xlfn.AGGREGATE(15,6,(ROW(Tiere!$BN$2:$BN$145)-1)/(--(SEARCH(AW$2,Tiere!$BN$2:$BN$145)&gt;0)),ROW()-1),1))))))))),"")</f>
        <v/>
      </c>
      <c r="AW90" s="2436"/>
      <c r="AX90" s="2472" t="str">
        <f>IFERROR(IF(OR(AY$2="ZURÜCK ZUR AUSWAHL",AY$2="",AY$2=0),"",IF(AY$2=$BO$1,$BO89,IF(AY$2=$BP$1,$BP89,IF(AY$2=$BQ$1,$BQ89,IF(AY$2=$BR$1,$BR89,IF(AY$2=$BS$1,$BS89,IF(AY$2=$BT$1,$BT89,IF(AY$2=$BU$1,$BU89,INDEX(Tiere!$BN$2:$BN$145,_xlfn.AGGREGATE(15,6,(ROW(Tiere!$BN$2:$BN$145)-1)/(--(SEARCH(AY$2,Tiere!$BN$2:$BN$145)&gt;0)),ROW()-1),1))))))))),"")</f>
        <v/>
      </c>
      <c r="AY90" s="2436"/>
      <c r="AZ90" s="2472" t="str">
        <f>IFERROR(IF(OR(BA$2="ZURÜCK ZUR AUSWAHL",BA$2="",BA$2=0),"",IF(BA$2=$BO$1,$BO89,IF(BA$2=$BP$1,$BP89,IF(BA$2=$BQ$1,$BQ89,IF(BA$2=$BR$1,$BR89,IF(BA$2=$BS$1,$BS89,IF(BA$2=$BT$1,$BT89,IF(BA$2=$BU$1,$BU89,INDEX(Tiere!$BN$2:$BN$145,_xlfn.AGGREGATE(15,6,(ROW(Tiere!$BN$2:$BN$145)-1)/(--(SEARCH(BA$2,Tiere!$BN$2:$BN$145)&gt;0)),ROW()-1),1))))))))),"")</f>
        <v/>
      </c>
      <c r="BA90" s="2436"/>
      <c r="BB90" s="2472" t="str">
        <f>IFERROR(IF(OR(BC$2="ZURÜCK ZUR AUSWAHL",BC$2="",BC$2=0),"",IF(BC$2=$BO$1,$BO89,IF(BC$2=$BP$1,$BP89,IF(BC$2=$BQ$1,$BQ89,IF(BC$2=$BR$1,$BR89,IF(BC$2=$BS$1,$BS89,IF(BC$2=$BT$1,$BT89,IF(BC$2=$BU$1,$BU89,INDEX(Tiere!$BN$2:$BN$145,_xlfn.AGGREGATE(15,6,(ROW(Tiere!$BN$2:$BN$145)-1)/(--(SEARCH(BC$2,Tiere!$BN$2:$BN$145)&gt;0)),ROW()-1),1))))))))),"")</f>
        <v/>
      </c>
      <c r="BC90" s="2436"/>
      <c r="BD90" s="2472" t="str">
        <f>IFERROR(IF(OR(BE$2="ZURÜCK ZUR AUSWAHL",BE$2="",BE$2=0),"",IF(BE$2=$BO$1,$BO89,IF(BE$2=$BP$1,$BP89,IF(BE$2=$BQ$1,$BQ89,IF(BE$2=$BR$1,$BR89,IF(BE$2=$BS$1,$BS89,IF(BE$2=$BT$1,$BT89,IF(BE$2=$BU$1,$BU89,INDEX(Tiere!$BN$2:$BN$145,_xlfn.AGGREGATE(15,6,(ROW(Tiere!$BN$2:$BN$145)-1)/(--(SEARCH(BE$2,Tiere!$BN$2:$BN$145)&gt;0)),ROW()-1),1))))))))),"")</f>
        <v/>
      </c>
      <c r="BE90" s="2436"/>
      <c r="BF90" s="2472" t="str">
        <f>IFERROR(IF(OR(BG$2="ZURÜCK ZUR AUSWAHL",BG$2="",BG$2=0),"",IF(BG$2=$BO$1,$BO89,IF(BG$2=$BP$1,$BP89,IF(BG$2=$BQ$1,$BQ89,IF(BG$2=$BR$1,$BR89,IF(BG$2=$BS$1,$BS89,IF(BG$2=$BT$1,$BT89,IF(BG$2=$BU$1,$BU89,INDEX(Tiere!$BN$2:$BN$145,_xlfn.AGGREGATE(15,6,(ROW(Tiere!$BN$2:$BN$145)-1)/(--(SEARCH(BG$2,Tiere!$BN$2:$BN$145)&gt;0)),ROW()-1),1))))))))),"")</f>
        <v/>
      </c>
      <c r="BG90" s="2436"/>
      <c r="BH90" s="2472" t="str">
        <f>IFERROR(IF(OR(BI$2="ZURÜCK ZUR AUSWAHL",BI$2="",BI$2=0),"",IF(BI$2=$BO$1,$BO89,IF(BI$2=$BP$1,$BP89,IF(BI$2=$BQ$1,$BQ89,IF(BI$2=$BR$1,$BR89,IF(BI$2=$BS$1,$BS89,IF(BI$2=$BT$1,$BT89,IF(BI$2=$BU$1,$BU89,INDEX(Tiere!$BN$2:$BN$145,_xlfn.AGGREGATE(15,6,(ROW(Tiere!$BN$2:$BN$145)-1)/(--(SEARCH(BI$2,Tiere!$BN$2:$BN$145)&gt;0)),ROW()-1),1))))))))),"")</f>
        <v/>
      </c>
      <c r="BI90" s="2436"/>
      <c r="BJ90" s="2472" t="str">
        <f>IFERROR(IF(OR(BK$2="ZURÜCK ZUR AUSWAHL",BK$2="",BK$2=0),"",IF(BK$2=$BO$1,$BO89,IF(BK$2=$BP$1,$BP89,IF(BK$2=$BQ$1,$BQ89,IF(BK$2=$BR$1,$BR89,IF(BK$2=$BS$1,$BS89,IF(BK$2=$BT$1,$BT89,IF(BK$2=$BU$1,$BU89,INDEX(Tiere!$BN$2:$BN$145,_xlfn.AGGREGATE(15,6,(ROW(Tiere!$BN$2:$BN$145)-1)/(--(SEARCH(BK$2,Tiere!$BN$2:$BN$145)&gt;0)),ROW()-1),1))))))))),"")</f>
        <v/>
      </c>
      <c r="BK90" s="2436"/>
      <c r="BL90" s="2472" t="str">
        <f>IFERROR(IF(OR(BM$2="ZURÜCK ZUR AUSWAHL",BM$2="",BM$2=0),"",IF(BM$2=$BO$1,$BO89,IF(BM$2=$BP$1,$BP89,IF(BM$2=$BQ$1,$BQ89,IF(BM$2=$BR$1,$BR89,IF(BM$2=$BS$1,$BS89,IF(BM$2=$BT$1,$BT89,IF(BM$2=$BU$1,$BU89,INDEX(Tiere!$BN$2:$BN$145,_xlfn.AGGREGATE(15,6,(ROW(Tiere!$BN$2:$BN$145)-1)/(--(SEARCH(BM$2,Tiere!$BN$2:$BN$145)&gt;0)),ROW()-1),1))))))))),"")</f>
        <v/>
      </c>
      <c r="BM90" s="2436"/>
      <c r="BN90" s="2478" t="s">
        <v>1266</v>
      </c>
      <c r="BO90" s="2470"/>
      <c r="BP90" s="2470"/>
      <c r="BQ90" s="2470"/>
      <c r="BR90" s="2470"/>
      <c r="BS90" s="2470"/>
      <c r="BT90" s="2470"/>
      <c r="BU90" s="2470"/>
    </row>
    <row r="91" spans="36:73" ht="13.8" thickBot="1">
      <c r="AJ91" s="2472" t="str">
        <f>IFERROR(IF(OR(AK$2="ZURÜCK ZUR AUSWAHL",AK$2="",AK$2=0),"",IF(AK$2=$BO$1,$BO90,IF(AK$2=$BP$1,$BP90,IF(AK$2=$BQ$1,$BQ90,IF(AK$2=$BR$1,$BR90,IF(AK$2=$BS$1,$BS90,IF(AK$2=$BT$1,$BT90,IF(AK$2=$BU$1,$BU90,INDEX(Tiere!$BN$2:$BN$145,_xlfn.AGGREGATE(15,6,(ROW(Tiere!$BN$2:$BN$145)-1)/(--(SEARCH(AK$2,Tiere!$BN$2:$BN$145)&gt;0)),ROW()-2),1))))))))),"")</f>
        <v/>
      </c>
      <c r="AK91" s="2438"/>
      <c r="AL91" s="2472" t="str">
        <f>IFERROR(IF(OR(AM$2="ZURÜCK ZUR AUSWAHL",AM$2="",AM$2=0),"",IF(AM$2=$BO$1,$BO90,IF(AM$2=$BP$1,$BP90,IF(AM$2=$BQ$1,$BQ90,IF(AM$2=$BR$1,$BR90,IF(AM$2=$BS$1,$BS90,IF(AM$2=$BT$1,$BT90,IF(AM$2=$BU$1,$BU90,INDEX(Tiere!$BN$2:$BN$145,_xlfn.AGGREGATE(15,6,(ROW(Tiere!$BN$2:$BN$145)-1)/(--(SEARCH(AM$2,Tiere!$BN$2:$BN$145)&gt;0)),ROW()-1),1))))))))),"")</f>
        <v/>
      </c>
      <c r="AM91" s="2438"/>
      <c r="AN91" s="2472" t="str">
        <f>IFERROR(IF(OR(AO$2="ZURÜCK ZUR AUSWAHL",AO$2="",AO$2=0),"",IF(AO$2=$BO$1,$BO90,IF(AO$2=$BP$1,$BP90,IF(AO$2=$BQ$1,$BQ90,IF(AO$2=$BR$1,$BR90,IF(AO$2=$BS$1,$BS90,IF(AO$2=$BT$1,$BT90,IF(AO$2=$BU$1,$BU90,INDEX(Tiere!$BN$2:$BN$145,_xlfn.AGGREGATE(15,6,(ROW(Tiere!$BN$2:$BN$145)-1)/(--(SEARCH(AO$2,Tiere!$BN$2:$BN$145)&gt;0)),ROW()-1),1))))))))),"")</f>
        <v/>
      </c>
      <c r="AO91" s="2438"/>
      <c r="AP91" s="2472" t="str">
        <f>IFERROR(IF(OR(AQ$2="ZURÜCK ZUR AUSWAHL",AQ$2="",AQ$2=0),"",IF(AQ$2=$BO$1,$BO90,IF(AQ$2=$BP$1,$BP90,IF(AQ$2=$BQ$1,$BQ90,IF(AQ$2=$BR$1,$BR90,IF(AQ$2=$BS$1,$BS90,IF(AQ$2=$BT$1,$BT90,IF(AQ$2=$BU$1,$BU90,INDEX(Tiere!$BN$2:$BN$145,_xlfn.AGGREGATE(15,6,(ROW(Tiere!$BN$2:$BN$145)-1)/(--(SEARCH(AQ$2,Tiere!$BN$2:$BN$145)&gt;0)),ROW()-1),1))))))))),"")</f>
        <v/>
      </c>
      <c r="AQ91" s="2438"/>
      <c r="AR91" s="2472" t="str">
        <f>IFERROR(IF(OR(AS$2="ZURÜCK ZUR AUSWAHL",AS$2="",AS$2=0),"",IF(AS$2=$BO$1,$BO90,IF(AS$2=$BP$1,$BP90,IF(AS$2=$BQ$1,$BQ90,IF(AS$2=$BR$1,$BR90,IF(AS$2=$BS$1,$BS90,IF(AS$2=$BT$1,$BT90,IF(AS$2=$BU$1,$BU90,INDEX(Tiere!$BN$2:$BN$145,_xlfn.AGGREGATE(15,6,(ROW(Tiere!$BN$2:$BN$145)-1)/(--(SEARCH(AS$2,Tiere!$BN$2:$BN$145)&gt;0)),ROW()-1),1))))))))),"")</f>
        <v/>
      </c>
      <c r="AS91" s="2438"/>
      <c r="AT91" s="2472" t="str">
        <f>IFERROR(IF(OR(AU$2="ZURÜCK ZUR AUSWAHL",AU$2="",AU$2=0),"",IF(AU$2=$BO$1,$BO90,IF(AU$2=$BP$1,$BP90,IF(AU$2=$BQ$1,$BQ90,IF(AU$2=$BR$1,$BR90,IF(AU$2=$BS$1,$BS90,IF(AU$2=$BT$1,$BT90,IF(AU$2=$BU$1,$BU90,INDEX(Tiere!$BN$2:$BN$145,_xlfn.AGGREGATE(15,6,(ROW(Tiere!$BN$2:$BN$145)-1)/(--(SEARCH(AU$2,Tiere!$BN$2:$BN$145)&gt;0)),ROW()-1),1))))))))),"")</f>
        <v/>
      </c>
      <c r="AU91" s="2438"/>
      <c r="AV91" s="2472" t="str">
        <f>IFERROR(IF(OR(AW$2="ZURÜCK ZUR AUSWAHL",AW$2="",AW$2=0),"",IF(AW$2=$BO$1,$BO90,IF(AW$2=$BP$1,$BP90,IF(AW$2=$BQ$1,$BQ90,IF(AW$2=$BR$1,$BR90,IF(AW$2=$BS$1,$BS90,IF(AW$2=$BT$1,$BT90,IF(AW$2=$BU$1,$BU90,INDEX(Tiere!$BN$2:$BN$145,_xlfn.AGGREGATE(15,6,(ROW(Tiere!$BN$2:$BN$145)-1)/(--(SEARCH(AW$2,Tiere!$BN$2:$BN$145)&gt;0)),ROW()-1),1))))))))),"")</f>
        <v/>
      </c>
      <c r="AW91" s="2438"/>
      <c r="AX91" s="2472" t="str">
        <f>IFERROR(IF(OR(AY$2="ZURÜCK ZUR AUSWAHL",AY$2="",AY$2=0),"",IF(AY$2=$BO$1,$BO90,IF(AY$2=$BP$1,$BP90,IF(AY$2=$BQ$1,$BQ90,IF(AY$2=$BR$1,$BR90,IF(AY$2=$BS$1,$BS90,IF(AY$2=$BT$1,$BT90,IF(AY$2=$BU$1,$BU90,INDEX(Tiere!$BN$2:$BN$145,_xlfn.AGGREGATE(15,6,(ROW(Tiere!$BN$2:$BN$145)-1)/(--(SEARCH(AY$2,Tiere!$BN$2:$BN$145)&gt;0)),ROW()-1),1))))))))),"")</f>
        <v/>
      </c>
      <c r="AY91" s="2438"/>
      <c r="AZ91" s="2472" t="str">
        <f>IFERROR(IF(OR(BA$2="ZURÜCK ZUR AUSWAHL",BA$2="",BA$2=0),"",IF(BA$2=$BO$1,$BO90,IF(BA$2=$BP$1,$BP90,IF(BA$2=$BQ$1,$BQ90,IF(BA$2=$BR$1,$BR90,IF(BA$2=$BS$1,$BS90,IF(BA$2=$BT$1,$BT90,IF(BA$2=$BU$1,$BU90,INDEX(Tiere!$BN$2:$BN$145,_xlfn.AGGREGATE(15,6,(ROW(Tiere!$BN$2:$BN$145)-1)/(--(SEARCH(BA$2,Tiere!$BN$2:$BN$145)&gt;0)),ROW()-1),1))))))))),"")</f>
        <v/>
      </c>
      <c r="BA91" s="2438"/>
      <c r="BB91" s="2472" t="str">
        <f>IFERROR(IF(OR(BC$2="ZURÜCK ZUR AUSWAHL",BC$2="",BC$2=0),"",IF(BC$2=$BO$1,$BO90,IF(BC$2=$BP$1,$BP90,IF(BC$2=$BQ$1,$BQ90,IF(BC$2=$BR$1,$BR90,IF(BC$2=$BS$1,$BS90,IF(BC$2=$BT$1,$BT90,IF(BC$2=$BU$1,$BU90,INDEX(Tiere!$BN$2:$BN$145,_xlfn.AGGREGATE(15,6,(ROW(Tiere!$BN$2:$BN$145)-1)/(--(SEARCH(BC$2,Tiere!$BN$2:$BN$145)&gt;0)),ROW()-1),1))))))))),"")</f>
        <v/>
      </c>
      <c r="BC91" s="2438"/>
      <c r="BD91" s="2472" t="str">
        <f>IFERROR(IF(OR(BE$2="ZURÜCK ZUR AUSWAHL",BE$2="",BE$2=0),"",IF(BE$2=$BO$1,$BO90,IF(BE$2=$BP$1,$BP90,IF(BE$2=$BQ$1,$BQ90,IF(BE$2=$BR$1,$BR90,IF(BE$2=$BS$1,$BS90,IF(BE$2=$BT$1,$BT90,IF(BE$2=$BU$1,$BU90,INDEX(Tiere!$BN$2:$BN$145,_xlfn.AGGREGATE(15,6,(ROW(Tiere!$BN$2:$BN$145)-1)/(--(SEARCH(BE$2,Tiere!$BN$2:$BN$145)&gt;0)),ROW()-1),1))))))))),"")</f>
        <v/>
      </c>
      <c r="BE91" s="2438"/>
      <c r="BF91" s="2472" t="str">
        <f>IFERROR(IF(OR(BG$2="ZURÜCK ZUR AUSWAHL",BG$2="",BG$2=0),"",IF(BG$2=$BO$1,$BO90,IF(BG$2=$BP$1,$BP90,IF(BG$2=$BQ$1,$BQ90,IF(BG$2=$BR$1,$BR90,IF(BG$2=$BS$1,$BS90,IF(BG$2=$BT$1,$BT90,IF(BG$2=$BU$1,$BU90,INDEX(Tiere!$BN$2:$BN$145,_xlfn.AGGREGATE(15,6,(ROW(Tiere!$BN$2:$BN$145)-1)/(--(SEARCH(BG$2,Tiere!$BN$2:$BN$145)&gt;0)),ROW()-1),1))))))))),"")</f>
        <v/>
      </c>
      <c r="BG91" s="2438"/>
      <c r="BH91" s="2472" t="str">
        <f>IFERROR(IF(OR(BI$2="ZURÜCK ZUR AUSWAHL",BI$2="",BI$2=0),"",IF(BI$2=$BO$1,$BO90,IF(BI$2=$BP$1,$BP90,IF(BI$2=$BQ$1,$BQ90,IF(BI$2=$BR$1,$BR90,IF(BI$2=$BS$1,$BS90,IF(BI$2=$BT$1,$BT90,IF(BI$2=$BU$1,$BU90,INDEX(Tiere!$BN$2:$BN$145,_xlfn.AGGREGATE(15,6,(ROW(Tiere!$BN$2:$BN$145)-1)/(--(SEARCH(BI$2,Tiere!$BN$2:$BN$145)&gt;0)),ROW()-1),1))))))))),"")</f>
        <v/>
      </c>
      <c r="BI91" s="2438"/>
      <c r="BJ91" s="2472" t="str">
        <f>IFERROR(IF(OR(BK$2="ZURÜCK ZUR AUSWAHL",BK$2="",BK$2=0),"",IF(BK$2=$BO$1,$BO90,IF(BK$2=$BP$1,$BP90,IF(BK$2=$BQ$1,$BQ90,IF(BK$2=$BR$1,$BR90,IF(BK$2=$BS$1,$BS90,IF(BK$2=$BT$1,$BT90,IF(BK$2=$BU$1,$BU90,INDEX(Tiere!$BN$2:$BN$145,_xlfn.AGGREGATE(15,6,(ROW(Tiere!$BN$2:$BN$145)-1)/(--(SEARCH(BK$2,Tiere!$BN$2:$BN$145)&gt;0)),ROW()-1),1))))))))),"")</f>
        <v/>
      </c>
      <c r="BK91" s="2438"/>
      <c r="BL91" s="2472" t="str">
        <f>IFERROR(IF(OR(BM$2="ZURÜCK ZUR AUSWAHL",BM$2="",BM$2=0),"",IF(BM$2=$BO$1,$BO90,IF(BM$2=$BP$1,$BP90,IF(BM$2=$BQ$1,$BQ90,IF(BM$2=$BR$1,$BR90,IF(BM$2=$BS$1,$BS90,IF(BM$2=$BT$1,$BT90,IF(BM$2=$BU$1,$BU90,INDEX(Tiere!$BN$2:$BN$145,_xlfn.AGGREGATE(15,6,(ROW(Tiere!$BN$2:$BN$145)-1)/(--(SEARCH(BM$2,Tiere!$BN$2:$BN$145)&gt;0)),ROW()-1),1))))))))),"")</f>
        <v/>
      </c>
      <c r="BM91" s="2438"/>
      <c r="BN91" s="2478" t="s">
        <v>1268</v>
      </c>
      <c r="BO91" s="2470"/>
      <c r="BP91" s="2470"/>
      <c r="BQ91" s="2470"/>
      <c r="BR91" s="2470"/>
      <c r="BS91" s="2470"/>
      <c r="BT91" s="2470"/>
      <c r="BU91" s="2470"/>
    </row>
    <row r="92" spans="36:73" ht="13.8" thickBot="1">
      <c r="AJ92" s="2472" t="str">
        <f>IFERROR(IF(OR(AK$2="ZURÜCK ZUR AUSWAHL",AK$2="",AK$2=0),"",IF(AK$2=$BO$1,$BO91,IF(AK$2=$BP$1,$BP91,IF(AK$2=$BQ$1,$BQ91,IF(AK$2=$BR$1,$BR91,IF(AK$2=$BS$1,$BS91,IF(AK$2=$BT$1,$BT91,IF(AK$2=$BU$1,$BU91,INDEX(Tiere!$BN$2:$BN$145,_xlfn.AGGREGATE(15,6,(ROW(Tiere!$BN$2:$BN$145)-1)/(--(SEARCH(AK$2,Tiere!$BN$2:$BN$145)&gt;0)),ROW()-2),1))))))))),"")</f>
        <v/>
      </c>
      <c r="AK92" s="2436"/>
      <c r="AL92" s="2472" t="str">
        <f>IFERROR(IF(OR(AM$2="ZURÜCK ZUR AUSWAHL",AM$2="",AM$2=0),"",IF(AM$2=$BO$1,$BO91,IF(AM$2=$BP$1,$BP91,IF(AM$2=$BQ$1,$BQ91,IF(AM$2=$BR$1,$BR91,IF(AM$2=$BS$1,$BS91,IF(AM$2=$BT$1,$BT91,IF(AM$2=$BU$1,$BU91,INDEX(Tiere!$BN$2:$BN$145,_xlfn.AGGREGATE(15,6,(ROW(Tiere!$BN$2:$BN$145)-1)/(--(SEARCH(AM$2,Tiere!$BN$2:$BN$145)&gt;0)),ROW()-1),1))))))))),"")</f>
        <v/>
      </c>
      <c r="AM92" s="2436"/>
      <c r="AN92" s="2472" t="str">
        <f>IFERROR(IF(OR(AO$2="ZURÜCK ZUR AUSWAHL",AO$2="",AO$2=0),"",IF(AO$2=$BO$1,$BO91,IF(AO$2=$BP$1,$BP91,IF(AO$2=$BQ$1,$BQ91,IF(AO$2=$BR$1,$BR91,IF(AO$2=$BS$1,$BS91,IF(AO$2=$BT$1,$BT91,IF(AO$2=$BU$1,$BU91,INDEX(Tiere!$BN$2:$BN$145,_xlfn.AGGREGATE(15,6,(ROW(Tiere!$BN$2:$BN$145)-1)/(--(SEARCH(AO$2,Tiere!$BN$2:$BN$145)&gt;0)),ROW()-1),1))))))))),"")</f>
        <v/>
      </c>
      <c r="AO92" s="2436"/>
      <c r="AP92" s="2472" t="str">
        <f>IFERROR(IF(OR(AQ$2="ZURÜCK ZUR AUSWAHL",AQ$2="",AQ$2=0),"",IF(AQ$2=$BO$1,$BO91,IF(AQ$2=$BP$1,$BP91,IF(AQ$2=$BQ$1,$BQ91,IF(AQ$2=$BR$1,$BR91,IF(AQ$2=$BS$1,$BS91,IF(AQ$2=$BT$1,$BT91,IF(AQ$2=$BU$1,$BU91,INDEX(Tiere!$BN$2:$BN$145,_xlfn.AGGREGATE(15,6,(ROW(Tiere!$BN$2:$BN$145)-1)/(--(SEARCH(AQ$2,Tiere!$BN$2:$BN$145)&gt;0)),ROW()-1),1))))))))),"")</f>
        <v/>
      </c>
      <c r="AQ92" s="2436"/>
      <c r="AR92" s="2472" t="str">
        <f>IFERROR(IF(OR(AS$2="ZURÜCK ZUR AUSWAHL",AS$2="",AS$2=0),"",IF(AS$2=$BO$1,$BO91,IF(AS$2=$BP$1,$BP91,IF(AS$2=$BQ$1,$BQ91,IF(AS$2=$BR$1,$BR91,IF(AS$2=$BS$1,$BS91,IF(AS$2=$BT$1,$BT91,IF(AS$2=$BU$1,$BU91,INDEX(Tiere!$BN$2:$BN$145,_xlfn.AGGREGATE(15,6,(ROW(Tiere!$BN$2:$BN$145)-1)/(--(SEARCH(AS$2,Tiere!$BN$2:$BN$145)&gt;0)),ROW()-1),1))))))))),"")</f>
        <v/>
      </c>
      <c r="AS92" s="2436"/>
      <c r="AT92" s="2472" t="str">
        <f>IFERROR(IF(OR(AU$2="ZURÜCK ZUR AUSWAHL",AU$2="",AU$2=0),"",IF(AU$2=$BO$1,$BO91,IF(AU$2=$BP$1,$BP91,IF(AU$2=$BQ$1,$BQ91,IF(AU$2=$BR$1,$BR91,IF(AU$2=$BS$1,$BS91,IF(AU$2=$BT$1,$BT91,IF(AU$2=$BU$1,$BU91,INDEX(Tiere!$BN$2:$BN$145,_xlfn.AGGREGATE(15,6,(ROW(Tiere!$BN$2:$BN$145)-1)/(--(SEARCH(AU$2,Tiere!$BN$2:$BN$145)&gt;0)),ROW()-1),1))))))))),"")</f>
        <v/>
      </c>
      <c r="AU92" s="2436"/>
      <c r="AV92" s="2472" t="str">
        <f>IFERROR(IF(OR(AW$2="ZURÜCK ZUR AUSWAHL",AW$2="",AW$2=0),"",IF(AW$2=$BO$1,$BO91,IF(AW$2=$BP$1,$BP91,IF(AW$2=$BQ$1,$BQ91,IF(AW$2=$BR$1,$BR91,IF(AW$2=$BS$1,$BS91,IF(AW$2=$BT$1,$BT91,IF(AW$2=$BU$1,$BU91,INDEX(Tiere!$BN$2:$BN$145,_xlfn.AGGREGATE(15,6,(ROW(Tiere!$BN$2:$BN$145)-1)/(--(SEARCH(AW$2,Tiere!$BN$2:$BN$145)&gt;0)),ROW()-1),1))))))))),"")</f>
        <v/>
      </c>
      <c r="AW92" s="2436"/>
      <c r="AX92" s="2472" t="str">
        <f>IFERROR(IF(OR(AY$2="ZURÜCK ZUR AUSWAHL",AY$2="",AY$2=0),"",IF(AY$2=$BO$1,$BO91,IF(AY$2=$BP$1,$BP91,IF(AY$2=$BQ$1,$BQ91,IF(AY$2=$BR$1,$BR91,IF(AY$2=$BS$1,$BS91,IF(AY$2=$BT$1,$BT91,IF(AY$2=$BU$1,$BU91,INDEX(Tiere!$BN$2:$BN$145,_xlfn.AGGREGATE(15,6,(ROW(Tiere!$BN$2:$BN$145)-1)/(--(SEARCH(AY$2,Tiere!$BN$2:$BN$145)&gt;0)),ROW()-1),1))))))))),"")</f>
        <v/>
      </c>
      <c r="AY92" s="2436"/>
      <c r="AZ92" s="2472" t="str">
        <f>IFERROR(IF(OR(BA$2="ZURÜCK ZUR AUSWAHL",BA$2="",BA$2=0),"",IF(BA$2=$BO$1,$BO91,IF(BA$2=$BP$1,$BP91,IF(BA$2=$BQ$1,$BQ91,IF(BA$2=$BR$1,$BR91,IF(BA$2=$BS$1,$BS91,IF(BA$2=$BT$1,$BT91,IF(BA$2=$BU$1,$BU91,INDEX(Tiere!$BN$2:$BN$145,_xlfn.AGGREGATE(15,6,(ROW(Tiere!$BN$2:$BN$145)-1)/(--(SEARCH(BA$2,Tiere!$BN$2:$BN$145)&gt;0)),ROW()-1),1))))))))),"")</f>
        <v/>
      </c>
      <c r="BA92" s="2436"/>
      <c r="BB92" s="2472" t="str">
        <f>IFERROR(IF(OR(BC$2="ZURÜCK ZUR AUSWAHL",BC$2="",BC$2=0),"",IF(BC$2=$BO$1,$BO91,IF(BC$2=$BP$1,$BP91,IF(BC$2=$BQ$1,$BQ91,IF(BC$2=$BR$1,$BR91,IF(BC$2=$BS$1,$BS91,IF(BC$2=$BT$1,$BT91,IF(BC$2=$BU$1,$BU91,INDEX(Tiere!$BN$2:$BN$145,_xlfn.AGGREGATE(15,6,(ROW(Tiere!$BN$2:$BN$145)-1)/(--(SEARCH(BC$2,Tiere!$BN$2:$BN$145)&gt;0)),ROW()-1),1))))))))),"")</f>
        <v/>
      </c>
      <c r="BC92" s="2436"/>
      <c r="BD92" s="2472" t="str">
        <f>IFERROR(IF(OR(BE$2="ZURÜCK ZUR AUSWAHL",BE$2="",BE$2=0),"",IF(BE$2=$BO$1,$BO91,IF(BE$2=$BP$1,$BP91,IF(BE$2=$BQ$1,$BQ91,IF(BE$2=$BR$1,$BR91,IF(BE$2=$BS$1,$BS91,IF(BE$2=$BT$1,$BT91,IF(BE$2=$BU$1,$BU91,INDEX(Tiere!$BN$2:$BN$145,_xlfn.AGGREGATE(15,6,(ROW(Tiere!$BN$2:$BN$145)-1)/(--(SEARCH(BE$2,Tiere!$BN$2:$BN$145)&gt;0)),ROW()-1),1))))))))),"")</f>
        <v/>
      </c>
      <c r="BE92" s="2436"/>
      <c r="BF92" s="2472" t="str">
        <f>IFERROR(IF(OR(BG$2="ZURÜCK ZUR AUSWAHL",BG$2="",BG$2=0),"",IF(BG$2=$BO$1,$BO91,IF(BG$2=$BP$1,$BP91,IF(BG$2=$BQ$1,$BQ91,IF(BG$2=$BR$1,$BR91,IF(BG$2=$BS$1,$BS91,IF(BG$2=$BT$1,$BT91,IF(BG$2=$BU$1,$BU91,INDEX(Tiere!$BN$2:$BN$145,_xlfn.AGGREGATE(15,6,(ROW(Tiere!$BN$2:$BN$145)-1)/(--(SEARCH(BG$2,Tiere!$BN$2:$BN$145)&gt;0)),ROW()-1),1))))))))),"")</f>
        <v/>
      </c>
      <c r="BG92" s="2436"/>
      <c r="BH92" s="2472" t="str">
        <f>IFERROR(IF(OR(BI$2="ZURÜCK ZUR AUSWAHL",BI$2="",BI$2=0),"",IF(BI$2=$BO$1,$BO91,IF(BI$2=$BP$1,$BP91,IF(BI$2=$BQ$1,$BQ91,IF(BI$2=$BR$1,$BR91,IF(BI$2=$BS$1,$BS91,IF(BI$2=$BT$1,$BT91,IF(BI$2=$BU$1,$BU91,INDEX(Tiere!$BN$2:$BN$145,_xlfn.AGGREGATE(15,6,(ROW(Tiere!$BN$2:$BN$145)-1)/(--(SEARCH(BI$2,Tiere!$BN$2:$BN$145)&gt;0)),ROW()-1),1))))))))),"")</f>
        <v/>
      </c>
      <c r="BI92" s="2436"/>
      <c r="BJ92" s="2472" t="str">
        <f>IFERROR(IF(OR(BK$2="ZURÜCK ZUR AUSWAHL",BK$2="",BK$2=0),"",IF(BK$2=$BO$1,$BO91,IF(BK$2=$BP$1,$BP91,IF(BK$2=$BQ$1,$BQ91,IF(BK$2=$BR$1,$BR91,IF(BK$2=$BS$1,$BS91,IF(BK$2=$BT$1,$BT91,IF(BK$2=$BU$1,$BU91,INDEX(Tiere!$BN$2:$BN$145,_xlfn.AGGREGATE(15,6,(ROW(Tiere!$BN$2:$BN$145)-1)/(--(SEARCH(BK$2,Tiere!$BN$2:$BN$145)&gt;0)),ROW()-1),1))))))))),"")</f>
        <v/>
      </c>
      <c r="BK92" s="2436"/>
      <c r="BL92" s="2472" t="str">
        <f>IFERROR(IF(OR(BM$2="ZURÜCK ZUR AUSWAHL",BM$2="",BM$2=0),"",IF(BM$2=$BO$1,$BO91,IF(BM$2=$BP$1,$BP91,IF(BM$2=$BQ$1,$BQ91,IF(BM$2=$BR$1,$BR91,IF(BM$2=$BS$1,$BS91,IF(BM$2=$BT$1,$BT91,IF(BM$2=$BU$1,$BU91,INDEX(Tiere!$BN$2:$BN$145,_xlfn.AGGREGATE(15,6,(ROW(Tiere!$BN$2:$BN$145)-1)/(--(SEARCH(BM$2,Tiere!$BN$2:$BN$145)&gt;0)),ROW()-1),1))))))))),"")</f>
        <v/>
      </c>
      <c r="BM92" s="2436"/>
      <c r="BN92" s="2478" t="s">
        <v>1269</v>
      </c>
      <c r="BO92" s="2470"/>
      <c r="BP92" s="2470"/>
      <c r="BQ92" s="2470"/>
      <c r="BR92" s="2470"/>
      <c r="BS92" s="2470"/>
      <c r="BT92" s="2470"/>
      <c r="BU92" s="2470"/>
    </row>
    <row r="93" spans="36:73" ht="13.8" thickBot="1">
      <c r="AJ93" s="2472" t="str">
        <f>IFERROR(IF(OR(AK$2="ZURÜCK ZUR AUSWAHL",AK$2="",AK$2=0),"",IF(AK$2=$BO$1,$BO92,IF(AK$2=$BP$1,$BP92,IF(AK$2=$BQ$1,$BQ92,IF(AK$2=$BR$1,$BR92,IF(AK$2=$BS$1,$BS92,IF(AK$2=$BT$1,$BT92,IF(AK$2=$BU$1,$BU92,INDEX(Tiere!$BN$2:$BN$145,_xlfn.AGGREGATE(15,6,(ROW(Tiere!$BN$2:$BN$145)-1)/(--(SEARCH(AK$2,Tiere!$BN$2:$BN$145)&gt;0)),ROW()-2),1))))))))),"")</f>
        <v/>
      </c>
      <c r="AK93" s="2438"/>
      <c r="AL93" s="2472" t="str">
        <f>IFERROR(IF(OR(AM$2="ZURÜCK ZUR AUSWAHL",AM$2="",AM$2=0),"",IF(AM$2=$BO$1,$BO92,IF(AM$2=$BP$1,$BP92,IF(AM$2=$BQ$1,$BQ92,IF(AM$2=$BR$1,$BR92,IF(AM$2=$BS$1,$BS92,IF(AM$2=$BT$1,$BT92,IF(AM$2=$BU$1,$BU92,INDEX(Tiere!$BN$2:$BN$145,_xlfn.AGGREGATE(15,6,(ROW(Tiere!$BN$2:$BN$145)-1)/(--(SEARCH(AM$2,Tiere!$BN$2:$BN$145)&gt;0)),ROW()-1),1))))))))),"")</f>
        <v/>
      </c>
      <c r="AM93" s="2438"/>
      <c r="AN93" s="2472" t="str">
        <f>IFERROR(IF(OR(AO$2="ZURÜCK ZUR AUSWAHL",AO$2="",AO$2=0),"",IF(AO$2=$BO$1,$BO92,IF(AO$2=$BP$1,$BP92,IF(AO$2=$BQ$1,$BQ92,IF(AO$2=$BR$1,$BR92,IF(AO$2=$BS$1,$BS92,IF(AO$2=$BT$1,$BT92,IF(AO$2=$BU$1,$BU92,INDEX(Tiere!$BN$2:$BN$145,_xlfn.AGGREGATE(15,6,(ROW(Tiere!$BN$2:$BN$145)-1)/(--(SEARCH(AO$2,Tiere!$BN$2:$BN$145)&gt;0)),ROW()-1),1))))))))),"")</f>
        <v/>
      </c>
      <c r="AO93" s="2438"/>
      <c r="AP93" s="2472" t="str">
        <f>IFERROR(IF(OR(AQ$2="ZURÜCK ZUR AUSWAHL",AQ$2="",AQ$2=0),"",IF(AQ$2=$BO$1,$BO92,IF(AQ$2=$BP$1,$BP92,IF(AQ$2=$BQ$1,$BQ92,IF(AQ$2=$BR$1,$BR92,IF(AQ$2=$BS$1,$BS92,IF(AQ$2=$BT$1,$BT92,IF(AQ$2=$BU$1,$BU92,INDEX(Tiere!$BN$2:$BN$145,_xlfn.AGGREGATE(15,6,(ROW(Tiere!$BN$2:$BN$145)-1)/(--(SEARCH(AQ$2,Tiere!$BN$2:$BN$145)&gt;0)),ROW()-1),1))))))))),"")</f>
        <v/>
      </c>
      <c r="AQ93" s="2438"/>
      <c r="AR93" s="2472" t="str">
        <f>IFERROR(IF(OR(AS$2="ZURÜCK ZUR AUSWAHL",AS$2="",AS$2=0),"",IF(AS$2=$BO$1,$BO92,IF(AS$2=$BP$1,$BP92,IF(AS$2=$BQ$1,$BQ92,IF(AS$2=$BR$1,$BR92,IF(AS$2=$BS$1,$BS92,IF(AS$2=$BT$1,$BT92,IF(AS$2=$BU$1,$BU92,INDEX(Tiere!$BN$2:$BN$145,_xlfn.AGGREGATE(15,6,(ROW(Tiere!$BN$2:$BN$145)-1)/(--(SEARCH(AS$2,Tiere!$BN$2:$BN$145)&gt;0)),ROW()-1),1))))))))),"")</f>
        <v/>
      </c>
      <c r="AS93" s="2438"/>
      <c r="AT93" s="2472" t="str">
        <f>IFERROR(IF(OR(AU$2="ZURÜCK ZUR AUSWAHL",AU$2="",AU$2=0),"",IF(AU$2=$BO$1,$BO92,IF(AU$2=$BP$1,$BP92,IF(AU$2=$BQ$1,$BQ92,IF(AU$2=$BR$1,$BR92,IF(AU$2=$BS$1,$BS92,IF(AU$2=$BT$1,$BT92,IF(AU$2=$BU$1,$BU92,INDEX(Tiere!$BN$2:$BN$145,_xlfn.AGGREGATE(15,6,(ROW(Tiere!$BN$2:$BN$145)-1)/(--(SEARCH(AU$2,Tiere!$BN$2:$BN$145)&gt;0)),ROW()-1),1))))))))),"")</f>
        <v/>
      </c>
      <c r="AU93" s="2438"/>
      <c r="AV93" s="2472" t="str">
        <f>IFERROR(IF(OR(AW$2="ZURÜCK ZUR AUSWAHL",AW$2="",AW$2=0),"",IF(AW$2=$BO$1,$BO92,IF(AW$2=$BP$1,$BP92,IF(AW$2=$BQ$1,$BQ92,IF(AW$2=$BR$1,$BR92,IF(AW$2=$BS$1,$BS92,IF(AW$2=$BT$1,$BT92,IF(AW$2=$BU$1,$BU92,INDEX(Tiere!$BN$2:$BN$145,_xlfn.AGGREGATE(15,6,(ROW(Tiere!$BN$2:$BN$145)-1)/(--(SEARCH(AW$2,Tiere!$BN$2:$BN$145)&gt;0)),ROW()-1),1))))))))),"")</f>
        <v/>
      </c>
      <c r="AW93" s="2438"/>
      <c r="AX93" s="2472" t="str">
        <f>IFERROR(IF(OR(AY$2="ZURÜCK ZUR AUSWAHL",AY$2="",AY$2=0),"",IF(AY$2=$BO$1,$BO92,IF(AY$2=$BP$1,$BP92,IF(AY$2=$BQ$1,$BQ92,IF(AY$2=$BR$1,$BR92,IF(AY$2=$BS$1,$BS92,IF(AY$2=$BT$1,$BT92,IF(AY$2=$BU$1,$BU92,INDEX(Tiere!$BN$2:$BN$145,_xlfn.AGGREGATE(15,6,(ROW(Tiere!$BN$2:$BN$145)-1)/(--(SEARCH(AY$2,Tiere!$BN$2:$BN$145)&gt;0)),ROW()-1),1))))))))),"")</f>
        <v/>
      </c>
      <c r="AY93" s="2438"/>
      <c r="AZ93" s="2472" t="str">
        <f>IFERROR(IF(OR(BA$2="ZURÜCK ZUR AUSWAHL",BA$2="",BA$2=0),"",IF(BA$2=$BO$1,$BO92,IF(BA$2=$BP$1,$BP92,IF(BA$2=$BQ$1,$BQ92,IF(BA$2=$BR$1,$BR92,IF(BA$2=$BS$1,$BS92,IF(BA$2=$BT$1,$BT92,IF(BA$2=$BU$1,$BU92,INDEX(Tiere!$BN$2:$BN$145,_xlfn.AGGREGATE(15,6,(ROW(Tiere!$BN$2:$BN$145)-1)/(--(SEARCH(BA$2,Tiere!$BN$2:$BN$145)&gt;0)),ROW()-1),1))))))))),"")</f>
        <v/>
      </c>
      <c r="BA93" s="2438"/>
      <c r="BB93" s="2472" t="str">
        <f>IFERROR(IF(OR(BC$2="ZURÜCK ZUR AUSWAHL",BC$2="",BC$2=0),"",IF(BC$2=$BO$1,$BO92,IF(BC$2=$BP$1,$BP92,IF(BC$2=$BQ$1,$BQ92,IF(BC$2=$BR$1,$BR92,IF(BC$2=$BS$1,$BS92,IF(BC$2=$BT$1,$BT92,IF(BC$2=$BU$1,$BU92,INDEX(Tiere!$BN$2:$BN$145,_xlfn.AGGREGATE(15,6,(ROW(Tiere!$BN$2:$BN$145)-1)/(--(SEARCH(BC$2,Tiere!$BN$2:$BN$145)&gt;0)),ROW()-1),1))))))))),"")</f>
        <v/>
      </c>
      <c r="BC93" s="2438"/>
      <c r="BD93" s="2472" t="str">
        <f>IFERROR(IF(OR(BE$2="ZURÜCK ZUR AUSWAHL",BE$2="",BE$2=0),"",IF(BE$2=$BO$1,$BO92,IF(BE$2=$BP$1,$BP92,IF(BE$2=$BQ$1,$BQ92,IF(BE$2=$BR$1,$BR92,IF(BE$2=$BS$1,$BS92,IF(BE$2=$BT$1,$BT92,IF(BE$2=$BU$1,$BU92,INDEX(Tiere!$BN$2:$BN$145,_xlfn.AGGREGATE(15,6,(ROW(Tiere!$BN$2:$BN$145)-1)/(--(SEARCH(BE$2,Tiere!$BN$2:$BN$145)&gt;0)),ROW()-1),1))))))))),"")</f>
        <v/>
      </c>
      <c r="BE93" s="2438"/>
      <c r="BF93" s="2472" t="str">
        <f>IFERROR(IF(OR(BG$2="ZURÜCK ZUR AUSWAHL",BG$2="",BG$2=0),"",IF(BG$2=$BO$1,$BO92,IF(BG$2=$BP$1,$BP92,IF(BG$2=$BQ$1,$BQ92,IF(BG$2=$BR$1,$BR92,IF(BG$2=$BS$1,$BS92,IF(BG$2=$BT$1,$BT92,IF(BG$2=$BU$1,$BU92,INDEX(Tiere!$BN$2:$BN$145,_xlfn.AGGREGATE(15,6,(ROW(Tiere!$BN$2:$BN$145)-1)/(--(SEARCH(BG$2,Tiere!$BN$2:$BN$145)&gt;0)),ROW()-1),1))))))))),"")</f>
        <v/>
      </c>
      <c r="BG93" s="2438"/>
      <c r="BH93" s="2472" t="str">
        <f>IFERROR(IF(OR(BI$2="ZURÜCK ZUR AUSWAHL",BI$2="",BI$2=0),"",IF(BI$2=$BO$1,$BO92,IF(BI$2=$BP$1,$BP92,IF(BI$2=$BQ$1,$BQ92,IF(BI$2=$BR$1,$BR92,IF(BI$2=$BS$1,$BS92,IF(BI$2=$BT$1,$BT92,IF(BI$2=$BU$1,$BU92,INDEX(Tiere!$BN$2:$BN$145,_xlfn.AGGREGATE(15,6,(ROW(Tiere!$BN$2:$BN$145)-1)/(--(SEARCH(BI$2,Tiere!$BN$2:$BN$145)&gt;0)),ROW()-1),1))))))))),"")</f>
        <v/>
      </c>
      <c r="BI93" s="2438"/>
      <c r="BJ93" s="2472" t="str">
        <f>IFERROR(IF(OR(BK$2="ZURÜCK ZUR AUSWAHL",BK$2="",BK$2=0),"",IF(BK$2=$BO$1,$BO92,IF(BK$2=$BP$1,$BP92,IF(BK$2=$BQ$1,$BQ92,IF(BK$2=$BR$1,$BR92,IF(BK$2=$BS$1,$BS92,IF(BK$2=$BT$1,$BT92,IF(BK$2=$BU$1,$BU92,INDEX(Tiere!$BN$2:$BN$145,_xlfn.AGGREGATE(15,6,(ROW(Tiere!$BN$2:$BN$145)-1)/(--(SEARCH(BK$2,Tiere!$BN$2:$BN$145)&gt;0)),ROW()-1),1))))))))),"")</f>
        <v/>
      </c>
      <c r="BK93" s="2438"/>
      <c r="BL93" s="2472" t="str">
        <f>IFERROR(IF(OR(BM$2="ZURÜCK ZUR AUSWAHL",BM$2="",BM$2=0),"",IF(BM$2=$BO$1,$BO92,IF(BM$2=$BP$1,$BP92,IF(BM$2=$BQ$1,$BQ92,IF(BM$2=$BR$1,$BR92,IF(BM$2=$BS$1,$BS92,IF(BM$2=$BT$1,$BT92,IF(BM$2=$BU$1,$BU92,INDEX(Tiere!$BN$2:$BN$145,_xlfn.AGGREGATE(15,6,(ROW(Tiere!$BN$2:$BN$145)-1)/(--(SEARCH(BM$2,Tiere!$BN$2:$BN$145)&gt;0)),ROW()-1),1))))))))),"")</f>
        <v/>
      </c>
      <c r="BM93" s="2438"/>
      <c r="BN93" s="2478" t="s">
        <v>2266</v>
      </c>
      <c r="BO93" s="2470"/>
      <c r="BP93" s="2470"/>
      <c r="BQ93" s="2470"/>
      <c r="BR93" s="2470"/>
      <c r="BS93" s="2470"/>
      <c r="BT93" s="2470"/>
      <c r="BU93" s="2470"/>
    </row>
    <row r="94" spans="36:73" ht="13.8" thickBot="1">
      <c r="AJ94" s="2472" t="str">
        <f>IFERROR(IF(OR(AK$2="ZURÜCK ZUR AUSWAHL",AK$2="",AK$2=0),"",IF(AK$2=$BO$1,$BO93,IF(AK$2=$BP$1,$BP93,IF(AK$2=$BQ$1,$BQ93,IF(AK$2=$BR$1,$BR93,IF(AK$2=$BS$1,$BS93,IF(AK$2=$BT$1,$BT93,IF(AK$2=$BU$1,$BU93,INDEX(Tiere!$BN$2:$BN$145,_xlfn.AGGREGATE(15,6,(ROW(Tiere!$BN$2:$BN$145)-1)/(--(SEARCH(AK$2,Tiere!$BN$2:$BN$145)&gt;0)),ROW()-2),1))))))))),"")</f>
        <v/>
      </c>
      <c r="AK94" s="2436"/>
      <c r="AL94" s="2472" t="str">
        <f>IFERROR(IF(OR(AM$2="ZURÜCK ZUR AUSWAHL",AM$2="",AM$2=0),"",IF(AM$2=$BO$1,$BO93,IF(AM$2=$BP$1,$BP93,IF(AM$2=$BQ$1,$BQ93,IF(AM$2=$BR$1,$BR93,IF(AM$2=$BS$1,$BS93,IF(AM$2=$BT$1,$BT93,IF(AM$2=$BU$1,$BU93,INDEX(Tiere!$BN$2:$BN$145,_xlfn.AGGREGATE(15,6,(ROW(Tiere!$BN$2:$BN$145)-1)/(--(SEARCH(AM$2,Tiere!$BN$2:$BN$145)&gt;0)),ROW()-1),1))))))))),"")</f>
        <v/>
      </c>
      <c r="AM94" s="2436"/>
      <c r="AN94" s="2472" t="str">
        <f>IFERROR(IF(OR(AO$2="ZURÜCK ZUR AUSWAHL",AO$2="",AO$2=0),"",IF(AO$2=$BO$1,$BO93,IF(AO$2=$BP$1,$BP93,IF(AO$2=$BQ$1,$BQ93,IF(AO$2=$BR$1,$BR93,IF(AO$2=$BS$1,$BS93,IF(AO$2=$BT$1,$BT93,IF(AO$2=$BU$1,$BU93,INDEX(Tiere!$BN$2:$BN$145,_xlfn.AGGREGATE(15,6,(ROW(Tiere!$BN$2:$BN$145)-1)/(--(SEARCH(AO$2,Tiere!$BN$2:$BN$145)&gt;0)),ROW()-1),1))))))))),"")</f>
        <v/>
      </c>
      <c r="AO94" s="2436"/>
      <c r="AP94" s="2472" t="str">
        <f>IFERROR(IF(OR(AQ$2="ZURÜCK ZUR AUSWAHL",AQ$2="",AQ$2=0),"",IF(AQ$2=$BO$1,$BO93,IF(AQ$2=$BP$1,$BP93,IF(AQ$2=$BQ$1,$BQ93,IF(AQ$2=$BR$1,$BR93,IF(AQ$2=$BS$1,$BS93,IF(AQ$2=$BT$1,$BT93,IF(AQ$2=$BU$1,$BU93,INDEX(Tiere!$BN$2:$BN$145,_xlfn.AGGREGATE(15,6,(ROW(Tiere!$BN$2:$BN$145)-1)/(--(SEARCH(AQ$2,Tiere!$BN$2:$BN$145)&gt;0)),ROW()-1),1))))))))),"")</f>
        <v/>
      </c>
      <c r="AQ94" s="2436"/>
      <c r="AR94" s="2472" t="str">
        <f>IFERROR(IF(OR(AS$2="ZURÜCK ZUR AUSWAHL",AS$2="",AS$2=0),"",IF(AS$2=$BO$1,$BO93,IF(AS$2=$BP$1,$BP93,IF(AS$2=$BQ$1,$BQ93,IF(AS$2=$BR$1,$BR93,IF(AS$2=$BS$1,$BS93,IF(AS$2=$BT$1,$BT93,IF(AS$2=$BU$1,$BU93,INDEX(Tiere!$BN$2:$BN$145,_xlfn.AGGREGATE(15,6,(ROW(Tiere!$BN$2:$BN$145)-1)/(--(SEARCH(AS$2,Tiere!$BN$2:$BN$145)&gt;0)),ROW()-1),1))))))))),"")</f>
        <v/>
      </c>
      <c r="AS94" s="2436"/>
      <c r="AT94" s="2472" t="str">
        <f>IFERROR(IF(OR(AU$2="ZURÜCK ZUR AUSWAHL",AU$2="",AU$2=0),"",IF(AU$2=$BO$1,$BO93,IF(AU$2=$BP$1,$BP93,IF(AU$2=$BQ$1,$BQ93,IF(AU$2=$BR$1,$BR93,IF(AU$2=$BS$1,$BS93,IF(AU$2=$BT$1,$BT93,IF(AU$2=$BU$1,$BU93,INDEX(Tiere!$BN$2:$BN$145,_xlfn.AGGREGATE(15,6,(ROW(Tiere!$BN$2:$BN$145)-1)/(--(SEARCH(AU$2,Tiere!$BN$2:$BN$145)&gt;0)),ROW()-1),1))))))))),"")</f>
        <v/>
      </c>
      <c r="AU94" s="2436"/>
      <c r="AV94" s="2472" t="str">
        <f>IFERROR(IF(OR(AW$2="ZURÜCK ZUR AUSWAHL",AW$2="",AW$2=0),"",IF(AW$2=$BO$1,$BO93,IF(AW$2=$BP$1,$BP93,IF(AW$2=$BQ$1,$BQ93,IF(AW$2=$BR$1,$BR93,IF(AW$2=$BS$1,$BS93,IF(AW$2=$BT$1,$BT93,IF(AW$2=$BU$1,$BU93,INDEX(Tiere!$BN$2:$BN$145,_xlfn.AGGREGATE(15,6,(ROW(Tiere!$BN$2:$BN$145)-1)/(--(SEARCH(AW$2,Tiere!$BN$2:$BN$145)&gt;0)),ROW()-1),1))))))))),"")</f>
        <v/>
      </c>
      <c r="AW94" s="2436"/>
      <c r="AX94" s="2472" t="str">
        <f>IFERROR(IF(OR(AY$2="ZURÜCK ZUR AUSWAHL",AY$2="",AY$2=0),"",IF(AY$2=$BO$1,$BO93,IF(AY$2=$BP$1,$BP93,IF(AY$2=$BQ$1,$BQ93,IF(AY$2=$BR$1,$BR93,IF(AY$2=$BS$1,$BS93,IF(AY$2=$BT$1,$BT93,IF(AY$2=$BU$1,$BU93,INDEX(Tiere!$BN$2:$BN$145,_xlfn.AGGREGATE(15,6,(ROW(Tiere!$BN$2:$BN$145)-1)/(--(SEARCH(AY$2,Tiere!$BN$2:$BN$145)&gt;0)),ROW()-1),1))))))))),"")</f>
        <v/>
      </c>
      <c r="AY94" s="2436"/>
      <c r="AZ94" s="2472" t="str">
        <f>IFERROR(IF(OR(BA$2="ZURÜCK ZUR AUSWAHL",BA$2="",BA$2=0),"",IF(BA$2=$BO$1,$BO93,IF(BA$2=$BP$1,$BP93,IF(BA$2=$BQ$1,$BQ93,IF(BA$2=$BR$1,$BR93,IF(BA$2=$BS$1,$BS93,IF(BA$2=$BT$1,$BT93,IF(BA$2=$BU$1,$BU93,INDEX(Tiere!$BN$2:$BN$145,_xlfn.AGGREGATE(15,6,(ROW(Tiere!$BN$2:$BN$145)-1)/(--(SEARCH(BA$2,Tiere!$BN$2:$BN$145)&gt;0)),ROW()-1),1))))))))),"")</f>
        <v/>
      </c>
      <c r="BA94" s="2436"/>
      <c r="BB94" s="2472" t="str">
        <f>IFERROR(IF(OR(BC$2="ZURÜCK ZUR AUSWAHL",BC$2="",BC$2=0),"",IF(BC$2=$BO$1,$BO93,IF(BC$2=$BP$1,$BP93,IF(BC$2=$BQ$1,$BQ93,IF(BC$2=$BR$1,$BR93,IF(BC$2=$BS$1,$BS93,IF(BC$2=$BT$1,$BT93,IF(BC$2=$BU$1,$BU93,INDEX(Tiere!$BN$2:$BN$145,_xlfn.AGGREGATE(15,6,(ROW(Tiere!$BN$2:$BN$145)-1)/(--(SEARCH(BC$2,Tiere!$BN$2:$BN$145)&gt;0)),ROW()-1),1))))))))),"")</f>
        <v/>
      </c>
      <c r="BC94" s="2436"/>
      <c r="BD94" s="2472" t="str">
        <f>IFERROR(IF(OR(BE$2="ZURÜCK ZUR AUSWAHL",BE$2="",BE$2=0),"",IF(BE$2=$BO$1,$BO93,IF(BE$2=$BP$1,$BP93,IF(BE$2=$BQ$1,$BQ93,IF(BE$2=$BR$1,$BR93,IF(BE$2=$BS$1,$BS93,IF(BE$2=$BT$1,$BT93,IF(BE$2=$BU$1,$BU93,INDEX(Tiere!$BN$2:$BN$145,_xlfn.AGGREGATE(15,6,(ROW(Tiere!$BN$2:$BN$145)-1)/(--(SEARCH(BE$2,Tiere!$BN$2:$BN$145)&gt;0)),ROW()-1),1))))))))),"")</f>
        <v/>
      </c>
      <c r="BE94" s="2436"/>
      <c r="BF94" s="2472" t="str">
        <f>IFERROR(IF(OR(BG$2="ZURÜCK ZUR AUSWAHL",BG$2="",BG$2=0),"",IF(BG$2=$BO$1,$BO93,IF(BG$2=$BP$1,$BP93,IF(BG$2=$BQ$1,$BQ93,IF(BG$2=$BR$1,$BR93,IF(BG$2=$BS$1,$BS93,IF(BG$2=$BT$1,$BT93,IF(BG$2=$BU$1,$BU93,INDEX(Tiere!$BN$2:$BN$145,_xlfn.AGGREGATE(15,6,(ROW(Tiere!$BN$2:$BN$145)-1)/(--(SEARCH(BG$2,Tiere!$BN$2:$BN$145)&gt;0)),ROW()-1),1))))))))),"")</f>
        <v/>
      </c>
      <c r="BG94" s="2436"/>
      <c r="BH94" s="2472" t="str">
        <f>IFERROR(IF(OR(BI$2="ZURÜCK ZUR AUSWAHL",BI$2="",BI$2=0),"",IF(BI$2=$BO$1,$BO93,IF(BI$2=$BP$1,$BP93,IF(BI$2=$BQ$1,$BQ93,IF(BI$2=$BR$1,$BR93,IF(BI$2=$BS$1,$BS93,IF(BI$2=$BT$1,$BT93,IF(BI$2=$BU$1,$BU93,INDEX(Tiere!$BN$2:$BN$145,_xlfn.AGGREGATE(15,6,(ROW(Tiere!$BN$2:$BN$145)-1)/(--(SEARCH(BI$2,Tiere!$BN$2:$BN$145)&gt;0)),ROW()-1),1))))))))),"")</f>
        <v/>
      </c>
      <c r="BI94" s="2436"/>
      <c r="BJ94" s="2472" t="str">
        <f>IFERROR(IF(OR(BK$2="ZURÜCK ZUR AUSWAHL",BK$2="",BK$2=0),"",IF(BK$2=$BO$1,$BO93,IF(BK$2=$BP$1,$BP93,IF(BK$2=$BQ$1,$BQ93,IF(BK$2=$BR$1,$BR93,IF(BK$2=$BS$1,$BS93,IF(BK$2=$BT$1,$BT93,IF(BK$2=$BU$1,$BU93,INDEX(Tiere!$BN$2:$BN$145,_xlfn.AGGREGATE(15,6,(ROW(Tiere!$BN$2:$BN$145)-1)/(--(SEARCH(BK$2,Tiere!$BN$2:$BN$145)&gt;0)),ROW()-1),1))))))))),"")</f>
        <v/>
      </c>
      <c r="BK94" s="2436"/>
      <c r="BL94" s="2472" t="str">
        <f>IFERROR(IF(OR(BM$2="ZURÜCK ZUR AUSWAHL",BM$2="",BM$2=0),"",IF(BM$2=$BO$1,$BO93,IF(BM$2=$BP$1,$BP93,IF(BM$2=$BQ$1,$BQ93,IF(BM$2=$BR$1,$BR93,IF(BM$2=$BS$1,$BS93,IF(BM$2=$BT$1,$BT93,IF(BM$2=$BU$1,$BU93,INDEX(Tiere!$BN$2:$BN$145,_xlfn.AGGREGATE(15,6,(ROW(Tiere!$BN$2:$BN$145)-1)/(--(SEARCH(BM$2,Tiere!$BN$2:$BN$145)&gt;0)),ROW()-1),1))))))))),"")</f>
        <v/>
      </c>
      <c r="BM94" s="2436"/>
      <c r="BN94" s="2478" t="s">
        <v>2267</v>
      </c>
      <c r="BO94" s="2470"/>
      <c r="BP94" s="2470"/>
      <c r="BQ94" s="2470"/>
      <c r="BR94" s="2470"/>
      <c r="BS94" s="2470"/>
      <c r="BT94" s="2470"/>
      <c r="BU94" s="2470"/>
    </row>
    <row r="95" spans="36:73" ht="13.8" thickBot="1">
      <c r="AJ95" s="2472" t="str">
        <f>IFERROR(IF(OR(AK$2="ZURÜCK ZUR AUSWAHL",AK$2="",AK$2=0),"",IF(AK$2=$BO$1,$BO94,IF(AK$2=$BP$1,$BP94,IF(AK$2=$BQ$1,$BQ94,IF(AK$2=$BR$1,$BR94,IF(AK$2=$BS$1,$BS94,IF(AK$2=$BT$1,$BT94,IF(AK$2=$BU$1,$BU94,INDEX(Tiere!$BN$2:$BN$145,_xlfn.AGGREGATE(15,6,(ROW(Tiere!$BN$2:$BN$145)-1)/(--(SEARCH(AK$2,Tiere!$BN$2:$BN$145)&gt;0)),ROW()-2),1))))))))),"")</f>
        <v/>
      </c>
      <c r="AK95" s="2438"/>
      <c r="AL95" s="2472" t="str">
        <f>IFERROR(IF(OR(AM$2="ZURÜCK ZUR AUSWAHL",AM$2="",AM$2=0),"",IF(AM$2=$BO$1,$BO94,IF(AM$2=$BP$1,$BP94,IF(AM$2=$BQ$1,$BQ94,IF(AM$2=$BR$1,$BR94,IF(AM$2=$BS$1,$BS94,IF(AM$2=$BT$1,$BT94,IF(AM$2=$BU$1,$BU94,INDEX(Tiere!$BN$2:$BN$145,_xlfn.AGGREGATE(15,6,(ROW(Tiere!$BN$2:$BN$145)-1)/(--(SEARCH(AM$2,Tiere!$BN$2:$BN$145)&gt;0)),ROW()-1),1))))))))),"")</f>
        <v/>
      </c>
      <c r="AM95" s="2438"/>
      <c r="AN95" s="2472" t="str">
        <f>IFERROR(IF(OR(AO$2="ZURÜCK ZUR AUSWAHL",AO$2="",AO$2=0),"",IF(AO$2=$BO$1,$BO94,IF(AO$2=$BP$1,$BP94,IF(AO$2=$BQ$1,$BQ94,IF(AO$2=$BR$1,$BR94,IF(AO$2=$BS$1,$BS94,IF(AO$2=$BT$1,$BT94,IF(AO$2=$BU$1,$BU94,INDEX(Tiere!$BN$2:$BN$145,_xlfn.AGGREGATE(15,6,(ROW(Tiere!$BN$2:$BN$145)-1)/(--(SEARCH(AO$2,Tiere!$BN$2:$BN$145)&gt;0)),ROW()-1),1))))))))),"")</f>
        <v/>
      </c>
      <c r="AO95" s="2438"/>
      <c r="AP95" s="2472" t="str">
        <f>IFERROR(IF(OR(AQ$2="ZURÜCK ZUR AUSWAHL",AQ$2="",AQ$2=0),"",IF(AQ$2=$BO$1,$BO94,IF(AQ$2=$BP$1,$BP94,IF(AQ$2=$BQ$1,$BQ94,IF(AQ$2=$BR$1,$BR94,IF(AQ$2=$BS$1,$BS94,IF(AQ$2=$BT$1,$BT94,IF(AQ$2=$BU$1,$BU94,INDEX(Tiere!$BN$2:$BN$145,_xlfn.AGGREGATE(15,6,(ROW(Tiere!$BN$2:$BN$145)-1)/(--(SEARCH(AQ$2,Tiere!$BN$2:$BN$145)&gt;0)),ROW()-1),1))))))))),"")</f>
        <v/>
      </c>
      <c r="AQ95" s="2438"/>
      <c r="AR95" s="2472" t="str">
        <f>IFERROR(IF(OR(AS$2="ZURÜCK ZUR AUSWAHL",AS$2="",AS$2=0),"",IF(AS$2=$BO$1,$BO94,IF(AS$2=$BP$1,$BP94,IF(AS$2=$BQ$1,$BQ94,IF(AS$2=$BR$1,$BR94,IF(AS$2=$BS$1,$BS94,IF(AS$2=$BT$1,$BT94,IF(AS$2=$BU$1,$BU94,INDEX(Tiere!$BN$2:$BN$145,_xlfn.AGGREGATE(15,6,(ROW(Tiere!$BN$2:$BN$145)-1)/(--(SEARCH(AS$2,Tiere!$BN$2:$BN$145)&gt;0)),ROW()-1),1))))))))),"")</f>
        <v/>
      </c>
      <c r="AS95" s="2438"/>
      <c r="AT95" s="2472" t="str">
        <f>IFERROR(IF(OR(AU$2="ZURÜCK ZUR AUSWAHL",AU$2="",AU$2=0),"",IF(AU$2=$BO$1,$BO94,IF(AU$2=$BP$1,$BP94,IF(AU$2=$BQ$1,$BQ94,IF(AU$2=$BR$1,$BR94,IF(AU$2=$BS$1,$BS94,IF(AU$2=$BT$1,$BT94,IF(AU$2=$BU$1,$BU94,INDEX(Tiere!$BN$2:$BN$145,_xlfn.AGGREGATE(15,6,(ROW(Tiere!$BN$2:$BN$145)-1)/(--(SEARCH(AU$2,Tiere!$BN$2:$BN$145)&gt;0)),ROW()-1),1))))))))),"")</f>
        <v/>
      </c>
      <c r="AU95" s="2438"/>
      <c r="AV95" s="2472" t="str">
        <f>IFERROR(IF(OR(AW$2="ZURÜCK ZUR AUSWAHL",AW$2="",AW$2=0),"",IF(AW$2=$BO$1,$BO94,IF(AW$2=$BP$1,$BP94,IF(AW$2=$BQ$1,$BQ94,IF(AW$2=$BR$1,$BR94,IF(AW$2=$BS$1,$BS94,IF(AW$2=$BT$1,$BT94,IF(AW$2=$BU$1,$BU94,INDEX(Tiere!$BN$2:$BN$145,_xlfn.AGGREGATE(15,6,(ROW(Tiere!$BN$2:$BN$145)-1)/(--(SEARCH(AW$2,Tiere!$BN$2:$BN$145)&gt;0)),ROW()-1),1))))))))),"")</f>
        <v/>
      </c>
      <c r="AW95" s="2438"/>
      <c r="AX95" s="2472" t="str">
        <f>IFERROR(IF(OR(AY$2="ZURÜCK ZUR AUSWAHL",AY$2="",AY$2=0),"",IF(AY$2=$BO$1,$BO94,IF(AY$2=$BP$1,$BP94,IF(AY$2=$BQ$1,$BQ94,IF(AY$2=$BR$1,$BR94,IF(AY$2=$BS$1,$BS94,IF(AY$2=$BT$1,$BT94,IF(AY$2=$BU$1,$BU94,INDEX(Tiere!$BN$2:$BN$145,_xlfn.AGGREGATE(15,6,(ROW(Tiere!$BN$2:$BN$145)-1)/(--(SEARCH(AY$2,Tiere!$BN$2:$BN$145)&gt;0)),ROW()-1),1))))))))),"")</f>
        <v/>
      </c>
      <c r="AY95" s="2438"/>
      <c r="AZ95" s="2472" t="str">
        <f>IFERROR(IF(OR(BA$2="ZURÜCK ZUR AUSWAHL",BA$2="",BA$2=0),"",IF(BA$2=$BO$1,$BO94,IF(BA$2=$BP$1,$BP94,IF(BA$2=$BQ$1,$BQ94,IF(BA$2=$BR$1,$BR94,IF(BA$2=$BS$1,$BS94,IF(BA$2=$BT$1,$BT94,IF(BA$2=$BU$1,$BU94,INDEX(Tiere!$BN$2:$BN$145,_xlfn.AGGREGATE(15,6,(ROW(Tiere!$BN$2:$BN$145)-1)/(--(SEARCH(BA$2,Tiere!$BN$2:$BN$145)&gt;0)),ROW()-1),1))))))))),"")</f>
        <v/>
      </c>
      <c r="BA95" s="2438"/>
      <c r="BB95" s="2472" t="str">
        <f>IFERROR(IF(OR(BC$2="ZURÜCK ZUR AUSWAHL",BC$2="",BC$2=0),"",IF(BC$2=$BO$1,$BO94,IF(BC$2=$BP$1,$BP94,IF(BC$2=$BQ$1,$BQ94,IF(BC$2=$BR$1,$BR94,IF(BC$2=$BS$1,$BS94,IF(BC$2=$BT$1,$BT94,IF(BC$2=$BU$1,$BU94,INDEX(Tiere!$BN$2:$BN$145,_xlfn.AGGREGATE(15,6,(ROW(Tiere!$BN$2:$BN$145)-1)/(--(SEARCH(BC$2,Tiere!$BN$2:$BN$145)&gt;0)),ROW()-1),1))))))))),"")</f>
        <v/>
      </c>
      <c r="BC95" s="2438"/>
      <c r="BD95" s="2472" t="str">
        <f>IFERROR(IF(OR(BE$2="ZURÜCK ZUR AUSWAHL",BE$2="",BE$2=0),"",IF(BE$2=$BO$1,$BO94,IF(BE$2=$BP$1,$BP94,IF(BE$2=$BQ$1,$BQ94,IF(BE$2=$BR$1,$BR94,IF(BE$2=$BS$1,$BS94,IF(BE$2=$BT$1,$BT94,IF(BE$2=$BU$1,$BU94,INDEX(Tiere!$BN$2:$BN$145,_xlfn.AGGREGATE(15,6,(ROW(Tiere!$BN$2:$BN$145)-1)/(--(SEARCH(BE$2,Tiere!$BN$2:$BN$145)&gt;0)),ROW()-1),1))))))))),"")</f>
        <v/>
      </c>
      <c r="BE95" s="2438"/>
      <c r="BF95" s="2472" t="str">
        <f>IFERROR(IF(OR(BG$2="ZURÜCK ZUR AUSWAHL",BG$2="",BG$2=0),"",IF(BG$2=$BO$1,$BO94,IF(BG$2=$BP$1,$BP94,IF(BG$2=$BQ$1,$BQ94,IF(BG$2=$BR$1,$BR94,IF(BG$2=$BS$1,$BS94,IF(BG$2=$BT$1,$BT94,IF(BG$2=$BU$1,$BU94,INDEX(Tiere!$BN$2:$BN$145,_xlfn.AGGREGATE(15,6,(ROW(Tiere!$BN$2:$BN$145)-1)/(--(SEARCH(BG$2,Tiere!$BN$2:$BN$145)&gt;0)),ROW()-1),1))))))))),"")</f>
        <v/>
      </c>
      <c r="BG95" s="2438"/>
      <c r="BH95" s="2472" t="str">
        <f>IFERROR(IF(OR(BI$2="ZURÜCK ZUR AUSWAHL",BI$2="",BI$2=0),"",IF(BI$2=$BO$1,$BO94,IF(BI$2=$BP$1,$BP94,IF(BI$2=$BQ$1,$BQ94,IF(BI$2=$BR$1,$BR94,IF(BI$2=$BS$1,$BS94,IF(BI$2=$BT$1,$BT94,IF(BI$2=$BU$1,$BU94,INDEX(Tiere!$BN$2:$BN$145,_xlfn.AGGREGATE(15,6,(ROW(Tiere!$BN$2:$BN$145)-1)/(--(SEARCH(BI$2,Tiere!$BN$2:$BN$145)&gt;0)),ROW()-1),1))))))))),"")</f>
        <v/>
      </c>
      <c r="BI95" s="2438"/>
      <c r="BJ95" s="2472" t="str">
        <f>IFERROR(IF(OR(BK$2="ZURÜCK ZUR AUSWAHL",BK$2="",BK$2=0),"",IF(BK$2=$BO$1,$BO94,IF(BK$2=$BP$1,$BP94,IF(BK$2=$BQ$1,$BQ94,IF(BK$2=$BR$1,$BR94,IF(BK$2=$BS$1,$BS94,IF(BK$2=$BT$1,$BT94,IF(BK$2=$BU$1,$BU94,INDEX(Tiere!$BN$2:$BN$145,_xlfn.AGGREGATE(15,6,(ROW(Tiere!$BN$2:$BN$145)-1)/(--(SEARCH(BK$2,Tiere!$BN$2:$BN$145)&gt;0)),ROW()-1),1))))))))),"")</f>
        <v/>
      </c>
      <c r="BK95" s="2438"/>
      <c r="BL95" s="2472" t="str">
        <f>IFERROR(IF(OR(BM$2="ZURÜCK ZUR AUSWAHL",BM$2="",BM$2=0),"",IF(BM$2=$BO$1,$BO94,IF(BM$2=$BP$1,$BP94,IF(BM$2=$BQ$1,$BQ94,IF(BM$2=$BR$1,$BR94,IF(BM$2=$BS$1,$BS94,IF(BM$2=$BT$1,$BT94,IF(BM$2=$BU$1,$BU94,INDEX(Tiere!$BN$2:$BN$145,_xlfn.AGGREGATE(15,6,(ROW(Tiere!$BN$2:$BN$145)-1)/(--(SEARCH(BM$2,Tiere!$BN$2:$BN$145)&gt;0)),ROW()-1),1))))))))),"")</f>
        <v/>
      </c>
      <c r="BM95" s="2438"/>
      <c r="BN95" s="2478" t="s">
        <v>1272</v>
      </c>
      <c r="BO95" s="2470"/>
      <c r="BP95" s="2470"/>
      <c r="BQ95" s="2470"/>
      <c r="BR95" s="2470"/>
      <c r="BS95" s="2470"/>
      <c r="BT95" s="2470"/>
      <c r="BU95" s="2470"/>
    </row>
    <row r="96" spans="36:73" ht="13.8" thickBot="1">
      <c r="AJ96" s="2472" t="str">
        <f>IFERROR(IF(OR(AK$2="ZURÜCK ZUR AUSWAHL",AK$2="",AK$2=0),"",IF(AK$2=$BO$1,$BO95,IF(AK$2=$BP$1,$BP95,IF(AK$2=$BQ$1,$BQ95,IF(AK$2=$BR$1,$BR95,IF(AK$2=$BS$1,$BS95,IF(AK$2=$BT$1,$BT95,IF(AK$2=$BU$1,$BU95,INDEX(Tiere!$BN$2:$BN$145,_xlfn.AGGREGATE(15,6,(ROW(Tiere!$BN$2:$BN$145)-1)/(--(SEARCH(AK$2,Tiere!$BN$2:$BN$145)&gt;0)),ROW()-2),1))))))))),"")</f>
        <v/>
      </c>
      <c r="AK96" s="2436"/>
      <c r="AL96" s="2472" t="str">
        <f>IFERROR(IF(OR(AM$2="ZURÜCK ZUR AUSWAHL",AM$2="",AM$2=0),"",IF(AM$2=$BO$1,$BO95,IF(AM$2=$BP$1,$BP95,IF(AM$2=$BQ$1,$BQ95,IF(AM$2=$BR$1,$BR95,IF(AM$2=$BS$1,$BS95,IF(AM$2=$BT$1,$BT95,IF(AM$2=$BU$1,$BU95,INDEX(Tiere!$BN$2:$BN$145,_xlfn.AGGREGATE(15,6,(ROW(Tiere!$BN$2:$BN$145)-1)/(--(SEARCH(AM$2,Tiere!$BN$2:$BN$145)&gt;0)),ROW()-1),1))))))))),"")</f>
        <v/>
      </c>
      <c r="AM96" s="2436"/>
      <c r="AN96" s="2472" t="str">
        <f>IFERROR(IF(OR(AO$2="ZURÜCK ZUR AUSWAHL",AO$2="",AO$2=0),"",IF(AO$2=$BO$1,$BO95,IF(AO$2=$BP$1,$BP95,IF(AO$2=$BQ$1,$BQ95,IF(AO$2=$BR$1,$BR95,IF(AO$2=$BS$1,$BS95,IF(AO$2=$BT$1,$BT95,IF(AO$2=$BU$1,$BU95,INDEX(Tiere!$BN$2:$BN$145,_xlfn.AGGREGATE(15,6,(ROW(Tiere!$BN$2:$BN$145)-1)/(--(SEARCH(AO$2,Tiere!$BN$2:$BN$145)&gt;0)),ROW()-1),1))))))))),"")</f>
        <v/>
      </c>
      <c r="AO96" s="2436"/>
      <c r="AP96" s="2472" t="str">
        <f>IFERROR(IF(OR(AQ$2="ZURÜCK ZUR AUSWAHL",AQ$2="",AQ$2=0),"",IF(AQ$2=$BO$1,$BO95,IF(AQ$2=$BP$1,$BP95,IF(AQ$2=$BQ$1,$BQ95,IF(AQ$2=$BR$1,$BR95,IF(AQ$2=$BS$1,$BS95,IF(AQ$2=$BT$1,$BT95,IF(AQ$2=$BU$1,$BU95,INDEX(Tiere!$BN$2:$BN$145,_xlfn.AGGREGATE(15,6,(ROW(Tiere!$BN$2:$BN$145)-1)/(--(SEARCH(AQ$2,Tiere!$BN$2:$BN$145)&gt;0)),ROW()-1),1))))))))),"")</f>
        <v/>
      </c>
      <c r="AQ96" s="2436"/>
      <c r="AR96" s="2472" t="str">
        <f>IFERROR(IF(OR(AS$2="ZURÜCK ZUR AUSWAHL",AS$2="",AS$2=0),"",IF(AS$2=$BO$1,$BO95,IF(AS$2=$BP$1,$BP95,IF(AS$2=$BQ$1,$BQ95,IF(AS$2=$BR$1,$BR95,IF(AS$2=$BS$1,$BS95,IF(AS$2=$BT$1,$BT95,IF(AS$2=$BU$1,$BU95,INDEX(Tiere!$BN$2:$BN$145,_xlfn.AGGREGATE(15,6,(ROW(Tiere!$BN$2:$BN$145)-1)/(--(SEARCH(AS$2,Tiere!$BN$2:$BN$145)&gt;0)),ROW()-1),1))))))))),"")</f>
        <v/>
      </c>
      <c r="AS96" s="2436"/>
      <c r="AT96" s="2472" t="str">
        <f>IFERROR(IF(OR(AU$2="ZURÜCK ZUR AUSWAHL",AU$2="",AU$2=0),"",IF(AU$2=$BO$1,$BO95,IF(AU$2=$BP$1,$BP95,IF(AU$2=$BQ$1,$BQ95,IF(AU$2=$BR$1,$BR95,IF(AU$2=$BS$1,$BS95,IF(AU$2=$BT$1,$BT95,IF(AU$2=$BU$1,$BU95,INDEX(Tiere!$BN$2:$BN$145,_xlfn.AGGREGATE(15,6,(ROW(Tiere!$BN$2:$BN$145)-1)/(--(SEARCH(AU$2,Tiere!$BN$2:$BN$145)&gt;0)),ROW()-1),1))))))))),"")</f>
        <v/>
      </c>
      <c r="AU96" s="2436"/>
      <c r="AV96" s="2472" t="str">
        <f>IFERROR(IF(OR(AW$2="ZURÜCK ZUR AUSWAHL",AW$2="",AW$2=0),"",IF(AW$2=$BO$1,$BO95,IF(AW$2=$BP$1,$BP95,IF(AW$2=$BQ$1,$BQ95,IF(AW$2=$BR$1,$BR95,IF(AW$2=$BS$1,$BS95,IF(AW$2=$BT$1,$BT95,IF(AW$2=$BU$1,$BU95,INDEX(Tiere!$BN$2:$BN$145,_xlfn.AGGREGATE(15,6,(ROW(Tiere!$BN$2:$BN$145)-1)/(--(SEARCH(AW$2,Tiere!$BN$2:$BN$145)&gt;0)),ROW()-1),1))))))))),"")</f>
        <v/>
      </c>
      <c r="AW96" s="2436"/>
      <c r="AX96" s="2472" t="str">
        <f>IFERROR(IF(OR(AY$2="ZURÜCK ZUR AUSWAHL",AY$2="",AY$2=0),"",IF(AY$2=$BO$1,$BO95,IF(AY$2=$BP$1,$BP95,IF(AY$2=$BQ$1,$BQ95,IF(AY$2=$BR$1,$BR95,IF(AY$2=$BS$1,$BS95,IF(AY$2=$BT$1,$BT95,IF(AY$2=$BU$1,$BU95,INDEX(Tiere!$BN$2:$BN$145,_xlfn.AGGREGATE(15,6,(ROW(Tiere!$BN$2:$BN$145)-1)/(--(SEARCH(AY$2,Tiere!$BN$2:$BN$145)&gt;0)),ROW()-1),1))))))))),"")</f>
        <v/>
      </c>
      <c r="AY96" s="2436"/>
      <c r="AZ96" s="2472" t="str">
        <f>IFERROR(IF(OR(BA$2="ZURÜCK ZUR AUSWAHL",BA$2="",BA$2=0),"",IF(BA$2=$BO$1,$BO95,IF(BA$2=$BP$1,$BP95,IF(BA$2=$BQ$1,$BQ95,IF(BA$2=$BR$1,$BR95,IF(BA$2=$BS$1,$BS95,IF(BA$2=$BT$1,$BT95,IF(BA$2=$BU$1,$BU95,INDEX(Tiere!$BN$2:$BN$145,_xlfn.AGGREGATE(15,6,(ROW(Tiere!$BN$2:$BN$145)-1)/(--(SEARCH(BA$2,Tiere!$BN$2:$BN$145)&gt;0)),ROW()-1),1))))))))),"")</f>
        <v/>
      </c>
      <c r="BA96" s="2436"/>
      <c r="BB96" s="2472" t="str">
        <f>IFERROR(IF(OR(BC$2="ZURÜCK ZUR AUSWAHL",BC$2="",BC$2=0),"",IF(BC$2=$BO$1,$BO95,IF(BC$2=$BP$1,$BP95,IF(BC$2=$BQ$1,$BQ95,IF(BC$2=$BR$1,$BR95,IF(BC$2=$BS$1,$BS95,IF(BC$2=$BT$1,$BT95,IF(BC$2=$BU$1,$BU95,INDEX(Tiere!$BN$2:$BN$145,_xlfn.AGGREGATE(15,6,(ROW(Tiere!$BN$2:$BN$145)-1)/(--(SEARCH(BC$2,Tiere!$BN$2:$BN$145)&gt;0)),ROW()-1),1))))))))),"")</f>
        <v/>
      </c>
      <c r="BC96" s="2436"/>
      <c r="BD96" s="2472" t="str">
        <f>IFERROR(IF(OR(BE$2="ZURÜCK ZUR AUSWAHL",BE$2="",BE$2=0),"",IF(BE$2=$BO$1,$BO95,IF(BE$2=$BP$1,$BP95,IF(BE$2=$BQ$1,$BQ95,IF(BE$2=$BR$1,$BR95,IF(BE$2=$BS$1,$BS95,IF(BE$2=$BT$1,$BT95,IF(BE$2=$BU$1,$BU95,INDEX(Tiere!$BN$2:$BN$145,_xlfn.AGGREGATE(15,6,(ROW(Tiere!$BN$2:$BN$145)-1)/(--(SEARCH(BE$2,Tiere!$BN$2:$BN$145)&gt;0)),ROW()-1),1))))))))),"")</f>
        <v/>
      </c>
      <c r="BE96" s="2436"/>
      <c r="BF96" s="2472" t="str">
        <f>IFERROR(IF(OR(BG$2="ZURÜCK ZUR AUSWAHL",BG$2="",BG$2=0),"",IF(BG$2=$BO$1,$BO95,IF(BG$2=$BP$1,$BP95,IF(BG$2=$BQ$1,$BQ95,IF(BG$2=$BR$1,$BR95,IF(BG$2=$BS$1,$BS95,IF(BG$2=$BT$1,$BT95,IF(BG$2=$BU$1,$BU95,INDEX(Tiere!$BN$2:$BN$145,_xlfn.AGGREGATE(15,6,(ROW(Tiere!$BN$2:$BN$145)-1)/(--(SEARCH(BG$2,Tiere!$BN$2:$BN$145)&gt;0)),ROW()-1),1))))))))),"")</f>
        <v/>
      </c>
      <c r="BG96" s="2436"/>
      <c r="BH96" s="2472" t="str">
        <f>IFERROR(IF(OR(BI$2="ZURÜCK ZUR AUSWAHL",BI$2="",BI$2=0),"",IF(BI$2=$BO$1,$BO95,IF(BI$2=$BP$1,$BP95,IF(BI$2=$BQ$1,$BQ95,IF(BI$2=$BR$1,$BR95,IF(BI$2=$BS$1,$BS95,IF(BI$2=$BT$1,$BT95,IF(BI$2=$BU$1,$BU95,INDEX(Tiere!$BN$2:$BN$145,_xlfn.AGGREGATE(15,6,(ROW(Tiere!$BN$2:$BN$145)-1)/(--(SEARCH(BI$2,Tiere!$BN$2:$BN$145)&gt;0)),ROW()-1),1))))))))),"")</f>
        <v/>
      </c>
      <c r="BI96" s="2436"/>
      <c r="BJ96" s="2472" t="str">
        <f>IFERROR(IF(OR(BK$2="ZURÜCK ZUR AUSWAHL",BK$2="",BK$2=0),"",IF(BK$2=$BO$1,$BO95,IF(BK$2=$BP$1,$BP95,IF(BK$2=$BQ$1,$BQ95,IF(BK$2=$BR$1,$BR95,IF(BK$2=$BS$1,$BS95,IF(BK$2=$BT$1,$BT95,IF(BK$2=$BU$1,$BU95,INDEX(Tiere!$BN$2:$BN$145,_xlfn.AGGREGATE(15,6,(ROW(Tiere!$BN$2:$BN$145)-1)/(--(SEARCH(BK$2,Tiere!$BN$2:$BN$145)&gt;0)),ROW()-1),1))))))))),"")</f>
        <v/>
      </c>
      <c r="BK96" s="2436"/>
      <c r="BL96" s="2472" t="str">
        <f>IFERROR(IF(OR(BM$2="ZURÜCK ZUR AUSWAHL",BM$2="",BM$2=0),"",IF(BM$2=$BO$1,$BO95,IF(BM$2=$BP$1,$BP95,IF(BM$2=$BQ$1,$BQ95,IF(BM$2=$BR$1,$BR95,IF(BM$2=$BS$1,$BS95,IF(BM$2=$BT$1,$BT95,IF(BM$2=$BU$1,$BU95,INDEX(Tiere!$BN$2:$BN$145,_xlfn.AGGREGATE(15,6,(ROW(Tiere!$BN$2:$BN$145)-1)/(--(SEARCH(BM$2,Tiere!$BN$2:$BN$145)&gt;0)),ROW()-1),1))))))))),"")</f>
        <v/>
      </c>
      <c r="BM96" s="2436"/>
      <c r="BN96" s="2478" t="s">
        <v>1273</v>
      </c>
      <c r="BO96" s="2470"/>
      <c r="BP96" s="2470"/>
      <c r="BQ96" s="2470"/>
      <c r="BR96" s="2470"/>
      <c r="BS96" s="2470"/>
      <c r="BT96" s="2470"/>
      <c r="BU96" s="2470"/>
    </row>
    <row r="97" spans="36:73" ht="13.8" thickBot="1">
      <c r="AJ97" s="2472" t="str">
        <f>IFERROR(IF(OR(AK$2="ZURÜCK ZUR AUSWAHL",AK$2="",AK$2=0),"",IF(AK$2=$BO$1,$BO96,IF(AK$2=$BP$1,$BP96,IF(AK$2=$BQ$1,$BQ96,IF(AK$2=$BR$1,$BR96,IF(AK$2=$BS$1,$BS96,IF(AK$2=$BT$1,$BT96,IF(AK$2=$BU$1,$BU96,INDEX(Tiere!$BN$2:$BN$145,_xlfn.AGGREGATE(15,6,(ROW(Tiere!$BN$2:$BN$145)-1)/(--(SEARCH(AK$2,Tiere!$BN$2:$BN$145)&gt;0)),ROW()-2),1))))))))),"")</f>
        <v/>
      </c>
      <c r="AK97" s="2438"/>
      <c r="AL97" s="2472" t="str">
        <f>IFERROR(IF(OR(AM$2="ZURÜCK ZUR AUSWAHL",AM$2="",AM$2=0),"",IF(AM$2=$BO$1,$BO96,IF(AM$2=$BP$1,$BP96,IF(AM$2=$BQ$1,$BQ96,IF(AM$2=$BR$1,$BR96,IF(AM$2=$BS$1,$BS96,IF(AM$2=$BT$1,$BT96,IF(AM$2=$BU$1,$BU96,INDEX(Tiere!$BN$2:$BN$145,_xlfn.AGGREGATE(15,6,(ROW(Tiere!$BN$2:$BN$145)-1)/(--(SEARCH(AM$2,Tiere!$BN$2:$BN$145)&gt;0)),ROW()-1),1))))))))),"")</f>
        <v/>
      </c>
      <c r="AM97" s="2438"/>
      <c r="AN97" s="2472" t="str">
        <f>IFERROR(IF(OR(AO$2="ZURÜCK ZUR AUSWAHL",AO$2="",AO$2=0),"",IF(AO$2=$BO$1,$BO96,IF(AO$2=$BP$1,$BP96,IF(AO$2=$BQ$1,$BQ96,IF(AO$2=$BR$1,$BR96,IF(AO$2=$BS$1,$BS96,IF(AO$2=$BT$1,$BT96,IF(AO$2=$BU$1,$BU96,INDEX(Tiere!$BN$2:$BN$145,_xlfn.AGGREGATE(15,6,(ROW(Tiere!$BN$2:$BN$145)-1)/(--(SEARCH(AO$2,Tiere!$BN$2:$BN$145)&gt;0)),ROW()-1),1))))))))),"")</f>
        <v/>
      </c>
      <c r="AO97" s="2438"/>
      <c r="AP97" s="2472" t="str">
        <f>IFERROR(IF(OR(AQ$2="ZURÜCK ZUR AUSWAHL",AQ$2="",AQ$2=0),"",IF(AQ$2=$BO$1,$BO96,IF(AQ$2=$BP$1,$BP96,IF(AQ$2=$BQ$1,$BQ96,IF(AQ$2=$BR$1,$BR96,IF(AQ$2=$BS$1,$BS96,IF(AQ$2=$BT$1,$BT96,IF(AQ$2=$BU$1,$BU96,INDEX(Tiere!$BN$2:$BN$145,_xlfn.AGGREGATE(15,6,(ROW(Tiere!$BN$2:$BN$145)-1)/(--(SEARCH(AQ$2,Tiere!$BN$2:$BN$145)&gt;0)),ROW()-1),1))))))))),"")</f>
        <v/>
      </c>
      <c r="AQ97" s="2438"/>
      <c r="AR97" s="2472" t="str">
        <f>IFERROR(IF(OR(AS$2="ZURÜCK ZUR AUSWAHL",AS$2="",AS$2=0),"",IF(AS$2=$BO$1,$BO96,IF(AS$2=$BP$1,$BP96,IF(AS$2=$BQ$1,$BQ96,IF(AS$2=$BR$1,$BR96,IF(AS$2=$BS$1,$BS96,IF(AS$2=$BT$1,$BT96,IF(AS$2=$BU$1,$BU96,INDEX(Tiere!$BN$2:$BN$145,_xlfn.AGGREGATE(15,6,(ROW(Tiere!$BN$2:$BN$145)-1)/(--(SEARCH(AS$2,Tiere!$BN$2:$BN$145)&gt;0)),ROW()-1),1))))))))),"")</f>
        <v/>
      </c>
      <c r="AS97" s="2438"/>
      <c r="AT97" s="2472" t="str">
        <f>IFERROR(IF(OR(AU$2="ZURÜCK ZUR AUSWAHL",AU$2="",AU$2=0),"",IF(AU$2=$BO$1,$BO96,IF(AU$2=$BP$1,$BP96,IF(AU$2=$BQ$1,$BQ96,IF(AU$2=$BR$1,$BR96,IF(AU$2=$BS$1,$BS96,IF(AU$2=$BT$1,$BT96,IF(AU$2=$BU$1,$BU96,INDEX(Tiere!$BN$2:$BN$145,_xlfn.AGGREGATE(15,6,(ROW(Tiere!$BN$2:$BN$145)-1)/(--(SEARCH(AU$2,Tiere!$BN$2:$BN$145)&gt;0)),ROW()-1),1))))))))),"")</f>
        <v/>
      </c>
      <c r="AU97" s="2438"/>
      <c r="AV97" s="2472" t="str">
        <f>IFERROR(IF(OR(AW$2="ZURÜCK ZUR AUSWAHL",AW$2="",AW$2=0),"",IF(AW$2=$BO$1,$BO96,IF(AW$2=$BP$1,$BP96,IF(AW$2=$BQ$1,$BQ96,IF(AW$2=$BR$1,$BR96,IF(AW$2=$BS$1,$BS96,IF(AW$2=$BT$1,$BT96,IF(AW$2=$BU$1,$BU96,INDEX(Tiere!$BN$2:$BN$145,_xlfn.AGGREGATE(15,6,(ROW(Tiere!$BN$2:$BN$145)-1)/(--(SEARCH(AW$2,Tiere!$BN$2:$BN$145)&gt;0)),ROW()-1),1))))))))),"")</f>
        <v/>
      </c>
      <c r="AW97" s="2438"/>
      <c r="AX97" s="2472" t="str">
        <f>IFERROR(IF(OR(AY$2="ZURÜCK ZUR AUSWAHL",AY$2="",AY$2=0),"",IF(AY$2=$BO$1,$BO96,IF(AY$2=$BP$1,$BP96,IF(AY$2=$BQ$1,$BQ96,IF(AY$2=$BR$1,$BR96,IF(AY$2=$BS$1,$BS96,IF(AY$2=$BT$1,$BT96,IF(AY$2=$BU$1,$BU96,INDEX(Tiere!$BN$2:$BN$145,_xlfn.AGGREGATE(15,6,(ROW(Tiere!$BN$2:$BN$145)-1)/(--(SEARCH(AY$2,Tiere!$BN$2:$BN$145)&gt;0)),ROW()-1),1))))))))),"")</f>
        <v/>
      </c>
      <c r="AY97" s="2438"/>
      <c r="AZ97" s="2472" t="str">
        <f>IFERROR(IF(OR(BA$2="ZURÜCK ZUR AUSWAHL",BA$2="",BA$2=0),"",IF(BA$2=$BO$1,$BO96,IF(BA$2=$BP$1,$BP96,IF(BA$2=$BQ$1,$BQ96,IF(BA$2=$BR$1,$BR96,IF(BA$2=$BS$1,$BS96,IF(BA$2=$BT$1,$BT96,IF(BA$2=$BU$1,$BU96,INDEX(Tiere!$BN$2:$BN$145,_xlfn.AGGREGATE(15,6,(ROW(Tiere!$BN$2:$BN$145)-1)/(--(SEARCH(BA$2,Tiere!$BN$2:$BN$145)&gt;0)),ROW()-1),1))))))))),"")</f>
        <v/>
      </c>
      <c r="BA97" s="2438"/>
      <c r="BB97" s="2472" t="str">
        <f>IFERROR(IF(OR(BC$2="ZURÜCK ZUR AUSWAHL",BC$2="",BC$2=0),"",IF(BC$2=$BO$1,$BO96,IF(BC$2=$BP$1,$BP96,IF(BC$2=$BQ$1,$BQ96,IF(BC$2=$BR$1,$BR96,IF(BC$2=$BS$1,$BS96,IF(BC$2=$BT$1,$BT96,IF(BC$2=$BU$1,$BU96,INDEX(Tiere!$BN$2:$BN$145,_xlfn.AGGREGATE(15,6,(ROW(Tiere!$BN$2:$BN$145)-1)/(--(SEARCH(BC$2,Tiere!$BN$2:$BN$145)&gt;0)),ROW()-1),1))))))))),"")</f>
        <v/>
      </c>
      <c r="BC97" s="2438"/>
      <c r="BD97" s="2472" t="str">
        <f>IFERROR(IF(OR(BE$2="ZURÜCK ZUR AUSWAHL",BE$2="",BE$2=0),"",IF(BE$2=$BO$1,$BO96,IF(BE$2=$BP$1,$BP96,IF(BE$2=$BQ$1,$BQ96,IF(BE$2=$BR$1,$BR96,IF(BE$2=$BS$1,$BS96,IF(BE$2=$BT$1,$BT96,IF(BE$2=$BU$1,$BU96,INDEX(Tiere!$BN$2:$BN$145,_xlfn.AGGREGATE(15,6,(ROW(Tiere!$BN$2:$BN$145)-1)/(--(SEARCH(BE$2,Tiere!$BN$2:$BN$145)&gt;0)),ROW()-1),1))))))))),"")</f>
        <v/>
      </c>
      <c r="BE97" s="2438"/>
      <c r="BF97" s="2472" t="str">
        <f>IFERROR(IF(OR(BG$2="ZURÜCK ZUR AUSWAHL",BG$2="",BG$2=0),"",IF(BG$2=$BO$1,$BO96,IF(BG$2=$BP$1,$BP96,IF(BG$2=$BQ$1,$BQ96,IF(BG$2=$BR$1,$BR96,IF(BG$2=$BS$1,$BS96,IF(BG$2=$BT$1,$BT96,IF(BG$2=$BU$1,$BU96,INDEX(Tiere!$BN$2:$BN$145,_xlfn.AGGREGATE(15,6,(ROW(Tiere!$BN$2:$BN$145)-1)/(--(SEARCH(BG$2,Tiere!$BN$2:$BN$145)&gt;0)),ROW()-1),1))))))))),"")</f>
        <v/>
      </c>
      <c r="BG97" s="2438"/>
      <c r="BH97" s="2472" t="str">
        <f>IFERROR(IF(OR(BI$2="ZURÜCK ZUR AUSWAHL",BI$2="",BI$2=0),"",IF(BI$2=$BO$1,$BO96,IF(BI$2=$BP$1,$BP96,IF(BI$2=$BQ$1,$BQ96,IF(BI$2=$BR$1,$BR96,IF(BI$2=$BS$1,$BS96,IF(BI$2=$BT$1,$BT96,IF(BI$2=$BU$1,$BU96,INDEX(Tiere!$BN$2:$BN$145,_xlfn.AGGREGATE(15,6,(ROW(Tiere!$BN$2:$BN$145)-1)/(--(SEARCH(BI$2,Tiere!$BN$2:$BN$145)&gt;0)),ROW()-1),1))))))))),"")</f>
        <v/>
      </c>
      <c r="BI97" s="2438"/>
      <c r="BJ97" s="2472" t="str">
        <f>IFERROR(IF(OR(BK$2="ZURÜCK ZUR AUSWAHL",BK$2="",BK$2=0),"",IF(BK$2=$BO$1,$BO96,IF(BK$2=$BP$1,$BP96,IF(BK$2=$BQ$1,$BQ96,IF(BK$2=$BR$1,$BR96,IF(BK$2=$BS$1,$BS96,IF(BK$2=$BT$1,$BT96,IF(BK$2=$BU$1,$BU96,INDEX(Tiere!$BN$2:$BN$145,_xlfn.AGGREGATE(15,6,(ROW(Tiere!$BN$2:$BN$145)-1)/(--(SEARCH(BK$2,Tiere!$BN$2:$BN$145)&gt;0)),ROW()-1),1))))))))),"")</f>
        <v/>
      </c>
      <c r="BK97" s="2438"/>
      <c r="BL97" s="2472" t="str">
        <f>IFERROR(IF(OR(BM$2="ZURÜCK ZUR AUSWAHL",BM$2="",BM$2=0),"",IF(BM$2=$BO$1,$BO96,IF(BM$2=$BP$1,$BP96,IF(BM$2=$BQ$1,$BQ96,IF(BM$2=$BR$1,$BR96,IF(BM$2=$BS$1,$BS96,IF(BM$2=$BT$1,$BT96,IF(BM$2=$BU$1,$BU96,INDEX(Tiere!$BN$2:$BN$145,_xlfn.AGGREGATE(15,6,(ROW(Tiere!$BN$2:$BN$145)-1)/(--(SEARCH(BM$2,Tiere!$BN$2:$BN$145)&gt;0)),ROW()-1),1))))))))),"")</f>
        <v/>
      </c>
      <c r="BM97" s="2438"/>
      <c r="BN97" s="2478" t="s">
        <v>1274</v>
      </c>
      <c r="BO97" s="2470"/>
      <c r="BP97" s="2470"/>
      <c r="BQ97" s="2470"/>
      <c r="BR97" s="2470"/>
      <c r="BS97" s="2470"/>
      <c r="BT97" s="2470"/>
      <c r="BU97" s="2470"/>
    </row>
    <row r="98" spans="36:73" ht="13.8" thickBot="1">
      <c r="AJ98" s="2472" t="str">
        <f>IFERROR(IF(OR(AK$2="ZURÜCK ZUR AUSWAHL",AK$2="",AK$2=0),"",IF(AK$2=$BO$1,$BO97,IF(AK$2=$BP$1,$BP97,IF(AK$2=$BQ$1,$BQ97,IF(AK$2=$BR$1,$BR97,IF(AK$2=$BS$1,$BS97,IF(AK$2=$BT$1,$BT97,IF(AK$2=$BU$1,$BU97,INDEX(Tiere!$BN$2:$BN$145,_xlfn.AGGREGATE(15,6,(ROW(Tiere!$BN$2:$BN$145)-1)/(--(SEARCH(AK$2,Tiere!$BN$2:$BN$145)&gt;0)),ROW()-2),1))))))))),"")</f>
        <v/>
      </c>
      <c r="AK98" s="2436"/>
      <c r="AL98" s="2472" t="str">
        <f>IFERROR(IF(OR(AM$2="ZURÜCK ZUR AUSWAHL",AM$2="",AM$2=0),"",IF(AM$2=$BO$1,$BO97,IF(AM$2=$BP$1,$BP97,IF(AM$2=$BQ$1,$BQ97,IF(AM$2=$BR$1,$BR97,IF(AM$2=$BS$1,$BS97,IF(AM$2=$BT$1,$BT97,IF(AM$2=$BU$1,$BU97,INDEX(Tiere!$BN$2:$BN$145,_xlfn.AGGREGATE(15,6,(ROW(Tiere!$BN$2:$BN$145)-1)/(--(SEARCH(AM$2,Tiere!$BN$2:$BN$145)&gt;0)),ROW()-1),1))))))))),"")</f>
        <v/>
      </c>
      <c r="AM98" s="2436"/>
      <c r="AN98" s="2472" t="str">
        <f>IFERROR(IF(OR(AO$2="ZURÜCK ZUR AUSWAHL",AO$2="",AO$2=0),"",IF(AO$2=$BO$1,$BO97,IF(AO$2=$BP$1,$BP97,IF(AO$2=$BQ$1,$BQ97,IF(AO$2=$BR$1,$BR97,IF(AO$2=$BS$1,$BS97,IF(AO$2=$BT$1,$BT97,IF(AO$2=$BU$1,$BU97,INDEX(Tiere!$BN$2:$BN$145,_xlfn.AGGREGATE(15,6,(ROW(Tiere!$BN$2:$BN$145)-1)/(--(SEARCH(AO$2,Tiere!$BN$2:$BN$145)&gt;0)),ROW()-1),1))))))))),"")</f>
        <v/>
      </c>
      <c r="AO98" s="2436"/>
      <c r="AP98" s="2472" t="str">
        <f>IFERROR(IF(OR(AQ$2="ZURÜCK ZUR AUSWAHL",AQ$2="",AQ$2=0),"",IF(AQ$2=$BO$1,$BO97,IF(AQ$2=$BP$1,$BP97,IF(AQ$2=$BQ$1,$BQ97,IF(AQ$2=$BR$1,$BR97,IF(AQ$2=$BS$1,$BS97,IF(AQ$2=$BT$1,$BT97,IF(AQ$2=$BU$1,$BU97,INDEX(Tiere!$BN$2:$BN$145,_xlfn.AGGREGATE(15,6,(ROW(Tiere!$BN$2:$BN$145)-1)/(--(SEARCH(AQ$2,Tiere!$BN$2:$BN$145)&gt;0)),ROW()-1),1))))))))),"")</f>
        <v/>
      </c>
      <c r="AQ98" s="2436"/>
      <c r="AR98" s="2472" t="str">
        <f>IFERROR(IF(OR(AS$2="ZURÜCK ZUR AUSWAHL",AS$2="",AS$2=0),"",IF(AS$2=$BO$1,$BO97,IF(AS$2=$BP$1,$BP97,IF(AS$2=$BQ$1,$BQ97,IF(AS$2=$BR$1,$BR97,IF(AS$2=$BS$1,$BS97,IF(AS$2=$BT$1,$BT97,IF(AS$2=$BU$1,$BU97,INDEX(Tiere!$BN$2:$BN$145,_xlfn.AGGREGATE(15,6,(ROW(Tiere!$BN$2:$BN$145)-1)/(--(SEARCH(AS$2,Tiere!$BN$2:$BN$145)&gt;0)),ROW()-1),1))))))))),"")</f>
        <v/>
      </c>
      <c r="AS98" s="2436"/>
      <c r="AT98" s="2472" t="str">
        <f>IFERROR(IF(OR(AU$2="ZURÜCK ZUR AUSWAHL",AU$2="",AU$2=0),"",IF(AU$2=$BO$1,$BO97,IF(AU$2=$BP$1,$BP97,IF(AU$2=$BQ$1,$BQ97,IF(AU$2=$BR$1,$BR97,IF(AU$2=$BS$1,$BS97,IF(AU$2=$BT$1,$BT97,IF(AU$2=$BU$1,$BU97,INDEX(Tiere!$BN$2:$BN$145,_xlfn.AGGREGATE(15,6,(ROW(Tiere!$BN$2:$BN$145)-1)/(--(SEARCH(AU$2,Tiere!$BN$2:$BN$145)&gt;0)),ROW()-1),1))))))))),"")</f>
        <v/>
      </c>
      <c r="AU98" s="2436"/>
      <c r="AV98" s="2472" t="str">
        <f>IFERROR(IF(OR(AW$2="ZURÜCK ZUR AUSWAHL",AW$2="",AW$2=0),"",IF(AW$2=$BO$1,$BO97,IF(AW$2=$BP$1,$BP97,IF(AW$2=$BQ$1,$BQ97,IF(AW$2=$BR$1,$BR97,IF(AW$2=$BS$1,$BS97,IF(AW$2=$BT$1,$BT97,IF(AW$2=$BU$1,$BU97,INDEX(Tiere!$BN$2:$BN$145,_xlfn.AGGREGATE(15,6,(ROW(Tiere!$BN$2:$BN$145)-1)/(--(SEARCH(AW$2,Tiere!$BN$2:$BN$145)&gt;0)),ROW()-1),1))))))))),"")</f>
        <v/>
      </c>
      <c r="AW98" s="2436"/>
      <c r="AX98" s="2472" t="str">
        <f>IFERROR(IF(OR(AY$2="ZURÜCK ZUR AUSWAHL",AY$2="",AY$2=0),"",IF(AY$2=$BO$1,$BO97,IF(AY$2=$BP$1,$BP97,IF(AY$2=$BQ$1,$BQ97,IF(AY$2=$BR$1,$BR97,IF(AY$2=$BS$1,$BS97,IF(AY$2=$BT$1,$BT97,IF(AY$2=$BU$1,$BU97,INDEX(Tiere!$BN$2:$BN$145,_xlfn.AGGREGATE(15,6,(ROW(Tiere!$BN$2:$BN$145)-1)/(--(SEARCH(AY$2,Tiere!$BN$2:$BN$145)&gt;0)),ROW()-1),1))))))))),"")</f>
        <v/>
      </c>
      <c r="AY98" s="2436"/>
      <c r="AZ98" s="2472" t="str">
        <f>IFERROR(IF(OR(BA$2="ZURÜCK ZUR AUSWAHL",BA$2="",BA$2=0),"",IF(BA$2=$BO$1,$BO97,IF(BA$2=$BP$1,$BP97,IF(BA$2=$BQ$1,$BQ97,IF(BA$2=$BR$1,$BR97,IF(BA$2=$BS$1,$BS97,IF(BA$2=$BT$1,$BT97,IF(BA$2=$BU$1,$BU97,INDEX(Tiere!$BN$2:$BN$145,_xlfn.AGGREGATE(15,6,(ROW(Tiere!$BN$2:$BN$145)-1)/(--(SEARCH(BA$2,Tiere!$BN$2:$BN$145)&gt;0)),ROW()-1),1))))))))),"")</f>
        <v/>
      </c>
      <c r="BA98" s="2436"/>
      <c r="BB98" s="2472" t="str">
        <f>IFERROR(IF(OR(BC$2="ZURÜCK ZUR AUSWAHL",BC$2="",BC$2=0),"",IF(BC$2=$BO$1,$BO97,IF(BC$2=$BP$1,$BP97,IF(BC$2=$BQ$1,$BQ97,IF(BC$2=$BR$1,$BR97,IF(BC$2=$BS$1,$BS97,IF(BC$2=$BT$1,$BT97,IF(BC$2=$BU$1,$BU97,INDEX(Tiere!$BN$2:$BN$145,_xlfn.AGGREGATE(15,6,(ROW(Tiere!$BN$2:$BN$145)-1)/(--(SEARCH(BC$2,Tiere!$BN$2:$BN$145)&gt;0)),ROW()-1),1))))))))),"")</f>
        <v/>
      </c>
      <c r="BC98" s="2436"/>
      <c r="BD98" s="2472" t="str">
        <f>IFERROR(IF(OR(BE$2="ZURÜCK ZUR AUSWAHL",BE$2="",BE$2=0),"",IF(BE$2=$BO$1,$BO97,IF(BE$2=$BP$1,$BP97,IF(BE$2=$BQ$1,$BQ97,IF(BE$2=$BR$1,$BR97,IF(BE$2=$BS$1,$BS97,IF(BE$2=$BT$1,$BT97,IF(BE$2=$BU$1,$BU97,INDEX(Tiere!$BN$2:$BN$145,_xlfn.AGGREGATE(15,6,(ROW(Tiere!$BN$2:$BN$145)-1)/(--(SEARCH(BE$2,Tiere!$BN$2:$BN$145)&gt;0)),ROW()-1),1))))))))),"")</f>
        <v/>
      </c>
      <c r="BE98" s="2436"/>
      <c r="BF98" s="2472" t="str">
        <f>IFERROR(IF(OR(BG$2="ZURÜCK ZUR AUSWAHL",BG$2="",BG$2=0),"",IF(BG$2=$BO$1,$BO97,IF(BG$2=$BP$1,$BP97,IF(BG$2=$BQ$1,$BQ97,IF(BG$2=$BR$1,$BR97,IF(BG$2=$BS$1,$BS97,IF(BG$2=$BT$1,$BT97,IF(BG$2=$BU$1,$BU97,INDEX(Tiere!$BN$2:$BN$145,_xlfn.AGGREGATE(15,6,(ROW(Tiere!$BN$2:$BN$145)-1)/(--(SEARCH(BG$2,Tiere!$BN$2:$BN$145)&gt;0)),ROW()-1),1))))))))),"")</f>
        <v/>
      </c>
      <c r="BG98" s="2436"/>
      <c r="BH98" s="2472" t="str">
        <f>IFERROR(IF(OR(BI$2="ZURÜCK ZUR AUSWAHL",BI$2="",BI$2=0),"",IF(BI$2=$BO$1,$BO97,IF(BI$2=$BP$1,$BP97,IF(BI$2=$BQ$1,$BQ97,IF(BI$2=$BR$1,$BR97,IF(BI$2=$BS$1,$BS97,IF(BI$2=$BT$1,$BT97,IF(BI$2=$BU$1,$BU97,INDEX(Tiere!$BN$2:$BN$145,_xlfn.AGGREGATE(15,6,(ROW(Tiere!$BN$2:$BN$145)-1)/(--(SEARCH(BI$2,Tiere!$BN$2:$BN$145)&gt;0)),ROW()-1),1))))))))),"")</f>
        <v/>
      </c>
      <c r="BI98" s="2436"/>
      <c r="BJ98" s="2472" t="str">
        <f>IFERROR(IF(OR(BK$2="ZURÜCK ZUR AUSWAHL",BK$2="",BK$2=0),"",IF(BK$2=$BO$1,$BO97,IF(BK$2=$BP$1,$BP97,IF(BK$2=$BQ$1,$BQ97,IF(BK$2=$BR$1,$BR97,IF(BK$2=$BS$1,$BS97,IF(BK$2=$BT$1,$BT97,IF(BK$2=$BU$1,$BU97,INDEX(Tiere!$BN$2:$BN$145,_xlfn.AGGREGATE(15,6,(ROW(Tiere!$BN$2:$BN$145)-1)/(--(SEARCH(BK$2,Tiere!$BN$2:$BN$145)&gt;0)),ROW()-1),1))))))))),"")</f>
        <v/>
      </c>
      <c r="BK98" s="2436"/>
      <c r="BL98" s="2472" t="str">
        <f>IFERROR(IF(OR(BM$2="ZURÜCK ZUR AUSWAHL",BM$2="",BM$2=0),"",IF(BM$2=$BO$1,$BO97,IF(BM$2=$BP$1,$BP97,IF(BM$2=$BQ$1,$BQ97,IF(BM$2=$BR$1,$BR97,IF(BM$2=$BS$1,$BS97,IF(BM$2=$BT$1,$BT97,IF(BM$2=$BU$1,$BU97,INDEX(Tiere!$BN$2:$BN$145,_xlfn.AGGREGATE(15,6,(ROW(Tiere!$BN$2:$BN$145)-1)/(--(SEARCH(BM$2,Tiere!$BN$2:$BN$145)&gt;0)),ROW()-1),1))))))))),"")</f>
        <v/>
      </c>
      <c r="BM98" s="2436"/>
      <c r="BN98" s="2478" t="s">
        <v>1275</v>
      </c>
      <c r="BO98" s="2470"/>
      <c r="BP98" s="2470"/>
      <c r="BQ98" s="2470"/>
      <c r="BR98" s="2470"/>
      <c r="BS98" s="2470"/>
      <c r="BT98" s="2470"/>
      <c r="BU98" s="2470"/>
    </row>
    <row r="99" spans="36:73" ht="13.8" thickBot="1">
      <c r="AJ99" s="2472" t="str">
        <f>IFERROR(IF(OR(AK$2="ZURÜCK ZUR AUSWAHL",AK$2="",AK$2=0),"",IF(AK$2=$BO$1,$BO98,IF(AK$2=$BP$1,$BP98,IF(AK$2=$BQ$1,$BQ98,IF(AK$2=$BR$1,$BR98,IF(AK$2=$BS$1,$BS98,IF(AK$2=$BT$1,$BT98,IF(AK$2=$BU$1,$BU98,INDEX(Tiere!$BN$2:$BN$145,_xlfn.AGGREGATE(15,6,(ROW(Tiere!$BN$2:$BN$145)-1)/(--(SEARCH(AK$2,Tiere!$BN$2:$BN$145)&gt;0)),ROW()-2),1))))))))),"")</f>
        <v/>
      </c>
      <c r="AK99" s="2438"/>
      <c r="AL99" s="2472" t="str">
        <f>IFERROR(IF(OR(AM$2="ZURÜCK ZUR AUSWAHL",AM$2="",AM$2=0),"",IF(AM$2=$BO$1,$BO98,IF(AM$2=$BP$1,$BP98,IF(AM$2=$BQ$1,$BQ98,IF(AM$2=$BR$1,$BR98,IF(AM$2=$BS$1,$BS98,IF(AM$2=$BT$1,$BT98,IF(AM$2=$BU$1,$BU98,INDEX(Tiere!$BN$2:$BN$145,_xlfn.AGGREGATE(15,6,(ROW(Tiere!$BN$2:$BN$145)-1)/(--(SEARCH(AM$2,Tiere!$BN$2:$BN$145)&gt;0)),ROW()-1),1))))))))),"")</f>
        <v/>
      </c>
      <c r="AM99" s="2438"/>
      <c r="AN99" s="2472" t="str">
        <f>IFERROR(IF(OR(AO$2="ZURÜCK ZUR AUSWAHL",AO$2="",AO$2=0),"",IF(AO$2=$BO$1,$BO98,IF(AO$2=$BP$1,$BP98,IF(AO$2=$BQ$1,$BQ98,IF(AO$2=$BR$1,$BR98,IF(AO$2=$BS$1,$BS98,IF(AO$2=$BT$1,$BT98,IF(AO$2=$BU$1,$BU98,INDEX(Tiere!$BN$2:$BN$145,_xlfn.AGGREGATE(15,6,(ROW(Tiere!$BN$2:$BN$145)-1)/(--(SEARCH(AO$2,Tiere!$BN$2:$BN$145)&gt;0)),ROW()-1),1))))))))),"")</f>
        <v/>
      </c>
      <c r="AO99" s="2438"/>
      <c r="AP99" s="2472" t="str">
        <f>IFERROR(IF(OR(AQ$2="ZURÜCK ZUR AUSWAHL",AQ$2="",AQ$2=0),"",IF(AQ$2=$BO$1,$BO98,IF(AQ$2=$BP$1,$BP98,IF(AQ$2=$BQ$1,$BQ98,IF(AQ$2=$BR$1,$BR98,IF(AQ$2=$BS$1,$BS98,IF(AQ$2=$BT$1,$BT98,IF(AQ$2=$BU$1,$BU98,INDEX(Tiere!$BN$2:$BN$145,_xlfn.AGGREGATE(15,6,(ROW(Tiere!$BN$2:$BN$145)-1)/(--(SEARCH(AQ$2,Tiere!$BN$2:$BN$145)&gt;0)),ROW()-1),1))))))))),"")</f>
        <v/>
      </c>
      <c r="AQ99" s="2438"/>
      <c r="AR99" s="2472" t="str">
        <f>IFERROR(IF(OR(AS$2="ZURÜCK ZUR AUSWAHL",AS$2="",AS$2=0),"",IF(AS$2=$BO$1,$BO98,IF(AS$2=$BP$1,$BP98,IF(AS$2=$BQ$1,$BQ98,IF(AS$2=$BR$1,$BR98,IF(AS$2=$BS$1,$BS98,IF(AS$2=$BT$1,$BT98,IF(AS$2=$BU$1,$BU98,INDEX(Tiere!$BN$2:$BN$145,_xlfn.AGGREGATE(15,6,(ROW(Tiere!$BN$2:$BN$145)-1)/(--(SEARCH(AS$2,Tiere!$BN$2:$BN$145)&gt;0)),ROW()-1),1))))))))),"")</f>
        <v/>
      </c>
      <c r="AS99" s="2438"/>
      <c r="AT99" s="2472" t="str">
        <f>IFERROR(IF(OR(AU$2="ZURÜCK ZUR AUSWAHL",AU$2="",AU$2=0),"",IF(AU$2=$BO$1,$BO98,IF(AU$2=$BP$1,$BP98,IF(AU$2=$BQ$1,$BQ98,IF(AU$2=$BR$1,$BR98,IF(AU$2=$BS$1,$BS98,IF(AU$2=$BT$1,$BT98,IF(AU$2=$BU$1,$BU98,INDEX(Tiere!$BN$2:$BN$145,_xlfn.AGGREGATE(15,6,(ROW(Tiere!$BN$2:$BN$145)-1)/(--(SEARCH(AU$2,Tiere!$BN$2:$BN$145)&gt;0)),ROW()-1),1))))))))),"")</f>
        <v/>
      </c>
      <c r="AU99" s="2438"/>
      <c r="AV99" s="2472" t="str">
        <f>IFERROR(IF(OR(AW$2="ZURÜCK ZUR AUSWAHL",AW$2="",AW$2=0),"",IF(AW$2=$BO$1,$BO98,IF(AW$2=$BP$1,$BP98,IF(AW$2=$BQ$1,$BQ98,IF(AW$2=$BR$1,$BR98,IF(AW$2=$BS$1,$BS98,IF(AW$2=$BT$1,$BT98,IF(AW$2=$BU$1,$BU98,INDEX(Tiere!$BN$2:$BN$145,_xlfn.AGGREGATE(15,6,(ROW(Tiere!$BN$2:$BN$145)-1)/(--(SEARCH(AW$2,Tiere!$BN$2:$BN$145)&gt;0)),ROW()-1),1))))))))),"")</f>
        <v/>
      </c>
      <c r="AW99" s="2438"/>
      <c r="AX99" s="2472" t="str">
        <f>IFERROR(IF(OR(AY$2="ZURÜCK ZUR AUSWAHL",AY$2="",AY$2=0),"",IF(AY$2=$BO$1,$BO98,IF(AY$2=$BP$1,$BP98,IF(AY$2=$BQ$1,$BQ98,IF(AY$2=$BR$1,$BR98,IF(AY$2=$BS$1,$BS98,IF(AY$2=$BT$1,$BT98,IF(AY$2=$BU$1,$BU98,INDEX(Tiere!$BN$2:$BN$145,_xlfn.AGGREGATE(15,6,(ROW(Tiere!$BN$2:$BN$145)-1)/(--(SEARCH(AY$2,Tiere!$BN$2:$BN$145)&gt;0)),ROW()-1),1))))))))),"")</f>
        <v/>
      </c>
      <c r="AY99" s="2438"/>
      <c r="AZ99" s="2472" t="str">
        <f>IFERROR(IF(OR(BA$2="ZURÜCK ZUR AUSWAHL",BA$2="",BA$2=0),"",IF(BA$2=$BO$1,$BO98,IF(BA$2=$BP$1,$BP98,IF(BA$2=$BQ$1,$BQ98,IF(BA$2=$BR$1,$BR98,IF(BA$2=$BS$1,$BS98,IF(BA$2=$BT$1,$BT98,IF(BA$2=$BU$1,$BU98,INDEX(Tiere!$BN$2:$BN$145,_xlfn.AGGREGATE(15,6,(ROW(Tiere!$BN$2:$BN$145)-1)/(--(SEARCH(BA$2,Tiere!$BN$2:$BN$145)&gt;0)),ROW()-1),1))))))))),"")</f>
        <v/>
      </c>
      <c r="BA99" s="2438"/>
      <c r="BB99" s="2472" t="str">
        <f>IFERROR(IF(OR(BC$2="ZURÜCK ZUR AUSWAHL",BC$2="",BC$2=0),"",IF(BC$2=$BO$1,$BO98,IF(BC$2=$BP$1,$BP98,IF(BC$2=$BQ$1,$BQ98,IF(BC$2=$BR$1,$BR98,IF(BC$2=$BS$1,$BS98,IF(BC$2=$BT$1,$BT98,IF(BC$2=$BU$1,$BU98,INDEX(Tiere!$BN$2:$BN$145,_xlfn.AGGREGATE(15,6,(ROW(Tiere!$BN$2:$BN$145)-1)/(--(SEARCH(BC$2,Tiere!$BN$2:$BN$145)&gt;0)),ROW()-1),1))))))))),"")</f>
        <v/>
      </c>
      <c r="BC99" s="2438"/>
      <c r="BD99" s="2472" t="str">
        <f>IFERROR(IF(OR(BE$2="ZURÜCK ZUR AUSWAHL",BE$2="",BE$2=0),"",IF(BE$2=$BO$1,$BO98,IF(BE$2=$BP$1,$BP98,IF(BE$2=$BQ$1,$BQ98,IF(BE$2=$BR$1,$BR98,IF(BE$2=$BS$1,$BS98,IF(BE$2=$BT$1,$BT98,IF(BE$2=$BU$1,$BU98,INDEX(Tiere!$BN$2:$BN$145,_xlfn.AGGREGATE(15,6,(ROW(Tiere!$BN$2:$BN$145)-1)/(--(SEARCH(BE$2,Tiere!$BN$2:$BN$145)&gt;0)),ROW()-1),1))))))))),"")</f>
        <v/>
      </c>
      <c r="BE99" s="2438"/>
      <c r="BF99" s="2472" t="str">
        <f>IFERROR(IF(OR(BG$2="ZURÜCK ZUR AUSWAHL",BG$2="",BG$2=0),"",IF(BG$2=$BO$1,$BO98,IF(BG$2=$BP$1,$BP98,IF(BG$2=$BQ$1,$BQ98,IF(BG$2=$BR$1,$BR98,IF(BG$2=$BS$1,$BS98,IF(BG$2=$BT$1,$BT98,IF(BG$2=$BU$1,$BU98,INDEX(Tiere!$BN$2:$BN$145,_xlfn.AGGREGATE(15,6,(ROW(Tiere!$BN$2:$BN$145)-1)/(--(SEARCH(BG$2,Tiere!$BN$2:$BN$145)&gt;0)),ROW()-1),1))))))))),"")</f>
        <v/>
      </c>
      <c r="BG99" s="2438"/>
      <c r="BH99" s="2472" t="str">
        <f>IFERROR(IF(OR(BI$2="ZURÜCK ZUR AUSWAHL",BI$2="",BI$2=0),"",IF(BI$2=$BO$1,$BO98,IF(BI$2=$BP$1,$BP98,IF(BI$2=$BQ$1,$BQ98,IF(BI$2=$BR$1,$BR98,IF(BI$2=$BS$1,$BS98,IF(BI$2=$BT$1,$BT98,IF(BI$2=$BU$1,$BU98,INDEX(Tiere!$BN$2:$BN$145,_xlfn.AGGREGATE(15,6,(ROW(Tiere!$BN$2:$BN$145)-1)/(--(SEARCH(BI$2,Tiere!$BN$2:$BN$145)&gt;0)),ROW()-1),1))))))))),"")</f>
        <v/>
      </c>
      <c r="BI99" s="2438"/>
      <c r="BJ99" s="2472" t="str">
        <f>IFERROR(IF(OR(BK$2="ZURÜCK ZUR AUSWAHL",BK$2="",BK$2=0),"",IF(BK$2=$BO$1,$BO98,IF(BK$2=$BP$1,$BP98,IF(BK$2=$BQ$1,$BQ98,IF(BK$2=$BR$1,$BR98,IF(BK$2=$BS$1,$BS98,IF(BK$2=$BT$1,$BT98,IF(BK$2=$BU$1,$BU98,INDEX(Tiere!$BN$2:$BN$145,_xlfn.AGGREGATE(15,6,(ROW(Tiere!$BN$2:$BN$145)-1)/(--(SEARCH(BK$2,Tiere!$BN$2:$BN$145)&gt;0)),ROW()-1),1))))))))),"")</f>
        <v/>
      </c>
      <c r="BK99" s="2438"/>
      <c r="BL99" s="2472" t="str">
        <f>IFERROR(IF(OR(BM$2="ZURÜCK ZUR AUSWAHL",BM$2="",BM$2=0),"",IF(BM$2=$BO$1,$BO98,IF(BM$2=$BP$1,$BP98,IF(BM$2=$BQ$1,$BQ98,IF(BM$2=$BR$1,$BR98,IF(BM$2=$BS$1,$BS98,IF(BM$2=$BT$1,$BT98,IF(BM$2=$BU$1,$BU98,INDEX(Tiere!$BN$2:$BN$145,_xlfn.AGGREGATE(15,6,(ROW(Tiere!$BN$2:$BN$145)-1)/(--(SEARCH(BM$2,Tiere!$BN$2:$BN$145)&gt;0)),ROW()-1),1))))))))),"")</f>
        <v/>
      </c>
      <c r="BM99" s="2438"/>
      <c r="BN99" s="2478" t="s">
        <v>1276</v>
      </c>
      <c r="BO99" s="2470"/>
      <c r="BP99" s="2470"/>
      <c r="BQ99" s="2470"/>
      <c r="BR99" s="2470"/>
      <c r="BS99" s="2470"/>
      <c r="BT99" s="2470"/>
      <c r="BU99" s="2470"/>
    </row>
    <row r="100" spans="36:73" ht="13.8" thickBot="1">
      <c r="AJ100" s="2472" t="str">
        <f>IFERROR(IF(OR(AK$2="ZURÜCK ZUR AUSWAHL",AK$2="",AK$2=0),"",IF(AK$2=$BO$1,$BO99,IF(AK$2=$BP$1,$BP99,IF(AK$2=$BQ$1,$BQ99,IF(AK$2=$BR$1,$BR99,IF(AK$2=$BS$1,$BS99,IF(AK$2=$BT$1,$BT99,IF(AK$2=$BU$1,$BU99,INDEX(Tiere!$BN$2:$BN$145,_xlfn.AGGREGATE(15,6,(ROW(Tiere!$BN$2:$BN$145)-1)/(--(SEARCH(AK$2,Tiere!$BN$2:$BN$145)&gt;0)),ROW()-2),1))))))))),"")</f>
        <v/>
      </c>
      <c r="AK100" s="2436"/>
      <c r="AL100" s="2472" t="str">
        <f>IFERROR(IF(OR(AM$2="ZURÜCK ZUR AUSWAHL",AM$2="",AM$2=0),"",IF(AM$2=$BO$1,$BO99,IF(AM$2=$BP$1,$BP99,IF(AM$2=$BQ$1,$BQ99,IF(AM$2=$BR$1,$BR99,IF(AM$2=$BS$1,$BS99,IF(AM$2=$BT$1,$BT99,IF(AM$2=$BU$1,$BU99,INDEX(Tiere!$BN$2:$BN$145,_xlfn.AGGREGATE(15,6,(ROW(Tiere!$BN$2:$BN$145)-1)/(--(SEARCH(AM$2,Tiere!$BN$2:$BN$145)&gt;0)),ROW()-1),1))))))))),"")</f>
        <v/>
      </c>
      <c r="AM100" s="2436"/>
      <c r="AN100" s="2472" t="str">
        <f>IFERROR(IF(OR(AO$2="ZURÜCK ZUR AUSWAHL",AO$2="",AO$2=0),"",IF(AO$2=$BO$1,$BO99,IF(AO$2=$BP$1,$BP99,IF(AO$2=$BQ$1,$BQ99,IF(AO$2=$BR$1,$BR99,IF(AO$2=$BS$1,$BS99,IF(AO$2=$BT$1,$BT99,IF(AO$2=$BU$1,$BU99,INDEX(Tiere!$BN$2:$BN$145,_xlfn.AGGREGATE(15,6,(ROW(Tiere!$BN$2:$BN$145)-1)/(--(SEARCH(AO$2,Tiere!$BN$2:$BN$145)&gt;0)),ROW()-1),1))))))))),"")</f>
        <v/>
      </c>
      <c r="AO100" s="2436"/>
      <c r="AP100" s="2472" t="str">
        <f>IFERROR(IF(OR(AQ$2="ZURÜCK ZUR AUSWAHL",AQ$2="",AQ$2=0),"",IF(AQ$2=$BO$1,$BO99,IF(AQ$2=$BP$1,$BP99,IF(AQ$2=$BQ$1,$BQ99,IF(AQ$2=$BR$1,$BR99,IF(AQ$2=$BS$1,$BS99,IF(AQ$2=$BT$1,$BT99,IF(AQ$2=$BU$1,$BU99,INDEX(Tiere!$BN$2:$BN$145,_xlfn.AGGREGATE(15,6,(ROW(Tiere!$BN$2:$BN$145)-1)/(--(SEARCH(AQ$2,Tiere!$BN$2:$BN$145)&gt;0)),ROW()-1),1))))))))),"")</f>
        <v/>
      </c>
      <c r="AQ100" s="2436"/>
      <c r="AR100" s="2472" t="str">
        <f>IFERROR(IF(OR(AS$2="ZURÜCK ZUR AUSWAHL",AS$2="",AS$2=0),"",IF(AS$2=$BO$1,$BO99,IF(AS$2=$BP$1,$BP99,IF(AS$2=$BQ$1,$BQ99,IF(AS$2=$BR$1,$BR99,IF(AS$2=$BS$1,$BS99,IF(AS$2=$BT$1,$BT99,IF(AS$2=$BU$1,$BU99,INDEX(Tiere!$BN$2:$BN$145,_xlfn.AGGREGATE(15,6,(ROW(Tiere!$BN$2:$BN$145)-1)/(--(SEARCH(AS$2,Tiere!$BN$2:$BN$145)&gt;0)),ROW()-1),1))))))))),"")</f>
        <v/>
      </c>
      <c r="AS100" s="2436"/>
      <c r="AT100" s="2472" t="str">
        <f>IFERROR(IF(OR(AU$2="ZURÜCK ZUR AUSWAHL",AU$2="",AU$2=0),"",IF(AU$2=$BO$1,$BO99,IF(AU$2=$BP$1,$BP99,IF(AU$2=$BQ$1,$BQ99,IF(AU$2=$BR$1,$BR99,IF(AU$2=$BS$1,$BS99,IF(AU$2=$BT$1,$BT99,IF(AU$2=$BU$1,$BU99,INDEX(Tiere!$BN$2:$BN$145,_xlfn.AGGREGATE(15,6,(ROW(Tiere!$BN$2:$BN$145)-1)/(--(SEARCH(AU$2,Tiere!$BN$2:$BN$145)&gt;0)),ROW()-1),1))))))))),"")</f>
        <v/>
      </c>
      <c r="AU100" s="2436"/>
      <c r="AV100" s="2472" t="str">
        <f>IFERROR(IF(OR(AW$2="ZURÜCK ZUR AUSWAHL",AW$2="",AW$2=0),"",IF(AW$2=$BO$1,$BO99,IF(AW$2=$BP$1,$BP99,IF(AW$2=$BQ$1,$BQ99,IF(AW$2=$BR$1,$BR99,IF(AW$2=$BS$1,$BS99,IF(AW$2=$BT$1,$BT99,IF(AW$2=$BU$1,$BU99,INDEX(Tiere!$BN$2:$BN$145,_xlfn.AGGREGATE(15,6,(ROW(Tiere!$BN$2:$BN$145)-1)/(--(SEARCH(AW$2,Tiere!$BN$2:$BN$145)&gt;0)),ROW()-1),1))))))))),"")</f>
        <v/>
      </c>
      <c r="AW100" s="2436"/>
      <c r="AX100" s="2472" t="str">
        <f>IFERROR(IF(OR(AY$2="ZURÜCK ZUR AUSWAHL",AY$2="",AY$2=0),"",IF(AY$2=$BO$1,$BO99,IF(AY$2=$BP$1,$BP99,IF(AY$2=$BQ$1,$BQ99,IF(AY$2=$BR$1,$BR99,IF(AY$2=$BS$1,$BS99,IF(AY$2=$BT$1,$BT99,IF(AY$2=$BU$1,$BU99,INDEX(Tiere!$BN$2:$BN$145,_xlfn.AGGREGATE(15,6,(ROW(Tiere!$BN$2:$BN$145)-1)/(--(SEARCH(AY$2,Tiere!$BN$2:$BN$145)&gt;0)),ROW()-1),1))))))))),"")</f>
        <v/>
      </c>
      <c r="AY100" s="2436"/>
      <c r="AZ100" s="2472" t="str">
        <f>IFERROR(IF(OR(BA$2="ZURÜCK ZUR AUSWAHL",BA$2="",BA$2=0),"",IF(BA$2=$BO$1,$BO99,IF(BA$2=$BP$1,$BP99,IF(BA$2=$BQ$1,$BQ99,IF(BA$2=$BR$1,$BR99,IF(BA$2=$BS$1,$BS99,IF(BA$2=$BT$1,$BT99,IF(BA$2=$BU$1,$BU99,INDEX(Tiere!$BN$2:$BN$145,_xlfn.AGGREGATE(15,6,(ROW(Tiere!$BN$2:$BN$145)-1)/(--(SEARCH(BA$2,Tiere!$BN$2:$BN$145)&gt;0)),ROW()-1),1))))))))),"")</f>
        <v/>
      </c>
      <c r="BA100" s="2436"/>
      <c r="BB100" s="2472" t="str">
        <f>IFERROR(IF(OR(BC$2="ZURÜCK ZUR AUSWAHL",BC$2="",BC$2=0),"",IF(BC$2=$BO$1,$BO99,IF(BC$2=$BP$1,$BP99,IF(BC$2=$BQ$1,$BQ99,IF(BC$2=$BR$1,$BR99,IF(BC$2=$BS$1,$BS99,IF(BC$2=$BT$1,$BT99,IF(BC$2=$BU$1,$BU99,INDEX(Tiere!$BN$2:$BN$145,_xlfn.AGGREGATE(15,6,(ROW(Tiere!$BN$2:$BN$145)-1)/(--(SEARCH(BC$2,Tiere!$BN$2:$BN$145)&gt;0)),ROW()-1),1))))))))),"")</f>
        <v/>
      </c>
      <c r="BC100" s="2436"/>
      <c r="BD100" s="2472" t="str">
        <f>IFERROR(IF(OR(BE$2="ZURÜCK ZUR AUSWAHL",BE$2="",BE$2=0),"",IF(BE$2=$BO$1,$BO99,IF(BE$2=$BP$1,$BP99,IF(BE$2=$BQ$1,$BQ99,IF(BE$2=$BR$1,$BR99,IF(BE$2=$BS$1,$BS99,IF(BE$2=$BT$1,$BT99,IF(BE$2=$BU$1,$BU99,INDEX(Tiere!$BN$2:$BN$145,_xlfn.AGGREGATE(15,6,(ROW(Tiere!$BN$2:$BN$145)-1)/(--(SEARCH(BE$2,Tiere!$BN$2:$BN$145)&gt;0)),ROW()-1),1))))))))),"")</f>
        <v/>
      </c>
      <c r="BE100" s="2436"/>
      <c r="BF100" s="2472" t="str">
        <f>IFERROR(IF(OR(BG$2="ZURÜCK ZUR AUSWAHL",BG$2="",BG$2=0),"",IF(BG$2=$BO$1,$BO99,IF(BG$2=$BP$1,$BP99,IF(BG$2=$BQ$1,$BQ99,IF(BG$2=$BR$1,$BR99,IF(BG$2=$BS$1,$BS99,IF(BG$2=$BT$1,$BT99,IF(BG$2=$BU$1,$BU99,INDEX(Tiere!$BN$2:$BN$145,_xlfn.AGGREGATE(15,6,(ROW(Tiere!$BN$2:$BN$145)-1)/(--(SEARCH(BG$2,Tiere!$BN$2:$BN$145)&gt;0)),ROW()-1),1))))))))),"")</f>
        <v/>
      </c>
      <c r="BG100" s="2436"/>
      <c r="BH100" s="2472" t="str">
        <f>IFERROR(IF(OR(BI$2="ZURÜCK ZUR AUSWAHL",BI$2="",BI$2=0),"",IF(BI$2=$BO$1,$BO99,IF(BI$2=$BP$1,$BP99,IF(BI$2=$BQ$1,$BQ99,IF(BI$2=$BR$1,$BR99,IF(BI$2=$BS$1,$BS99,IF(BI$2=$BT$1,$BT99,IF(BI$2=$BU$1,$BU99,INDEX(Tiere!$BN$2:$BN$145,_xlfn.AGGREGATE(15,6,(ROW(Tiere!$BN$2:$BN$145)-1)/(--(SEARCH(BI$2,Tiere!$BN$2:$BN$145)&gt;0)),ROW()-1),1))))))))),"")</f>
        <v/>
      </c>
      <c r="BI100" s="2436"/>
      <c r="BJ100" s="2472" t="str">
        <f>IFERROR(IF(OR(BK$2="ZURÜCK ZUR AUSWAHL",BK$2="",BK$2=0),"",IF(BK$2=$BO$1,$BO99,IF(BK$2=$BP$1,$BP99,IF(BK$2=$BQ$1,$BQ99,IF(BK$2=$BR$1,$BR99,IF(BK$2=$BS$1,$BS99,IF(BK$2=$BT$1,$BT99,IF(BK$2=$BU$1,$BU99,INDEX(Tiere!$BN$2:$BN$145,_xlfn.AGGREGATE(15,6,(ROW(Tiere!$BN$2:$BN$145)-1)/(--(SEARCH(BK$2,Tiere!$BN$2:$BN$145)&gt;0)),ROW()-1),1))))))))),"")</f>
        <v/>
      </c>
      <c r="BK100" s="2436"/>
      <c r="BL100" s="2472" t="str">
        <f>IFERROR(IF(OR(BM$2="ZURÜCK ZUR AUSWAHL",BM$2="",BM$2=0),"",IF(BM$2=$BO$1,$BO99,IF(BM$2=$BP$1,$BP99,IF(BM$2=$BQ$1,$BQ99,IF(BM$2=$BR$1,$BR99,IF(BM$2=$BS$1,$BS99,IF(BM$2=$BT$1,$BT99,IF(BM$2=$BU$1,$BU99,INDEX(Tiere!$BN$2:$BN$145,_xlfn.AGGREGATE(15,6,(ROW(Tiere!$BN$2:$BN$145)-1)/(--(SEARCH(BM$2,Tiere!$BN$2:$BN$145)&gt;0)),ROW()-1),1))))))))),"")</f>
        <v/>
      </c>
      <c r="BM100" s="2436"/>
      <c r="BN100" s="2478" t="s">
        <v>1277</v>
      </c>
      <c r="BO100" s="2470"/>
      <c r="BP100" s="2470"/>
      <c r="BQ100" s="2470"/>
      <c r="BR100" s="2470"/>
      <c r="BS100" s="2470"/>
      <c r="BT100" s="2470"/>
      <c r="BU100" s="2470"/>
    </row>
    <row r="101" spans="36:73" ht="13.8" thickBot="1">
      <c r="AJ101" s="2472" t="str">
        <f>IFERROR(IF(OR(AK$2="ZURÜCK ZUR AUSWAHL",AK$2="",AK$2=0),"",IF(AK$2=$BO$1,$BO100,IF(AK$2=$BP$1,$BP100,IF(AK$2=$BQ$1,$BQ100,IF(AK$2=$BR$1,$BR100,IF(AK$2=$BS$1,$BS100,IF(AK$2=$BT$1,$BT100,IF(AK$2=$BU$1,$BU100,INDEX(Tiere!$BN$2:$BN$145,_xlfn.AGGREGATE(15,6,(ROW(Tiere!$BN$2:$BN$145)-1)/(--(SEARCH(AK$2,Tiere!$BN$2:$BN$145)&gt;0)),ROW()-2),1))))))))),"")</f>
        <v/>
      </c>
      <c r="AK101" s="2438"/>
      <c r="AL101" s="2472" t="str">
        <f>IFERROR(IF(OR(AM$2="ZURÜCK ZUR AUSWAHL",AM$2="",AM$2=0),"",IF(AM$2=$BO$1,$BO100,IF(AM$2=$BP$1,$BP100,IF(AM$2=$BQ$1,$BQ100,IF(AM$2=$BR$1,$BR100,IF(AM$2=$BS$1,$BS100,IF(AM$2=$BT$1,$BT100,IF(AM$2=$BU$1,$BU100,INDEX(Tiere!$BN$2:$BN$145,_xlfn.AGGREGATE(15,6,(ROW(Tiere!$BN$2:$BN$145)-1)/(--(SEARCH(AM$2,Tiere!$BN$2:$BN$145)&gt;0)),ROW()-1),1))))))))),"")</f>
        <v/>
      </c>
      <c r="AM101" s="2438"/>
      <c r="AN101" s="2472" t="str">
        <f>IFERROR(IF(OR(AO$2="ZURÜCK ZUR AUSWAHL",AO$2="",AO$2=0),"",IF(AO$2=$BO$1,$BO100,IF(AO$2=$BP$1,$BP100,IF(AO$2=$BQ$1,$BQ100,IF(AO$2=$BR$1,$BR100,IF(AO$2=$BS$1,$BS100,IF(AO$2=$BT$1,$BT100,IF(AO$2=$BU$1,$BU100,INDEX(Tiere!$BN$2:$BN$145,_xlfn.AGGREGATE(15,6,(ROW(Tiere!$BN$2:$BN$145)-1)/(--(SEARCH(AO$2,Tiere!$BN$2:$BN$145)&gt;0)),ROW()-1),1))))))))),"")</f>
        <v/>
      </c>
      <c r="AO101" s="2438"/>
      <c r="AP101" s="2472" t="str">
        <f>IFERROR(IF(OR(AQ$2="ZURÜCK ZUR AUSWAHL",AQ$2="",AQ$2=0),"",IF(AQ$2=$BO$1,$BO100,IF(AQ$2=$BP$1,$BP100,IF(AQ$2=$BQ$1,$BQ100,IF(AQ$2=$BR$1,$BR100,IF(AQ$2=$BS$1,$BS100,IF(AQ$2=$BT$1,$BT100,IF(AQ$2=$BU$1,$BU100,INDEX(Tiere!$BN$2:$BN$145,_xlfn.AGGREGATE(15,6,(ROW(Tiere!$BN$2:$BN$145)-1)/(--(SEARCH(AQ$2,Tiere!$BN$2:$BN$145)&gt;0)),ROW()-1),1))))))))),"")</f>
        <v/>
      </c>
      <c r="AQ101" s="2438"/>
      <c r="AR101" s="2472" t="str">
        <f>IFERROR(IF(OR(AS$2="ZURÜCK ZUR AUSWAHL",AS$2="",AS$2=0),"",IF(AS$2=$BO$1,$BO100,IF(AS$2=$BP$1,$BP100,IF(AS$2=$BQ$1,$BQ100,IF(AS$2=$BR$1,$BR100,IF(AS$2=$BS$1,$BS100,IF(AS$2=$BT$1,$BT100,IF(AS$2=$BU$1,$BU100,INDEX(Tiere!$BN$2:$BN$145,_xlfn.AGGREGATE(15,6,(ROW(Tiere!$BN$2:$BN$145)-1)/(--(SEARCH(AS$2,Tiere!$BN$2:$BN$145)&gt;0)),ROW()-1),1))))))))),"")</f>
        <v/>
      </c>
      <c r="AS101" s="2438"/>
      <c r="AT101" s="2472" t="str">
        <f>IFERROR(IF(OR(AU$2="ZURÜCK ZUR AUSWAHL",AU$2="",AU$2=0),"",IF(AU$2=$BO$1,$BO100,IF(AU$2=$BP$1,$BP100,IF(AU$2=$BQ$1,$BQ100,IF(AU$2=$BR$1,$BR100,IF(AU$2=$BS$1,$BS100,IF(AU$2=$BT$1,$BT100,IF(AU$2=$BU$1,$BU100,INDEX(Tiere!$BN$2:$BN$145,_xlfn.AGGREGATE(15,6,(ROW(Tiere!$BN$2:$BN$145)-1)/(--(SEARCH(AU$2,Tiere!$BN$2:$BN$145)&gt;0)),ROW()-1),1))))))))),"")</f>
        <v/>
      </c>
      <c r="AU101" s="2438"/>
      <c r="AV101" s="2472" t="str">
        <f>IFERROR(IF(OR(AW$2="ZURÜCK ZUR AUSWAHL",AW$2="",AW$2=0),"",IF(AW$2=$BO$1,$BO100,IF(AW$2=$BP$1,$BP100,IF(AW$2=$BQ$1,$BQ100,IF(AW$2=$BR$1,$BR100,IF(AW$2=$BS$1,$BS100,IF(AW$2=$BT$1,$BT100,IF(AW$2=$BU$1,$BU100,INDEX(Tiere!$BN$2:$BN$145,_xlfn.AGGREGATE(15,6,(ROW(Tiere!$BN$2:$BN$145)-1)/(--(SEARCH(AW$2,Tiere!$BN$2:$BN$145)&gt;0)),ROW()-1),1))))))))),"")</f>
        <v/>
      </c>
      <c r="AW101" s="2438"/>
      <c r="AX101" s="2472" t="str">
        <f>IFERROR(IF(OR(AY$2="ZURÜCK ZUR AUSWAHL",AY$2="",AY$2=0),"",IF(AY$2=$BO$1,$BO100,IF(AY$2=$BP$1,$BP100,IF(AY$2=$BQ$1,$BQ100,IF(AY$2=$BR$1,$BR100,IF(AY$2=$BS$1,$BS100,IF(AY$2=$BT$1,$BT100,IF(AY$2=$BU$1,$BU100,INDEX(Tiere!$BN$2:$BN$145,_xlfn.AGGREGATE(15,6,(ROW(Tiere!$BN$2:$BN$145)-1)/(--(SEARCH(AY$2,Tiere!$BN$2:$BN$145)&gt;0)),ROW()-1),1))))))))),"")</f>
        <v/>
      </c>
      <c r="AY101" s="2438"/>
      <c r="AZ101" s="2472" t="str">
        <f>IFERROR(IF(OR(BA$2="ZURÜCK ZUR AUSWAHL",BA$2="",BA$2=0),"",IF(BA$2=$BO$1,$BO100,IF(BA$2=$BP$1,$BP100,IF(BA$2=$BQ$1,$BQ100,IF(BA$2=$BR$1,$BR100,IF(BA$2=$BS$1,$BS100,IF(BA$2=$BT$1,$BT100,IF(BA$2=$BU$1,$BU100,INDEX(Tiere!$BN$2:$BN$145,_xlfn.AGGREGATE(15,6,(ROW(Tiere!$BN$2:$BN$145)-1)/(--(SEARCH(BA$2,Tiere!$BN$2:$BN$145)&gt;0)),ROW()-1),1))))))))),"")</f>
        <v/>
      </c>
      <c r="BA101" s="2438"/>
      <c r="BB101" s="2472" t="str">
        <f>IFERROR(IF(OR(BC$2="ZURÜCK ZUR AUSWAHL",BC$2="",BC$2=0),"",IF(BC$2=$BO$1,$BO100,IF(BC$2=$BP$1,$BP100,IF(BC$2=$BQ$1,$BQ100,IF(BC$2=$BR$1,$BR100,IF(BC$2=$BS$1,$BS100,IF(BC$2=$BT$1,$BT100,IF(BC$2=$BU$1,$BU100,INDEX(Tiere!$BN$2:$BN$145,_xlfn.AGGREGATE(15,6,(ROW(Tiere!$BN$2:$BN$145)-1)/(--(SEARCH(BC$2,Tiere!$BN$2:$BN$145)&gt;0)),ROW()-1),1))))))))),"")</f>
        <v/>
      </c>
      <c r="BC101" s="2438"/>
      <c r="BD101" s="2472" t="str">
        <f>IFERROR(IF(OR(BE$2="ZURÜCK ZUR AUSWAHL",BE$2="",BE$2=0),"",IF(BE$2=$BO$1,$BO100,IF(BE$2=$BP$1,$BP100,IF(BE$2=$BQ$1,$BQ100,IF(BE$2=$BR$1,$BR100,IF(BE$2=$BS$1,$BS100,IF(BE$2=$BT$1,$BT100,IF(BE$2=$BU$1,$BU100,INDEX(Tiere!$BN$2:$BN$145,_xlfn.AGGREGATE(15,6,(ROW(Tiere!$BN$2:$BN$145)-1)/(--(SEARCH(BE$2,Tiere!$BN$2:$BN$145)&gt;0)),ROW()-1),1))))))))),"")</f>
        <v/>
      </c>
      <c r="BE101" s="2438"/>
      <c r="BF101" s="2472" t="str">
        <f>IFERROR(IF(OR(BG$2="ZURÜCK ZUR AUSWAHL",BG$2="",BG$2=0),"",IF(BG$2=$BO$1,$BO100,IF(BG$2=$BP$1,$BP100,IF(BG$2=$BQ$1,$BQ100,IF(BG$2=$BR$1,$BR100,IF(BG$2=$BS$1,$BS100,IF(BG$2=$BT$1,$BT100,IF(BG$2=$BU$1,$BU100,INDEX(Tiere!$BN$2:$BN$145,_xlfn.AGGREGATE(15,6,(ROW(Tiere!$BN$2:$BN$145)-1)/(--(SEARCH(BG$2,Tiere!$BN$2:$BN$145)&gt;0)),ROW()-1),1))))))))),"")</f>
        <v/>
      </c>
      <c r="BG101" s="2438"/>
      <c r="BH101" s="2472" t="str">
        <f>IFERROR(IF(OR(BI$2="ZURÜCK ZUR AUSWAHL",BI$2="",BI$2=0),"",IF(BI$2=$BO$1,$BO100,IF(BI$2=$BP$1,$BP100,IF(BI$2=$BQ$1,$BQ100,IF(BI$2=$BR$1,$BR100,IF(BI$2=$BS$1,$BS100,IF(BI$2=$BT$1,$BT100,IF(BI$2=$BU$1,$BU100,INDEX(Tiere!$BN$2:$BN$145,_xlfn.AGGREGATE(15,6,(ROW(Tiere!$BN$2:$BN$145)-1)/(--(SEARCH(BI$2,Tiere!$BN$2:$BN$145)&gt;0)),ROW()-1),1))))))))),"")</f>
        <v/>
      </c>
      <c r="BI101" s="2438"/>
      <c r="BJ101" s="2472" t="str">
        <f>IFERROR(IF(OR(BK$2="ZURÜCK ZUR AUSWAHL",BK$2="",BK$2=0),"",IF(BK$2=$BO$1,$BO100,IF(BK$2=$BP$1,$BP100,IF(BK$2=$BQ$1,$BQ100,IF(BK$2=$BR$1,$BR100,IF(BK$2=$BS$1,$BS100,IF(BK$2=$BT$1,$BT100,IF(BK$2=$BU$1,$BU100,INDEX(Tiere!$BN$2:$BN$145,_xlfn.AGGREGATE(15,6,(ROW(Tiere!$BN$2:$BN$145)-1)/(--(SEARCH(BK$2,Tiere!$BN$2:$BN$145)&gt;0)),ROW()-1),1))))))))),"")</f>
        <v/>
      </c>
      <c r="BK101" s="2438"/>
      <c r="BL101" s="2472" t="str">
        <f>IFERROR(IF(OR(BM$2="ZURÜCK ZUR AUSWAHL",BM$2="",BM$2=0),"",IF(BM$2=$BO$1,$BO100,IF(BM$2=$BP$1,$BP100,IF(BM$2=$BQ$1,$BQ100,IF(BM$2=$BR$1,$BR100,IF(BM$2=$BS$1,$BS100,IF(BM$2=$BT$1,$BT100,IF(BM$2=$BU$1,$BU100,INDEX(Tiere!$BN$2:$BN$145,_xlfn.AGGREGATE(15,6,(ROW(Tiere!$BN$2:$BN$145)-1)/(--(SEARCH(BM$2,Tiere!$BN$2:$BN$145)&gt;0)),ROW()-1),1))))))))),"")</f>
        <v/>
      </c>
      <c r="BM101" s="2438"/>
      <c r="BN101" s="2478" t="s">
        <v>1278</v>
      </c>
      <c r="BO101" s="2470"/>
      <c r="BP101" s="2470"/>
      <c r="BQ101" s="2470"/>
      <c r="BR101" s="2470"/>
      <c r="BS101" s="2470"/>
      <c r="BT101" s="2470"/>
      <c r="BU101" s="2470"/>
    </row>
    <row r="102" spans="36:73" ht="13.8" thickBot="1">
      <c r="AJ102" s="2472" t="str">
        <f>IFERROR(IF(OR(AK$2="ZURÜCK ZUR AUSWAHL",AK$2="",AK$2=0),"",IF(AK$2=$BO$1,$BO101,IF(AK$2=$BP$1,$BP101,IF(AK$2=$BQ$1,$BQ101,IF(AK$2=$BR$1,$BR101,IF(AK$2=$BS$1,$BS101,IF(AK$2=$BT$1,$BT101,IF(AK$2=$BU$1,$BU101,INDEX(Tiere!$BN$2:$BN$145,_xlfn.AGGREGATE(15,6,(ROW(Tiere!$BN$2:$BN$145)-1)/(--(SEARCH(AK$2,Tiere!$BN$2:$BN$145)&gt;0)),ROW()-2),1))))))))),"")</f>
        <v/>
      </c>
      <c r="AK102" s="2436"/>
      <c r="AL102" s="2472" t="str">
        <f>IFERROR(IF(OR(AM$2="ZURÜCK ZUR AUSWAHL",AM$2="",AM$2=0),"",IF(AM$2=$BO$1,$BO101,IF(AM$2=$BP$1,$BP101,IF(AM$2=$BQ$1,$BQ101,IF(AM$2=$BR$1,$BR101,IF(AM$2=$BS$1,$BS101,IF(AM$2=$BT$1,$BT101,IF(AM$2=$BU$1,$BU101,INDEX(Tiere!$BN$2:$BN$145,_xlfn.AGGREGATE(15,6,(ROW(Tiere!$BN$2:$BN$145)-1)/(--(SEARCH(AM$2,Tiere!$BN$2:$BN$145)&gt;0)),ROW()-1),1))))))))),"")</f>
        <v/>
      </c>
      <c r="AM102" s="2436"/>
      <c r="AN102" s="2472" t="str">
        <f>IFERROR(IF(OR(AO$2="ZURÜCK ZUR AUSWAHL",AO$2="",AO$2=0),"",IF(AO$2=$BO$1,$BO101,IF(AO$2=$BP$1,$BP101,IF(AO$2=$BQ$1,$BQ101,IF(AO$2=$BR$1,$BR101,IF(AO$2=$BS$1,$BS101,IF(AO$2=$BT$1,$BT101,IF(AO$2=$BU$1,$BU101,INDEX(Tiere!$BN$2:$BN$145,_xlfn.AGGREGATE(15,6,(ROW(Tiere!$BN$2:$BN$145)-1)/(--(SEARCH(AO$2,Tiere!$BN$2:$BN$145)&gt;0)),ROW()-1),1))))))))),"")</f>
        <v/>
      </c>
      <c r="AO102" s="2436"/>
      <c r="AP102" s="2472" t="str">
        <f>IFERROR(IF(OR(AQ$2="ZURÜCK ZUR AUSWAHL",AQ$2="",AQ$2=0),"",IF(AQ$2=$BO$1,$BO101,IF(AQ$2=$BP$1,$BP101,IF(AQ$2=$BQ$1,$BQ101,IF(AQ$2=$BR$1,$BR101,IF(AQ$2=$BS$1,$BS101,IF(AQ$2=$BT$1,$BT101,IF(AQ$2=$BU$1,$BU101,INDEX(Tiere!$BN$2:$BN$145,_xlfn.AGGREGATE(15,6,(ROW(Tiere!$BN$2:$BN$145)-1)/(--(SEARCH(AQ$2,Tiere!$BN$2:$BN$145)&gt;0)),ROW()-1),1))))))))),"")</f>
        <v/>
      </c>
      <c r="AQ102" s="2436"/>
      <c r="AR102" s="2472" t="str">
        <f>IFERROR(IF(OR(AS$2="ZURÜCK ZUR AUSWAHL",AS$2="",AS$2=0),"",IF(AS$2=$BO$1,$BO101,IF(AS$2=$BP$1,$BP101,IF(AS$2=$BQ$1,$BQ101,IF(AS$2=$BR$1,$BR101,IF(AS$2=$BS$1,$BS101,IF(AS$2=$BT$1,$BT101,IF(AS$2=$BU$1,$BU101,INDEX(Tiere!$BN$2:$BN$145,_xlfn.AGGREGATE(15,6,(ROW(Tiere!$BN$2:$BN$145)-1)/(--(SEARCH(AS$2,Tiere!$BN$2:$BN$145)&gt;0)),ROW()-1),1))))))))),"")</f>
        <v/>
      </c>
      <c r="AS102" s="2436"/>
      <c r="AT102" s="2472" t="str">
        <f>IFERROR(IF(OR(AU$2="ZURÜCK ZUR AUSWAHL",AU$2="",AU$2=0),"",IF(AU$2=$BO$1,$BO101,IF(AU$2=$BP$1,$BP101,IF(AU$2=$BQ$1,$BQ101,IF(AU$2=$BR$1,$BR101,IF(AU$2=$BS$1,$BS101,IF(AU$2=$BT$1,$BT101,IF(AU$2=$BU$1,$BU101,INDEX(Tiere!$BN$2:$BN$145,_xlfn.AGGREGATE(15,6,(ROW(Tiere!$BN$2:$BN$145)-1)/(--(SEARCH(AU$2,Tiere!$BN$2:$BN$145)&gt;0)),ROW()-1),1))))))))),"")</f>
        <v/>
      </c>
      <c r="AU102" s="2436"/>
      <c r="AV102" s="2472" t="str">
        <f>IFERROR(IF(OR(AW$2="ZURÜCK ZUR AUSWAHL",AW$2="",AW$2=0),"",IF(AW$2=$BO$1,$BO101,IF(AW$2=$BP$1,$BP101,IF(AW$2=$BQ$1,$BQ101,IF(AW$2=$BR$1,$BR101,IF(AW$2=$BS$1,$BS101,IF(AW$2=$BT$1,$BT101,IF(AW$2=$BU$1,$BU101,INDEX(Tiere!$BN$2:$BN$145,_xlfn.AGGREGATE(15,6,(ROW(Tiere!$BN$2:$BN$145)-1)/(--(SEARCH(AW$2,Tiere!$BN$2:$BN$145)&gt;0)),ROW()-1),1))))))))),"")</f>
        <v/>
      </c>
      <c r="AW102" s="2436"/>
      <c r="AX102" s="2472" t="str">
        <f>IFERROR(IF(OR(AY$2="ZURÜCK ZUR AUSWAHL",AY$2="",AY$2=0),"",IF(AY$2=$BO$1,$BO101,IF(AY$2=$BP$1,$BP101,IF(AY$2=$BQ$1,$BQ101,IF(AY$2=$BR$1,$BR101,IF(AY$2=$BS$1,$BS101,IF(AY$2=$BT$1,$BT101,IF(AY$2=$BU$1,$BU101,INDEX(Tiere!$BN$2:$BN$145,_xlfn.AGGREGATE(15,6,(ROW(Tiere!$BN$2:$BN$145)-1)/(--(SEARCH(AY$2,Tiere!$BN$2:$BN$145)&gt;0)),ROW()-1),1))))))))),"")</f>
        <v/>
      </c>
      <c r="AY102" s="2436"/>
      <c r="AZ102" s="2472" t="str">
        <f>IFERROR(IF(OR(BA$2="ZURÜCK ZUR AUSWAHL",BA$2="",BA$2=0),"",IF(BA$2=$BO$1,$BO101,IF(BA$2=$BP$1,$BP101,IF(BA$2=$BQ$1,$BQ101,IF(BA$2=$BR$1,$BR101,IF(BA$2=$BS$1,$BS101,IF(BA$2=$BT$1,$BT101,IF(BA$2=$BU$1,$BU101,INDEX(Tiere!$BN$2:$BN$145,_xlfn.AGGREGATE(15,6,(ROW(Tiere!$BN$2:$BN$145)-1)/(--(SEARCH(BA$2,Tiere!$BN$2:$BN$145)&gt;0)),ROW()-1),1))))))))),"")</f>
        <v/>
      </c>
      <c r="BA102" s="2436"/>
      <c r="BB102" s="2472" t="str">
        <f>IFERROR(IF(OR(BC$2="ZURÜCK ZUR AUSWAHL",BC$2="",BC$2=0),"",IF(BC$2=$BO$1,$BO101,IF(BC$2=$BP$1,$BP101,IF(BC$2=$BQ$1,$BQ101,IF(BC$2=$BR$1,$BR101,IF(BC$2=$BS$1,$BS101,IF(BC$2=$BT$1,$BT101,IF(BC$2=$BU$1,$BU101,INDEX(Tiere!$BN$2:$BN$145,_xlfn.AGGREGATE(15,6,(ROW(Tiere!$BN$2:$BN$145)-1)/(--(SEARCH(BC$2,Tiere!$BN$2:$BN$145)&gt;0)),ROW()-1),1))))))))),"")</f>
        <v/>
      </c>
      <c r="BC102" s="2436"/>
      <c r="BD102" s="2472" t="str">
        <f>IFERROR(IF(OR(BE$2="ZURÜCK ZUR AUSWAHL",BE$2="",BE$2=0),"",IF(BE$2=$BO$1,$BO101,IF(BE$2=$BP$1,$BP101,IF(BE$2=$BQ$1,$BQ101,IF(BE$2=$BR$1,$BR101,IF(BE$2=$BS$1,$BS101,IF(BE$2=$BT$1,$BT101,IF(BE$2=$BU$1,$BU101,INDEX(Tiere!$BN$2:$BN$145,_xlfn.AGGREGATE(15,6,(ROW(Tiere!$BN$2:$BN$145)-1)/(--(SEARCH(BE$2,Tiere!$BN$2:$BN$145)&gt;0)),ROW()-1),1))))))))),"")</f>
        <v/>
      </c>
      <c r="BE102" s="2436"/>
      <c r="BF102" s="2472" t="str">
        <f>IFERROR(IF(OR(BG$2="ZURÜCK ZUR AUSWAHL",BG$2="",BG$2=0),"",IF(BG$2=$BO$1,$BO101,IF(BG$2=$BP$1,$BP101,IF(BG$2=$BQ$1,$BQ101,IF(BG$2=$BR$1,$BR101,IF(BG$2=$BS$1,$BS101,IF(BG$2=$BT$1,$BT101,IF(BG$2=$BU$1,$BU101,INDEX(Tiere!$BN$2:$BN$145,_xlfn.AGGREGATE(15,6,(ROW(Tiere!$BN$2:$BN$145)-1)/(--(SEARCH(BG$2,Tiere!$BN$2:$BN$145)&gt;0)),ROW()-1),1))))))))),"")</f>
        <v/>
      </c>
      <c r="BG102" s="2436"/>
      <c r="BH102" s="2472" t="str">
        <f>IFERROR(IF(OR(BI$2="ZURÜCK ZUR AUSWAHL",BI$2="",BI$2=0),"",IF(BI$2=$BO$1,$BO101,IF(BI$2=$BP$1,$BP101,IF(BI$2=$BQ$1,$BQ101,IF(BI$2=$BR$1,$BR101,IF(BI$2=$BS$1,$BS101,IF(BI$2=$BT$1,$BT101,IF(BI$2=$BU$1,$BU101,INDEX(Tiere!$BN$2:$BN$145,_xlfn.AGGREGATE(15,6,(ROW(Tiere!$BN$2:$BN$145)-1)/(--(SEARCH(BI$2,Tiere!$BN$2:$BN$145)&gt;0)),ROW()-1),1))))))))),"")</f>
        <v/>
      </c>
      <c r="BI102" s="2436"/>
      <c r="BJ102" s="2472" t="str">
        <f>IFERROR(IF(OR(BK$2="ZURÜCK ZUR AUSWAHL",BK$2="",BK$2=0),"",IF(BK$2=$BO$1,$BO101,IF(BK$2=$BP$1,$BP101,IF(BK$2=$BQ$1,$BQ101,IF(BK$2=$BR$1,$BR101,IF(BK$2=$BS$1,$BS101,IF(BK$2=$BT$1,$BT101,IF(BK$2=$BU$1,$BU101,INDEX(Tiere!$BN$2:$BN$145,_xlfn.AGGREGATE(15,6,(ROW(Tiere!$BN$2:$BN$145)-1)/(--(SEARCH(BK$2,Tiere!$BN$2:$BN$145)&gt;0)),ROW()-1),1))))))))),"")</f>
        <v/>
      </c>
      <c r="BK102" s="2436"/>
      <c r="BL102" s="2472" t="str">
        <f>IFERROR(IF(OR(BM$2="ZURÜCK ZUR AUSWAHL",BM$2="",BM$2=0),"",IF(BM$2=$BO$1,$BO101,IF(BM$2=$BP$1,$BP101,IF(BM$2=$BQ$1,$BQ101,IF(BM$2=$BR$1,$BR101,IF(BM$2=$BS$1,$BS101,IF(BM$2=$BT$1,$BT101,IF(BM$2=$BU$1,$BU101,INDEX(Tiere!$BN$2:$BN$145,_xlfn.AGGREGATE(15,6,(ROW(Tiere!$BN$2:$BN$145)-1)/(--(SEARCH(BM$2,Tiere!$BN$2:$BN$145)&gt;0)),ROW()-1),1))))))))),"")</f>
        <v/>
      </c>
      <c r="BM102" s="2436"/>
      <c r="BN102" s="2478" t="s">
        <v>1279</v>
      </c>
      <c r="BO102" s="2470"/>
      <c r="BP102" s="2470"/>
      <c r="BQ102" s="2470"/>
      <c r="BR102" s="2470"/>
      <c r="BS102" s="2470"/>
      <c r="BT102" s="2470"/>
      <c r="BU102" s="2470"/>
    </row>
    <row r="103" spans="36:73" ht="13.8" thickBot="1">
      <c r="AJ103" s="2472" t="str">
        <f>IFERROR(IF(OR(AK$2="ZURÜCK ZUR AUSWAHL",AK$2="",AK$2=0),"",IF(AK$2=$BO$1,$BO102,IF(AK$2=$BP$1,$BP102,IF(AK$2=$BQ$1,$BQ102,IF(AK$2=$BR$1,$BR102,IF(AK$2=$BS$1,$BS102,IF(AK$2=$BT$1,$BT102,IF(AK$2=$BU$1,$BU102,INDEX(Tiere!$BN$2:$BN$145,_xlfn.AGGREGATE(15,6,(ROW(Tiere!$BN$2:$BN$145)-1)/(--(SEARCH(AK$2,Tiere!$BN$2:$BN$145)&gt;0)),ROW()-2),1))))))))),"")</f>
        <v/>
      </c>
      <c r="AK103" s="2438"/>
      <c r="AL103" s="2472" t="str">
        <f>IFERROR(IF(OR(AM$2="ZURÜCK ZUR AUSWAHL",AM$2="",AM$2=0),"",IF(AM$2=$BO$1,$BO102,IF(AM$2=$BP$1,$BP102,IF(AM$2=$BQ$1,$BQ102,IF(AM$2=$BR$1,$BR102,IF(AM$2=$BS$1,$BS102,IF(AM$2=$BT$1,$BT102,IF(AM$2=$BU$1,$BU102,INDEX(Tiere!$BN$2:$BN$145,_xlfn.AGGREGATE(15,6,(ROW(Tiere!$BN$2:$BN$145)-1)/(--(SEARCH(AM$2,Tiere!$BN$2:$BN$145)&gt;0)),ROW()-1),1))))))))),"")</f>
        <v/>
      </c>
      <c r="AM103" s="2438"/>
      <c r="AN103" s="2472" t="str">
        <f>IFERROR(IF(OR(AO$2="ZURÜCK ZUR AUSWAHL",AO$2="",AO$2=0),"",IF(AO$2=$BO$1,$BO102,IF(AO$2=$BP$1,$BP102,IF(AO$2=$BQ$1,$BQ102,IF(AO$2=$BR$1,$BR102,IF(AO$2=$BS$1,$BS102,IF(AO$2=$BT$1,$BT102,IF(AO$2=$BU$1,$BU102,INDEX(Tiere!$BN$2:$BN$145,_xlfn.AGGREGATE(15,6,(ROW(Tiere!$BN$2:$BN$145)-1)/(--(SEARCH(AO$2,Tiere!$BN$2:$BN$145)&gt;0)),ROW()-1),1))))))))),"")</f>
        <v/>
      </c>
      <c r="AO103" s="2438"/>
      <c r="AP103" s="2472" t="str">
        <f>IFERROR(IF(OR(AQ$2="ZURÜCK ZUR AUSWAHL",AQ$2="",AQ$2=0),"",IF(AQ$2=$BO$1,$BO102,IF(AQ$2=$BP$1,$BP102,IF(AQ$2=$BQ$1,$BQ102,IF(AQ$2=$BR$1,$BR102,IF(AQ$2=$BS$1,$BS102,IF(AQ$2=$BT$1,$BT102,IF(AQ$2=$BU$1,$BU102,INDEX(Tiere!$BN$2:$BN$145,_xlfn.AGGREGATE(15,6,(ROW(Tiere!$BN$2:$BN$145)-1)/(--(SEARCH(AQ$2,Tiere!$BN$2:$BN$145)&gt;0)),ROW()-1),1))))))))),"")</f>
        <v/>
      </c>
      <c r="AQ103" s="2438"/>
      <c r="AR103" s="2472" t="str">
        <f>IFERROR(IF(OR(AS$2="ZURÜCK ZUR AUSWAHL",AS$2="",AS$2=0),"",IF(AS$2=$BO$1,$BO102,IF(AS$2=$BP$1,$BP102,IF(AS$2=$BQ$1,$BQ102,IF(AS$2=$BR$1,$BR102,IF(AS$2=$BS$1,$BS102,IF(AS$2=$BT$1,$BT102,IF(AS$2=$BU$1,$BU102,INDEX(Tiere!$BN$2:$BN$145,_xlfn.AGGREGATE(15,6,(ROW(Tiere!$BN$2:$BN$145)-1)/(--(SEARCH(AS$2,Tiere!$BN$2:$BN$145)&gt;0)),ROW()-1),1))))))))),"")</f>
        <v/>
      </c>
      <c r="AS103" s="2438"/>
      <c r="AT103" s="2472" t="str">
        <f>IFERROR(IF(OR(AU$2="ZURÜCK ZUR AUSWAHL",AU$2="",AU$2=0),"",IF(AU$2=$BO$1,$BO102,IF(AU$2=$BP$1,$BP102,IF(AU$2=$BQ$1,$BQ102,IF(AU$2=$BR$1,$BR102,IF(AU$2=$BS$1,$BS102,IF(AU$2=$BT$1,$BT102,IF(AU$2=$BU$1,$BU102,INDEX(Tiere!$BN$2:$BN$145,_xlfn.AGGREGATE(15,6,(ROW(Tiere!$BN$2:$BN$145)-1)/(--(SEARCH(AU$2,Tiere!$BN$2:$BN$145)&gt;0)),ROW()-1),1))))))))),"")</f>
        <v/>
      </c>
      <c r="AU103" s="2438"/>
      <c r="AV103" s="2472" t="str">
        <f>IFERROR(IF(OR(AW$2="ZURÜCK ZUR AUSWAHL",AW$2="",AW$2=0),"",IF(AW$2=$BO$1,$BO102,IF(AW$2=$BP$1,$BP102,IF(AW$2=$BQ$1,$BQ102,IF(AW$2=$BR$1,$BR102,IF(AW$2=$BS$1,$BS102,IF(AW$2=$BT$1,$BT102,IF(AW$2=$BU$1,$BU102,INDEX(Tiere!$BN$2:$BN$145,_xlfn.AGGREGATE(15,6,(ROW(Tiere!$BN$2:$BN$145)-1)/(--(SEARCH(AW$2,Tiere!$BN$2:$BN$145)&gt;0)),ROW()-1),1))))))))),"")</f>
        <v/>
      </c>
      <c r="AW103" s="2438"/>
      <c r="AX103" s="2472" t="str">
        <f>IFERROR(IF(OR(AY$2="ZURÜCK ZUR AUSWAHL",AY$2="",AY$2=0),"",IF(AY$2=$BO$1,$BO102,IF(AY$2=$BP$1,$BP102,IF(AY$2=$BQ$1,$BQ102,IF(AY$2=$BR$1,$BR102,IF(AY$2=$BS$1,$BS102,IF(AY$2=$BT$1,$BT102,IF(AY$2=$BU$1,$BU102,INDEX(Tiere!$BN$2:$BN$145,_xlfn.AGGREGATE(15,6,(ROW(Tiere!$BN$2:$BN$145)-1)/(--(SEARCH(AY$2,Tiere!$BN$2:$BN$145)&gt;0)),ROW()-1),1))))))))),"")</f>
        <v/>
      </c>
      <c r="AY103" s="2438"/>
      <c r="AZ103" s="2472" t="str">
        <f>IFERROR(IF(OR(BA$2="ZURÜCK ZUR AUSWAHL",BA$2="",BA$2=0),"",IF(BA$2=$BO$1,$BO102,IF(BA$2=$BP$1,$BP102,IF(BA$2=$BQ$1,$BQ102,IF(BA$2=$BR$1,$BR102,IF(BA$2=$BS$1,$BS102,IF(BA$2=$BT$1,$BT102,IF(BA$2=$BU$1,$BU102,INDEX(Tiere!$BN$2:$BN$145,_xlfn.AGGREGATE(15,6,(ROW(Tiere!$BN$2:$BN$145)-1)/(--(SEARCH(BA$2,Tiere!$BN$2:$BN$145)&gt;0)),ROW()-1),1))))))))),"")</f>
        <v/>
      </c>
      <c r="BA103" s="2438"/>
      <c r="BB103" s="2472" t="str">
        <f>IFERROR(IF(OR(BC$2="ZURÜCK ZUR AUSWAHL",BC$2="",BC$2=0),"",IF(BC$2=$BO$1,$BO102,IF(BC$2=$BP$1,$BP102,IF(BC$2=$BQ$1,$BQ102,IF(BC$2=$BR$1,$BR102,IF(BC$2=$BS$1,$BS102,IF(BC$2=$BT$1,$BT102,IF(BC$2=$BU$1,$BU102,INDEX(Tiere!$BN$2:$BN$145,_xlfn.AGGREGATE(15,6,(ROW(Tiere!$BN$2:$BN$145)-1)/(--(SEARCH(BC$2,Tiere!$BN$2:$BN$145)&gt;0)),ROW()-1),1))))))))),"")</f>
        <v/>
      </c>
      <c r="BC103" s="2438"/>
      <c r="BD103" s="2472" t="str">
        <f>IFERROR(IF(OR(BE$2="ZURÜCK ZUR AUSWAHL",BE$2="",BE$2=0),"",IF(BE$2=$BO$1,$BO102,IF(BE$2=$BP$1,$BP102,IF(BE$2=$BQ$1,$BQ102,IF(BE$2=$BR$1,$BR102,IF(BE$2=$BS$1,$BS102,IF(BE$2=$BT$1,$BT102,IF(BE$2=$BU$1,$BU102,INDEX(Tiere!$BN$2:$BN$145,_xlfn.AGGREGATE(15,6,(ROW(Tiere!$BN$2:$BN$145)-1)/(--(SEARCH(BE$2,Tiere!$BN$2:$BN$145)&gt;0)),ROW()-1),1))))))))),"")</f>
        <v/>
      </c>
      <c r="BE103" s="2438"/>
      <c r="BF103" s="2472" t="str">
        <f>IFERROR(IF(OR(BG$2="ZURÜCK ZUR AUSWAHL",BG$2="",BG$2=0),"",IF(BG$2=$BO$1,$BO102,IF(BG$2=$BP$1,$BP102,IF(BG$2=$BQ$1,$BQ102,IF(BG$2=$BR$1,$BR102,IF(BG$2=$BS$1,$BS102,IF(BG$2=$BT$1,$BT102,IF(BG$2=$BU$1,$BU102,INDEX(Tiere!$BN$2:$BN$145,_xlfn.AGGREGATE(15,6,(ROW(Tiere!$BN$2:$BN$145)-1)/(--(SEARCH(BG$2,Tiere!$BN$2:$BN$145)&gt;0)),ROW()-1),1))))))))),"")</f>
        <v/>
      </c>
      <c r="BG103" s="2438"/>
      <c r="BH103" s="2472" t="str">
        <f>IFERROR(IF(OR(BI$2="ZURÜCK ZUR AUSWAHL",BI$2="",BI$2=0),"",IF(BI$2=$BO$1,$BO102,IF(BI$2=$BP$1,$BP102,IF(BI$2=$BQ$1,$BQ102,IF(BI$2=$BR$1,$BR102,IF(BI$2=$BS$1,$BS102,IF(BI$2=$BT$1,$BT102,IF(BI$2=$BU$1,$BU102,INDEX(Tiere!$BN$2:$BN$145,_xlfn.AGGREGATE(15,6,(ROW(Tiere!$BN$2:$BN$145)-1)/(--(SEARCH(BI$2,Tiere!$BN$2:$BN$145)&gt;0)),ROW()-1),1))))))))),"")</f>
        <v/>
      </c>
      <c r="BI103" s="2438"/>
      <c r="BJ103" s="2472" t="str">
        <f>IFERROR(IF(OR(BK$2="ZURÜCK ZUR AUSWAHL",BK$2="",BK$2=0),"",IF(BK$2=$BO$1,$BO102,IF(BK$2=$BP$1,$BP102,IF(BK$2=$BQ$1,$BQ102,IF(BK$2=$BR$1,$BR102,IF(BK$2=$BS$1,$BS102,IF(BK$2=$BT$1,$BT102,IF(BK$2=$BU$1,$BU102,INDEX(Tiere!$BN$2:$BN$145,_xlfn.AGGREGATE(15,6,(ROW(Tiere!$BN$2:$BN$145)-1)/(--(SEARCH(BK$2,Tiere!$BN$2:$BN$145)&gt;0)),ROW()-1),1))))))))),"")</f>
        <v/>
      </c>
      <c r="BK103" s="2438"/>
      <c r="BL103" s="2472" t="str">
        <f>IFERROR(IF(OR(BM$2="ZURÜCK ZUR AUSWAHL",BM$2="",BM$2=0),"",IF(BM$2=$BO$1,$BO102,IF(BM$2=$BP$1,$BP102,IF(BM$2=$BQ$1,$BQ102,IF(BM$2=$BR$1,$BR102,IF(BM$2=$BS$1,$BS102,IF(BM$2=$BT$1,$BT102,IF(BM$2=$BU$1,$BU102,INDEX(Tiere!$BN$2:$BN$145,_xlfn.AGGREGATE(15,6,(ROW(Tiere!$BN$2:$BN$145)-1)/(--(SEARCH(BM$2,Tiere!$BN$2:$BN$145)&gt;0)),ROW()-1),1))))))))),"")</f>
        <v/>
      </c>
      <c r="BM103" s="2438"/>
      <c r="BN103" s="2478" t="s">
        <v>1280</v>
      </c>
      <c r="BO103" s="2470"/>
      <c r="BP103" s="2470"/>
      <c r="BQ103" s="2470"/>
      <c r="BR103" s="2470"/>
      <c r="BS103" s="2470"/>
      <c r="BT103" s="2470"/>
      <c r="BU103" s="2470"/>
    </row>
    <row r="104" spans="36:73" ht="13.8" thickBot="1">
      <c r="AJ104" s="2472" t="str">
        <f>IFERROR(IF(OR(AK$2="ZURÜCK ZUR AUSWAHL",AK$2="",AK$2=0),"",IF(AK$2=$BO$1,$BO103,IF(AK$2=$BP$1,$BP103,IF(AK$2=$BQ$1,$BQ103,IF(AK$2=$BR$1,$BR103,IF(AK$2=$BS$1,$BS103,IF(AK$2=$BT$1,$BT103,IF(AK$2=$BU$1,$BU103,INDEX(Tiere!$BN$2:$BN$145,_xlfn.AGGREGATE(15,6,(ROW(Tiere!$BN$2:$BN$145)-1)/(--(SEARCH(AK$2,Tiere!$BN$2:$BN$145)&gt;0)),ROW()-2),1))))))))),"")</f>
        <v/>
      </c>
      <c r="AK104" s="2436"/>
      <c r="AL104" s="2472" t="str">
        <f>IFERROR(IF(OR(AM$2="ZURÜCK ZUR AUSWAHL",AM$2="",AM$2=0),"",IF(AM$2=$BO$1,$BO103,IF(AM$2=$BP$1,$BP103,IF(AM$2=$BQ$1,$BQ103,IF(AM$2=$BR$1,$BR103,IF(AM$2=$BS$1,$BS103,IF(AM$2=$BT$1,$BT103,IF(AM$2=$BU$1,$BU103,INDEX(Tiere!$BN$2:$BN$145,_xlfn.AGGREGATE(15,6,(ROW(Tiere!$BN$2:$BN$145)-1)/(--(SEARCH(AM$2,Tiere!$BN$2:$BN$145)&gt;0)),ROW()-1),1))))))))),"")</f>
        <v/>
      </c>
      <c r="AM104" s="2436"/>
      <c r="AN104" s="2472" t="str">
        <f>IFERROR(IF(OR(AO$2="ZURÜCK ZUR AUSWAHL",AO$2="",AO$2=0),"",IF(AO$2=$BO$1,$BO103,IF(AO$2=$BP$1,$BP103,IF(AO$2=$BQ$1,$BQ103,IF(AO$2=$BR$1,$BR103,IF(AO$2=$BS$1,$BS103,IF(AO$2=$BT$1,$BT103,IF(AO$2=$BU$1,$BU103,INDEX(Tiere!$BN$2:$BN$145,_xlfn.AGGREGATE(15,6,(ROW(Tiere!$BN$2:$BN$145)-1)/(--(SEARCH(AO$2,Tiere!$BN$2:$BN$145)&gt;0)),ROW()-1),1))))))))),"")</f>
        <v/>
      </c>
      <c r="AO104" s="2436"/>
      <c r="AP104" s="2472" t="str">
        <f>IFERROR(IF(OR(AQ$2="ZURÜCK ZUR AUSWAHL",AQ$2="",AQ$2=0),"",IF(AQ$2=$BO$1,$BO103,IF(AQ$2=$BP$1,$BP103,IF(AQ$2=$BQ$1,$BQ103,IF(AQ$2=$BR$1,$BR103,IF(AQ$2=$BS$1,$BS103,IF(AQ$2=$BT$1,$BT103,IF(AQ$2=$BU$1,$BU103,INDEX(Tiere!$BN$2:$BN$145,_xlfn.AGGREGATE(15,6,(ROW(Tiere!$BN$2:$BN$145)-1)/(--(SEARCH(AQ$2,Tiere!$BN$2:$BN$145)&gt;0)),ROW()-1),1))))))))),"")</f>
        <v/>
      </c>
      <c r="AQ104" s="2436"/>
      <c r="AR104" s="2472" t="str">
        <f>IFERROR(IF(OR(AS$2="ZURÜCK ZUR AUSWAHL",AS$2="",AS$2=0),"",IF(AS$2=$BO$1,$BO103,IF(AS$2=$BP$1,$BP103,IF(AS$2=$BQ$1,$BQ103,IF(AS$2=$BR$1,$BR103,IF(AS$2=$BS$1,$BS103,IF(AS$2=$BT$1,$BT103,IF(AS$2=$BU$1,$BU103,INDEX(Tiere!$BN$2:$BN$145,_xlfn.AGGREGATE(15,6,(ROW(Tiere!$BN$2:$BN$145)-1)/(--(SEARCH(AS$2,Tiere!$BN$2:$BN$145)&gt;0)),ROW()-1),1))))))))),"")</f>
        <v/>
      </c>
      <c r="AS104" s="2436"/>
      <c r="AT104" s="2472" t="str">
        <f>IFERROR(IF(OR(AU$2="ZURÜCK ZUR AUSWAHL",AU$2="",AU$2=0),"",IF(AU$2=$BO$1,$BO103,IF(AU$2=$BP$1,$BP103,IF(AU$2=$BQ$1,$BQ103,IF(AU$2=$BR$1,$BR103,IF(AU$2=$BS$1,$BS103,IF(AU$2=$BT$1,$BT103,IF(AU$2=$BU$1,$BU103,INDEX(Tiere!$BN$2:$BN$145,_xlfn.AGGREGATE(15,6,(ROW(Tiere!$BN$2:$BN$145)-1)/(--(SEARCH(AU$2,Tiere!$BN$2:$BN$145)&gt;0)),ROW()-1),1))))))))),"")</f>
        <v/>
      </c>
      <c r="AU104" s="2436"/>
      <c r="AV104" s="2472" t="str">
        <f>IFERROR(IF(OR(AW$2="ZURÜCK ZUR AUSWAHL",AW$2="",AW$2=0),"",IF(AW$2=$BO$1,$BO103,IF(AW$2=$BP$1,$BP103,IF(AW$2=$BQ$1,$BQ103,IF(AW$2=$BR$1,$BR103,IF(AW$2=$BS$1,$BS103,IF(AW$2=$BT$1,$BT103,IF(AW$2=$BU$1,$BU103,INDEX(Tiere!$BN$2:$BN$145,_xlfn.AGGREGATE(15,6,(ROW(Tiere!$BN$2:$BN$145)-1)/(--(SEARCH(AW$2,Tiere!$BN$2:$BN$145)&gt;0)),ROW()-1),1))))))))),"")</f>
        <v/>
      </c>
      <c r="AW104" s="2436"/>
      <c r="AX104" s="2472" t="str">
        <f>IFERROR(IF(OR(AY$2="ZURÜCK ZUR AUSWAHL",AY$2="",AY$2=0),"",IF(AY$2=$BO$1,$BO103,IF(AY$2=$BP$1,$BP103,IF(AY$2=$BQ$1,$BQ103,IF(AY$2=$BR$1,$BR103,IF(AY$2=$BS$1,$BS103,IF(AY$2=$BT$1,$BT103,IF(AY$2=$BU$1,$BU103,INDEX(Tiere!$BN$2:$BN$145,_xlfn.AGGREGATE(15,6,(ROW(Tiere!$BN$2:$BN$145)-1)/(--(SEARCH(AY$2,Tiere!$BN$2:$BN$145)&gt;0)),ROW()-1),1))))))))),"")</f>
        <v/>
      </c>
      <c r="AY104" s="2436"/>
      <c r="AZ104" s="2472" t="str">
        <f>IFERROR(IF(OR(BA$2="ZURÜCK ZUR AUSWAHL",BA$2="",BA$2=0),"",IF(BA$2=$BO$1,$BO103,IF(BA$2=$BP$1,$BP103,IF(BA$2=$BQ$1,$BQ103,IF(BA$2=$BR$1,$BR103,IF(BA$2=$BS$1,$BS103,IF(BA$2=$BT$1,$BT103,IF(BA$2=$BU$1,$BU103,INDEX(Tiere!$BN$2:$BN$145,_xlfn.AGGREGATE(15,6,(ROW(Tiere!$BN$2:$BN$145)-1)/(--(SEARCH(BA$2,Tiere!$BN$2:$BN$145)&gt;0)),ROW()-1),1))))))))),"")</f>
        <v/>
      </c>
      <c r="BA104" s="2436"/>
      <c r="BB104" s="2472" t="str">
        <f>IFERROR(IF(OR(BC$2="ZURÜCK ZUR AUSWAHL",BC$2="",BC$2=0),"",IF(BC$2=$BO$1,$BO103,IF(BC$2=$BP$1,$BP103,IF(BC$2=$BQ$1,$BQ103,IF(BC$2=$BR$1,$BR103,IF(BC$2=$BS$1,$BS103,IF(BC$2=$BT$1,$BT103,IF(BC$2=$BU$1,$BU103,INDEX(Tiere!$BN$2:$BN$145,_xlfn.AGGREGATE(15,6,(ROW(Tiere!$BN$2:$BN$145)-1)/(--(SEARCH(BC$2,Tiere!$BN$2:$BN$145)&gt;0)),ROW()-1),1))))))))),"")</f>
        <v/>
      </c>
      <c r="BC104" s="2436"/>
      <c r="BD104" s="2472" t="str">
        <f>IFERROR(IF(OR(BE$2="ZURÜCK ZUR AUSWAHL",BE$2="",BE$2=0),"",IF(BE$2=$BO$1,$BO103,IF(BE$2=$BP$1,$BP103,IF(BE$2=$BQ$1,$BQ103,IF(BE$2=$BR$1,$BR103,IF(BE$2=$BS$1,$BS103,IF(BE$2=$BT$1,$BT103,IF(BE$2=$BU$1,$BU103,INDEX(Tiere!$BN$2:$BN$145,_xlfn.AGGREGATE(15,6,(ROW(Tiere!$BN$2:$BN$145)-1)/(--(SEARCH(BE$2,Tiere!$BN$2:$BN$145)&gt;0)),ROW()-1),1))))))))),"")</f>
        <v/>
      </c>
      <c r="BE104" s="2436"/>
      <c r="BF104" s="2472" t="str">
        <f>IFERROR(IF(OR(BG$2="ZURÜCK ZUR AUSWAHL",BG$2="",BG$2=0),"",IF(BG$2=$BO$1,$BO103,IF(BG$2=$BP$1,$BP103,IF(BG$2=$BQ$1,$BQ103,IF(BG$2=$BR$1,$BR103,IF(BG$2=$BS$1,$BS103,IF(BG$2=$BT$1,$BT103,IF(BG$2=$BU$1,$BU103,INDEX(Tiere!$BN$2:$BN$145,_xlfn.AGGREGATE(15,6,(ROW(Tiere!$BN$2:$BN$145)-1)/(--(SEARCH(BG$2,Tiere!$BN$2:$BN$145)&gt;0)),ROW()-1),1))))))))),"")</f>
        <v/>
      </c>
      <c r="BG104" s="2436"/>
      <c r="BH104" s="2472" t="str">
        <f>IFERROR(IF(OR(BI$2="ZURÜCK ZUR AUSWAHL",BI$2="",BI$2=0),"",IF(BI$2=$BO$1,$BO103,IF(BI$2=$BP$1,$BP103,IF(BI$2=$BQ$1,$BQ103,IF(BI$2=$BR$1,$BR103,IF(BI$2=$BS$1,$BS103,IF(BI$2=$BT$1,$BT103,IF(BI$2=$BU$1,$BU103,INDEX(Tiere!$BN$2:$BN$145,_xlfn.AGGREGATE(15,6,(ROW(Tiere!$BN$2:$BN$145)-1)/(--(SEARCH(BI$2,Tiere!$BN$2:$BN$145)&gt;0)),ROW()-1),1))))))))),"")</f>
        <v/>
      </c>
      <c r="BI104" s="2436"/>
      <c r="BJ104" s="2472" t="str">
        <f>IFERROR(IF(OR(BK$2="ZURÜCK ZUR AUSWAHL",BK$2="",BK$2=0),"",IF(BK$2=$BO$1,$BO103,IF(BK$2=$BP$1,$BP103,IF(BK$2=$BQ$1,$BQ103,IF(BK$2=$BR$1,$BR103,IF(BK$2=$BS$1,$BS103,IF(BK$2=$BT$1,$BT103,IF(BK$2=$BU$1,$BU103,INDEX(Tiere!$BN$2:$BN$145,_xlfn.AGGREGATE(15,6,(ROW(Tiere!$BN$2:$BN$145)-1)/(--(SEARCH(BK$2,Tiere!$BN$2:$BN$145)&gt;0)),ROW()-1),1))))))))),"")</f>
        <v/>
      </c>
      <c r="BK104" s="2436"/>
      <c r="BL104" s="2472" t="str">
        <f>IFERROR(IF(OR(BM$2="ZURÜCK ZUR AUSWAHL",BM$2="",BM$2=0),"",IF(BM$2=$BO$1,$BO103,IF(BM$2=$BP$1,$BP103,IF(BM$2=$BQ$1,$BQ103,IF(BM$2=$BR$1,$BR103,IF(BM$2=$BS$1,$BS103,IF(BM$2=$BT$1,$BT103,IF(BM$2=$BU$1,$BU103,INDEX(Tiere!$BN$2:$BN$145,_xlfn.AGGREGATE(15,6,(ROW(Tiere!$BN$2:$BN$145)-1)/(--(SEARCH(BM$2,Tiere!$BN$2:$BN$145)&gt;0)),ROW()-1),1))))))))),"")</f>
        <v/>
      </c>
      <c r="BM104" s="2436"/>
      <c r="BN104" s="2478" t="s">
        <v>1281</v>
      </c>
      <c r="BO104" s="2470"/>
      <c r="BP104" s="2470"/>
      <c r="BQ104" s="2470"/>
      <c r="BR104" s="2470"/>
      <c r="BS104" s="2470"/>
      <c r="BT104" s="2470"/>
      <c r="BU104" s="2470"/>
    </row>
    <row r="105" spans="36:73" ht="13.8" thickBot="1">
      <c r="AJ105" s="2472" t="str">
        <f>IFERROR(IF(OR(AK$2="ZURÜCK ZUR AUSWAHL",AK$2="",AK$2=0),"",IF(AK$2=$BO$1,$BO104,IF(AK$2=$BP$1,$BP104,IF(AK$2=$BQ$1,$BQ104,IF(AK$2=$BR$1,$BR104,IF(AK$2=$BS$1,$BS104,IF(AK$2=$BT$1,$BT104,IF(AK$2=$BU$1,$BU104,INDEX(Tiere!$BN$2:$BN$145,_xlfn.AGGREGATE(15,6,(ROW(Tiere!$BN$2:$BN$145)-1)/(--(SEARCH(AK$2,Tiere!$BN$2:$BN$145)&gt;0)),ROW()-2),1))))))))),"")</f>
        <v/>
      </c>
      <c r="AK105" s="2438"/>
      <c r="AL105" s="2472" t="str">
        <f>IFERROR(IF(OR(AM$2="ZURÜCK ZUR AUSWAHL",AM$2="",AM$2=0),"",IF(AM$2=$BO$1,$BO104,IF(AM$2=$BP$1,$BP104,IF(AM$2=$BQ$1,$BQ104,IF(AM$2=$BR$1,$BR104,IF(AM$2=$BS$1,$BS104,IF(AM$2=$BT$1,$BT104,IF(AM$2=$BU$1,$BU104,INDEX(Tiere!$BN$2:$BN$145,_xlfn.AGGREGATE(15,6,(ROW(Tiere!$BN$2:$BN$145)-1)/(--(SEARCH(AM$2,Tiere!$BN$2:$BN$145)&gt;0)),ROW()-1),1))))))))),"")</f>
        <v/>
      </c>
      <c r="AM105" s="2438"/>
      <c r="AN105" s="2472" t="str">
        <f>IFERROR(IF(OR(AO$2="ZURÜCK ZUR AUSWAHL",AO$2="",AO$2=0),"",IF(AO$2=$BO$1,$BO104,IF(AO$2=$BP$1,$BP104,IF(AO$2=$BQ$1,$BQ104,IF(AO$2=$BR$1,$BR104,IF(AO$2=$BS$1,$BS104,IF(AO$2=$BT$1,$BT104,IF(AO$2=$BU$1,$BU104,INDEX(Tiere!$BN$2:$BN$145,_xlfn.AGGREGATE(15,6,(ROW(Tiere!$BN$2:$BN$145)-1)/(--(SEARCH(AO$2,Tiere!$BN$2:$BN$145)&gt;0)),ROW()-1),1))))))))),"")</f>
        <v/>
      </c>
      <c r="AO105" s="2438"/>
      <c r="AP105" s="2472" t="str">
        <f>IFERROR(IF(OR(AQ$2="ZURÜCK ZUR AUSWAHL",AQ$2="",AQ$2=0),"",IF(AQ$2=$BO$1,$BO104,IF(AQ$2=$BP$1,$BP104,IF(AQ$2=$BQ$1,$BQ104,IF(AQ$2=$BR$1,$BR104,IF(AQ$2=$BS$1,$BS104,IF(AQ$2=$BT$1,$BT104,IF(AQ$2=$BU$1,$BU104,INDEX(Tiere!$BN$2:$BN$145,_xlfn.AGGREGATE(15,6,(ROW(Tiere!$BN$2:$BN$145)-1)/(--(SEARCH(AQ$2,Tiere!$BN$2:$BN$145)&gt;0)),ROW()-1),1))))))))),"")</f>
        <v/>
      </c>
      <c r="AQ105" s="2438"/>
      <c r="AR105" s="2472" t="str">
        <f>IFERROR(IF(OR(AS$2="ZURÜCK ZUR AUSWAHL",AS$2="",AS$2=0),"",IF(AS$2=$BO$1,$BO104,IF(AS$2=$BP$1,$BP104,IF(AS$2=$BQ$1,$BQ104,IF(AS$2=$BR$1,$BR104,IF(AS$2=$BS$1,$BS104,IF(AS$2=$BT$1,$BT104,IF(AS$2=$BU$1,$BU104,INDEX(Tiere!$BN$2:$BN$145,_xlfn.AGGREGATE(15,6,(ROW(Tiere!$BN$2:$BN$145)-1)/(--(SEARCH(AS$2,Tiere!$BN$2:$BN$145)&gt;0)),ROW()-1),1))))))))),"")</f>
        <v/>
      </c>
      <c r="AS105" s="2438"/>
      <c r="AT105" s="2472" t="str">
        <f>IFERROR(IF(OR(AU$2="ZURÜCK ZUR AUSWAHL",AU$2="",AU$2=0),"",IF(AU$2=$BO$1,$BO104,IF(AU$2=$BP$1,$BP104,IF(AU$2=$BQ$1,$BQ104,IF(AU$2=$BR$1,$BR104,IF(AU$2=$BS$1,$BS104,IF(AU$2=$BT$1,$BT104,IF(AU$2=$BU$1,$BU104,INDEX(Tiere!$BN$2:$BN$145,_xlfn.AGGREGATE(15,6,(ROW(Tiere!$BN$2:$BN$145)-1)/(--(SEARCH(AU$2,Tiere!$BN$2:$BN$145)&gt;0)),ROW()-1),1))))))))),"")</f>
        <v/>
      </c>
      <c r="AU105" s="2438"/>
      <c r="AV105" s="2472" t="str">
        <f>IFERROR(IF(OR(AW$2="ZURÜCK ZUR AUSWAHL",AW$2="",AW$2=0),"",IF(AW$2=$BO$1,$BO104,IF(AW$2=$BP$1,$BP104,IF(AW$2=$BQ$1,$BQ104,IF(AW$2=$BR$1,$BR104,IF(AW$2=$BS$1,$BS104,IF(AW$2=$BT$1,$BT104,IF(AW$2=$BU$1,$BU104,INDEX(Tiere!$BN$2:$BN$145,_xlfn.AGGREGATE(15,6,(ROW(Tiere!$BN$2:$BN$145)-1)/(--(SEARCH(AW$2,Tiere!$BN$2:$BN$145)&gt;0)),ROW()-1),1))))))))),"")</f>
        <v/>
      </c>
      <c r="AW105" s="2438"/>
      <c r="AX105" s="2472" t="str">
        <f>IFERROR(IF(OR(AY$2="ZURÜCK ZUR AUSWAHL",AY$2="",AY$2=0),"",IF(AY$2=$BO$1,$BO104,IF(AY$2=$BP$1,$BP104,IF(AY$2=$BQ$1,$BQ104,IF(AY$2=$BR$1,$BR104,IF(AY$2=$BS$1,$BS104,IF(AY$2=$BT$1,$BT104,IF(AY$2=$BU$1,$BU104,INDEX(Tiere!$BN$2:$BN$145,_xlfn.AGGREGATE(15,6,(ROW(Tiere!$BN$2:$BN$145)-1)/(--(SEARCH(AY$2,Tiere!$BN$2:$BN$145)&gt;0)),ROW()-1),1))))))))),"")</f>
        <v/>
      </c>
      <c r="AY105" s="2438"/>
      <c r="AZ105" s="2472" t="str">
        <f>IFERROR(IF(OR(BA$2="ZURÜCK ZUR AUSWAHL",BA$2="",BA$2=0),"",IF(BA$2=$BO$1,$BO104,IF(BA$2=$BP$1,$BP104,IF(BA$2=$BQ$1,$BQ104,IF(BA$2=$BR$1,$BR104,IF(BA$2=$BS$1,$BS104,IF(BA$2=$BT$1,$BT104,IF(BA$2=$BU$1,$BU104,INDEX(Tiere!$BN$2:$BN$145,_xlfn.AGGREGATE(15,6,(ROW(Tiere!$BN$2:$BN$145)-1)/(--(SEARCH(BA$2,Tiere!$BN$2:$BN$145)&gt;0)),ROW()-1),1))))))))),"")</f>
        <v/>
      </c>
      <c r="BA105" s="2438"/>
      <c r="BB105" s="2472" t="str">
        <f>IFERROR(IF(OR(BC$2="ZURÜCK ZUR AUSWAHL",BC$2="",BC$2=0),"",IF(BC$2=$BO$1,$BO104,IF(BC$2=$BP$1,$BP104,IF(BC$2=$BQ$1,$BQ104,IF(BC$2=$BR$1,$BR104,IF(BC$2=$BS$1,$BS104,IF(BC$2=$BT$1,$BT104,IF(BC$2=$BU$1,$BU104,INDEX(Tiere!$BN$2:$BN$145,_xlfn.AGGREGATE(15,6,(ROW(Tiere!$BN$2:$BN$145)-1)/(--(SEARCH(BC$2,Tiere!$BN$2:$BN$145)&gt;0)),ROW()-1),1))))))))),"")</f>
        <v/>
      </c>
      <c r="BC105" s="2438"/>
      <c r="BD105" s="2472" t="str">
        <f>IFERROR(IF(OR(BE$2="ZURÜCK ZUR AUSWAHL",BE$2="",BE$2=0),"",IF(BE$2=$BO$1,$BO104,IF(BE$2=$BP$1,$BP104,IF(BE$2=$BQ$1,$BQ104,IF(BE$2=$BR$1,$BR104,IF(BE$2=$BS$1,$BS104,IF(BE$2=$BT$1,$BT104,IF(BE$2=$BU$1,$BU104,INDEX(Tiere!$BN$2:$BN$145,_xlfn.AGGREGATE(15,6,(ROW(Tiere!$BN$2:$BN$145)-1)/(--(SEARCH(BE$2,Tiere!$BN$2:$BN$145)&gt;0)),ROW()-1),1))))))))),"")</f>
        <v/>
      </c>
      <c r="BE105" s="2438"/>
      <c r="BF105" s="2472" t="str">
        <f>IFERROR(IF(OR(BG$2="ZURÜCK ZUR AUSWAHL",BG$2="",BG$2=0),"",IF(BG$2=$BO$1,$BO104,IF(BG$2=$BP$1,$BP104,IF(BG$2=$BQ$1,$BQ104,IF(BG$2=$BR$1,$BR104,IF(BG$2=$BS$1,$BS104,IF(BG$2=$BT$1,$BT104,IF(BG$2=$BU$1,$BU104,INDEX(Tiere!$BN$2:$BN$145,_xlfn.AGGREGATE(15,6,(ROW(Tiere!$BN$2:$BN$145)-1)/(--(SEARCH(BG$2,Tiere!$BN$2:$BN$145)&gt;0)),ROW()-1),1))))))))),"")</f>
        <v/>
      </c>
      <c r="BG105" s="2438"/>
      <c r="BH105" s="2472" t="str">
        <f>IFERROR(IF(OR(BI$2="ZURÜCK ZUR AUSWAHL",BI$2="",BI$2=0),"",IF(BI$2=$BO$1,$BO104,IF(BI$2=$BP$1,$BP104,IF(BI$2=$BQ$1,$BQ104,IF(BI$2=$BR$1,$BR104,IF(BI$2=$BS$1,$BS104,IF(BI$2=$BT$1,$BT104,IF(BI$2=$BU$1,$BU104,INDEX(Tiere!$BN$2:$BN$145,_xlfn.AGGREGATE(15,6,(ROW(Tiere!$BN$2:$BN$145)-1)/(--(SEARCH(BI$2,Tiere!$BN$2:$BN$145)&gt;0)),ROW()-1),1))))))))),"")</f>
        <v/>
      </c>
      <c r="BI105" s="2438"/>
      <c r="BJ105" s="2472" t="str">
        <f>IFERROR(IF(OR(BK$2="ZURÜCK ZUR AUSWAHL",BK$2="",BK$2=0),"",IF(BK$2=$BO$1,$BO104,IF(BK$2=$BP$1,$BP104,IF(BK$2=$BQ$1,$BQ104,IF(BK$2=$BR$1,$BR104,IF(BK$2=$BS$1,$BS104,IF(BK$2=$BT$1,$BT104,IF(BK$2=$BU$1,$BU104,INDEX(Tiere!$BN$2:$BN$145,_xlfn.AGGREGATE(15,6,(ROW(Tiere!$BN$2:$BN$145)-1)/(--(SEARCH(BK$2,Tiere!$BN$2:$BN$145)&gt;0)),ROW()-1),1))))))))),"")</f>
        <v/>
      </c>
      <c r="BK105" s="2438"/>
      <c r="BL105" s="2472" t="str">
        <f>IFERROR(IF(OR(BM$2="ZURÜCK ZUR AUSWAHL",BM$2="",BM$2=0),"",IF(BM$2=$BO$1,$BO104,IF(BM$2=$BP$1,$BP104,IF(BM$2=$BQ$1,$BQ104,IF(BM$2=$BR$1,$BR104,IF(BM$2=$BS$1,$BS104,IF(BM$2=$BT$1,$BT104,IF(BM$2=$BU$1,$BU104,INDEX(Tiere!$BN$2:$BN$145,_xlfn.AGGREGATE(15,6,(ROW(Tiere!$BN$2:$BN$145)-1)/(--(SEARCH(BM$2,Tiere!$BN$2:$BN$145)&gt;0)),ROW()-1),1))))))))),"")</f>
        <v/>
      </c>
      <c r="BM105" s="2438"/>
      <c r="BN105" s="2478" t="s">
        <v>1282</v>
      </c>
      <c r="BO105" s="2470"/>
      <c r="BP105" s="2470"/>
      <c r="BQ105" s="2470"/>
      <c r="BR105" s="2470"/>
      <c r="BS105" s="2470"/>
      <c r="BT105" s="2470"/>
      <c r="BU105" s="2470"/>
    </row>
    <row r="106" spans="36:73" ht="13.8" thickBot="1">
      <c r="AJ106" s="2472" t="str">
        <f>IFERROR(IF(OR(AK$2="ZURÜCK ZUR AUSWAHL",AK$2="",AK$2=0),"",IF(AK$2=$BO$1,$BO105,IF(AK$2=$BP$1,$BP105,IF(AK$2=$BQ$1,$BQ105,IF(AK$2=$BR$1,$BR105,IF(AK$2=$BS$1,$BS105,IF(AK$2=$BT$1,$BT105,IF(AK$2=$BU$1,$BU105,INDEX(Tiere!$BN$2:$BN$145,_xlfn.AGGREGATE(15,6,(ROW(Tiere!$BN$2:$BN$145)-1)/(--(SEARCH(AK$2,Tiere!$BN$2:$BN$145)&gt;0)),ROW()-2),1))))))))),"")</f>
        <v/>
      </c>
      <c r="AK106" s="2436"/>
      <c r="AL106" s="2472" t="str">
        <f>IFERROR(IF(OR(AM$2="ZURÜCK ZUR AUSWAHL",AM$2="",AM$2=0),"",IF(AM$2=$BO$1,$BO105,IF(AM$2=$BP$1,$BP105,IF(AM$2=$BQ$1,$BQ105,IF(AM$2=$BR$1,$BR105,IF(AM$2=$BS$1,$BS105,IF(AM$2=$BT$1,$BT105,IF(AM$2=$BU$1,$BU105,INDEX(Tiere!$BN$2:$BN$145,_xlfn.AGGREGATE(15,6,(ROW(Tiere!$BN$2:$BN$145)-1)/(--(SEARCH(AM$2,Tiere!$BN$2:$BN$145)&gt;0)),ROW()-1),1))))))))),"")</f>
        <v/>
      </c>
      <c r="AM106" s="2436"/>
      <c r="AN106" s="2472" t="str">
        <f>IFERROR(IF(OR(AO$2="ZURÜCK ZUR AUSWAHL",AO$2="",AO$2=0),"",IF(AO$2=$BO$1,$BO105,IF(AO$2=$BP$1,$BP105,IF(AO$2=$BQ$1,$BQ105,IF(AO$2=$BR$1,$BR105,IF(AO$2=$BS$1,$BS105,IF(AO$2=$BT$1,$BT105,IF(AO$2=$BU$1,$BU105,INDEX(Tiere!$BN$2:$BN$145,_xlfn.AGGREGATE(15,6,(ROW(Tiere!$BN$2:$BN$145)-1)/(--(SEARCH(AO$2,Tiere!$BN$2:$BN$145)&gt;0)),ROW()-1),1))))))))),"")</f>
        <v/>
      </c>
      <c r="AO106" s="2436"/>
      <c r="AP106" s="2472" t="str">
        <f>IFERROR(IF(OR(AQ$2="ZURÜCK ZUR AUSWAHL",AQ$2="",AQ$2=0),"",IF(AQ$2=$BO$1,$BO105,IF(AQ$2=$BP$1,$BP105,IF(AQ$2=$BQ$1,$BQ105,IF(AQ$2=$BR$1,$BR105,IF(AQ$2=$BS$1,$BS105,IF(AQ$2=$BT$1,$BT105,IF(AQ$2=$BU$1,$BU105,INDEX(Tiere!$BN$2:$BN$145,_xlfn.AGGREGATE(15,6,(ROW(Tiere!$BN$2:$BN$145)-1)/(--(SEARCH(AQ$2,Tiere!$BN$2:$BN$145)&gt;0)),ROW()-1),1))))))))),"")</f>
        <v/>
      </c>
      <c r="AQ106" s="2436"/>
      <c r="AR106" s="2472" t="str">
        <f>IFERROR(IF(OR(AS$2="ZURÜCK ZUR AUSWAHL",AS$2="",AS$2=0),"",IF(AS$2=$BO$1,$BO105,IF(AS$2=$BP$1,$BP105,IF(AS$2=$BQ$1,$BQ105,IF(AS$2=$BR$1,$BR105,IF(AS$2=$BS$1,$BS105,IF(AS$2=$BT$1,$BT105,IF(AS$2=$BU$1,$BU105,INDEX(Tiere!$BN$2:$BN$145,_xlfn.AGGREGATE(15,6,(ROW(Tiere!$BN$2:$BN$145)-1)/(--(SEARCH(AS$2,Tiere!$BN$2:$BN$145)&gt;0)),ROW()-1),1))))))))),"")</f>
        <v/>
      </c>
      <c r="AS106" s="2436"/>
      <c r="AT106" s="2472" t="str">
        <f>IFERROR(IF(OR(AU$2="ZURÜCK ZUR AUSWAHL",AU$2="",AU$2=0),"",IF(AU$2=$BO$1,$BO105,IF(AU$2=$BP$1,$BP105,IF(AU$2=$BQ$1,$BQ105,IF(AU$2=$BR$1,$BR105,IF(AU$2=$BS$1,$BS105,IF(AU$2=$BT$1,$BT105,IF(AU$2=$BU$1,$BU105,INDEX(Tiere!$BN$2:$BN$145,_xlfn.AGGREGATE(15,6,(ROW(Tiere!$BN$2:$BN$145)-1)/(--(SEARCH(AU$2,Tiere!$BN$2:$BN$145)&gt;0)),ROW()-1),1))))))))),"")</f>
        <v/>
      </c>
      <c r="AU106" s="2436"/>
      <c r="AV106" s="2472" t="str">
        <f>IFERROR(IF(OR(AW$2="ZURÜCK ZUR AUSWAHL",AW$2="",AW$2=0),"",IF(AW$2=$BO$1,$BO105,IF(AW$2=$BP$1,$BP105,IF(AW$2=$BQ$1,$BQ105,IF(AW$2=$BR$1,$BR105,IF(AW$2=$BS$1,$BS105,IF(AW$2=$BT$1,$BT105,IF(AW$2=$BU$1,$BU105,INDEX(Tiere!$BN$2:$BN$145,_xlfn.AGGREGATE(15,6,(ROW(Tiere!$BN$2:$BN$145)-1)/(--(SEARCH(AW$2,Tiere!$BN$2:$BN$145)&gt;0)),ROW()-1),1))))))))),"")</f>
        <v/>
      </c>
      <c r="AW106" s="2436"/>
      <c r="AX106" s="2472" t="str">
        <f>IFERROR(IF(OR(AY$2="ZURÜCK ZUR AUSWAHL",AY$2="",AY$2=0),"",IF(AY$2=$BO$1,$BO105,IF(AY$2=$BP$1,$BP105,IF(AY$2=$BQ$1,$BQ105,IF(AY$2=$BR$1,$BR105,IF(AY$2=$BS$1,$BS105,IF(AY$2=$BT$1,$BT105,IF(AY$2=$BU$1,$BU105,INDEX(Tiere!$BN$2:$BN$145,_xlfn.AGGREGATE(15,6,(ROW(Tiere!$BN$2:$BN$145)-1)/(--(SEARCH(AY$2,Tiere!$BN$2:$BN$145)&gt;0)),ROW()-1),1))))))))),"")</f>
        <v/>
      </c>
      <c r="AY106" s="2436"/>
      <c r="AZ106" s="2472" t="str">
        <f>IFERROR(IF(OR(BA$2="ZURÜCK ZUR AUSWAHL",BA$2="",BA$2=0),"",IF(BA$2=$BO$1,$BO105,IF(BA$2=$BP$1,$BP105,IF(BA$2=$BQ$1,$BQ105,IF(BA$2=$BR$1,$BR105,IF(BA$2=$BS$1,$BS105,IF(BA$2=$BT$1,$BT105,IF(BA$2=$BU$1,$BU105,INDEX(Tiere!$BN$2:$BN$145,_xlfn.AGGREGATE(15,6,(ROW(Tiere!$BN$2:$BN$145)-1)/(--(SEARCH(BA$2,Tiere!$BN$2:$BN$145)&gt;0)),ROW()-1),1))))))))),"")</f>
        <v/>
      </c>
      <c r="BA106" s="2436"/>
      <c r="BB106" s="2472" t="str">
        <f>IFERROR(IF(OR(BC$2="ZURÜCK ZUR AUSWAHL",BC$2="",BC$2=0),"",IF(BC$2=$BO$1,$BO105,IF(BC$2=$BP$1,$BP105,IF(BC$2=$BQ$1,$BQ105,IF(BC$2=$BR$1,$BR105,IF(BC$2=$BS$1,$BS105,IF(BC$2=$BT$1,$BT105,IF(BC$2=$BU$1,$BU105,INDEX(Tiere!$BN$2:$BN$145,_xlfn.AGGREGATE(15,6,(ROW(Tiere!$BN$2:$BN$145)-1)/(--(SEARCH(BC$2,Tiere!$BN$2:$BN$145)&gt;0)),ROW()-1),1))))))))),"")</f>
        <v/>
      </c>
      <c r="BC106" s="2436"/>
      <c r="BD106" s="2472" t="str">
        <f>IFERROR(IF(OR(BE$2="ZURÜCK ZUR AUSWAHL",BE$2="",BE$2=0),"",IF(BE$2=$BO$1,$BO105,IF(BE$2=$BP$1,$BP105,IF(BE$2=$BQ$1,$BQ105,IF(BE$2=$BR$1,$BR105,IF(BE$2=$BS$1,$BS105,IF(BE$2=$BT$1,$BT105,IF(BE$2=$BU$1,$BU105,INDEX(Tiere!$BN$2:$BN$145,_xlfn.AGGREGATE(15,6,(ROW(Tiere!$BN$2:$BN$145)-1)/(--(SEARCH(BE$2,Tiere!$BN$2:$BN$145)&gt;0)),ROW()-1),1))))))))),"")</f>
        <v/>
      </c>
      <c r="BE106" s="2436"/>
      <c r="BF106" s="2472" t="str">
        <f>IFERROR(IF(OR(BG$2="ZURÜCK ZUR AUSWAHL",BG$2="",BG$2=0),"",IF(BG$2=$BO$1,$BO105,IF(BG$2=$BP$1,$BP105,IF(BG$2=$BQ$1,$BQ105,IF(BG$2=$BR$1,$BR105,IF(BG$2=$BS$1,$BS105,IF(BG$2=$BT$1,$BT105,IF(BG$2=$BU$1,$BU105,INDEX(Tiere!$BN$2:$BN$145,_xlfn.AGGREGATE(15,6,(ROW(Tiere!$BN$2:$BN$145)-1)/(--(SEARCH(BG$2,Tiere!$BN$2:$BN$145)&gt;0)),ROW()-1),1))))))))),"")</f>
        <v/>
      </c>
      <c r="BG106" s="2436"/>
      <c r="BH106" s="2472" t="str">
        <f>IFERROR(IF(OR(BI$2="ZURÜCK ZUR AUSWAHL",BI$2="",BI$2=0),"",IF(BI$2=$BO$1,$BO105,IF(BI$2=$BP$1,$BP105,IF(BI$2=$BQ$1,$BQ105,IF(BI$2=$BR$1,$BR105,IF(BI$2=$BS$1,$BS105,IF(BI$2=$BT$1,$BT105,IF(BI$2=$BU$1,$BU105,INDEX(Tiere!$BN$2:$BN$145,_xlfn.AGGREGATE(15,6,(ROW(Tiere!$BN$2:$BN$145)-1)/(--(SEARCH(BI$2,Tiere!$BN$2:$BN$145)&gt;0)),ROW()-1),1))))))))),"")</f>
        <v/>
      </c>
      <c r="BI106" s="2436"/>
      <c r="BJ106" s="2472" t="str">
        <f>IFERROR(IF(OR(BK$2="ZURÜCK ZUR AUSWAHL",BK$2="",BK$2=0),"",IF(BK$2=$BO$1,$BO105,IF(BK$2=$BP$1,$BP105,IF(BK$2=$BQ$1,$BQ105,IF(BK$2=$BR$1,$BR105,IF(BK$2=$BS$1,$BS105,IF(BK$2=$BT$1,$BT105,IF(BK$2=$BU$1,$BU105,INDEX(Tiere!$BN$2:$BN$145,_xlfn.AGGREGATE(15,6,(ROW(Tiere!$BN$2:$BN$145)-1)/(--(SEARCH(BK$2,Tiere!$BN$2:$BN$145)&gt;0)),ROW()-1),1))))))))),"")</f>
        <v/>
      </c>
      <c r="BK106" s="2436"/>
      <c r="BL106" s="2472" t="str">
        <f>IFERROR(IF(OR(BM$2="ZURÜCK ZUR AUSWAHL",BM$2="",BM$2=0),"",IF(BM$2=$BO$1,$BO105,IF(BM$2=$BP$1,$BP105,IF(BM$2=$BQ$1,$BQ105,IF(BM$2=$BR$1,$BR105,IF(BM$2=$BS$1,$BS105,IF(BM$2=$BT$1,$BT105,IF(BM$2=$BU$1,$BU105,INDEX(Tiere!$BN$2:$BN$145,_xlfn.AGGREGATE(15,6,(ROW(Tiere!$BN$2:$BN$145)-1)/(--(SEARCH(BM$2,Tiere!$BN$2:$BN$145)&gt;0)),ROW()-1),1))))))))),"")</f>
        <v/>
      </c>
      <c r="BM106" s="2436"/>
      <c r="BN106" s="2478" t="s">
        <v>2466</v>
      </c>
      <c r="BO106" s="2470"/>
      <c r="BP106" s="2470"/>
      <c r="BQ106" s="2470"/>
      <c r="BR106" s="2470"/>
      <c r="BS106" s="2470"/>
      <c r="BT106" s="2470"/>
      <c r="BU106" s="2470"/>
    </row>
    <row r="107" spans="36:73" ht="13.8" thickBot="1">
      <c r="AJ107" s="2472" t="str">
        <f>IFERROR(IF(OR(AK$2="ZURÜCK ZUR AUSWAHL",AK$2="",AK$2=0),"",IF(AK$2=$BO$1,$BO106,IF(AK$2=$BP$1,$BP106,IF(AK$2=$BQ$1,$BQ106,IF(AK$2=$BR$1,$BR106,IF(AK$2=$BS$1,$BS106,IF(AK$2=$BT$1,$BT106,IF(AK$2=$BU$1,$BU106,INDEX(Tiere!$BN$2:$BN$145,_xlfn.AGGREGATE(15,6,(ROW(Tiere!$BN$2:$BN$145)-1)/(--(SEARCH(AK$2,Tiere!$BN$2:$BN$145)&gt;0)),ROW()-2),1))))))))),"")</f>
        <v/>
      </c>
      <c r="AK107" s="2438"/>
      <c r="AL107" s="2472" t="str">
        <f>IFERROR(IF(OR(AM$2="ZURÜCK ZUR AUSWAHL",AM$2="",AM$2=0),"",IF(AM$2=$BO$1,$BO106,IF(AM$2=$BP$1,$BP106,IF(AM$2=$BQ$1,$BQ106,IF(AM$2=$BR$1,$BR106,IF(AM$2=$BS$1,$BS106,IF(AM$2=$BT$1,$BT106,IF(AM$2=$BU$1,$BU106,INDEX(Tiere!$BN$2:$BN$145,_xlfn.AGGREGATE(15,6,(ROW(Tiere!$BN$2:$BN$145)-1)/(--(SEARCH(AM$2,Tiere!$BN$2:$BN$145)&gt;0)),ROW()-1),1))))))))),"")</f>
        <v/>
      </c>
      <c r="AM107" s="2438"/>
      <c r="AN107" s="2472" t="str">
        <f>IFERROR(IF(OR(AO$2="ZURÜCK ZUR AUSWAHL",AO$2="",AO$2=0),"",IF(AO$2=$BO$1,$BO106,IF(AO$2=$BP$1,$BP106,IF(AO$2=$BQ$1,$BQ106,IF(AO$2=$BR$1,$BR106,IF(AO$2=$BS$1,$BS106,IF(AO$2=$BT$1,$BT106,IF(AO$2=$BU$1,$BU106,INDEX(Tiere!$BN$2:$BN$145,_xlfn.AGGREGATE(15,6,(ROW(Tiere!$BN$2:$BN$145)-1)/(--(SEARCH(AO$2,Tiere!$BN$2:$BN$145)&gt;0)),ROW()-1),1))))))))),"")</f>
        <v/>
      </c>
      <c r="AO107" s="2438"/>
      <c r="AP107" s="2472" t="str">
        <f>IFERROR(IF(OR(AQ$2="ZURÜCK ZUR AUSWAHL",AQ$2="",AQ$2=0),"",IF(AQ$2=$BO$1,$BO106,IF(AQ$2=$BP$1,$BP106,IF(AQ$2=$BQ$1,$BQ106,IF(AQ$2=$BR$1,$BR106,IF(AQ$2=$BS$1,$BS106,IF(AQ$2=$BT$1,$BT106,IF(AQ$2=$BU$1,$BU106,INDEX(Tiere!$BN$2:$BN$145,_xlfn.AGGREGATE(15,6,(ROW(Tiere!$BN$2:$BN$145)-1)/(--(SEARCH(AQ$2,Tiere!$BN$2:$BN$145)&gt;0)),ROW()-1),1))))))))),"")</f>
        <v/>
      </c>
      <c r="AQ107" s="2438"/>
      <c r="AR107" s="2472" t="str">
        <f>IFERROR(IF(OR(AS$2="ZURÜCK ZUR AUSWAHL",AS$2="",AS$2=0),"",IF(AS$2=$BO$1,$BO106,IF(AS$2=$BP$1,$BP106,IF(AS$2=$BQ$1,$BQ106,IF(AS$2=$BR$1,$BR106,IF(AS$2=$BS$1,$BS106,IF(AS$2=$BT$1,$BT106,IF(AS$2=$BU$1,$BU106,INDEX(Tiere!$BN$2:$BN$145,_xlfn.AGGREGATE(15,6,(ROW(Tiere!$BN$2:$BN$145)-1)/(--(SEARCH(AS$2,Tiere!$BN$2:$BN$145)&gt;0)),ROW()-1),1))))))))),"")</f>
        <v/>
      </c>
      <c r="AS107" s="2438"/>
      <c r="AT107" s="2472" t="str">
        <f>IFERROR(IF(OR(AU$2="ZURÜCK ZUR AUSWAHL",AU$2="",AU$2=0),"",IF(AU$2=$BO$1,$BO106,IF(AU$2=$BP$1,$BP106,IF(AU$2=$BQ$1,$BQ106,IF(AU$2=$BR$1,$BR106,IF(AU$2=$BS$1,$BS106,IF(AU$2=$BT$1,$BT106,IF(AU$2=$BU$1,$BU106,INDEX(Tiere!$BN$2:$BN$145,_xlfn.AGGREGATE(15,6,(ROW(Tiere!$BN$2:$BN$145)-1)/(--(SEARCH(AU$2,Tiere!$BN$2:$BN$145)&gt;0)),ROW()-1),1))))))))),"")</f>
        <v/>
      </c>
      <c r="AU107" s="2438"/>
      <c r="AV107" s="2472" t="str">
        <f>IFERROR(IF(OR(AW$2="ZURÜCK ZUR AUSWAHL",AW$2="",AW$2=0),"",IF(AW$2=$BO$1,$BO106,IF(AW$2=$BP$1,$BP106,IF(AW$2=$BQ$1,$BQ106,IF(AW$2=$BR$1,$BR106,IF(AW$2=$BS$1,$BS106,IF(AW$2=$BT$1,$BT106,IF(AW$2=$BU$1,$BU106,INDEX(Tiere!$BN$2:$BN$145,_xlfn.AGGREGATE(15,6,(ROW(Tiere!$BN$2:$BN$145)-1)/(--(SEARCH(AW$2,Tiere!$BN$2:$BN$145)&gt;0)),ROW()-1),1))))))))),"")</f>
        <v/>
      </c>
      <c r="AW107" s="2438"/>
      <c r="AX107" s="2472" t="str">
        <f>IFERROR(IF(OR(AY$2="ZURÜCK ZUR AUSWAHL",AY$2="",AY$2=0),"",IF(AY$2=$BO$1,$BO106,IF(AY$2=$BP$1,$BP106,IF(AY$2=$BQ$1,$BQ106,IF(AY$2=$BR$1,$BR106,IF(AY$2=$BS$1,$BS106,IF(AY$2=$BT$1,$BT106,IF(AY$2=$BU$1,$BU106,INDEX(Tiere!$BN$2:$BN$145,_xlfn.AGGREGATE(15,6,(ROW(Tiere!$BN$2:$BN$145)-1)/(--(SEARCH(AY$2,Tiere!$BN$2:$BN$145)&gt;0)),ROW()-1),1))))))))),"")</f>
        <v/>
      </c>
      <c r="AY107" s="2438"/>
      <c r="AZ107" s="2472" t="str">
        <f>IFERROR(IF(OR(BA$2="ZURÜCK ZUR AUSWAHL",BA$2="",BA$2=0),"",IF(BA$2=$BO$1,$BO106,IF(BA$2=$BP$1,$BP106,IF(BA$2=$BQ$1,$BQ106,IF(BA$2=$BR$1,$BR106,IF(BA$2=$BS$1,$BS106,IF(BA$2=$BT$1,$BT106,IF(BA$2=$BU$1,$BU106,INDEX(Tiere!$BN$2:$BN$145,_xlfn.AGGREGATE(15,6,(ROW(Tiere!$BN$2:$BN$145)-1)/(--(SEARCH(BA$2,Tiere!$BN$2:$BN$145)&gt;0)),ROW()-1),1))))))))),"")</f>
        <v/>
      </c>
      <c r="BA107" s="2438"/>
      <c r="BB107" s="2472" t="str">
        <f>IFERROR(IF(OR(BC$2="ZURÜCK ZUR AUSWAHL",BC$2="",BC$2=0),"",IF(BC$2=$BO$1,$BO106,IF(BC$2=$BP$1,$BP106,IF(BC$2=$BQ$1,$BQ106,IF(BC$2=$BR$1,$BR106,IF(BC$2=$BS$1,$BS106,IF(BC$2=$BT$1,$BT106,IF(BC$2=$BU$1,$BU106,INDEX(Tiere!$BN$2:$BN$145,_xlfn.AGGREGATE(15,6,(ROW(Tiere!$BN$2:$BN$145)-1)/(--(SEARCH(BC$2,Tiere!$BN$2:$BN$145)&gt;0)),ROW()-1),1))))))))),"")</f>
        <v/>
      </c>
      <c r="BC107" s="2438"/>
      <c r="BD107" s="2472" t="str">
        <f>IFERROR(IF(OR(BE$2="ZURÜCK ZUR AUSWAHL",BE$2="",BE$2=0),"",IF(BE$2=$BO$1,$BO106,IF(BE$2=$BP$1,$BP106,IF(BE$2=$BQ$1,$BQ106,IF(BE$2=$BR$1,$BR106,IF(BE$2=$BS$1,$BS106,IF(BE$2=$BT$1,$BT106,IF(BE$2=$BU$1,$BU106,INDEX(Tiere!$BN$2:$BN$145,_xlfn.AGGREGATE(15,6,(ROW(Tiere!$BN$2:$BN$145)-1)/(--(SEARCH(BE$2,Tiere!$BN$2:$BN$145)&gt;0)),ROW()-1),1))))))))),"")</f>
        <v/>
      </c>
      <c r="BE107" s="2438"/>
      <c r="BF107" s="2472" t="str">
        <f>IFERROR(IF(OR(BG$2="ZURÜCK ZUR AUSWAHL",BG$2="",BG$2=0),"",IF(BG$2=$BO$1,$BO106,IF(BG$2=$BP$1,$BP106,IF(BG$2=$BQ$1,$BQ106,IF(BG$2=$BR$1,$BR106,IF(BG$2=$BS$1,$BS106,IF(BG$2=$BT$1,$BT106,IF(BG$2=$BU$1,$BU106,INDEX(Tiere!$BN$2:$BN$145,_xlfn.AGGREGATE(15,6,(ROW(Tiere!$BN$2:$BN$145)-1)/(--(SEARCH(BG$2,Tiere!$BN$2:$BN$145)&gt;0)),ROW()-1),1))))))))),"")</f>
        <v/>
      </c>
      <c r="BG107" s="2438"/>
      <c r="BH107" s="2472" t="str">
        <f>IFERROR(IF(OR(BI$2="ZURÜCK ZUR AUSWAHL",BI$2="",BI$2=0),"",IF(BI$2=$BO$1,$BO106,IF(BI$2=$BP$1,$BP106,IF(BI$2=$BQ$1,$BQ106,IF(BI$2=$BR$1,$BR106,IF(BI$2=$BS$1,$BS106,IF(BI$2=$BT$1,$BT106,IF(BI$2=$BU$1,$BU106,INDEX(Tiere!$BN$2:$BN$145,_xlfn.AGGREGATE(15,6,(ROW(Tiere!$BN$2:$BN$145)-1)/(--(SEARCH(BI$2,Tiere!$BN$2:$BN$145)&gt;0)),ROW()-1),1))))))))),"")</f>
        <v/>
      </c>
      <c r="BI107" s="2438"/>
      <c r="BJ107" s="2472" t="str">
        <f>IFERROR(IF(OR(BK$2="ZURÜCK ZUR AUSWAHL",BK$2="",BK$2=0),"",IF(BK$2=$BO$1,$BO106,IF(BK$2=$BP$1,$BP106,IF(BK$2=$BQ$1,$BQ106,IF(BK$2=$BR$1,$BR106,IF(BK$2=$BS$1,$BS106,IF(BK$2=$BT$1,$BT106,IF(BK$2=$BU$1,$BU106,INDEX(Tiere!$BN$2:$BN$145,_xlfn.AGGREGATE(15,6,(ROW(Tiere!$BN$2:$BN$145)-1)/(--(SEARCH(BK$2,Tiere!$BN$2:$BN$145)&gt;0)),ROW()-1),1))))))))),"")</f>
        <v/>
      </c>
      <c r="BK107" s="2438"/>
      <c r="BL107" s="2472" t="str">
        <f>IFERROR(IF(OR(BM$2="ZURÜCK ZUR AUSWAHL",BM$2="",BM$2=0),"",IF(BM$2=$BO$1,$BO106,IF(BM$2=$BP$1,$BP106,IF(BM$2=$BQ$1,$BQ106,IF(BM$2=$BR$1,$BR106,IF(BM$2=$BS$1,$BS106,IF(BM$2=$BT$1,$BT106,IF(BM$2=$BU$1,$BU106,INDEX(Tiere!$BN$2:$BN$145,_xlfn.AGGREGATE(15,6,(ROW(Tiere!$BN$2:$BN$145)-1)/(--(SEARCH(BM$2,Tiere!$BN$2:$BN$145)&gt;0)),ROW()-1),1))))))))),"")</f>
        <v/>
      </c>
      <c r="BM107" s="2438"/>
      <c r="BN107" s="2478" t="s">
        <v>1284</v>
      </c>
      <c r="BO107" s="2470"/>
      <c r="BP107" s="2470"/>
      <c r="BQ107" s="2470"/>
      <c r="BR107" s="2470"/>
      <c r="BS107" s="2470"/>
      <c r="BT107" s="2470"/>
      <c r="BU107" s="2470"/>
    </row>
    <row r="108" spans="36:73" ht="13.8" thickBot="1">
      <c r="AJ108" s="2472" t="str">
        <f>IFERROR(IF(OR(AK$2="ZURÜCK ZUR AUSWAHL",AK$2="",AK$2=0),"",IF(AK$2=$BO$1,$BO107,IF(AK$2=$BP$1,$BP107,IF(AK$2=$BQ$1,$BQ107,IF(AK$2=$BR$1,$BR107,IF(AK$2=$BS$1,$BS107,IF(AK$2=$BT$1,$BT107,IF(AK$2=$BU$1,$BU107,INDEX(Tiere!$BN$2:$BN$145,_xlfn.AGGREGATE(15,6,(ROW(Tiere!$BN$2:$BN$145)-1)/(--(SEARCH(AK$2,Tiere!$BN$2:$BN$145)&gt;0)),ROW()-2),1))))))))),"")</f>
        <v/>
      </c>
      <c r="AK108" s="2436"/>
      <c r="AL108" s="2472" t="str">
        <f>IFERROR(IF(OR(AM$2="ZURÜCK ZUR AUSWAHL",AM$2="",AM$2=0),"",IF(AM$2=$BO$1,$BO107,IF(AM$2=$BP$1,$BP107,IF(AM$2=$BQ$1,$BQ107,IF(AM$2=$BR$1,$BR107,IF(AM$2=$BS$1,$BS107,IF(AM$2=$BT$1,$BT107,IF(AM$2=$BU$1,$BU107,INDEX(Tiere!$BN$2:$BN$145,_xlfn.AGGREGATE(15,6,(ROW(Tiere!$BN$2:$BN$145)-1)/(--(SEARCH(AM$2,Tiere!$BN$2:$BN$145)&gt;0)),ROW()-1),1))))))))),"")</f>
        <v/>
      </c>
      <c r="AM108" s="2436"/>
      <c r="AN108" s="2472" t="str">
        <f>IFERROR(IF(OR(AO$2="ZURÜCK ZUR AUSWAHL",AO$2="",AO$2=0),"",IF(AO$2=$BO$1,$BO107,IF(AO$2=$BP$1,$BP107,IF(AO$2=$BQ$1,$BQ107,IF(AO$2=$BR$1,$BR107,IF(AO$2=$BS$1,$BS107,IF(AO$2=$BT$1,$BT107,IF(AO$2=$BU$1,$BU107,INDEX(Tiere!$BN$2:$BN$145,_xlfn.AGGREGATE(15,6,(ROW(Tiere!$BN$2:$BN$145)-1)/(--(SEARCH(AO$2,Tiere!$BN$2:$BN$145)&gt;0)),ROW()-1),1))))))))),"")</f>
        <v/>
      </c>
      <c r="AO108" s="2436"/>
      <c r="AP108" s="2472" t="str">
        <f>IFERROR(IF(OR(AQ$2="ZURÜCK ZUR AUSWAHL",AQ$2="",AQ$2=0),"",IF(AQ$2=$BO$1,$BO107,IF(AQ$2=$BP$1,$BP107,IF(AQ$2=$BQ$1,$BQ107,IF(AQ$2=$BR$1,$BR107,IF(AQ$2=$BS$1,$BS107,IF(AQ$2=$BT$1,$BT107,IF(AQ$2=$BU$1,$BU107,INDEX(Tiere!$BN$2:$BN$145,_xlfn.AGGREGATE(15,6,(ROW(Tiere!$BN$2:$BN$145)-1)/(--(SEARCH(AQ$2,Tiere!$BN$2:$BN$145)&gt;0)),ROW()-1),1))))))))),"")</f>
        <v/>
      </c>
      <c r="AQ108" s="2436"/>
      <c r="AR108" s="2472" t="str">
        <f>IFERROR(IF(OR(AS$2="ZURÜCK ZUR AUSWAHL",AS$2="",AS$2=0),"",IF(AS$2=$BO$1,$BO107,IF(AS$2=$BP$1,$BP107,IF(AS$2=$BQ$1,$BQ107,IF(AS$2=$BR$1,$BR107,IF(AS$2=$BS$1,$BS107,IF(AS$2=$BT$1,$BT107,IF(AS$2=$BU$1,$BU107,INDEX(Tiere!$BN$2:$BN$145,_xlfn.AGGREGATE(15,6,(ROW(Tiere!$BN$2:$BN$145)-1)/(--(SEARCH(AS$2,Tiere!$BN$2:$BN$145)&gt;0)),ROW()-1),1))))))))),"")</f>
        <v/>
      </c>
      <c r="AS108" s="2436"/>
      <c r="AT108" s="2472" t="str">
        <f>IFERROR(IF(OR(AU$2="ZURÜCK ZUR AUSWAHL",AU$2="",AU$2=0),"",IF(AU$2=$BO$1,$BO107,IF(AU$2=$BP$1,$BP107,IF(AU$2=$BQ$1,$BQ107,IF(AU$2=$BR$1,$BR107,IF(AU$2=$BS$1,$BS107,IF(AU$2=$BT$1,$BT107,IF(AU$2=$BU$1,$BU107,INDEX(Tiere!$BN$2:$BN$145,_xlfn.AGGREGATE(15,6,(ROW(Tiere!$BN$2:$BN$145)-1)/(--(SEARCH(AU$2,Tiere!$BN$2:$BN$145)&gt;0)),ROW()-1),1))))))))),"")</f>
        <v/>
      </c>
      <c r="AU108" s="2436"/>
      <c r="AV108" s="2472" t="str">
        <f>IFERROR(IF(OR(AW$2="ZURÜCK ZUR AUSWAHL",AW$2="",AW$2=0),"",IF(AW$2=$BO$1,$BO107,IF(AW$2=$BP$1,$BP107,IF(AW$2=$BQ$1,$BQ107,IF(AW$2=$BR$1,$BR107,IF(AW$2=$BS$1,$BS107,IF(AW$2=$BT$1,$BT107,IF(AW$2=$BU$1,$BU107,INDEX(Tiere!$BN$2:$BN$145,_xlfn.AGGREGATE(15,6,(ROW(Tiere!$BN$2:$BN$145)-1)/(--(SEARCH(AW$2,Tiere!$BN$2:$BN$145)&gt;0)),ROW()-1),1))))))))),"")</f>
        <v/>
      </c>
      <c r="AW108" s="2436"/>
      <c r="AX108" s="2472" t="str">
        <f>IFERROR(IF(OR(AY$2="ZURÜCK ZUR AUSWAHL",AY$2="",AY$2=0),"",IF(AY$2=$BO$1,$BO107,IF(AY$2=$BP$1,$BP107,IF(AY$2=$BQ$1,$BQ107,IF(AY$2=$BR$1,$BR107,IF(AY$2=$BS$1,$BS107,IF(AY$2=$BT$1,$BT107,IF(AY$2=$BU$1,$BU107,INDEX(Tiere!$BN$2:$BN$145,_xlfn.AGGREGATE(15,6,(ROW(Tiere!$BN$2:$BN$145)-1)/(--(SEARCH(AY$2,Tiere!$BN$2:$BN$145)&gt;0)),ROW()-1),1))))))))),"")</f>
        <v/>
      </c>
      <c r="AY108" s="2436"/>
      <c r="AZ108" s="2472" t="str">
        <f>IFERROR(IF(OR(BA$2="ZURÜCK ZUR AUSWAHL",BA$2="",BA$2=0),"",IF(BA$2=$BO$1,$BO107,IF(BA$2=$BP$1,$BP107,IF(BA$2=$BQ$1,$BQ107,IF(BA$2=$BR$1,$BR107,IF(BA$2=$BS$1,$BS107,IF(BA$2=$BT$1,$BT107,IF(BA$2=$BU$1,$BU107,INDEX(Tiere!$BN$2:$BN$145,_xlfn.AGGREGATE(15,6,(ROW(Tiere!$BN$2:$BN$145)-1)/(--(SEARCH(BA$2,Tiere!$BN$2:$BN$145)&gt;0)),ROW()-1),1))))))))),"")</f>
        <v/>
      </c>
      <c r="BA108" s="2436"/>
      <c r="BB108" s="2472" t="str">
        <f>IFERROR(IF(OR(BC$2="ZURÜCK ZUR AUSWAHL",BC$2="",BC$2=0),"",IF(BC$2=$BO$1,$BO107,IF(BC$2=$BP$1,$BP107,IF(BC$2=$BQ$1,$BQ107,IF(BC$2=$BR$1,$BR107,IF(BC$2=$BS$1,$BS107,IF(BC$2=$BT$1,$BT107,IF(BC$2=$BU$1,$BU107,INDEX(Tiere!$BN$2:$BN$145,_xlfn.AGGREGATE(15,6,(ROW(Tiere!$BN$2:$BN$145)-1)/(--(SEARCH(BC$2,Tiere!$BN$2:$BN$145)&gt;0)),ROW()-1),1))))))))),"")</f>
        <v/>
      </c>
      <c r="BC108" s="2436"/>
      <c r="BD108" s="2472" t="str">
        <f>IFERROR(IF(OR(BE$2="ZURÜCK ZUR AUSWAHL",BE$2="",BE$2=0),"",IF(BE$2=$BO$1,$BO107,IF(BE$2=$BP$1,$BP107,IF(BE$2=$BQ$1,$BQ107,IF(BE$2=$BR$1,$BR107,IF(BE$2=$BS$1,$BS107,IF(BE$2=$BT$1,$BT107,IF(BE$2=$BU$1,$BU107,INDEX(Tiere!$BN$2:$BN$145,_xlfn.AGGREGATE(15,6,(ROW(Tiere!$BN$2:$BN$145)-1)/(--(SEARCH(BE$2,Tiere!$BN$2:$BN$145)&gt;0)),ROW()-1),1))))))))),"")</f>
        <v/>
      </c>
      <c r="BE108" s="2436"/>
      <c r="BF108" s="2472" t="str">
        <f>IFERROR(IF(OR(BG$2="ZURÜCK ZUR AUSWAHL",BG$2="",BG$2=0),"",IF(BG$2=$BO$1,$BO107,IF(BG$2=$BP$1,$BP107,IF(BG$2=$BQ$1,$BQ107,IF(BG$2=$BR$1,$BR107,IF(BG$2=$BS$1,$BS107,IF(BG$2=$BT$1,$BT107,IF(BG$2=$BU$1,$BU107,INDEX(Tiere!$BN$2:$BN$145,_xlfn.AGGREGATE(15,6,(ROW(Tiere!$BN$2:$BN$145)-1)/(--(SEARCH(BG$2,Tiere!$BN$2:$BN$145)&gt;0)),ROW()-1),1))))))))),"")</f>
        <v/>
      </c>
      <c r="BG108" s="2436"/>
      <c r="BH108" s="2472" t="str">
        <f>IFERROR(IF(OR(BI$2="ZURÜCK ZUR AUSWAHL",BI$2="",BI$2=0),"",IF(BI$2=$BO$1,$BO107,IF(BI$2=$BP$1,$BP107,IF(BI$2=$BQ$1,$BQ107,IF(BI$2=$BR$1,$BR107,IF(BI$2=$BS$1,$BS107,IF(BI$2=$BT$1,$BT107,IF(BI$2=$BU$1,$BU107,INDEX(Tiere!$BN$2:$BN$145,_xlfn.AGGREGATE(15,6,(ROW(Tiere!$BN$2:$BN$145)-1)/(--(SEARCH(BI$2,Tiere!$BN$2:$BN$145)&gt;0)),ROW()-1),1))))))))),"")</f>
        <v/>
      </c>
      <c r="BI108" s="2436"/>
      <c r="BJ108" s="2472" t="str">
        <f>IFERROR(IF(OR(BK$2="ZURÜCK ZUR AUSWAHL",BK$2="",BK$2=0),"",IF(BK$2=$BO$1,$BO107,IF(BK$2=$BP$1,$BP107,IF(BK$2=$BQ$1,$BQ107,IF(BK$2=$BR$1,$BR107,IF(BK$2=$BS$1,$BS107,IF(BK$2=$BT$1,$BT107,IF(BK$2=$BU$1,$BU107,INDEX(Tiere!$BN$2:$BN$145,_xlfn.AGGREGATE(15,6,(ROW(Tiere!$BN$2:$BN$145)-1)/(--(SEARCH(BK$2,Tiere!$BN$2:$BN$145)&gt;0)),ROW()-1),1))))))))),"")</f>
        <v/>
      </c>
      <c r="BK108" s="2436"/>
      <c r="BL108" s="2472" t="str">
        <f>IFERROR(IF(OR(BM$2="ZURÜCK ZUR AUSWAHL",BM$2="",BM$2=0),"",IF(BM$2=$BO$1,$BO107,IF(BM$2=$BP$1,$BP107,IF(BM$2=$BQ$1,$BQ107,IF(BM$2=$BR$1,$BR107,IF(BM$2=$BS$1,$BS107,IF(BM$2=$BT$1,$BT107,IF(BM$2=$BU$1,$BU107,INDEX(Tiere!$BN$2:$BN$145,_xlfn.AGGREGATE(15,6,(ROW(Tiere!$BN$2:$BN$145)-1)/(--(SEARCH(BM$2,Tiere!$BN$2:$BN$145)&gt;0)),ROW()-1),1))))))))),"")</f>
        <v/>
      </c>
      <c r="BM108" s="2436"/>
      <c r="BN108" s="2478" t="s">
        <v>1286</v>
      </c>
      <c r="BO108" s="2470"/>
      <c r="BP108" s="2470"/>
      <c r="BQ108" s="2470"/>
      <c r="BR108" s="2470"/>
      <c r="BS108" s="2470"/>
      <c r="BT108" s="2470"/>
      <c r="BU108" s="2470"/>
    </row>
    <row r="109" spans="36:73" ht="13.8" thickBot="1">
      <c r="AJ109" s="2472" t="str">
        <f>IFERROR(IF(OR(AK$2="ZURÜCK ZUR AUSWAHL",AK$2="",AK$2=0),"",IF(AK$2=$BO$1,$BO108,IF(AK$2=$BP$1,$BP108,IF(AK$2=$BQ$1,$BQ108,IF(AK$2=$BR$1,$BR108,IF(AK$2=$BS$1,$BS108,IF(AK$2=$BT$1,$BT108,IF(AK$2=$BU$1,$BU108,INDEX(Tiere!$BN$2:$BN$145,_xlfn.AGGREGATE(15,6,(ROW(Tiere!$BN$2:$BN$145)-1)/(--(SEARCH(AK$2,Tiere!$BN$2:$BN$145)&gt;0)),ROW()-2),1))))))))),"")</f>
        <v/>
      </c>
      <c r="AK109" s="2438"/>
      <c r="AL109" s="2472" t="str">
        <f>IFERROR(IF(OR(AM$2="ZURÜCK ZUR AUSWAHL",AM$2="",AM$2=0),"",IF(AM$2=$BO$1,$BO108,IF(AM$2=$BP$1,$BP108,IF(AM$2=$BQ$1,$BQ108,IF(AM$2=$BR$1,$BR108,IF(AM$2=$BS$1,$BS108,IF(AM$2=$BT$1,$BT108,IF(AM$2=$BU$1,$BU108,INDEX(Tiere!$BN$2:$BN$145,_xlfn.AGGREGATE(15,6,(ROW(Tiere!$BN$2:$BN$145)-1)/(--(SEARCH(AM$2,Tiere!$BN$2:$BN$145)&gt;0)),ROW()-1),1))))))))),"")</f>
        <v/>
      </c>
      <c r="AM109" s="2438"/>
      <c r="AN109" s="2472" t="str">
        <f>IFERROR(IF(OR(AO$2="ZURÜCK ZUR AUSWAHL",AO$2="",AO$2=0),"",IF(AO$2=$BO$1,$BO108,IF(AO$2=$BP$1,$BP108,IF(AO$2=$BQ$1,$BQ108,IF(AO$2=$BR$1,$BR108,IF(AO$2=$BS$1,$BS108,IF(AO$2=$BT$1,$BT108,IF(AO$2=$BU$1,$BU108,INDEX(Tiere!$BN$2:$BN$145,_xlfn.AGGREGATE(15,6,(ROW(Tiere!$BN$2:$BN$145)-1)/(--(SEARCH(AO$2,Tiere!$BN$2:$BN$145)&gt;0)),ROW()-1),1))))))))),"")</f>
        <v/>
      </c>
      <c r="AO109" s="2438"/>
      <c r="AP109" s="2472" t="str">
        <f>IFERROR(IF(OR(AQ$2="ZURÜCK ZUR AUSWAHL",AQ$2="",AQ$2=0),"",IF(AQ$2=$BO$1,$BO108,IF(AQ$2=$BP$1,$BP108,IF(AQ$2=$BQ$1,$BQ108,IF(AQ$2=$BR$1,$BR108,IF(AQ$2=$BS$1,$BS108,IF(AQ$2=$BT$1,$BT108,IF(AQ$2=$BU$1,$BU108,INDEX(Tiere!$BN$2:$BN$145,_xlfn.AGGREGATE(15,6,(ROW(Tiere!$BN$2:$BN$145)-1)/(--(SEARCH(AQ$2,Tiere!$BN$2:$BN$145)&gt;0)),ROW()-1),1))))))))),"")</f>
        <v/>
      </c>
      <c r="AQ109" s="2438"/>
      <c r="AR109" s="2472" t="str">
        <f>IFERROR(IF(OR(AS$2="ZURÜCK ZUR AUSWAHL",AS$2="",AS$2=0),"",IF(AS$2=$BO$1,$BO108,IF(AS$2=$BP$1,$BP108,IF(AS$2=$BQ$1,$BQ108,IF(AS$2=$BR$1,$BR108,IF(AS$2=$BS$1,$BS108,IF(AS$2=$BT$1,$BT108,IF(AS$2=$BU$1,$BU108,INDEX(Tiere!$BN$2:$BN$145,_xlfn.AGGREGATE(15,6,(ROW(Tiere!$BN$2:$BN$145)-1)/(--(SEARCH(AS$2,Tiere!$BN$2:$BN$145)&gt;0)),ROW()-1),1))))))))),"")</f>
        <v/>
      </c>
      <c r="AS109" s="2438"/>
      <c r="AT109" s="2472" t="str">
        <f>IFERROR(IF(OR(AU$2="ZURÜCK ZUR AUSWAHL",AU$2="",AU$2=0),"",IF(AU$2=$BO$1,$BO108,IF(AU$2=$BP$1,$BP108,IF(AU$2=$BQ$1,$BQ108,IF(AU$2=$BR$1,$BR108,IF(AU$2=$BS$1,$BS108,IF(AU$2=$BT$1,$BT108,IF(AU$2=$BU$1,$BU108,INDEX(Tiere!$BN$2:$BN$145,_xlfn.AGGREGATE(15,6,(ROW(Tiere!$BN$2:$BN$145)-1)/(--(SEARCH(AU$2,Tiere!$BN$2:$BN$145)&gt;0)),ROW()-1),1))))))))),"")</f>
        <v/>
      </c>
      <c r="AU109" s="2438"/>
      <c r="AV109" s="2472" t="str">
        <f>IFERROR(IF(OR(AW$2="ZURÜCK ZUR AUSWAHL",AW$2="",AW$2=0),"",IF(AW$2=$BO$1,$BO108,IF(AW$2=$BP$1,$BP108,IF(AW$2=$BQ$1,$BQ108,IF(AW$2=$BR$1,$BR108,IF(AW$2=$BS$1,$BS108,IF(AW$2=$BT$1,$BT108,IF(AW$2=$BU$1,$BU108,INDEX(Tiere!$BN$2:$BN$145,_xlfn.AGGREGATE(15,6,(ROW(Tiere!$BN$2:$BN$145)-1)/(--(SEARCH(AW$2,Tiere!$BN$2:$BN$145)&gt;0)),ROW()-1),1))))))))),"")</f>
        <v/>
      </c>
      <c r="AW109" s="2438"/>
      <c r="AX109" s="2472" t="str">
        <f>IFERROR(IF(OR(AY$2="ZURÜCK ZUR AUSWAHL",AY$2="",AY$2=0),"",IF(AY$2=$BO$1,$BO108,IF(AY$2=$BP$1,$BP108,IF(AY$2=$BQ$1,$BQ108,IF(AY$2=$BR$1,$BR108,IF(AY$2=$BS$1,$BS108,IF(AY$2=$BT$1,$BT108,IF(AY$2=$BU$1,$BU108,INDEX(Tiere!$BN$2:$BN$145,_xlfn.AGGREGATE(15,6,(ROW(Tiere!$BN$2:$BN$145)-1)/(--(SEARCH(AY$2,Tiere!$BN$2:$BN$145)&gt;0)),ROW()-1),1))))))))),"")</f>
        <v/>
      </c>
      <c r="AY109" s="2438"/>
      <c r="AZ109" s="2472" t="str">
        <f>IFERROR(IF(OR(BA$2="ZURÜCK ZUR AUSWAHL",BA$2="",BA$2=0),"",IF(BA$2=$BO$1,$BO108,IF(BA$2=$BP$1,$BP108,IF(BA$2=$BQ$1,$BQ108,IF(BA$2=$BR$1,$BR108,IF(BA$2=$BS$1,$BS108,IF(BA$2=$BT$1,$BT108,IF(BA$2=$BU$1,$BU108,INDEX(Tiere!$BN$2:$BN$145,_xlfn.AGGREGATE(15,6,(ROW(Tiere!$BN$2:$BN$145)-1)/(--(SEARCH(BA$2,Tiere!$BN$2:$BN$145)&gt;0)),ROW()-1),1))))))))),"")</f>
        <v/>
      </c>
      <c r="BA109" s="2438"/>
      <c r="BB109" s="2472" t="str">
        <f>IFERROR(IF(OR(BC$2="ZURÜCK ZUR AUSWAHL",BC$2="",BC$2=0),"",IF(BC$2=$BO$1,$BO108,IF(BC$2=$BP$1,$BP108,IF(BC$2=$BQ$1,$BQ108,IF(BC$2=$BR$1,$BR108,IF(BC$2=$BS$1,$BS108,IF(BC$2=$BT$1,$BT108,IF(BC$2=$BU$1,$BU108,INDEX(Tiere!$BN$2:$BN$145,_xlfn.AGGREGATE(15,6,(ROW(Tiere!$BN$2:$BN$145)-1)/(--(SEARCH(BC$2,Tiere!$BN$2:$BN$145)&gt;0)),ROW()-1),1))))))))),"")</f>
        <v/>
      </c>
      <c r="BC109" s="2438"/>
      <c r="BD109" s="2472" t="str">
        <f>IFERROR(IF(OR(BE$2="ZURÜCK ZUR AUSWAHL",BE$2="",BE$2=0),"",IF(BE$2=$BO$1,$BO108,IF(BE$2=$BP$1,$BP108,IF(BE$2=$BQ$1,$BQ108,IF(BE$2=$BR$1,$BR108,IF(BE$2=$BS$1,$BS108,IF(BE$2=$BT$1,$BT108,IF(BE$2=$BU$1,$BU108,INDEX(Tiere!$BN$2:$BN$145,_xlfn.AGGREGATE(15,6,(ROW(Tiere!$BN$2:$BN$145)-1)/(--(SEARCH(BE$2,Tiere!$BN$2:$BN$145)&gt;0)),ROW()-1),1))))))))),"")</f>
        <v/>
      </c>
      <c r="BE109" s="2438"/>
      <c r="BF109" s="2472" t="str">
        <f>IFERROR(IF(OR(BG$2="ZURÜCK ZUR AUSWAHL",BG$2="",BG$2=0),"",IF(BG$2=$BO$1,$BO108,IF(BG$2=$BP$1,$BP108,IF(BG$2=$BQ$1,$BQ108,IF(BG$2=$BR$1,$BR108,IF(BG$2=$BS$1,$BS108,IF(BG$2=$BT$1,$BT108,IF(BG$2=$BU$1,$BU108,INDEX(Tiere!$BN$2:$BN$145,_xlfn.AGGREGATE(15,6,(ROW(Tiere!$BN$2:$BN$145)-1)/(--(SEARCH(BG$2,Tiere!$BN$2:$BN$145)&gt;0)),ROW()-1),1))))))))),"")</f>
        <v/>
      </c>
      <c r="BG109" s="2438"/>
      <c r="BH109" s="2472" t="str">
        <f>IFERROR(IF(OR(BI$2="ZURÜCK ZUR AUSWAHL",BI$2="",BI$2=0),"",IF(BI$2=$BO$1,$BO108,IF(BI$2=$BP$1,$BP108,IF(BI$2=$BQ$1,$BQ108,IF(BI$2=$BR$1,$BR108,IF(BI$2=$BS$1,$BS108,IF(BI$2=$BT$1,$BT108,IF(BI$2=$BU$1,$BU108,INDEX(Tiere!$BN$2:$BN$145,_xlfn.AGGREGATE(15,6,(ROW(Tiere!$BN$2:$BN$145)-1)/(--(SEARCH(BI$2,Tiere!$BN$2:$BN$145)&gt;0)),ROW()-1),1))))))))),"")</f>
        <v/>
      </c>
      <c r="BI109" s="2438"/>
      <c r="BJ109" s="2472" t="str">
        <f>IFERROR(IF(OR(BK$2="ZURÜCK ZUR AUSWAHL",BK$2="",BK$2=0),"",IF(BK$2=$BO$1,$BO108,IF(BK$2=$BP$1,$BP108,IF(BK$2=$BQ$1,$BQ108,IF(BK$2=$BR$1,$BR108,IF(BK$2=$BS$1,$BS108,IF(BK$2=$BT$1,$BT108,IF(BK$2=$BU$1,$BU108,INDEX(Tiere!$BN$2:$BN$145,_xlfn.AGGREGATE(15,6,(ROW(Tiere!$BN$2:$BN$145)-1)/(--(SEARCH(BK$2,Tiere!$BN$2:$BN$145)&gt;0)),ROW()-1),1))))))))),"")</f>
        <v/>
      </c>
      <c r="BK109" s="2438"/>
      <c r="BL109" s="2472" t="str">
        <f>IFERROR(IF(OR(BM$2="ZURÜCK ZUR AUSWAHL",BM$2="",BM$2=0),"",IF(BM$2=$BO$1,$BO108,IF(BM$2=$BP$1,$BP108,IF(BM$2=$BQ$1,$BQ108,IF(BM$2=$BR$1,$BR108,IF(BM$2=$BS$1,$BS108,IF(BM$2=$BT$1,$BT108,IF(BM$2=$BU$1,$BU108,INDEX(Tiere!$BN$2:$BN$145,_xlfn.AGGREGATE(15,6,(ROW(Tiere!$BN$2:$BN$145)-1)/(--(SEARCH(BM$2,Tiere!$BN$2:$BN$145)&gt;0)),ROW()-1),1))))))))),"")</f>
        <v/>
      </c>
      <c r="BM109" s="2438"/>
      <c r="BN109" s="2478" t="s">
        <v>1287</v>
      </c>
      <c r="BO109" s="2470"/>
      <c r="BP109" s="2470"/>
      <c r="BQ109" s="2470"/>
      <c r="BR109" s="2470"/>
      <c r="BS109" s="2470"/>
      <c r="BT109" s="2470"/>
      <c r="BU109" s="2470"/>
    </row>
    <row r="110" spans="36:73" ht="13.8" thickBot="1">
      <c r="AJ110" s="2472" t="str">
        <f>IFERROR(IF(OR(AK$2="ZURÜCK ZUR AUSWAHL",AK$2="",AK$2=0),"",IF(AK$2=$BO$1,$BO109,IF(AK$2=$BP$1,$BP109,IF(AK$2=$BQ$1,$BQ109,IF(AK$2=$BR$1,$BR109,IF(AK$2=$BS$1,$BS109,IF(AK$2=$BT$1,$BT109,IF(AK$2=$BU$1,$BU109,INDEX(Tiere!$BN$2:$BN$145,_xlfn.AGGREGATE(15,6,(ROW(Tiere!$BN$2:$BN$145)-1)/(--(SEARCH(AK$2,Tiere!$BN$2:$BN$145)&gt;0)),ROW()-2),1))))))))),"")</f>
        <v/>
      </c>
      <c r="AK110" s="2436"/>
      <c r="AL110" s="2472" t="str">
        <f>IFERROR(IF(OR(AM$2="ZURÜCK ZUR AUSWAHL",AM$2="",AM$2=0),"",IF(AM$2=$BO$1,$BO109,IF(AM$2=$BP$1,$BP109,IF(AM$2=$BQ$1,$BQ109,IF(AM$2=$BR$1,$BR109,IF(AM$2=$BS$1,$BS109,IF(AM$2=$BT$1,$BT109,IF(AM$2=$BU$1,$BU109,INDEX(Tiere!$BN$2:$BN$145,_xlfn.AGGREGATE(15,6,(ROW(Tiere!$BN$2:$BN$145)-1)/(--(SEARCH(AM$2,Tiere!$BN$2:$BN$145)&gt;0)),ROW()-1),1))))))))),"")</f>
        <v/>
      </c>
      <c r="AM110" s="2436"/>
      <c r="AN110" s="2472" t="str">
        <f>IFERROR(IF(OR(AO$2="ZURÜCK ZUR AUSWAHL",AO$2="",AO$2=0),"",IF(AO$2=$BO$1,$BO109,IF(AO$2=$BP$1,$BP109,IF(AO$2=$BQ$1,$BQ109,IF(AO$2=$BR$1,$BR109,IF(AO$2=$BS$1,$BS109,IF(AO$2=$BT$1,$BT109,IF(AO$2=$BU$1,$BU109,INDEX(Tiere!$BN$2:$BN$145,_xlfn.AGGREGATE(15,6,(ROW(Tiere!$BN$2:$BN$145)-1)/(--(SEARCH(AO$2,Tiere!$BN$2:$BN$145)&gt;0)),ROW()-1),1))))))))),"")</f>
        <v/>
      </c>
      <c r="AO110" s="2436"/>
      <c r="AP110" s="2472" t="str">
        <f>IFERROR(IF(OR(AQ$2="ZURÜCK ZUR AUSWAHL",AQ$2="",AQ$2=0),"",IF(AQ$2=$BO$1,$BO109,IF(AQ$2=$BP$1,$BP109,IF(AQ$2=$BQ$1,$BQ109,IF(AQ$2=$BR$1,$BR109,IF(AQ$2=$BS$1,$BS109,IF(AQ$2=$BT$1,$BT109,IF(AQ$2=$BU$1,$BU109,INDEX(Tiere!$BN$2:$BN$145,_xlfn.AGGREGATE(15,6,(ROW(Tiere!$BN$2:$BN$145)-1)/(--(SEARCH(AQ$2,Tiere!$BN$2:$BN$145)&gt;0)),ROW()-1),1))))))))),"")</f>
        <v/>
      </c>
      <c r="AQ110" s="2436"/>
      <c r="AR110" s="2472" t="str">
        <f>IFERROR(IF(OR(AS$2="ZURÜCK ZUR AUSWAHL",AS$2="",AS$2=0),"",IF(AS$2=$BO$1,$BO109,IF(AS$2=$BP$1,$BP109,IF(AS$2=$BQ$1,$BQ109,IF(AS$2=$BR$1,$BR109,IF(AS$2=$BS$1,$BS109,IF(AS$2=$BT$1,$BT109,IF(AS$2=$BU$1,$BU109,INDEX(Tiere!$BN$2:$BN$145,_xlfn.AGGREGATE(15,6,(ROW(Tiere!$BN$2:$BN$145)-1)/(--(SEARCH(AS$2,Tiere!$BN$2:$BN$145)&gt;0)),ROW()-1),1))))))))),"")</f>
        <v/>
      </c>
      <c r="AS110" s="2436"/>
      <c r="AT110" s="2472" t="str">
        <f>IFERROR(IF(OR(AU$2="ZURÜCK ZUR AUSWAHL",AU$2="",AU$2=0),"",IF(AU$2=$BO$1,$BO109,IF(AU$2=$BP$1,$BP109,IF(AU$2=$BQ$1,$BQ109,IF(AU$2=$BR$1,$BR109,IF(AU$2=$BS$1,$BS109,IF(AU$2=$BT$1,$BT109,IF(AU$2=$BU$1,$BU109,INDEX(Tiere!$BN$2:$BN$145,_xlfn.AGGREGATE(15,6,(ROW(Tiere!$BN$2:$BN$145)-1)/(--(SEARCH(AU$2,Tiere!$BN$2:$BN$145)&gt;0)),ROW()-1),1))))))))),"")</f>
        <v/>
      </c>
      <c r="AU110" s="2436"/>
      <c r="AV110" s="2472" t="str">
        <f>IFERROR(IF(OR(AW$2="ZURÜCK ZUR AUSWAHL",AW$2="",AW$2=0),"",IF(AW$2=$BO$1,$BO109,IF(AW$2=$BP$1,$BP109,IF(AW$2=$BQ$1,$BQ109,IF(AW$2=$BR$1,$BR109,IF(AW$2=$BS$1,$BS109,IF(AW$2=$BT$1,$BT109,IF(AW$2=$BU$1,$BU109,INDEX(Tiere!$BN$2:$BN$145,_xlfn.AGGREGATE(15,6,(ROW(Tiere!$BN$2:$BN$145)-1)/(--(SEARCH(AW$2,Tiere!$BN$2:$BN$145)&gt;0)),ROW()-1),1))))))))),"")</f>
        <v/>
      </c>
      <c r="AW110" s="2436"/>
      <c r="AX110" s="2472" t="str">
        <f>IFERROR(IF(OR(AY$2="ZURÜCK ZUR AUSWAHL",AY$2="",AY$2=0),"",IF(AY$2=$BO$1,$BO109,IF(AY$2=$BP$1,$BP109,IF(AY$2=$BQ$1,$BQ109,IF(AY$2=$BR$1,$BR109,IF(AY$2=$BS$1,$BS109,IF(AY$2=$BT$1,$BT109,IF(AY$2=$BU$1,$BU109,INDEX(Tiere!$BN$2:$BN$145,_xlfn.AGGREGATE(15,6,(ROW(Tiere!$BN$2:$BN$145)-1)/(--(SEARCH(AY$2,Tiere!$BN$2:$BN$145)&gt;0)),ROW()-1),1))))))))),"")</f>
        <v/>
      </c>
      <c r="AY110" s="2436"/>
      <c r="AZ110" s="2472" t="str">
        <f>IFERROR(IF(OR(BA$2="ZURÜCK ZUR AUSWAHL",BA$2="",BA$2=0),"",IF(BA$2=$BO$1,$BO109,IF(BA$2=$BP$1,$BP109,IF(BA$2=$BQ$1,$BQ109,IF(BA$2=$BR$1,$BR109,IF(BA$2=$BS$1,$BS109,IF(BA$2=$BT$1,$BT109,IF(BA$2=$BU$1,$BU109,INDEX(Tiere!$BN$2:$BN$145,_xlfn.AGGREGATE(15,6,(ROW(Tiere!$BN$2:$BN$145)-1)/(--(SEARCH(BA$2,Tiere!$BN$2:$BN$145)&gt;0)),ROW()-1),1))))))))),"")</f>
        <v/>
      </c>
      <c r="BA110" s="2436"/>
      <c r="BB110" s="2472" t="str">
        <f>IFERROR(IF(OR(BC$2="ZURÜCK ZUR AUSWAHL",BC$2="",BC$2=0),"",IF(BC$2=$BO$1,$BO109,IF(BC$2=$BP$1,$BP109,IF(BC$2=$BQ$1,$BQ109,IF(BC$2=$BR$1,$BR109,IF(BC$2=$BS$1,$BS109,IF(BC$2=$BT$1,$BT109,IF(BC$2=$BU$1,$BU109,INDEX(Tiere!$BN$2:$BN$145,_xlfn.AGGREGATE(15,6,(ROW(Tiere!$BN$2:$BN$145)-1)/(--(SEARCH(BC$2,Tiere!$BN$2:$BN$145)&gt;0)),ROW()-1),1))))))))),"")</f>
        <v/>
      </c>
      <c r="BC110" s="2436"/>
      <c r="BD110" s="2472" t="str">
        <f>IFERROR(IF(OR(BE$2="ZURÜCK ZUR AUSWAHL",BE$2="",BE$2=0),"",IF(BE$2=$BO$1,$BO109,IF(BE$2=$BP$1,$BP109,IF(BE$2=$BQ$1,$BQ109,IF(BE$2=$BR$1,$BR109,IF(BE$2=$BS$1,$BS109,IF(BE$2=$BT$1,$BT109,IF(BE$2=$BU$1,$BU109,INDEX(Tiere!$BN$2:$BN$145,_xlfn.AGGREGATE(15,6,(ROW(Tiere!$BN$2:$BN$145)-1)/(--(SEARCH(BE$2,Tiere!$BN$2:$BN$145)&gt;0)),ROW()-1),1))))))))),"")</f>
        <v/>
      </c>
      <c r="BE110" s="2436"/>
      <c r="BF110" s="2472" t="str">
        <f>IFERROR(IF(OR(BG$2="ZURÜCK ZUR AUSWAHL",BG$2="",BG$2=0),"",IF(BG$2=$BO$1,$BO109,IF(BG$2=$BP$1,$BP109,IF(BG$2=$BQ$1,$BQ109,IF(BG$2=$BR$1,$BR109,IF(BG$2=$BS$1,$BS109,IF(BG$2=$BT$1,$BT109,IF(BG$2=$BU$1,$BU109,INDEX(Tiere!$BN$2:$BN$145,_xlfn.AGGREGATE(15,6,(ROW(Tiere!$BN$2:$BN$145)-1)/(--(SEARCH(BG$2,Tiere!$BN$2:$BN$145)&gt;0)),ROW()-1),1))))))))),"")</f>
        <v/>
      </c>
      <c r="BG110" s="2436"/>
      <c r="BH110" s="2472" t="str">
        <f>IFERROR(IF(OR(BI$2="ZURÜCK ZUR AUSWAHL",BI$2="",BI$2=0),"",IF(BI$2=$BO$1,$BO109,IF(BI$2=$BP$1,$BP109,IF(BI$2=$BQ$1,$BQ109,IF(BI$2=$BR$1,$BR109,IF(BI$2=$BS$1,$BS109,IF(BI$2=$BT$1,$BT109,IF(BI$2=$BU$1,$BU109,INDEX(Tiere!$BN$2:$BN$145,_xlfn.AGGREGATE(15,6,(ROW(Tiere!$BN$2:$BN$145)-1)/(--(SEARCH(BI$2,Tiere!$BN$2:$BN$145)&gt;0)),ROW()-1),1))))))))),"")</f>
        <v/>
      </c>
      <c r="BI110" s="2436"/>
      <c r="BJ110" s="2472" t="str">
        <f>IFERROR(IF(OR(BK$2="ZURÜCK ZUR AUSWAHL",BK$2="",BK$2=0),"",IF(BK$2=$BO$1,$BO109,IF(BK$2=$BP$1,$BP109,IF(BK$2=$BQ$1,$BQ109,IF(BK$2=$BR$1,$BR109,IF(BK$2=$BS$1,$BS109,IF(BK$2=$BT$1,$BT109,IF(BK$2=$BU$1,$BU109,INDEX(Tiere!$BN$2:$BN$145,_xlfn.AGGREGATE(15,6,(ROW(Tiere!$BN$2:$BN$145)-1)/(--(SEARCH(BK$2,Tiere!$BN$2:$BN$145)&gt;0)),ROW()-1),1))))))))),"")</f>
        <v/>
      </c>
      <c r="BK110" s="2436"/>
      <c r="BL110" s="2472" t="str">
        <f>IFERROR(IF(OR(BM$2="ZURÜCK ZUR AUSWAHL",BM$2="",BM$2=0),"",IF(BM$2=$BO$1,$BO109,IF(BM$2=$BP$1,$BP109,IF(BM$2=$BQ$1,$BQ109,IF(BM$2=$BR$1,$BR109,IF(BM$2=$BS$1,$BS109,IF(BM$2=$BT$1,$BT109,IF(BM$2=$BU$1,$BU109,INDEX(Tiere!$BN$2:$BN$145,_xlfn.AGGREGATE(15,6,(ROW(Tiere!$BN$2:$BN$145)-1)/(--(SEARCH(BM$2,Tiere!$BN$2:$BN$145)&gt;0)),ROW()-1),1))))))))),"")</f>
        <v/>
      </c>
      <c r="BM110" s="2436"/>
      <c r="BN110" s="2478" t="s">
        <v>1288</v>
      </c>
      <c r="BO110" s="2470"/>
      <c r="BP110" s="2470"/>
      <c r="BQ110" s="2470"/>
      <c r="BR110" s="2470"/>
      <c r="BS110" s="2470"/>
      <c r="BT110" s="2470"/>
      <c r="BU110" s="2470"/>
    </row>
    <row r="111" spans="36:73" ht="13.8" thickBot="1">
      <c r="AJ111" s="2472" t="str">
        <f>IFERROR(IF(OR(AK$2="ZURÜCK ZUR AUSWAHL",AK$2="",AK$2=0),"",IF(AK$2=$BO$1,$BO110,IF(AK$2=$BP$1,$BP110,IF(AK$2=$BQ$1,$BQ110,IF(AK$2=$BR$1,$BR110,IF(AK$2=$BS$1,$BS110,IF(AK$2=$BT$1,$BT110,IF(AK$2=$BU$1,$BU110,INDEX(Tiere!$BN$2:$BN$145,_xlfn.AGGREGATE(15,6,(ROW(Tiere!$BN$2:$BN$145)-1)/(--(SEARCH(AK$2,Tiere!$BN$2:$BN$145)&gt;0)),ROW()-2),1))))))))),"")</f>
        <v/>
      </c>
      <c r="AK111" s="2438"/>
      <c r="AL111" s="2472" t="str">
        <f>IFERROR(IF(OR(AM$2="ZURÜCK ZUR AUSWAHL",AM$2="",AM$2=0),"",IF(AM$2=$BO$1,$BO110,IF(AM$2=$BP$1,$BP110,IF(AM$2=$BQ$1,$BQ110,IF(AM$2=$BR$1,$BR110,IF(AM$2=$BS$1,$BS110,IF(AM$2=$BT$1,$BT110,IF(AM$2=$BU$1,$BU110,INDEX(Tiere!$BN$2:$BN$145,_xlfn.AGGREGATE(15,6,(ROW(Tiere!$BN$2:$BN$145)-1)/(--(SEARCH(AM$2,Tiere!$BN$2:$BN$145)&gt;0)),ROW()-1),1))))))))),"")</f>
        <v/>
      </c>
      <c r="AM111" s="2438"/>
      <c r="AN111" s="2472" t="str">
        <f>IFERROR(IF(OR(AO$2="ZURÜCK ZUR AUSWAHL",AO$2="",AO$2=0),"",IF(AO$2=$BO$1,$BO110,IF(AO$2=$BP$1,$BP110,IF(AO$2=$BQ$1,$BQ110,IF(AO$2=$BR$1,$BR110,IF(AO$2=$BS$1,$BS110,IF(AO$2=$BT$1,$BT110,IF(AO$2=$BU$1,$BU110,INDEX(Tiere!$BN$2:$BN$145,_xlfn.AGGREGATE(15,6,(ROW(Tiere!$BN$2:$BN$145)-1)/(--(SEARCH(AO$2,Tiere!$BN$2:$BN$145)&gt;0)),ROW()-1),1))))))))),"")</f>
        <v/>
      </c>
      <c r="AO111" s="2438"/>
      <c r="AP111" s="2472" t="str">
        <f>IFERROR(IF(OR(AQ$2="ZURÜCK ZUR AUSWAHL",AQ$2="",AQ$2=0),"",IF(AQ$2=$BO$1,$BO110,IF(AQ$2=$BP$1,$BP110,IF(AQ$2=$BQ$1,$BQ110,IF(AQ$2=$BR$1,$BR110,IF(AQ$2=$BS$1,$BS110,IF(AQ$2=$BT$1,$BT110,IF(AQ$2=$BU$1,$BU110,INDEX(Tiere!$BN$2:$BN$145,_xlfn.AGGREGATE(15,6,(ROW(Tiere!$BN$2:$BN$145)-1)/(--(SEARCH(AQ$2,Tiere!$BN$2:$BN$145)&gt;0)),ROW()-1),1))))))))),"")</f>
        <v/>
      </c>
      <c r="AQ111" s="2438"/>
      <c r="AR111" s="2472" t="str">
        <f>IFERROR(IF(OR(AS$2="ZURÜCK ZUR AUSWAHL",AS$2="",AS$2=0),"",IF(AS$2=$BO$1,$BO110,IF(AS$2=$BP$1,$BP110,IF(AS$2=$BQ$1,$BQ110,IF(AS$2=$BR$1,$BR110,IF(AS$2=$BS$1,$BS110,IF(AS$2=$BT$1,$BT110,IF(AS$2=$BU$1,$BU110,INDEX(Tiere!$BN$2:$BN$145,_xlfn.AGGREGATE(15,6,(ROW(Tiere!$BN$2:$BN$145)-1)/(--(SEARCH(AS$2,Tiere!$BN$2:$BN$145)&gt;0)),ROW()-1),1))))))))),"")</f>
        <v/>
      </c>
      <c r="AS111" s="2438"/>
      <c r="AT111" s="2472" t="str">
        <f>IFERROR(IF(OR(AU$2="ZURÜCK ZUR AUSWAHL",AU$2="",AU$2=0),"",IF(AU$2=$BO$1,$BO110,IF(AU$2=$BP$1,$BP110,IF(AU$2=$BQ$1,$BQ110,IF(AU$2=$BR$1,$BR110,IF(AU$2=$BS$1,$BS110,IF(AU$2=$BT$1,$BT110,IF(AU$2=$BU$1,$BU110,INDEX(Tiere!$BN$2:$BN$145,_xlfn.AGGREGATE(15,6,(ROW(Tiere!$BN$2:$BN$145)-1)/(--(SEARCH(AU$2,Tiere!$BN$2:$BN$145)&gt;0)),ROW()-1),1))))))))),"")</f>
        <v/>
      </c>
      <c r="AU111" s="2438"/>
      <c r="AV111" s="2472" t="str">
        <f>IFERROR(IF(OR(AW$2="ZURÜCK ZUR AUSWAHL",AW$2="",AW$2=0),"",IF(AW$2=$BO$1,$BO110,IF(AW$2=$BP$1,$BP110,IF(AW$2=$BQ$1,$BQ110,IF(AW$2=$BR$1,$BR110,IF(AW$2=$BS$1,$BS110,IF(AW$2=$BT$1,$BT110,IF(AW$2=$BU$1,$BU110,INDEX(Tiere!$BN$2:$BN$145,_xlfn.AGGREGATE(15,6,(ROW(Tiere!$BN$2:$BN$145)-1)/(--(SEARCH(AW$2,Tiere!$BN$2:$BN$145)&gt;0)),ROW()-1),1))))))))),"")</f>
        <v/>
      </c>
      <c r="AW111" s="2438"/>
      <c r="AX111" s="2472" t="str">
        <f>IFERROR(IF(OR(AY$2="ZURÜCK ZUR AUSWAHL",AY$2="",AY$2=0),"",IF(AY$2=$BO$1,$BO110,IF(AY$2=$BP$1,$BP110,IF(AY$2=$BQ$1,$BQ110,IF(AY$2=$BR$1,$BR110,IF(AY$2=$BS$1,$BS110,IF(AY$2=$BT$1,$BT110,IF(AY$2=$BU$1,$BU110,INDEX(Tiere!$BN$2:$BN$145,_xlfn.AGGREGATE(15,6,(ROW(Tiere!$BN$2:$BN$145)-1)/(--(SEARCH(AY$2,Tiere!$BN$2:$BN$145)&gt;0)),ROW()-1),1))))))))),"")</f>
        <v/>
      </c>
      <c r="AY111" s="2438"/>
      <c r="AZ111" s="2472" t="str">
        <f>IFERROR(IF(OR(BA$2="ZURÜCK ZUR AUSWAHL",BA$2="",BA$2=0),"",IF(BA$2=$BO$1,$BO110,IF(BA$2=$BP$1,$BP110,IF(BA$2=$BQ$1,$BQ110,IF(BA$2=$BR$1,$BR110,IF(BA$2=$BS$1,$BS110,IF(BA$2=$BT$1,$BT110,IF(BA$2=$BU$1,$BU110,INDEX(Tiere!$BN$2:$BN$145,_xlfn.AGGREGATE(15,6,(ROW(Tiere!$BN$2:$BN$145)-1)/(--(SEARCH(BA$2,Tiere!$BN$2:$BN$145)&gt;0)),ROW()-1),1))))))))),"")</f>
        <v/>
      </c>
      <c r="BA111" s="2438"/>
      <c r="BB111" s="2472" t="str">
        <f>IFERROR(IF(OR(BC$2="ZURÜCK ZUR AUSWAHL",BC$2="",BC$2=0),"",IF(BC$2=$BO$1,$BO110,IF(BC$2=$BP$1,$BP110,IF(BC$2=$BQ$1,$BQ110,IF(BC$2=$BR$1,$BR110,IF(BC$2=$BS$1,$BS110,IF(BC$2=$BT$1,$BT110,IF(BC$2=$BU$1,$BU110,INDEX(Tiere!$BN$2:$BN$145,_xlfn.AGGREGATE(15,6,(ROW(Tiere!$BN$2:$BN$145)-1)/(--(SEARCH(BC$2,Tiere!$BN$2:$BN$145)&gt;0)),ROW()-1),1))))))))),"")</f>
        <v/>
      </c>
      <c r="BC111" s="2438"/>
      <c r="BD111" s="2472" t="str">
        <f>IFERROR(IF(OR(BE$2="ZURÜCK ZUR AUSWAHL",BE$2="",BE$2=0),"",IF(BE$2=$BO$1,$BO110,IF(BE$2=$BP$1,$BP110,IF(BE$2=$BQ$1,$BQ110,IF(BE$2=$BR$1,$BR110,IF(BE$2=$BS$1,$BS110,IF(BE$2=$BT$1,$BT110,IF(BE$2=$BU$1,$BU110,INDEX(Tiere!$BN$2:$BN$145,_xlfn.AGGREGATE(15,6,(ROW(Tiere!$BN$2:$BN$145)-1)/(--(SEARCH(BE$2,Tiere!$BN$2:$BN$145)&gt;0)),ROW()-1),1))))))))),"")</f>
        <v/>
      </c>
      <c r="BE111" s="2438"/>
      <c r="BF111" s="2472" t="str">
        <f>IFERROR(IF(OR(BG$2="ZURÜCK ZUR AUSWAHL",BG$2="",BG$2=0),"",IF(BG$2=$BO$1,$BO110,IF(BG$2=$BP$1,$BP110,IF(BG$2=$BQ$1,$BQ110,IF(BG$2=$BR$1,$BR110,IF(BG$2=$BS$1,$BS110,IF(BG$2=$BT$1,$BT110,IF(BG$2=$BU$1,$BU110,INDEX(Tiere!$BN$2:$BN$145,_xlfn.AGGREGATE(15,6,(ROW(Tiere!$BN$2:$BN$145)-1)/(--(SEARCH(BG$2,Tiere!$BN$2:$BN$145)&gt;0)),ROW()-1),1))))))))),"")</f>
        <v/>
      </c>
      <c r="BG111" s="2438"/>
      <c r="BH111" s="2472" t="str">
        <f>IFERROR(IF(OR(BI$2="ZURÜCK ZUR AUSWAHL",BI$2="",BI$2=0),"",IF(BI$2=$BO$1,$BO110,IF(BI$2=$BP$1,$BP110,IF(BI$2=$BQ$1,$BQ110,IF(BI$2=$BR$1,$BR110,IF(BI$2=$BS$1,$BS110,IF(BI$2=$BT$1,$BT110,IF(BI$2=$BU$1,$BU110,INDEX(Tiere!$BN$2:$BN$145,_xlfn.AGGREGATE(15,6,(ROW(Tiere!$BN$2:$BN$145)-1)/(--(SEARCH(BI$2,Tiere!$BN$2:$BN$145)&gt;0)),ROW()-1),1))))))))),"")</f>
        <v/>
      </c>
      <c r="BI111" s="2438"/>
      <c r="BJ111" s="2472" t="str">
        <f>IFERROR(IF(OR(BK$2="ZURÜCK ZUR AUSWAHL",BK$2="",BK$2=0),"",IF(BK$2=$BO$1,$BO110,IF(BK$2=$BP$1,$BP110,IF(BK$2=$BQ$1,$BQ110,IF(BK$2=$BR$1,$BR110,IF(BK$2=$BS$1,$BS110,IF(BK$2=$BT$1,$BT110,IF(BK$2=$BU$1,$BU110,INDEX(Tiere!$BN$2:$BN$145,_xlfn.AGGREGATE(15,6,(ROW(Tiere!$BN$2:$BN$145)-1)/(--(SEARCH(BK$2,Tiere!$BN$2:$BN$145)&gt;0)),ROW()-1),1))))))))),"")</f>
        <v/>
      </c>
      <c r="BK111" s="2438"/>
      <c r="BL111" s="2472" t="str">
        <f>IFERROR(IF(OR(BM$2="ZURÜCK ZUR AUSWAHL",BM$2="",BM$2=0),"",IF(BM$2=$BO$1,$BO110,IF(BM$2=$BP$1,$BP110,IF(BM$2=$BQ$1,$BQ110,IF(BM$2=$BR$1,$BR110,IF(BM$2=$BS$1,$BS110,IF(BM$2=$BT$1,$BT110,IF(BM$2=$BU$1,$BU110,INDEX(Tiere!$BN$2:$BN$145,_xlfn.AGGREGATE(15,6,(ROW(Tiere!$BN$2:$BN$145)-1)/(--(SEARCH(BM$2,Tiere!$BN$2:$BN$145)&gt;0)),ROW()-1),1))))))))),"")</f>
        <v/>
      </c>
      <c r="BM111" s="2438"/>
      <c r="BN111" s="2478" t="s">
        <v>1289</v>
      </c>
      <c r="BO111" s="2470"/>
      <c r="BP111" s="2470"/>
      <c r="BQ111" s="2470"/>
      <c r="BR111" s="2470"/>
      <c r="BS111" s="2470"/>
      <c r="BT111" s="2470"/>
      <c r="BU111" s="2470"/>
    </row>
    <row r="112" spans="36:73" ht="13.8" thickBot="1">
      <c r="AJ112" s="2472" t="str">
        <f>IFERROR(IF(OR(AK$2="ZURÜCK ZUR AUSWAHL",AK$2="",AK$2=0),"",IF(AK$2=$BO$1,$BO111,IF(AK$2=$BP$1,$BP111,IF(AK$2=$BQ$1,$BQ111,IF(AK$2=$BR$1,$BR111,IF(AK$2=$BS$1,$BS111,IF(AK$2=$BT$1,$BT111,IF(AK$2=$BU$1,$BU111,INDEX(Tiere!$BN$2:$BN$145,_xlfn.AGGREGATE(15,6,(ROW(Tiere!$BN$2:$BN$145)-1)/(--(SEARCH(AK$2,Tiere!$BN$2:$BN$145)&gt;0)),ROW()-2),1))))))))),"")</f>
        <v/>
      </c>
      <c r="AK112" s="2436"/>
      <c r="AL112" s="2472" t="str">
        <f>IFERROR(IF(OR(AM$2="ZURÜCK ZUR AUSWAHL",AM$2="",AM$2=0),"",IF(AM$2=$BO$1,$BO111,IF(AM$2=$BP$1,$BP111,IF(AM$2=$BQ$1,$BQ111,IF(AM$2=$BR$1,$BR111,IF(AM$2=$BS$1,$BS111,IF(AM$2=$BT$1,$BT111,IF(AM$2=$BU$1,$BU111,INDEX(Tiere!$BN$2:$BN$145,_xlfn.AGGREGATE(15,6,(ROW(Tiere!$BN$2:$BN$145)-1)/(--(SEARCH(AM$2,Tiere!$BN$2:$BN$145)&gt;0)),ROW()-1),1))))))))),"")</f>
        <v/>
      </c>
      <c r="AM112" s="2436"/>
      <c r="AN112" s="2472" t="str">
        <f>IFERROR(IF(OR(AO$2="ZURÜCK ZUR AUSWAHL",AO$2="",AO$2=0),"",IF(AO$2=$BO$1,$BO111,IF(AO$2=$BP$1,$BP111,IF(AO$2=$BQ$1,$BQ111,IF(AO$2=$BR$1,$BR111,IF(AO$2=$BS$1,$BS111,IF(AO$2=$BT$1,$BT111,IF(AO$2=$BU$1,$BU111,INDEX(Tiere!$BN$2:$BN$145,_xlfn.AGGREGATE(15,6,(ROW(Tiere!$BN$2:$BN$145)-1)/(--(SEARCH(AO$2,Tiere!$BN$2:$BN$145)&gt;0)),ROW()-1),1))))))))),"")</f>
        <v/>
      </c>
      <c r="AO112" s="2436"/>
      <c r="AP112" s="2472" t="str">
        <f>IFERROR(IF(OR(AQ$2="ZURÜCK ZUR AUSWAHL",AQ$2="",AQ$2=0),"",IF(AQ$2=$BO$1,$BO111,IF(AQ$2=$BP$1,$BP111,IF(AQ$2=$BQ$1,$BQ111,IF(AQ$2=$BR$1,$BR111,IF(AQ$2=$BS$1,$BS111,IF(AQ$2=$BT$1,$BT111,IF(AQ$2=$BU$1,$BU111,INDEX(Tiere!$BN$2:$BN$145,_xlfn.AGGREGATE(15,6,(ROW(Tiere!$BN$2:$BN$145)-1)/(--(SEARCH(AQ$2,Tiere!$BN$2:$BN$145)&gt;0)),ROW()-1),1))))))))),"")</f>
        <v/>
      </c>
      <c r="AQ112" s="2436"/>
      <c r="AR112" s="2472" t="str">
        <f>IFERROR(IF(OR(AS$2="ZURÜCK ZUR AUSWAHL",AS$2="",AS$2=0),"",IF(AS$2=$BO$1,$BO111,IF(AS$2=$BP$1,$BP111,IF(AS$2=$BQ$1,$BQ111,IF(AS$2=$BR$1,$BR111,IF(AS$2=$BS$1,$BS111,IF(AS$2=$BT$1,$BT111,IF(AS$2=$BU$1,$BU111,INDEX(Tiere!$BN$2:$BN$145,_xlfn.AGGREGATE(15,6,(ROW(Tiere!$BN$2:$BN$145)-1)/(--(SEARCH(AS$2,Tiere!$BN$2:$BN$145)&gt;0)),ROW()-1),1))))))))),"")</f>
        <v/>
      </c>
      <c r="AS112" s="2436"/>
      <c r="AT112" s="2472" t="str">
        <f>IFERROR(IF(OR(AU$2="ZURÜCK ZUR AUSWAHL",AU$2="",AU$2=0),"",IF(AU$2=$BO$1,$BO111,IF(AU$2=$BP$1,$BP111,IF(AU$2=$BQ$1,$BQ111,IF(AU$2=$BR$1,$BR111,IF(AU$2=$BS$1,$BS111,IF(AU$2=$BT$1,$BT111,IF(AU$2=$BU$1,$BU111,INDEX(Tiere!$BN$2:$BN$145,_xlfn.AGGREGATE(15,6,(ROW(Tiere!$BN$2:$BN$145)-1)/(--(SEARCH(AU$2,Tiere!$BN$2:$BN$145)&gt;0)),ROW()-1),1))))))))),"")</f>
        <v/>
      </c>
      <c r="AU112" s="2436"/>
      <c r="AV112" s="2472" t="str">
        <f>IFERROR(IF(OR(AW$2="ZURÜCK ZUR AUSWAHL",AW$2="",AW$2=0),"",IF(AW$2=$BO$1,$BO111,IF(AW$2=$BP$1,$BP111,IF(AW$2=$BQ$1,$BQ111,IF(AW$2=$BR$1,$BR111,IF(AW$2=$BS$1,$BS111,IF(AW$2=$BT$1,$BT111,IF(AW$2=$BU$1,$BU111,INDEX(Tiere!$BN$2:$BN$145,_xlfn.AGGREGATE(15,6,(ROW(Tiere!$BN$2:$BN$145)-1)/(--(SEARCH(AW$2,Tiere!$BN$2:$BN$145)&gt;0)),ROW()-1),1))))))))),"")</f>
        <v/>
      </c>
      <c r="AW112" s="2436"/>
      <c r="AX112" s="2472" t="str">
        <f>IFERROR(IF(OR(AY$2="ZURÜCK ZUR AUSWAHL",AY$2="",AY$2=0),"",IF(AY$2=$BO$1,$BO111,IF(AY$2=$BP$1,$BP111,IF(AY$2=$BQ$1,$BQ111,IF(AY$2=$BR$1,$BR111,IF(AY$2=$BS$1,$BS111,IF(AY$2=$BT$1,$BT111,IF(AY$2=$BU$1,$BU111,INDEX(Tiere!$BN$2:$BN$145,_xlfn.AGGREGATE(15,6,(ROW(Tiere!$BN$2:$BN$145)-1)/(--(SEARCH(AY$2,Tiere!$BN$2:$BN$145)&gt;0)),ROW()-1),1))))))))),"")</f>
        <v/>
      </c>
      <c r="AY112" s="2436"/>
      <c r="AZ112" s="2472" t="str">
        <f>IFERROR(IF(OR(BA$2="ZURÜCK ZUR AUSWAHL",BA$2="",BA$2=0),"",IF(BA$2=$BO$1,$BO111,IF(BA$2=$BP$1,$BP111,IF(BA$2=$BQ$1,$BQ111,IF(BA$2=$BR$1,$BR111,IF(BA$2=$BS$1,$BS111,IF(BA$2=$BT$1,$BT111,IF(BA$2=$BU$1,$BU111,INDEX(Tiere!$BN$2:$BN$145,_xlfn.AGGREGATE(15,6,(ROW(Tiere!$BN$2:$BN$145)-1)/(--(SEARCH(BA$2,Tiere!$BN$2:$BN$145)&gt;0)),ROW()-1),1))))))))),"")</f>
        <v/>
      </c>
      <c r="BA112" s="2436"/>
      <c r="BB112" s="2472" t="str">
        <f>IFERROR(IF(OR(BC$2="ZURÜCK ZUR AUSWAHL",BC$2="",BC$2=0),"",IF(BC$2=$BO$1,$BO111,IF(BC$2=$BP$1,$BP111,IF(BC$2=$BQ$1,$BQ111,IF(BC$2=$BR$1,$BR111,IF(BC$2=$BS$1,$BS111,IF(BC$2=$BT$1,$BT111,IF(BC$2=$BU$1,$BU111,INDEX(Tiere!$BN$2:$BN$145,_xlfn.AGGREGATE(15,6,(ROW(Tiere!$BN$2:$BN$145)-1)/(--(SEARCH(BC$2,Tiere!$BN$2:$BN$145)&gt;0)),ROW()-1),1))))))))),"")</f>
        <v/>
      </c>
      <c r="BC112" s="2436"/>
      <c r="BD112" s="2472" t="str">
        <f>IFERROR(IF(OR(BE$2="ZURÜCK ZUR AUSWAHL",BE$2="",BE$2=0),"",IF(BE$2=$BO$1,$BO111,IF(BE$2=$BP$1,$BP111,IF(BE$2=$BQ$1,$BQ111,IF(BE$2=$BR$1,$BR111,IF(BE$2=$BS$1,$BS111,IF(BE$2=$BT$1,$BT111,IF(BE$2=$BU$1,$BU111,INDEX(Tiere!$BN$2:$BN$145,_xlfn.AGGREGATE(15,6,(ROW(Tiere!$BN$2:$BN$145)-1)/(--(SEARCH(BE$2,Tiere!$BN$2:$BN$145)&gt;0)),ROW()-1),1))))))))),"")</f>
        <v/>
      </c>
      <c r="BE112" s="2436"/>
      <c r="BF112" s="2472" t="str">
        <f>IFERROR(IF(OR(BG$2="ZURÜCK ZUR AUSWAHL",BG$2="",BG$2=0),"",IF(BG$2=$BO$1,$BO111,IF(BG$2=$BP$1,$BP111,IF(BG$2=$BQ$1,$BQ111,IF(BG$2=$BR$1,$BR111,IF(BG$2=$BS$1,$BS111,IF(BG$2=$BT$1,$BT111,IF(BG$2=$BU$1,$BU111,INDEX(Tiere!$BN$2:$BN$145,_xlfn.AGGREGATE(15,6,(ROW(Tiere!$BN$2:$BN$145)-1)/(--(SEARCH(BG$2,Tiere!$BN$2:$BN$145)&gt;0)),ROW()-1),1))))))))),"")</f>
        <v/>
      </c>
      <c r="BG112" s="2436"/>
      <c r="BH112" s="2472" t="str">
        <f>IFERROR(IF(OR(BI$2="ZURÜCK ZUR AUSWAHL",BI$2="",BI$2=0),"",IF(BI$2=$BO$1,$BO111,IF(BI$2=$BP$1,$BP111,IF(BI$2=$BQ$1,$BQ111,IF(BI$2=$BR$1,$BR111,IF(BI$2=$BS$1,$BS111,IF(BI$2=$BT$1,$BT111,IF(BI$2=$BU$1,$BU111,INDEX(Tiere!$BN$2:$BN$145,_xlfn.AGGREGATE(15,6,(ROW(Tiere!$BN$2:$BN$145)-1)/(--(SEARCH(BI$2,Tiere!$BN$2:$BN$145)&gt;0)),ROW()-1),1))))))))),"")</f>
        <v/>
      </c>
      <c r="BI112" s="2436"/>
      <c r="BJ112" s="2472" t="str">
        <f>IFERROR(IF(OR(BK$2="ZURÜCK ZUR AUSWAHL",BK$2="",BK$2=0),"",IF(BK$2=$BO$1,$BO111,IF(BK$2=$BP$1,$BP111,IF(BK$2=$BQ$1,$BQ111,IF(BK$2=$BR$1,$BR111,IF(BK$2=$BS$1,$BS111,IF(BK$2=$BT$1,$BT111,IF(BK$2=$BU$1,$BU111,INDEX(Tiere!$BN$2:$BN$145,_xlfn.AGGREGATE(15,6,(ROW(Tiere!$BN$2:$BN$145)-1)/(--(SEARCH(BK$2,Tiere!$BN$2:$BN$145)&gt;0)),ROW()-1),1))))))))),"")</f>
        <v/>
      </c>
      <c r="BK112" s="2436"/>
      <c r="BL112" s="2472" t="str">
        <f>IFERROR(IF(OR(BM$2="ZURÜCK ZUR AUSWAHL",BM$2="",BM$2=0),"",IF(BM$2=$BO$1,$BO111,IF(BM$2=$BP$1,$BP111,IF(BM$2=$BQ$1,$BQ111,IF(BM$2=$BR$1,$BR111,IF(BM$2=$BS$1,$BS111,IF(BM$2=$BT$1,$BT111,IF(BM$2=$BU$1,$BU111,INDEX(Tiere!$BN$2:$BN$145,_xlfn.AGGREGATE(15,6,(ROW(Tiere!$BN$2:$BN$145)-1)/(--(SEARCH(BM$2,Tiere!$BN$2:$BN$145)&gt;0)),ROW()-1),1))))))))),"")</f>
        <v/>
      </c>
      <c r="BM112" s="2436"/>
      <c r="BN112" s="2478" t="s">
        <v>1290</v>
      </c>
      <c r="BO112" s="2470"/>
      <c r="BP112" s="2470"/>
      <c r="BQ112" s="2470"/>
      <c r="BR112" s="2470"/>
      <c r="BS112" s="2470"/>
      <c r="BT112" s="2470"/>
      <c r="BU112" s="2470"/>
    </row>
    <row r="113" spans="36:73" ht="13.8" thickBot="1">
      <c r="AJ113" s="2472" t="str">
        <f>IFERROR(IF(OR(AK$2="ZURÜCK ZUR AUSWAHL",AK$2="",AK$2=0),"",IF(AK$2=$BO$1,$BO112,IF(AK$2=$BP$1,$BP112,IF(AK$2=$BQ$1,$BQ112,IF(AK$2=$BR$1,$BR112,IF(AK$2=$BS$1,$BS112,IF(AK$2=$BT$1,$BT112,IF(AK$2=$BU$1,$BU112,INDEX(Tiere!$BN$2:$BN$145,_xlfn.AGGREGATE(15,6,(ROW(Tiere!$BN$2:$BN$145)-1)/(--(SEARCH(AK$2,Tiere!$BN$2:$BN$145)&gt;0)),ROW()-2),1))))))))),"")</f>
        <v/>
      </c>
      <c r="AK113" s="2438"/>
      <c r="AL113" s="2472" t="str">
        <f>IFERROR(IF(OR(AM$2="ZURÜCK ZUR AUSWAHL",AM$2="",AM$2=0),"",IF(AM$2=$BO$1,$BO112,IF(AM$2=$BP$1,$BP112,IF(AM$2=$BQ$1,$BQ112,IF(AM$2=$BR$1,$BR112,IF(AM$2=$BS$1,$BS112,IF(AM$2=$BT$1,$BT112,IF(AM$2=$BU$1,$BU112,INDEX(Tiere!$BN$2:$BN$145,_xlfn.AGGREGATE(15,6,(ROW(Tiere!$BN$2:$BN$145)-1)/(--(SEARCH(AM$2,Tiere!$BN$2:$BN$145)&gt;0)),ROW()-1),1))))))))),"")</f>
        <v/>
      </c>
      <c r="AM113" s="2438"/>
      <c r="AN113" s="2472" t="str">
        <f>IFERROR(IF(OR(AO$2="ZURÜCK ZUR AUSWAHL",AO$2="",AO$2=0),"",IF(AO$2=$BO$1,$BO112,IF(AO$2=$BP$1,$BP112,IF(AO$2=$BQ$1,$BQ112,IF(AO$2=$BR$1,$BR112,IF(AO$2=$BS$1,$BS112,IF(AO$2=$BT$1,$BT112,IF(AO$2=$BU$1,$BU112,INDEX(Tiere!$BN$2:$BN$145,_xlfn.AGGREGATE(15,6,(ROW(Tiere!$BN$2:$BN$145)-1)/(--(SEARCH(AO$2,Tiere!$BN$2:$BN$145)&gt;0)),ROW()-1),1))))))))),"")</f>
        <v/>
      </c>
      <c r="AO113" s="2438"/>
      <c r="AP113" s="2472" t="str">
        <f>IFERROR(IF(OR(AQ$2="ZURÜCK ZUR AUSWAHL",AQ$2="",AQ$2=0),"",IF(AQ$2=$BO$1,$BO112,IF(AQ$2=$BP$1,$BP112,IF(AQ$2=$BQ$1,$BQ112,IF(AQ$2=$BR$1,$BR112,IF(AQ$2=$BS$1,$BS112,IF(AQ$2=$BT$1,$BT112,IF(AQ$2=$BU$1,$BU112,INDEX(Tiere!$BN$2:$BN$145,_xlfn.AGGREGATE(15,6,(ROW(Tiere!$BN$2:$BN$145)-1)/(--(SEARCH(AQ$2,Tiere!$BN$2:$BN$145)&gt;0)),ROW()-1),1))))))))),"")</f>
        <v/>
      </c>
      <c r="AQ113" s="2438"/>
      <c r="AR113" s="2472" t="str">
        <f>IFERROR(IF(OR(AS$2="ZURÜCK ZUR AUSWAHL",AS$2="",AS$2=0),"",IF(AS$2=$BO$1,$BO112,IF(AS$2=$BP$1,$BP112,IF(AS$2=$BQ$1,$BQ112,IF(AS$2=$BR$1,$BR112,IF(AS$2=$BS$1,$BS112,IF(AS$2=$BT$1,$BT112,IF(AS$2=$BU$1,$BU112,INDEX(Tiere!$BN$2:$BN$145,_xlfn.AGGREGATE(15,6,(ROW(Tiere!$BN$2:$BN$145)-1)/(--(SEARCH(AS$2,Tiere!$BN$2:$BN$145)&gt;0)),ROW()-1),1))))))))),"")</f>
        <v/>
      </c>
      <c r="AS113" s="2438"/>
      <c r="AT113" s="2472" t="str">
        <f>IFERROR(IF(OR(AU$2="ZURÜCK ZUR AUSWAHL",AU$2="",AU$2=0),"",IF(AU$2=$BO$1,$BO112,IF(AU$2=$BP$1,$BP112,IF(AU$2=$BQ$1,$BQ112,IF(AU$2=$BR$1,$BR112,IF(AU$2=$BS$1,$BS112,IF(AU$2=$BT$1,$BT112,IF(AU$2=$BU$1,$BU112,INDEX(Tiere!$BN$2:$BN$145,_xlfn.AGGREGATE(15,6,(ROW(Tiere!$BN$2:$BN$145)-1)/(--(SEARCH(AU$2,Tiere!$BN$2:$BN$145)&gt;0)),ROW()-1),1))))))))),"")</f>
        <v/>
      </c>
      <c r="AU113" s="2438"/>
      <c r="AV113" s="2472" t="str">
        <f>IFERROR(IF(OR(AW$2="ZURÜCK ZUR AUSWAHL",AW$2="",AW$2=0),"",IF(AW$2=$BO$1,$BO112,IF(AW$2=$BP$1,$BP112,IF(AW$2=$BQ$1,$BQ112,IF(AW$2=$BR$1,$BR112,IF(AW$2=$BS$1,$BS112,IF(AW$2=$BT$1,$BT112,IF(AW$2=$BU$1,$BU112,INDEX(Tiere!$BN$2:$BN$145,_xlfn.AGGREGATE(15,6,(ROW(Tiere!$BN$2:$BN$145)-1)/(--(SEARCH(AW$2,Tiere!$BN$2:$BN$145)&gt;0)),ROW()-1),1))))))))),"")</f>
        <v/>
      </c>
      <c r="AW113" s="2438"/>
      <c r="AX113" s="2472" t="str">
        <f>IFERROR(IF(OR(AY$2="ZURÜCK ZUR AUSWAHL",AY$2="",AY$2=0),"",IF(AY$2=$BO$1,$BO112,IF(AY$2=$BP$1,$BP112,IF(AY$2=$BQ$1,$BQ112,IF(AY$2=$BR$1,$BR112,IF(AY$2=$BS$1,$BS112,IF(AY$2=$BT$1,$BT112,IF(AY$2=$BU$1,$BU112,INDEX(Tiere!$BN$2:$BN$145,_xlfn.AGGREGATE(15,6,(ROW(Tiere!$BN$2:$BN$145)-1)/(--(SEARCH(AY$2,Tiere!$BN$2:$BN$145)&gt;0)),ROW()-1),1))))))))),"")</f>
        <v/>
      </c>
      <c r="AY113" s="2438"/>
      <c r="AZ113" s="2472" t="str">
        <f>IFERROR(IF(OR(BA$2="ZURÜCK ZUR AUSWAHL",BA$2="",BA$2=0),"",IF(BA$2=$BO$1,$BO112,IF(BA$2=$BP$1,$BP112,IF(BA$2=$BQ$1,$BQ112,IF(BA$2=$BR$1,$BR112,IF(BA$2=$BS$1,$BS112,IF(BA$2=$BT$1,$BT112,IF(BA$2=$BU$1,$BU112,INDEX(Tiere!$BN$2:$BN$145,_xlfn.AGGREGATE(15,6,(ROW(Tiere!$BN$2:$BN$145)-1)/(--(SEARCH(BA$2,Tiere!$BN$2:$BN$145)&gt;0)),ROW()-1),1))))))))),"")</f>
        <v/>
      </c>
      <c r="BA113" s="2438"/>
      <c r="BB113" s="2472" t="str">
        <f>IFERROR(IF(OR(BC$2="ZURÜCK ZUR AUSWAHL",BC$2="",BC$2=0),"",IF(BC$2=$BO$1,$BO112,IF(BC$2=$BP$1,$BP112,IF(BC$2=$BQ$1,$BQ112,IF(BC$2=$BR$1,$BR112,IF(BC$2=$BS$1,$BS112,IF(BC$2=$BT$1,$BT112,IF(BC$2=$BU$1,$BU112,INDEX(Tiere!$BN$2:$BN$145,_xlfn.AGGREGATE(15,6,(ROW(Tiere!$BN$2:$BN$145)-1)/(--(SEARCH(BC$2,Tiere!$BN$2:$BN$145)&gt;0)),ROW()-1),1))))))))),"")</f>
        <v/>
      </c>
      <c r="BC113" s="2438"/>
      <c r="BD113" s="2472" t="str">
        <f>IFERROR(IF(OR(BE$2="ZURÜCK ZUR AUSWAHL",BE$2="",BE$2=0),"",IF(BE$2=$BO$1,$BO112,IF(BE$2=$BP$1,$BP112,IF(BE$2=$BQ$1,$BQ112,IF(BE$2=$BR$1,$BR112,IF(BE$2=$BS$1,$BS112,IF(BE$2=$BT$1,$BT112,IF(BE$2=$BU$1,$BU112,INDEX(Tiere!$BN$2:$BN$145,_xlfn.AGGREGATE(15,6,(ROW(Tiere!$BN$2:$BN$145)-1)/(--(SEARCH(BE$2,Tiere!$BN$2:$BN$145)&gt;0)),ROW()-1),1))))))))),"")</f>
        <v/>
      </c>
      <c r="BE113" s="2438"/>
      <c r="BF113" s="2472" t="str">
        <f>IFERROR(IF(OR(BG$2="ZURÜCK ZUR AUSWAHL",BG$2="",BG$2=0),"",IF(BG$2=$BO$1,$BO112,IF(BG$2=$BP$1,$BP112,IF(BG$2=$BQ$1,$BQ112,IF(BG$2=$BR$1,$BR112,IF(BG$2=$BS$1,$BS112,IF(BG$2=$BT$1,$BT112,IF(BG$2=$BU$1,$BU112,INDEX(Tiere!$BN$2:$BN$145,_xlfn.AGGREGATE(15,6,(ROW(Tiere!$BN$2:$BN$145)-1)/(--(SEARCH(BG$2,Tiere!$BN$2:$BN$145)&gt;0)),ROW()-1),1))))))))),"")</f>
        <v/>
      </c>
      <c r="BG113" s="2438"/>
      <c r="BH113" s="2472" t="str">
        <f>IFERROR(IF(OR(BI$2="ZURÜCK ZUR AUSWAHL",BI$2="",BI$2=0),"",IF(BI$2=$BO$1,$BO112,IF(BI$2=$BP$1,$BP112,IF(BI$2=$BQ$1,$BQ112,IF(BI$2=$BR$1,$BR112,IF(BI$2=$BS$1,$BS112,IF(BI$2=$BT$1,$BT112,IF(BI$2=$BU$1,$BU112,INDEX(Tiere!$BN$2:$BN$145,_xlfn.AGGREGATE(15,6,(ROW(Tiere!$BN$2:$BN$145)-1)/(--(SEARCH(BI$2,Tiere!$BN$2:$BN$145)&gt;0)),ROW()-1),1))))))))),"")</f>
        <v/>
      </c>
      <c r="BI113" s="2438"/>
      <c r="BJ113" s="2472" t="str">
        <f>IFERROR(IF(OR(BK$2="ZURÜCK ZUR AUSWAHL",BK$2="",BK$2=0),"",IF(BK$2=$BO$1,$BO112,IF(BK$2=$BP$1,$BP112,IF(BK$2=$BQ$1,$BQ112,IF(BK$2=$BR$1,$BR112,IF(BK$2=$BS$1,$BS112,IF(BK$2=$BT$1,$BT112,IF(BK$2=$BU$1,$BU112,INDEX(Tiere!$BN$2:$BN$145,_xlfn.AGGREGATE(15,6,(ROW(Tiere!$BN$2:$BN$145)-1)/(--(SEARCH(BK$2,Tiere!$BN$2:$BN$145)&gt;0)),ROW()-1),1))))))))),"")</f>
        <v/>
      </c>
      <c r="BK113" s="2438"/>
      <c r="BL113" s="2472" t="str">
        <f>IFERROR(IF(OR(BM$2="ZURÜCK ZUR AUSWAHL",BM$2="",BM$2=0),"",IF(BM$2=$BO$1,$BO112,IF(BM$2=$BP$1,$BP112,IF(BM$2=$BQ$1,$BQ112,IF(BM$2=$BR$1,$BR112,IF(BM$2=$BS$1,$BS112,IF(BM$2=$BT$1,$BT112,IF(BM$2=$BU$1,$BU112,INDEX(Tiere!$BN$2:$BN$145,_xlfn.AGGREGATE(15,6,(ROW(Tiere!$BN$2:$BN$145)-1)/(--(SEARCH(BM$2,Tiere!$BN$2:$BN$145)&gt;0)),ROW()-1),1))))))))),"")</f>
        <v/>
      </c>
      <c r="BM113" s="2438"/>
      <c r="BN113" s="2478" t="s">
        <v>1291</v>
      </c>
      <c r="BO113" s="2470"/>
      <c r="BP113" s="2470"/>
      <c r="BQ113" s="2470"/>
      <c r="BR113" s="2470"/>
      <c r="BS113" s="2470"/>
      <c r="BT113" s="2470"/>
      <c r="BU113" s="2470"/>
    </row>
    <row r="114" spans="36:73" ht="13.8" thickBot="1">
      <c r="AJ114" s="2472" t="str">
        <f>IFERROR(IF(OR(AK$2="ZURÜCK ZUR AUSWAHL",AK$2="",AK$2=0),"",IF(AK$2=$BO$1,$BO113,IF(AK$2=$BP$1,$BP113,IF(AK$2=$BQ$1,$BQ113,IF(AK$2=$BR$1,$BR113,IF(AK$2=$BS$1,$BS113,IF(AK$2=$BT$1,$BT113,IF(AK$2=$BU$1,$BU113,INDEX(Tiere!$BN$2:$BN$145,_xlfn.AGGREGATE(15,6,(ROW(Tiere!$BN$2:$BN$145)-1)/(--(SEARCH(AK$2,Tiere!$BN$2:$BN$145)&gt;0)),ROW()-2),1))))))))),"")</f>
        <v/>
      </c>
      <c r="AK114" s="2436"/>
      <c r="AL114" s="2472" t="str">
        <f>IFERROR(IF(OR(AM$2="ZURÜCK ZUR AUSWAHL",AM$2="",AM$2=0),"",IF(AM$2=$BO$1,$BO113,IF(AM$2=$BP$1,$BP113,IF(AM$2=$BQ$1,$BQ113,IF(AM$2=$BR$1,$BR113,IF(AM$2=$BS$1,$BS113,IF(AM$2=$BT$1,$BT113,IF(AM$2=$BU$1,$BU113,INDEX(Tiere!$BN$2:$BN$145,_xlfn.AGGREGATE(15,6,(ROW(Tiere!$BN$2:$BN$145)-1)/(--(SEARCH(AM$2,Tiere!$BN$2:$BN$145)&gt;0)),ROW()-1),1))))))))),"")</f>
        <v/>
      </c>
      <c r="AM114" s="2436"/>
      <c r="AN114" s="2472" t="str">
        <f>IFERROR(IF(OR(AO$2="ZURÜCK ZUR AUSWAHL",AO$2="",AO$2=0),"",IF(AO$2=$BO$1,$BO113,IF(AO$2=$BP$1,$BP113,IF(AO$2=$BQ$1,$BQ113,IF(AO$2=$BR$1,$BR113,IF(AO$2=$BS$1,$BS113,IF(AO$2=$BT$1,$BT113,IF(AO$2=$BU$1,$BU113,INDEX(Tiere!$BN$2:$BN$145,_xlfn.AGGREGATE(15,6,(ROW(Tiere!$BN$2:$BN$145)-1)/(--(SEARCH(AO$2,Tiere!$BN$2:$BN$145)&gt;0)),ROW()-1),1))))))))),"")</f>
        <v/>
      </c>
      <c r="AO114" s="2436"/>
      <c r="AP114" s="2472" t="str">
        <f>IFERROR(IF(OR(AQ$2="ZURÜCK ZUR AUSWAHL",AQ$2="",AQ$2=0),"",IF(AQ$2=$BO$1,$BO113,IF(AQ$2=$BP$1,$BP113,IF(AQ$2=$BQ$1,$BQ113,IF(AQ$2=$BR$1,$BR113,IF(AQ$2=$BS$1,$BS113,IF(AQ$2=$BT$1,$BT113,IF(AQ$2=$BU$1,$BU113,INDEX(Tiere!$BN$2:$BN$145,_xlfn.AGGREGATE(15,6,(ROW(Tiere!$BN$2:$BN$145)-1)/(--(SEARCH(AQ$2,Tiere!$BN$2:$BN$145)&gt;0)),ROW()-1),1))))))))),"")</f>
        <v/>
      </c>
      <c r="AQ114" s="2436"/>
      <c r="AR114" s="2472" t="str">
        <f>IFERROR(IF(OR(AS$2="ZURÜCK ZUR AUSWAHL",AS$2="",AS$2=0),"",IF(AS$2=$BO$1,$BO113,IF(AS$2=$BP$1,$BP113,IF(AS$2=$BQ$1,$BQ113,IF(AS$2=$BR$1,$BR113,IF(AS$2=$BS$1,$BS113,IF(AS$2=$BT$1,$BT113,IF(AS$2=$BU$1,$BU113,INDEX(Tiere!$BN$2:$BN$145,_xlfn.AGGREGATE(15,6,(ROW(Tiere!$BN$2:$BN$145)-1)/(--(SEARCH(AS$2,Tiere!$BN$2:$BN$145)&gt;0)),ROW()-1),1))))))))),"")</f>
        <v/>
      </c>
      <c r="AS114" s="2436"/>
      <c r="AT114" s="2472" t="str">
        <f>IFERROR(IF(OR(AU$2="ZURÜCK ZUR AUSWAHL",AU$2="",AU$2=0),"",IF(AU$2=$BO$1,$BO113,IF(AU$2=$BP$1,$BP113,IF(AU$2=$BQ$1,$BQ113,IF(AU$2=$BR$1,$BR113,IF(AU$2=$BS$1,$BS113,IF(AU$2=$BT$1,$BT113,IF(AU$2=$BU$1,$BU113,INDEX(Tiere!$BN$2:$BN$145,_xlfn.AGGREGATE(15,6,(ROW(Tiere!$BN$2:$BN$145)-1)/(--(SEARCH(AU$2,Tiere!$BN$2:$BN$145)&gt;0)),ROW()-1),1))))))))),"")</f>
        <v/>
      </c>
      <c r="AU114" s="2436"/>
      <c r="AV114" s="2472" t="str">
        <f>IFERROR(IF(OR(AW$2="ZURÜCK ZUR AUSWAHL",AW$2="",AW$2=0),"",IF(AW$2=$BO$1,$BO113,IF(AW$2=$BP$1,$BP113,IF(AW$2=$BQ$1,$BQ113,IF(AW$2=$BR$1,$BR113,IF(AW$2=$BS$1,$BS113,IF(AW$2=$BT$1,$BT113,IF(AW$2=$BU$1,$BU113,INDEX(Tiere!$BN$2:$BN$145,_xlfn.AGGREGATE(15,6,(ROW(Tiere!$BN$2:$BN$145)-1)/(--(SEARCH(AW$2,Tiere!$BN$2:$BN$145)&gt;0)),ROW()-1),1))))))))),"")</f>
        <v/>
      </c>
      <c r="AW114" s="2436"/>
      <c r="AX114" s="2472" t="str">
        <f>IFERROR(IF(OR(AY$2="ZURÜCK ZUR AUSWAHL",AY$2="",AY$2=0),"",IF(AY$2=$BO$1,$BO113,IF(AY$2=$BP$1,$BP113,IF(AY$2=$BQ$1,$BQ113,IF(AY$2=$BR$1,$BR113,IF(AY$2=$BS$1,$BS113,IF(AY$2=$BT$1,$BT113,IF(AY$2=$BU$1,$BU113,INDEX(Tiere!$BN$2:$BN$145,_xlfn.AGGREGATE(15,6,(ROW(Tiere!$BN$2:$BN$145)-1)/(--(SEARCH(AY$2,Tiere!$BN$2:$BN$145)&gt;0)),ROW()-1),1))))))))),"")</f>
        <v/>
      </c>
      <c r="AY114" s="2436"/>
      <c r="AZ114" s="2472" t="str">
        <f>IFERROR(IF(OR(BA$2="ZURÜCK ZUR AUSWAHL",BA$2="",BA$2=0),"",IF(BA$2=$BO$1,$BO113,IF(BA$2=$BP$1,$BP113,IF(BA$2=$BQ$1,$BQ113,IF(BA$2=$BR$1,$BR113,IF(BA$2=$BS$1,$BS113,IF(BA$2=$BT$1,$BT113,IF(BA$2=$BU$1,$BU113,INDEX(Tiere!$BN$2:$BN$145,_xlfn.AGGREGATE(15,6,(ROW(Tiere!$BN$2:$BN$145)-1)/(--(SEARCH(BA$2,Tiere!$BN$2:$BN$145)&gt;0)),ROW()-1),1))))))))),"")</f>
        <v/>
      </c>
      <c r="BA114" s="2436"/>
      <c r="BB114" s="2472" t="str">
        <f>IFERROR(IF(OR(BC$2="ZURÜCK ZUR AUSWAHL",BC$2="",BC$2=0),"",IF(BC$2=$BO$1,$BO113,IF(BC$2=$BP$1,$BP113,IF(BC$2=$BQ$1,$BQ113,IF(BC$2=$BR$1,$BR113,IF(BC$2=$BS$1,$BS113,IF(BC$2=$BT$1,$BT113,IF(BC$2=$BU$1,$BU113,INDEX(Tiere!$BN$2:$BN$145,_xlfn.AGGREGATE(15,6,(ROW(Tiere!$BN$2:$BN$145)-1)/(--(SEARCH(BC$2,Tiere!$BN$2:$BN$145)&gt;0)),ROW()-1),1))))))))),"")</f>
        <v/>
      </c>
      <c r="BC114" s="2436"/>
      <c r="BD114" s="2472" t="str">
        <f>IFERROR(IF(OR(BE$2="ZURÜCK ZUR AUSWAHL",BE$2="",BE$2=0),"",IF(BE$2=$BO$1,$BO113,IF(BE$2=$BP$1,$BP113,IF(BE$2=$BQ$1,$BQ113,IF(BE$2=$BR$1,$BR113,IF(BE$2=$BS$1,$BS113,IF(BE$2=$BT$1,$BT113,IF(BE$2=$BU$1,$BU113,INDEX(Tiere!$BN$2:$BN$145,_xlfn.AGGREGATE(15,6,(ROW(Tiere!$BN$2:$BN$145)-1)/(--(SEARCH(BE$2,Tiere!$BN$2:$BN$145)&gt;0)),ROW()-1),1))))))))),"")</f>
        <v/>
      </c>
      <c r="BE114" s="2436"/>
      <c r="BF114" s="2472" t="str">
        <f>IFERROR(IF(OR(BG$2="ZURÜCK ZUR AUSWAHL",BG$2="",BG$2=0),"",IF(BG$2=$BO$1,$BO113,IF(BG$2=$BP$1,$BP113,IF(BG$2=$BQ$1,$BQ113,IF(BG$2=$BR$1,$BR113,IF(BG$2=$BS$1,$BS113,IF(BG$2=$BT$1,$BT113,IF(BG$2=$BU$1,$BU113,INDEX(Tiere!$BN$2:$BN$145,_xlfn.AGGREGATE(15,6,(ROW(Tiere!$BN$2:$BN$145)-1)/(--(SEARCH(BG$2,Tiere!$BN$2:$BN$145)&gt;0)),ROW()-1),1))))))))),"")</f>
        <v/>
      </c>
      <c r="BG114" s="2436"/>
      <c r="BH114" s="2472" t="str">
        <f>IFERROR(IF(OR(BI$2="ZURÜCK ZUR AUSWAHL",BI$2="",BI$2=0),"",IF(BI$2=$BO$1,$BO113,IF(BI$2=$BP$1,$BP113,IF(BI$2=$BQ$1,$BQ113,IF(BI$2=$BR$1,$BR113,IF(BI$2=$BS$1,$BS113,IF(BI$2=$BT$1,$BT113,IF(BI$2=$BU$1,$BU113,INDEX(Tiere!$BN$2:$BN$145,_xlfn.AGGREGATE(15,6,(ROW(Tiere!$BN$2:$BN$145)-1)/(--(SEARCH(BI$2,Tiere!$BN$2:$BN$145)&gt;0)),ROW()-1),1))))))))),"")</f>
        <v/>
      </c>
      <c r="BI114" s="2436"/>
      <c r="BJ114" s="2472" t="str">
        <f>IFERROR(IF(OR(BK$2="ZURÜCK ZUR AUSWAHL",BK$2="",BK$2=0),"",IF(BK$2=$BO$1,$BO113,IF(BK$2=$BP$1,$BP113,IF(BK$2=$BQ$1,$BQ113,IF(BK$2=$BR$1,$BR113,IF(BK$2=$BS$1,$BS113,IF(BK$2=$BT$1,$BT113,IF(BK$2=$BU$1,$BU113,INDEX(Tiere!$BN$2:$BN$145,_xlfn.AGGREGATE(15,6,(ROW(Tiere!$BN$2:$BN$145)-1)/(--(SEARCH(BK$2,Tiere!$BN$2:$BN$145)&gt;0)),ROW()-1),1))))))))),"")</f>
        <v/>
      </c>
      <c r="BK114" s="2436"/>
      <c r="BL114" s="2472" t="str">
        <f>IFERROR(IF(OR(BM$2="ZURÜCK ZUR AUSWAHL",BM$2="",BM$2=0),"",IF(BM$2=$BO$1,$BO113,IF(BM$2=$BP$1,$BP113,IF(BM$2=$BQ$1,$BQ113,IF(BM$2=$BR$1,$BR113,IF(BM$2=$BS$1,$BS113,IF(BM$2=$BT$1,$BT113,IF(BM$2=$BU$1,$BU113,INDEX(Tiere!$BN$2:$BN$145,_xlfn.AGGREGATE(15,6,(ROW(Tiere!$BN$2:$BN$145)-1)/(--(SEARCH(BM$2,Tiere!$BN$2:$BN$145)&gt;0)),ROW()-1),1))))))))),"")</f>
        <v/>
      </c>
      <c r="BM114" s="2436"/>
      <c r="BN114" s="2478" t="s">
        <v>1292</v>
      </c>
      <c r="BO114" s="2470"/>
      <c r="BP114" s="2470"/>
      <c r="BQ114" s="2470"/>
      <c r="BR114" s="2470"/>
      <c r="BS114" s="2470"/>
      <c r="BT114" s="2470"/>
      <c r="BU114" s="2470"/>
    </row>
    <row r="115" spans="36:73" ht="13.8" thickBot="1">
      <c r="AJ115" s="2472" t="str">
        <f>IFERROR(IF(OR(AK$2="ZURÜCK ZUR AUSWAHL",AK$2="",AK$2=0),"",IF(AK$2=$BO$1,$BO114,IF(AK$2=$BP$1,$BP114,IF(AK$2=$BQ$1,$BQ114,IF(AK$2=$BR$1,$BR114,IF(AK$2=$BS$1,$BS114,IF(AK$2=$BT$1,$BT114,IF(AK$2=$BU$1,$BU114,INDEX(Tiere!$BN$2:$BN$145,_xlfn.AGGREGATE(15,6,(ROW(Tiere!$BN$2:$BN$145)-1)/(--(SEARCH(AK$2,Tiere!$BN$2:$BN$145)&gt;0)),ROW()-2),1))))))))),"")</f>
        <v/>
      </c>
      <c r="AK115" s="2438"/>
      <c r="AL115" s="2472" t="str">
        <f>IFERROR(IF(OR(AM$2="ZURÜCK ZUR AUSWAHL",AM$2="",AM$2=0),"",IF(AM$2=$BO$1,$BO114,IF(AM$2=$BP$1,$BP114,IF(AM$2=$BQ$1,$BQ114,IF(AM$2=$BR$1,$BR114,IF(AM$2=$BS$1,$BS114,IF(AM$2=$BT$1,$BT114,IF(AM$2=$BU$1,$BU114,INDEX(Tiere!$BN$2:$BN$145,_xlfn.AGGREGATE(15,6,(ROW(Tiere!$BN$2:$BN$145)-1)/(--(SEARCH(AM$2,Tiere!$BN$2:$BN$145)&gt;0)),ROW()-1),1))))))))),"")</f>
        <v/>
      </c>
      <c r="AM115" s="2438"/>
      <c r="AN115" s="2472" t="str">
        <f>IFERROR(IF(OR(AO$2="ZURÜCK ZUR AUSWAHL",AO$2="",AO$2=0),"",IF(AO$2=$BO$1,$BO114,IF(AO$2=$BP$1,$BP114,IF(AO$2=$BQ$1,$BQ114,IF(AO$2=$BR$1,$BR114,IF(AO$2=$BS$1,$BS114,IF(AO$2=$BT$1,$BT114,IF(AO$2=$BU$1,$BU114,INDEX(Tiere!$BN$2:$BN$145,_xlfn.AGGREGATE(15,6,(ROW(Tiere!$BN$2:$BN$145)-1)/(--(SEARCH(AO$2,Tiere!$BN$2:$BN$145)&gt;0)),ROW()-1),1))))))))),"")</f>
        <v/>
      </c>
      <c r="AO115" s="2438"/>
      <c r="AP115" s="2472" t="str">
        <f>IFERROR(IF(OR(AQ$2="ZURÜCK ZUR AUSWAHL",AQ$2="",AQ$2=0),"",IF(AQ$2=$BO$1,$BO114,IF(AQ$2=$BP$1,$BP114,IF(AQ$2=$BQ$1,$BQ114,IF(AQ$2=$BR$1,$BR114,IF(AQ$2=$BS$1,$BS114,IF(AQ$2=$BT$1,$BT114,IF(AQ$2=$BU$1,$BU114,INDEX(Tiere!$BN$2:$BN$145,_xlfn.AGGREGATE(15,6,(ROW(Tiere!$BN$2:$BN$145)-1)/(--(SEARCH(AQ$2,Tiere!$BN$2:$BN$145)&gt;0)),ROW()-1),1))))))))),"")</f>
        <v/>
      </c>
      <c r="AQ115" s="2438"/>
      <c r="AR115" s="2472" t="str">
        <f>IFERROR(IF(OR(AS$2="ZURÜCK ZUR AUSWAHL",AS$2="",AS$2=0),"",IF(AS$2=$BO$1,$BO114,IF(AS$2=$BP$1,$BP114,IF(AS$2=$BQ$1,$BQ114,IF(AS$2=$BR$1,$BR114,IF(AS$2=$BS$1,$BS114,IF(AS$2=$BT$1,$BT114,IF(AS$2=$BU$1,$BU114,INDEX(Tiere!$BN$2:$BN$145,_xlfn.AGGREGATE(15,6,(ROW(Tiere!$BN$2:$BN$145)-1)/(--(SEARCH(AS$2,Tiere!$BN$2:$BN$145)&gt;0)),ROW()-1),1))))))))),"")</f>
        <v/>
      </c>
      <c r="AS115" s="2438"/>
      <c r="AT115" s="2472" t="str">
        <f>IFERROR(IF(OR(AU$2="ZURÜCK ZUR AUSWAHL",AU$2="",AU$2=0),"",IF(AU$2=$BO$1,$BO114,IF(AU$2=$BP$1,$BP114,IF(AU$2=$BQ$1,$BQ114,IF(AU$2=$BR$1,$BR114,IF(AU$2=$BS$1,$BS114,IF(AU$2=$BT$1,$BT114,IF(AU$2=$BU$1,$BU114,INDEX(Tiere!$BN$2:$BN$145,_xlfn.AGGREGATE(15,6,(ROW(Tiere!$BN$2:$BN$145)-1)/(--(SEARCH(AU$2,Tiere!$BN$2:$BN$145)&gt;0)),ROW()-1),1))))))))),"")</f>
        <v/>
      </c>
      <c r="AU115" s="2438"/>
      <c r="AV115" s="2472" t="str">
        <f>IFERROR(IF(OR(AW$2="ZURÜCK ZUR AUSWAHL",AW$2="",AW$2=0),"",IF(AW$2=$BO$1,$BO114,IF(AW$2=$BP$1,$BP114,IF(AW$2=$BQ$1,$BQ114,IF(AW$2=$BR$1,$BR114,IF(AW$2=$BS$1,$BS114,IF(AW$2=$BT$1,$BT114,IF(AW$2=$BU$1,$BU114,INDEX(Tiere!$BN$2:$BN$145,_xlfn.AGGREGATE(15,6,(ROW(Tiere!$BN$2:$BN$145)-1)/(--(SEARCH(AW$2,Tiere!$BN$2:$BN$145)&gt;0)),ROW()-1),1))))))))),"")</f>
        <v/>
      </c>
      <c r="AW115" s="2438"/>
      <c r="AX115" s="2472" t="str">
        <f>IFERROR(IF(OR(AY$2="ZURÜCK ZUR AUSWAHL",AY$2="",AY$2=0),"",IF(AY$2=$BO$1,$BO114,IF(AY$2=$BP$1,$BP114,IF(AY$2=$BQ$1,$BQ114,IF(AY$2=$BR$1,$BR114,IF(AY$2=$BS$1,$BS114,IF(AY$2=$BT$1,$BT114,IF(AY$2=$BU$1,$BU114,INDEX(Tiere!$BN$2:$BN$145,_xlfn.AGGREGATE(15,6,(ROW(Tiere!$BN$2:$BN$145)-1)/(--(SEARCH(AY$2,Tiere!$BN$2:$BN$145)&gt;0)),ROW()-1),1))))))))),"")</f>
        <v/>
      </c>
      <c r="AY115" s="2438"/>
      <c r="AZ115" s="2472" t="str">
        <f>IFERROR(IF(OR(BA$2="ZURÜCK ZUR AUSWAHL",BA$2="",BA$2=0),"",IF(BA$2=$BO$1,$BO114,IF(BA$2=$BP$1,$BP114,IF(BA$2=$BQ$1,$BQ114,IF(BA$2=$BR$1,$BR114,IF(BA$2=$BS$1,$BS114,IF(BA$2=$BT$1,$BT114,IF(BA$2=$BU$1,$BU114,INDEX(Tiere!$BN$2:$BN$145,_xlfn.AGGREGATE(15,6,(ROW(Tiere!$BN$2:$BN$145)-1)/(--(SEARCH(BA$2,Tiere!$BN$2:$BN$145)&gt;0)),ROW()-1),1))))))))),"")</f>
        <v/>
      </c>
      <c r="BA115" s="2438"/>
      <c r="BB115" s="2472" t="str">
        <f>IFERROR(IF(OR(BC$2="ZURÜCK ZUR AUSWAHL",BC$2="",BC$2=0),"",IF(BC$2=$BO$1,$BO114,IF(BC$2=$BP$1,$BP114,IF(BC$2=$BQ$1,$BQ114,IF(BC$2=$BR$1,$BR114,IF(BC$2=$BS$1,$BS114,IF(BC$2=$BT$1,$BT114,IF(BC$2=$BU$1,$BU114,INDEX(Tiere!$BN$2:$BN$145,_xlfn.AGGREGATE(15,6,(ROW(Tiere!$BN$2:$BN$145)-1)/(--(SEARCH(BC$2,Tiere!$BN$2:$BN$145)&gt;0)),ROW()-1),1))))))))),"")</f>
        <v/>
      </c>
      <c r="BC115" s="2438"/>
      <c r="BD115" s="2472" t="str">
        <f>IFERROR(IF(OR(BE$2="ZURÜCK ZUR AUSWAHL",BE$2="",BE$2=0),"",IF(BE$2=$BO$1,$BO114,IF(BE$2=$BP$1,$BP114,IF(BE$2=$BQ$1,$BQ114,IF(BE$2=$BR$1,$BR114,IF(BE$2=$BS$1,$BS114,IF(BE$2=$BT$1,$BT114,IF(BE$2=$BU$1,$BU114,INDEX(Tiere!$BN$2:$BN$145,_xlfn.AGGREGATE(15,6,(ROW(Tiere!$BN$2:$BN$145)-1)/(--(SEARCH(BE$2,Tiere!$BN$2:$BN$145)&gt;0)),ROW()-1),1))))))))),"")</f>
        <v/>
      </c>
      <c r="BE115" s="2438"/>
      <c r="BF115" s="2472" t="str">
        <f>IFERROR(IF(OR(BG$2="ZURÜCK ZUR AUSWAHL",BG$2="",BG$2=0),"",IF(BG$2=$BO$1,$BO114,IF(BG$2=$BP$1,$BP114,IF(BG$2=$BQ$1,$BQ114,IF(BG$2=$BR$1,$BR114,IF(BG$2=$BS$1,$BS114,IF(BG$2=$BT$1,$BT114,IF(BG$2=$BU$1,$BU114,INDEX(Tiere!$BN$2:$BN$145,_xlfn.AGGREGATE(15,6,(ROW(Tiere!$BN$2:$BN$145)-1)/(--(SEARCH(BG$2,Tiere!$BN$2:$BN$145)&gt;0)),ROW()-1),1))))))))),"")</f>
        <v/>
      </c>
      <c r="BG115" s="2438"/>
      <c r="BH115" s="2472" t="str">
        <f>IFERROR(IF(OR(BI$2="ZURÜCK ZUR AUSWAHL",BI$2="",BI$2=0),"",IF(BI$2=$BO$1,$BO114,IF(BI$2=$BP$1,$BP114,IF(BI$2=$BQ$1,$BQ114,IF(BI$2=$BR$1,$BR114,IF(BI$2=$BS$1,$BS114,IF(BI$2=$BT$1,$BT114,IF(BI$2=$BU$1,$BU114,INDEX(Tiere!$BN$2:$BN$145,_xlfn.AGGREGATE(15,6,(ROW(Tiere!$BN$2:$BN$145)-1)/(--(SEARCH(BI$2,Tiere!$BN$2:$BN$145)&gt;0)),ROW()-1),1))))))))),"")</f>
        <v/>
      </c>
      <c r="BI115" s="2438"/>
      <c r="BJ115" s="2472" t="str">
        <f>IFERROR(IF(OR(BK$2="ZURÜCK ZUR AUSWAHL",BK$2="",BK$2=0),"",IF(BK$2=$BO$1,$BO114,IF(BK$2=$BP$1,$BP114,IF(BK$2=$BQ$1,$BQ114,IF(BK$2=$BR$1,$BR114,IF(BK$2=$BS$1,$BS114,IF(BK$2=$BT$1,$BT114,IF(BK$2=$BU$1,$BU114,INDEX(Tiere!$BN$2:$BN$145,_xlfn.AGGREGATE(15,6,(ROW(Tiere!$BN$2:$BN$145)-1)/(--(SEARCH(BK$2,Tiere!$BN$2:$BN$145)&gt;0)),ROW()-1),1))))))))),"")</f>
        <v/>
      </c>
      <c r="BK115" s="2438"/>
      <c r="BL115" s="2472" t="str">
        <f>IFERROR(IF(OR(BM$2="ZURÜCK ZUR AUSWAHL",BM$2="",BM$2=0),"",IF(BM$2=$BO$1,$BO114,IF(BM$2=$BP$1,$BP114,IF(BM$2=$BQ$1,$BQ114,IF(BM$2=$BR$1,$BR114,IF(BM$2=$BS$1,$BS114,IF(BM$2=$BT$1,$BT114,IF(BM$2=$BU$1,$BU114,INDEX(Tiere!$BN$2:$BN$145,_xlfn.AGGREGATE(15,6,(ROW(Tiere!$BN$2:$BN$145)-1)/(--(SEARCH(BM$2,Tiere!$BN$2:$BN$145)&gt;0)),ROW()-1),1))))))))),"")</f>
        <v/>
      </c>
      <c r="BM115" s="2438"/>
      <c r="BN115" s="2478" t="s">
        <v>1293</v>
      </c>
      <c r="BO115" s="2470"/>
      <c r="BP115" s="2470"/>
      <c r="BQ115" s="2470"/>
      <c r="BR115" s="2470"/>
      <c r="BS115" s="2470"/>
      <c r="BT115" s="2470"/>
      <c r="BU115" s="2470"/>
    </row>
    <row r="116" spans="36:73" ht="13.8" thickBot="1">
      <c r="AJ116" s="2472" t="str">
        <f>IFERROR(IF(OR(AK$2="ZURÜCK ZUR AUSWAHL",AK$2="",AK$2=0),"",IF(AK$2=$BO$1,$BO115,IF(AK$2=$BP$1,$BP115,IF(AK$2=$BQ$1,$BQ115,IF(AK$2=$BR$1,$BR115,IF(AK$2=$BS$1,$BS115,IF(AK$2=$BT$1,$BT115,IF(AK$2=$BU$1,$BU115,INDEX(Tiere!$BN$2:$BN$145,_xlfn.AGGREGATE(15,6,(ROW(Tiere!$BN$2:$BN$145)-1)/(--(SEARCH(AK$2,Tiere!$BN$2:$BN$145)&gt;0)),ROW()-2),1))))))))),"")</f>
        <v/>
      </c>
      <c r="AK116" s="2436"/>
      <c r="AL116" s="2472" t="str">
        <f>IFERROR(IF(OR(AM$2="ZURÜCK ZUR AUSWAHL",AM$2="",AM$2=0),"",IF(AM$2=$BO$1,$BO115,IF(AM$2=$BP$1,$BP115,IF(AM$2=$BQ$1,$BQ115,IF(AM$2=$BR$1,$BR115,IF(AM$2=$BS$1,$BS115,IF(AM$2=$BT$1,$BT115,IF(AM$2=$BU$1,$BU115,INDEX(Tiere!$BN$2:$BN$145,_xlfn.AGGREGATE(15,6,(ROW(Tiere!$BN$2:$BN$145)-1)/(--(SEARCH(AM$2,Tiere!$BN$2:$BN$145)&gt;0)),ROW()-1),1))))))))),"")</f>
        <v/>
      </c>
      <c r="AM116" s="2436"/>
      <c r="AN116" s="2472" t="str">
        <f>IFERROR(IF(OR(AO$2="ZURÜCK ZUR AUSWAHL",AO$2="",AO$2=0),"",IF(AO$2=$BO$1,$BO115,IF(AO$2=$BP$1,$BP115,IF(AO$2=$BQ$1,$BQ115,IF(AO$2=$BR$1,$BR115,IF(AO$2=$BS$1,$BS115,IF(AO$2=$BT$1,$BT115,IF(AO$2=$BU$1,$BU115,INDEX(Tiere!$BN$2:$BN$145,_xlfn.AGGREGATE(15,6,(ROW(Tiere!$BN$2:$BN$145)-1)/(--(SEARCH(AO$2,Tiere!$BN$2:$BN$145)&gt;0)),ROW()-1),1))))))))),"")</f>
        <v/>
      </c>
      <c r="AO116" s="2436"/>
      <c r="AP116" s="2472" t="str">
        <f>IFERROR(IF(OR(AQ$2="ZURÜCK ZUR AUSWAHL",AQ$2="",AQ$2=0),"",IF(AQ$2=$BO$1,$BO115,IF(AQ$2=$BP$1,$BP115,IF(AQ$2=$BQ$1,$BQ115,IF(AQ$2=$BR$1,$BR115,IF(AQ$2=$BS$1,$BS115,IF(AQ$2=$BT$1,$BT115,IF(AQ$2=$BU$1,$BU115,INDEX(Tiere!$BN$2:$BN$145,_xlfn.AGGREGATE(15,6,(ROW(Tiere!$BN$2:$BN$145)-1)/(--(SEARCH(AQ$2,Tiere!$BN$2:$BN$145)&gt;0)),ROW()-1),1))))))))),"")</f>
        <v/>
      </c>
      <c r="AQ116" s="2436"/>
      <c r="AR116" s="2472" t="str">
        <f>IFERROR(IF(OR(AS$2="ZURÜCK ZUR AUSWAHL",AS$2="",AS$2=0),"",IF(AS$2=$BO$1,$BO115,IF(AS$2=$BP$1,$BP115,IF(AS$2=$BQ$1,$BQ115,IF(AS$2=$BR$1,$BR115,IF(AS$2=$BS$1,$BS115,IF(AS$2=$BT$1,$BT115,IF(AS$2=$BU$1,$BU115,INDEX(Tiere!$BN$2:$BN$145,_xlfn.AGGREGATE(15,6,(ROW(Tiere!$BN$2:$BN$145)-1)/(--(SEARCH(AS$2,Tiere!$BN$2:$BN$145)&gt;0)),ROW()-1),1))))))))),"")</f>
        <v/>
      </c>
      <c r="AS116" s="2436"/>
      <c r="AT116" s="2472" t="str">
        <f>IFERROR(IF(OR(AU$2="ZURÜCK ZUR AUSWAHL",AU$2="",AU$2=0),"",IF(AU$2=$BO$1,$BO115,IF(AU$2=$BP$1,$BP115,IF(AU$2=$BQ$1,$BQ115,IF(AU$2=$BR$1,$BR115,IF(AU$2=$BS$1,$BS115,IF(AU$2=$BT$1,$BT115,IF(AU$2=$BU$1,$BU115,INDEX(Tiere!$BN$2:$BN$145,_xlfn.AGGREGATE(15,6,(ROW(Tiere!$BN$2:$BN$145)-1)/(--(SEARCH(AU$2,Tiere!$BN$2:$BN$145)&gt;0)),ROW()-1),1))))))))),"")</f>
        <v/>
      </c>
      <c r="AU116" s="2436"/>
      <c r="AV116" s="2472" t="str">
        <f>IFERROR(IF(OR(AW$2="ZURÜCK ZUR AUSWAHL",AW$2="",AW$2=0),"",IF(AW$2=$BO$1,$BO115,IF(AW$2=$BP$1,$BP115,IF(AW$2=$BQ$1,$BQ115,IF(AW$2=$BR$1,$BR115,IF(AW$2=$BS$1,$BS115,IF(AW$2=$BT$1,$BT115,IF(AW$2=$BU$1,$BU115,INDEX(Tiere!$BN$2:$BN$145,_xlfn.AGGREGATE(15,6,(ROW(Tiere!$BN$2:$BN$145)-1)/(--(SEARCH(AW$2,Tiere!$BN$2:$BN$145)&gt;0)),ROW()-1),1))))))))),"")</f>
        <v/>
      </c>
      <c r="AW116" s="2436"/>
      <c r="AX116" s="2472" t="str">
        <f>IFERROR(IF(OR(AY$2="ZURÜCK ZUR AUSWAHL",AY$2="",AY$2=0),"",IF(AY$2=$BO$1,$BO115,IF(AY$2=$BP$1,$BP115,IF(AY$2=$BQ$1,$BQ115,IF(AY$2=$BR$1,$BR115,IF(AY$2=$BS$1,$BS115,IF(AY$2=$BT$1,$BT115,IF(AY$2=$BU$1,$BU115,INDEX(Tiere!$BN$2:$BN$145,_xlfn.AGGREGATE(15,6,(ROW(Tiere!$BN$2:$BN$145)-1)/(--(SEARCH(AY$2,Tiere!$BN$2:$BN$145)&gt;0)),ROW()-1),1))))))))),"")</f>
        <v/>
      </c>
      <c r="AY116" s="2436"/>
      <c r="AZ116" s="2472" t="str">
        <f>IFERROR(IF(OR(BA$2="ZURÜCK ZUR AUSWAHL",BA$2="",BA$2=0),"",IF(BA$2=$BO$1,$BO115,IF(BA$2=$BP$1,$BP115,IF(BA$2=$BQ$1,$BQ115,IF(BA$2=$BR$1,$BR115,IF(BA$2=$BS$1,$BS115,IF(BA$2=$BT$1,$BT115,IF(BA$2=$BU$1,$BU115,INDEX(Tiere!$BN$2:$BN$145,_xlfn.AGGREGATE(15,6,(ROW(Tiere!$BN$2:$BN$145)-1)/(--(SEARCH(BA$2,Tiere!$BN$2:$BN$145)&gt;0)),ROW()-1),1))))))))),"")</f>
        <v/>
      </c>
      <c r="BA116" s="2436"/>
      <c r="BB116" s="2472" t="str">
        <f>IFERROR(IF(OR(BC$2="ZURÜCK ZUR AUSWAHL",BC$2="",BC$2=0),"",IF(BC$2=$BO$1,$BO115,IF(BC$2=$BP$1,$BP115,IF(BC$2=$BQ$1,$BQ115,IF(BC$2=$BR$1,$BR115,IF(BC$2=$BS$1,$BS115,IF(BC$2=$BT$1,$BT115,IF(BC$2=$BU$1,$BU115,INDEX(Tiere!$BN$2:$BN$145,_xlfn.AGGREGATE(15,6,(ROW(Tiere!$BN$2:$BN$145)-1)/(--(SEARCH(BC$2,Tiere!$BN$2:$BN$145)&gt;0)),ROW()-1),1))))))))),"")</f>
        <v/>
      </c>
      <c r="BC116" s="2436"/>
      <c r="BD116" s="2472" t="str">
        <f>IFERROR(IF(OR(BE$2="ZURÜCK ZUR AUSWAHL",BE$2="",BE$2=0),"",IF(BE$2=$BO$1,$BO115,IF(BE$2=$BP$1,$BP115,IF(BE$2=$BQ$1,$BQ115,IF(BE$2=$BR$1,$BR115,IF(BE$2=$BS$1,$BS115,IF(BE$2=$BT$1,$BT115,IF(BE$2=$BU$1,$BU115,INDEX(Tiere!$BN$2:$BN$145,_xlfn.AGGREGATE(15,6,(ROW(Tiere!$BN$2:$BN$145)-1)/(--(SEARCH(BE$2,Tiere!$BN$2:$BN$145)&gt;0)),ROW()-1),1))))))))),"")</f>
        <v/>
      </c>
      <c r="BE116" s="2436"/>
      <c r="BF116" s="2472" t="str">
        <f>IFERROR(IF(OR(BG$2="ZURÜCK ZUR AUSWAHL",BG$2="",BG$2=0),"",IF(BG$2=$BO$1,$BO115,IF(BG$2=$BP$1,$BP115,IF(BG$2=$BQ$1,$BQ115,IF(BG$2=$BR$1,$BR115,IF(BG$2=$BS$1,$BS115,IF(BG$2=$BT$1,$BT115,IF(BG$2=$BU$1,$BU115,INDEX(Tiere!$BN$2:$BN$145,_xlfn.AGGREGATE(15,6,(ROW(Tiere!$BN$2:$BN$145)-1)/(--(SEARCH(BG$2,Tiere!$BN$2:$BN$145)&gt;0)),ROW()-1),1))))))))),"")</f>
        <v/>
      </c>
      <c r="BG116" s="2436"/>
      <c r="BH116" s="2472" t="str">
        <f>IFERROR(IF(OR(BI$2="ZURÜCK ZUR AUSWAHL",BI$2="",BI$2=0),"",IF(BI$2=$BO$1,$BO115,IF(BI$2=$BP$1,$BP115,IF(BI$2=$BQ$1,$BQ115,IF(BI$2=$BR$1,$BR115,IF(BI$2=$BS$1,$BS115,IF(BI$2=$BT$1,$BT115,IF(BI$2=$BU$1,$BU115,INDEX(Tiere!$BN$2:$BN$145,_xlfn.AGGREGATE(15,6,(ROW(Tiere!$BN$2:$BN$145)-1)/(--(SEARCH(BI$2,Tiere!$BN$2:$BN$145)&gt;0)),ROW()-1),1))))))))),"")</f>
        <v/>
      </c>
      <c r="BI116" s="2436"/>
      <c r="BJ116" s="2472" t="str">
        <f>IFERROR(IF(OR(BK$2="ZURÜCK ZUR AUSWAHL",BK$2="",BK$2=0),"",IF(BK$2=$BO$1,$BO115,IF(BK$2=$BP$1,$BP115,IF(BK$2=$BQ$1,$BQ115,IF(BK$2=$BR$1,$BR115,IF(BK$2=$BS$1,$BS115,IF(BK$2=$BT$1,$BT115,IF(BK$2=$BU$1,$BU115,INDEX(Tiere!$BN$2:$BN$145,_xlfn.AGGREGATE(15,6,(ROW(Tiere!$BN$2:$BN$145)-1)/(--(SEARCH(BK$2,Tiere!$BN$2:$BN$145)&gt;0)),ROW()-1),1))))))))),"")</f>
        <v/>
      </c>
      <c r="BK116" s="2436"/>
      <c r="BL116" s="2472" t="str">
        <f>IFERROR(IF(OR(BM$2="ZURÜCK ZUR AUSWAHL",BM$2="",BM$2=0),"",IF(BM$2=$BO$1,$BO115,IF(BM$2=$BP$1,$BP115,IF(BM$2=$BQ$1,$BQ115,IF(BM$2=$BR$1,$BR115,IF(BM$2=$BS$1,$BS115,IF(BM$2=$BT$1,$BT115,IF(BM$2=$BU$1,$BU115,INDEX(Tiere!$BN$2:$BN$145,_xlfn.AGGREGATE(15,6,(ROW(Tiere!$BN$2:$BN$145)-1)/(--(SEARCH(BM$2,Tiere!$BN$2:$BN$145)&gt;0)),ROW()-1),1))))))))),"")</f>
        <v/>
      </c>
      <c r="BM116" s="2436"/>
      <c r="BN116" s="2478" t="s">
        <v>1294</v>
      </c>
      <c r="BO116" s="2470"/>
      <c r="BP116" s="2470"/>
      <c r="BQ116" s="2470"/>
      <c r="BR116" s="2470"/>
      <c r="BS116" s="2470"/>
      <c r="BT116" s="2470"/>
      <c r="BU116" s="2470"/>
    </row>
    <row r="117" spans="36:73" ht="13.8" thickBot="1">
      <c r="AJ117" s="2472" t="str">
        <f>IFERROR(IF(OR(AK$2="ZURÜCK ZUR AUSWAHL",AK$2="",AK$2=0),"",IF(AK$2=$BO$1,$BO116,IF(AK$2=$BP$1,$BP116,IF(AK$2=$BQ$1,$BQ116,IF(AK$2=$BR$1,$BR116,IF(AK$2=$BS$1,$BS116,IF(AK$2=$BT$1,$BT116,IF(AK$2=$BU$1,$BU116,INDEX(Tiere!$BN$2:$BN$145,_xlfn.AGGREGATE(15,6,(ROW(Tiere!$BN$2:$BN$145)-1)/(--(SEARCH(AK$2,Tiere!$BN$2:$BN$145)&gt;0)),ROW()-2),1))))))))),"")</f>
        <v/>
      </c>
      <c r="AK117" s="2438"/>
      <c r="AL117" s="2472" t="str">
        <f>IFERROR(IF(OR(AM$2="ZURÜCK ZUR AUSWAHL",AM$2="",AM$2=0),"",IF(AM$2=$BO$1,$BO116,IF(AM$2=$BP$1,$BP116,IF(AM$2=$BQ$1,$BQ116,IF(AM$2=$BR$1,$BR116,IF(AM$2=$BS$1,$BS116,IF(AM$2=$BT$1,$BT116,IF(AM$2=$BU$1,$BU116,INDEX(Tiere!$BN$2:$BN$145,_xlfn.AGGREGATE(15,6,(ROW(Tiere!$BN$2:$BN$145)-1)/(--(SEARCH(AM$2,Tiere!$BN$2:$BN$145)&gt;0)),ROW()-1),1))))))))),"")</f>
        <v/>
      </c>
      <c r="AM117" s="2438"/>
      <c r="AN117" s="2472" t="str">
        <f>IFERROR(IF(OR(AO$2="ZURÜCK ZUR AUSWAHL",AO$2="",AO$2=0),"",IF(AO$2=$BO$1,$BO116,IF(AO$2=$BP$1,$BP116,IF(AO$2=$BQ$1,$BQ116,IF(AO$2=$BR$1,$BR116,IF(AO$2=$BS$1,$BS116,IF(AO$2=$BT$1,$BT116,IF(AO$2=$BU$1,$BU116,INDEX(Tiere!$BN$2:$BN$145,_xlfn.AGGREGATE(15,6,(ROW(Tiere!$BN$2:$BN$145)-1)/(--(SEARCH(AO$2,Tiere!$BN$2:$BN$145)&gt;0)),ROW()-1),1))))))))),"")</f>
        <v/>
      </c>
      <c r="AO117" s="2438"/>
      <c r="AP117" s="2472" t="str">
        <f>IFERROR(IF(OR(AQ$2="ZURÜCK ZUR AUSWAHL",AQ$2="",AQ$2=0),"",IF(AQ$2=$BO$1,$BO116,IF(AQ$2=$BP$1,$BP116,IF(AQ$2=$BQ$1,$BQ116,IF(AQ$2=$BR$1,$BR116,IF(AQ$2=$BS$1,$BS116,IF(AQ$2=$BT$1,$BT116,IF(AQ$2=$BU$1,$BU116,INDEX(Tiere!$BN$2:$BN$145,_xlfn.AGGREGATE(15,6,(ROW(Tiere!$BN$2:$BN$145)-1)/(--(SEARCH(AQ$2,Tiere!$BN$2:$BN$145)&gt;0)),ROW()-1),1))))))))),"")</f>
        <v/>
      </c>
      <c r="AQ117" s="2438"/>
      <c r="AR117" s="2472" t="str">
        <f>IFERROR(IF(OR(AS$2="ZURÜCK ZUR AUSWAHL",AS$2="",AS$2=0),"",IF(AS$2=$BO$1,$BO116,IF(AS$2=$BP$1,$BP116,IF(AS$2=$BQ$1,$BQ116,IF(AS$2=$BR$1,$BR116,IF(AS$2=$BS$1,$BS116,IF(AS$2=$BT$1,$BT116,IF(AS$2=$BU$1,$BU116,INDEX(Tiere!$BN$2:$BN$145,_xlfn.AGGREGATE(15,6,(ROW(Tiere!$BN$2:$BN$145)-1)/(--(SEARCH(AS$2,Tiere!$BN$2:$BN$145)&gt;0)),ROW()-1),1))))))))),"")</f>
        <v/>
      </c>
      <c r="AS117" s="2438"/>
      <c r="AT117" s="2472" t="str">
        <f>IFERROR(IF(OR(AU$2="ZURÜCK ZUR AUSWAHL",AU$2="",AU$2=0),"",IF(AU$2=$BO$1,$BO116,IF(AU$2=$BP$1,$BP116,IF(AU$2=$BQ$1,$BQ116,IF(AU$2=$BR$1,$BR116,IF(AU$2=$BS$1,$BS116,IF(AU$2=$BT$1,$BT116,IF(AU$2=$BU$1,$BU116,INDEX(Tiere!$BN$2:$BN$145,_xlfn.AGGREGATE(15,6,(ROW(Tiere!$BN$2:$BN$145)-1)/(--(SEARCH(AU$2,Tiere!$BN$2:$BN$145)&gt;0)),ROW()-1),1))))))))),"")</f>
        <v/>
      </c>
      <c r="AU117" s="2438"/>
      <c r="AV117" s="2472" t="str">
        <f>IFERROR(IF(OR(AW$2="ZURÜCK ZUR AUSWAHL",AW$2="",AW$2=0),"",IF(AW$2=$BO$1,$BO116,IF(AW$2=$BP$1,$BP116,IF(AW$2=$BQ$1,$BQ116,IF(AW$2=$BR$1,$BR116,IF(AW$2=$BS$1,$BS116,IF(AW$2=$BT$1,$BT116,IF(AW$2=$BU$1,$BU116,INDEX(Tiere!$BN$2:$BN$145,_xlfn.AGGREGATE(15,6,(ROW(Tiere!$BN$2:$BN$145)-1)/(--(SEARCH(AW$2,Tiere!$BN$2:$BN$145)&gt;0)),ROW()-1),1))))))))),"")</f>
        <v/>
      </c>
      <c r="AW117" s="2438"/>
      <c r="AX117" s="2472" t="str">
        <f>IFERROR(IF(OR(AY$2="ZURÜCK ZUR AUSWAHL",AY$2="",AY$2=0),"",IF(AY$2=$BO$1,$BO116,IF(AY$2=$BP$1,$BP116,IF(AY$2=$BQ$1,$BQ116,IF(AY$2=$BR$1,$BR116,IF(AY$2=$BS$1,$BS116,IF(AY$2=$BT$1,$BT116,IF(AY$2=$BU$1,$BU116,INDEX(Tiere!$BN$2:$BN$145,_xlfn.AGGREGATE(15,6,(ROW(Tiere!$BN$2:$BN$145)-1)/(--(SEARCH(AY$2,Tiere!$BN$2:$BN$145)&gt;0)),ROW()-1),1))))))))),"")</f>
        <v/>
      </c>
      <c r="AY117" s="2438"/>
      <c r="AZ117" s="2472" t="str">
        <f>IFERROR(IF(OR(BA$2="ZURÜCK ZUR AUSWAHL",BA$2="",BA$2=0),"",IF(BA$2=$BO$1,$BO116,IF(BA$2=$BP$1,$BP116,IF(BA$2=$BQ$1,$BQ116,IF(BA$2=$BR$1,$BR116,IF(BA$2=$BS$1,$BS116,IF(BA$2=$BT$1,$BT116,IF(BA$2=$BU$1,$BU116,INDEX(Tiere!$BN$2:$BN$145,_xlfn.AGGREGATE(15,6,(ROW(Tiere!$BN$2:$BN$145)-1)/(--(SEARCH(BA$2,Tiere!$BN$2:$BN$145)&gt;0)),ROW()-1),1))))))))),"")</f>
        <v/>
      </c>
      <c r="BA117" s="2438"/>
      <c r="BB117" s="2472" t="str">
        <f>IFERROR(IF(OR(BC$2="ZURÜCK ZUR AUSWAHL",BC$2="",BC$2=0),"",IF(BC$2=$BO$1,$BO116,IF(BC$2=$BP$1,$BP116,IF(BC$2=$BQ$1,$BQ116,IF(BC$2=$BR$1,$BR116,IF(BC$2=$BS$1,$BS116,IF(BC$2=$BT$1,$BT116,IF(BC$2=$BU$1,$BU116,INDEX(Tiere!$BN$2:$BN$145,_xlfn.AGGREGATE(15,6,(ROW(Tiere!$BN$2:$BN$145)-1)/(--(SEARCH(BC$2,Tiere!$BN$2:$BN$145)&gt;0)),ROW()-1),1))))))))),"")</f>
        <v/>
      </c>
      <c r="BC117" s="2438"/>
      <c r="BD117" s="2472" t="str">
        <f>IFERROR(IF(OR(BE$2="ZURÜCK ZUR AUSWAHL",BE$2="",BE$2=0),"",IF(BE$2=$BO$1,$BO116,IF(BE$2=$BP$1,$BP116,IF(BE$2=$BQ$1,$BQ116,IF(BE$2=$BR$1,$BR116,IF(BE$2=$BS$1,$BS116,IF(BE$2=$BT$1,$BT116,IF(BE$2=$BU$1,$BU116,INDEX(Tiere!$BN$2:$BN$145,_xlfn.AGGREGATE(15,6,(ROW(Tiere!$BN$2:$BN$145)-1)/(--(SEARCH(BE$2,Tiere!$BN$2:$BN$145)&gt;0)),ROW()-1),1))))))))),"")</f>
        <v/>
      </c>
      <c r="BE117" s="2438"/>
      <c r="BF117" s="2472" t="str">
        <f>IFERROR(IF(OR(BG$2="ZURÜCK ZUR AUSWAHL",BG$2="",BG$2=0),"",IF(BG$2=$BO$1,$BO116,IF(BG$2=$BP$1,$BP116,IF(BG$2=$BQ$1,$BQ116,IF(BG$2=$BR$1,$BR116,IF(BG$2=$BS$1,$BS116,IF(BG$2=$BT$1,$BT116,IF(BG$2=$BU$1,$BU116,INDEX(Tiere!$BN$2:$BN$145,_xlfn.AGGREGATE(15,6,(ROW(Tiere!$BN$2:$BN$145)-1)/(--(SEARCH(BG$2,Tiere!$BN$2:$BN$145)&gt;0)),ROW()-1),1))))))))),"")</f>
        <v/>
      </c>
      <c r="BG117" s="2438"/>
      <c r="BH117" s="2472" t="str">
        <f>IFERROR(IF(OR(BI$2="ZURÜCK ZUR AUSWAHL",BI$2="",BI$2=0),"",IF(BI$2=$BO$1,$BO116,IF(BI$2=$BP$1,$BP116,IF(BI$2=$BQ$1,$BQ116,IF(BI$2=$BR$1,$BR116,IF(BI$2=$BS$1,$BS116,IF(BI$2=$BT$1,$BT116,IF(BI$2=$BU$1,$BU116,INDEX(Tiere!$BN$2:$BN$145,_xlfn.AGGREGATE(15,6,(ROW(Tiere!$BN$2:$BN$145)-1)/(--(SEARCH(BI$2,Tiere!$BN$2:$BN$145)&gt;0)),ROW()-1),1))))))))),"")</f>
        <v/>
      </c>
      <c r="BI117" s="2438"/>
      <c r="BJ117" s="2472" t="str">
        <f>IFERROR(IF(OR(BK$2="ZURÜCK ZUR AUSWAHL",BK$2="",BK$2=0),"",IF(BK$2=$BO$1,$BO116,IF(BK$2=$BP$1,$BP116,IF(BK$2=$BQ$1,$BQ116,IF(BK$2=$BR$1,$BR116,IF(BK$2=$BS$1,$BS116,IF(BK$2=$BT$1,$BT116,IF(BK$2=$BU$1,$BU116,INDEX(Tiere!$BN$2:$BN$145,_xlfn.AGGREGATE(15,6,(ROW(Tiere!$BN$2:$BN$145)-1)/(--(SEARCH(BK$2,Tiere!$BN$2:$BN$145)&gt;0)),ROW()-1),1))))))))),"")</f>
        <v/>
      </c>
      <c r="BK117" s="2438"/>
      <c r="BL117" s="2472" t="str">
        <f>IFERROR(IF(OR(BM$2="ZURÜCK ZUR AUSWAHL",BM$2="",BM$2=0),"",IF(BM$2=$BO$1,$BO116,IF(BM$2=$BP$1,$BP116,IF(BM$2=$BQ$1,$BQ116,IF(BM$2=$BR$1,$BR116,IF(BM$2=$BS$1,$BS116,IF(BM$2=$BT$1,$BT116,IF(BM$2=$BU$1,$BU116,INDEX(Tiere!$BN$2:$BN$145,_xlfn.AGGREGATE(15,6,(ROW(Tiere!$BN$2:$BN$145)-1)/(--(SEARCH(BM$2,Tiere!$BN$2:$BN$145)&gt;0)),ROW()-1),1))))))))),"")</f>
        <v/>
      </c>
      <c r="BM117" s="2438"/>
      <c r="BN117" s="2478" t="s">
        <v>1295</v>
      </c>
      <c r="BO117" s="2470"/>
      <c r="BP117" s="2470"/>
      <c r="BQ117" s="2470"/>
      <c r="BR117" s="2470"/>
      <c r="BS117" s="2470"/>
      <c r="BT117" s="2470"/>
      <c r="BU117" s="2470"/>
    </row>
    <row r="118" spans="36:73" ht="13.8" thickBot="1">
      <c r="AJ118" s="2472" t="str">
        <f>IFERROR(IF(OR(AK$2="ZURÜCK ZUR AUSWAHL",AK$2="",AK$2=0),"",IF(AK$2=$BO$1,$BO117,IF(AK$2=$BP$1,$BP117,IF(AK$2=$BQ$1,$BQ117,IF(AK$2=$BR$1,$BR117,IF(AK$2=$BS$1,$BS117,IF(AK$2=$BT$1,$BT117,IF(AK$2=$BU$1,$BU117,INDEX(Tiere!$BN$2:$BN$145,_xlfn.AGGREGATE(15,6,(ROW(Tiere!$BN$2:$BN$145)-1)/(--(SEARCH(AK$2,Tiere!$BN$2:$BN$145)&gt;0)),ROW()-2),1))))))))),"")</f>
        <v/>
      </c>
      <c r="AK118" s="2436"/>
      <c r="AL118" s="2472" t="str">
        <f>IFERROR(IF(OR(AM$2="ZURÜCK ZUR AUSWAHL",AM$2="",AM$2=0),"",IF(AM$2=$BO$1,$BO117,IF(AM$2=$BP$1,$BP117,IF(AM$2=$BQ$1,$BQ117,IF(AM$2=$BR$1,$BR117,IF(AM$2=$BS$1,$BS117,IF(AM$2=$BT$1,$BT117,IF(AM$2=$BU$1,$BU117,INDEX(Tiere!$BN$2:$BN$145,_xlfn.AGGREGATE(15,6,(ROW(Tiere!$BN$2:$BN$145)-1)/(--(SEARCH(AM$2,Tiere!$BN$2:$BN$145)&gt;0)),ROW()-1),1))))))))),"")</f>
        <v/>
      </c>
      <c r="AM118" s="2436"/>
      <c r="AN118" s="2472" t="str">
        <f>IFERROR(IF(OR(AO$2="ZURÜCK ZUR AUSWAHL",AO$2="",AO$2=0),"",IF(AO$2=$BO$1,$BO117,IF(AO$2=$BP$1,$BP117,IF(AO$2=$BQ$1,$BQ117,IF(AO$2=$BR$1,$BR117,IF(AO$2=$BS$1,$BS117,IF(AO$2=$BT$1,$BT117,IF(AO$2=$BU$1,$BU117,INDEX(Tiere!$BN$2:$BN$145,_xlfn.AGGREGATE(15,6,(ROW(Tiere!$BN$2:$BN$145)-1)/(--(SEARCH(AO$2,Tiere!$BN$2:$BN$145)&gt;0)),ROW()-1),1))))))))),"")</f>
        <v/>
      </c>
      <c r="AO118" s="2436"/>
      <c r="AP118" s="2472" t="str">
        <f>IFERROR(IF(OR(AQ$2="ZURÜCK ZUR AUSWAHL",AQ$2="",AQ$2=0),"",IF(AQ$2=$BO$1,$BO117,IF(AQ$2=$BP$1,$BP117,IF(AQ$2=$BQ$1,$BQ117,IF(AQ$2=$BR$1,$BR117,IF(AQ$2=$BS$1,$BS117,IF(AQ$2=$BT$1,$BT117,IF(AQ$2=$BU$1,$BU117,INDEX(Tiere!$BN$2:$BN$145,_xlfn.AGGREGATE(15,6,(ROW(Tiere!$BN$2:$BN$145)-1)/(--(SEARCH(AQ$2,Tiere!$BN$2:$BN$145)&gt;0)),ROW()-1),1))))))))),"")</f>
        <v/>
      </c>
      <c r="AQ118" s="2436"/>
      <c r="AR118" s="2472" t="str">
        <f>IFERROR(IF(OR(AS$2="ZURÜCK ZUR AUSWAHL",AS$2="",AS$2=0),"",IF(AS$2=$BO$1,$BO117,IF(AS$2=$BP$1,$BP117,IF(AS$2=$BQ$1,$BQ117,IF(AS$2=$BR$1,$BR117,IF(AS$2=$BS$1,$BS117,IF(AS$2=$BT$1,$BT117,IF(AS$2=$BU$1,$BU117,INDEX(Tiere!$BN$2:$BN$145,_xlfn.AGGREGATE(15,6,(ROW(Tiere!$BN$2:$BN$145)-1)/(--(SEARCH(AS$2,Tiere!$BN$2:$BN$145)&gt;0)),ROW()-1),1))))))))),"")</f>
        <v/>
      </c>
      <c r="AS118" s="2436"/>
      <c r="AT118" s="2472" t="str">
        <f>IFERROR(IF(OR(AU$2="ZURÜCK ZUR AUSWAHL",AU$2="",AU$2=0),"",IF(AU$2=$BO$1,$BO117,IF(AU$2=$BP$1,$BP117,IF(AU$2=$BQ$1,$BQ117,IF(AU$2=$BR$1,$BR117,IF(AU$2=$BS$1,$BS117,IF(AU$2=$BT$1,$BT117,IF(AU$2=$BU$1,$BU117,INDEX(Tiere!$BN$2:$BN$145,_xlfn.AGGREGATE(15,6,(ROW(Tiere!$BN$2:$BN$145)-1)/(--(SEARCH(AU$2,Tiere!$BN$2:$BN$145)&gt;0)),ROW()-1),1))))))))),"")</f>
        <v/>
      </c>
      <c r="AU118" s="2436"/>
      <c r="AV118" s="2472" t="str">
        <f>IFERROR(IF(OR(AW$2="ZURÜCK ZUR AUSWAHL",AW$2="",AW$2=0),"",IF(AW$2=$BO$1,$BO117,IF(AW$2=$BP$1,$BP117,IF(AW$2=$BQ$1,$BQ117,IF(AW$2=$BR$1,$BR117,IF(AW$2=$BS$1,$BS117,IF(AW$2=$BT$1,$BT117,IF(AW$2=$BU$1,$BU117,INDEX(Tiere!$BN$2:$BN$145,_xlfn.AGGREGATE(15,6,(ROW(Tiere!$BN$2:$BN$145)-1)/(--(SEARCH(AW$2,Tiere!$BN$2:$BN$145)&gt;0)),ROW()-1),1))))))))),"")</f>
        <v/>
      </c>
      <c r="AW118" s="2436"/>
      <c r="AX118" s="2472" t="str">
        <f>IFERROR(IF(OR(AY$2="ZURÜCK ZUR AUSWAHL",AY$2="",AY$2=0),"",IF(AY$2=$BO$1,$BO117,IF(AY$2=$BP$1,$BP117,IF(AY$2=$BQ$1,$BQ117,IF(AY$2=$BR$1,$BR117,IF(AY$2=$BS$1,$BS117,IF(AY$2=$BT$1,$BT117,IF(AY$2=$BU$1,$BU117,INDEX(Tiere!$BN$2:$BN$145,_xlfn.AGGREGATE(15,6,(ROW(Tiere!$BN$2:$BN$145)-1)/(--(SEARCH(AY$2,Tiere!$BN$2:$BN$145)&gt;0)),ROW()-1),1))))))))),"")</f>
        <v/>
      </c>
      <c r="AY118" s="2436"/>
      <c r="AZ118" s="2472" t="str">
        <f>IFERROR(IF(OR(BA$2="ZURÜCK ZUR AUSWAHL",BA$2="",BA$2=0),"",IF(BA$2=$BO$1,$BO117,IF(BA$2=$BP$1,$BP117,IF(BA$2=$BQ$1,$BQ117,IF(BA$2=$BR$1,$BR117,IF(BA$2=$BS$1,$BS117,IF(BA$2=$BT$1,$BT117,IF(BA$2=$BU$1,$BU117,INDEX(Tiere!$BN$2:$BN$145,_xlfn.AGGREGATE(15,6,(ROW(Tiere!$BN$2:$BN$145)-1)/(--(SEARCH(BA$2,Tiere!$BN$2:$BN$145)&gt;0)),ROW()-1),1))))))))),"")</f>
        <v/>
      </c>
      <c r="BA118" s="2436"/>
      <c r="BB118" s="2472" t="str">
        <f>IFERROR(IF(OR(BC$2="ZURÜCK ZUR AUSWAHL",BC$2="",BC$2=0),"",IF(BC$2=$BO$1,$BO117,IF(BC$2=$BP$1,$BP117,IF(BC$2=$BQ$1,$BQ117,IF(BC$2=$BR$1,$BR117,IF(BC$2=$BS$1,$BS117,IF(BC$2=$BT$1,$BT117,IF(BC$2=$BU$1,$BU117,INDEX(Tiere!$BN$2:$BN$145,_xlfn.AGGREGATE(15,6,(ROW(Tiere!$BN$2:$BN$145)-1)/(--(SEARCH(BC$2,Tiere!$BN$2:$BN$145)&gt;0)),ROW()-1),1))))))))),"")</f>
        <v/>
      </c>
      <c r="BC118" s="2436"/>
      <c r="BD118" s="2472" t="str">
        <f>IFERROR(IF(OR(BE$2="ZURÜCK ZUR AUSWAHL",BE$2="",BE$2=0),"",IF(BE$2=$BO$1,$BO117,IF(BE$2=$BP$1,$BP117,IF(BE$2=$BQ$1,$BQ117,IF(BE$2=$BR$1,$BR117,IF(BE$2=$BS$1,$BS117,IF(BE$2=$BT$1,$BT117,IF(BE$2=$BU$1,$BU117,INDEX(Tiere!$BN$2:$BN$145,_xlfn.AGGREGATE(15,6,(ROW(Tiere!$BN$2:$BN$145)-1)/(--(SEARCH(BE$2,Tiere!$BN$2:$BN$145)&gt;0)),ROW()-1),1))))))))),"")</f>
        <v/>
      </c>
      <c r="BE118" s="2436"/>
      <c r="BF118" s="2472" t="str">
        <f>IFERROR(IF(OR(BG$2="ZURÜCK ZUR AUSWAHL",BG$2="",BG$2=0),"",IF(BG$2=$BO$1,$BO117,IF(BG$2=$BP$1,$BP117,IF(BG$2=$BQ$1,$BQ117,IF(BG$2=$BR$1,$BR117,IF(BG$2=$BS$1,$BS117,IF(BG$2=$BT$1,$BT117,IF(BG$2=$BU$1,$BU117,INDEX(Tiere!$BN$2:$BN$145,_xlfn.AGGREGATE(15,6,(ROW(Tiere!$BN$2:$BN$145)-1)/(--(SEARCH(BG$2,Tiere!$BN$2:$BN$145)&gt;0)),ROW()-1),1))))))))),"")</f>
        <v/>
      </c>
      <c r="BG118" s="2436"/>
      <c r="BH118" s="2472" t="str">
        <f>IFERROR(IF(OR(BI$2="ZURÜCK ZUR AUSWAHL",BI$2="",BI$2=0),"",IF(BI$2=$BO$1,$BO117,IF(BI$2=$BP$1,$BP117,IF(BI$2=$BQ$1,$BQ117,IF(BI$2=$BR$1,$BR117,IF(BI$2=$BS$1,$BS117,IF(BI$2=$BT$1,$BT117,IF(BI$2=$BU$1,$BU117,INDEX(Tiere!$BN$2:$BN$145,_xlfn.AGGREGATE(15,6,(ROW(Tiere!$BN$2:$BN$145)-1)/(--(SEARCH(BI$2,Tiere!$BN$2:$BN$145)&gt;0)),ROW()-1),1))))))))),"")</f>
        <v/>
      </c>
      <c r="BI118" s="2436"/>
      <c r="BJ118" s="2472" t="str">
        <f>IFERROR(IF(OR(BK$2="ZURÜCK ZUR AUSWAHL",BK$2="",BK$2=0),"",IF(BK$2=$BO$1,$BO117,IF(BK$2=$BP$1,$BP117,IF(BK$2=$BQ$1,$BQ117,IF(BK$2=$BR$1,$BR117,IF(BK$2=$BS$1,$BS117,IF(BK$2=$BT$1,$BT117,IF(BK$2=$BU$1,$BU117,INDEX(Tiere!$BN$2:$BN$145,_xlfn.AGGREGATE(15,6,(ROW(Tiere!$BN$2:$BN$145)-1)/(--(SEARCH(BK$2,Tiere!$BN$2:$BN$145)&gt;0)),ROW()-1),1))))))))),"")</f>
        <v/>
      </c>
      <c r="BK118" s="2436"/>
      <c r="BL118" s="2472" t="str">
        <f>IFERROR(IF(OR(BM$2="ZURÜCK ZUR AUSWAHL",BM$2="",BM$2=0),"",IF(BM$2=$BO$1,$BO117,IF(BM$2=$BP$1,$BP117,IF(BM$2=$BQ$1,$BQ117,IF(BM$2=$BR$1,$BR117,IF(BM$2=$BS$1,$BS117,IF(BM$2=$BT$1,$BT117,IF(BM$2=$BU$1,$BU117,INDEX(Tiere!$BN$2:$BN$145,_xlfn.AGGREGATE(15,6,(ROW(Tiere!$BN$2:$BN$145)-1)/(--(SEARCH(BM$2,Tiere!$BN$2:$BN$145)&gt;0)),ROW()-1),1))))))))),"")</f>
        <v/>
      </c>
      <c r="BM118" s="2436"/>
      <c r="BN118" s="2478" t="s">
        <v>1296</v>
      </c>
      <c r="BO118" s="2470"/>
      <c r="BP118" s="2470"/>
      <c r="BQ118" s="2470"/>
      <c r="BR118" s="2470"/>
      <c r="BS118" s="2470"/>
      <c r="BT118" s="2470"/>
      <c r="BU118" s="2470"/>
    </row>
    <row r="119" spans="36:73" ht="13.8" thickBot="1">
      <c r="AJ119" s="2472" t="str">
        <f>IFERROR(IF(OR(AK$2="ZURÜCK ZUR AUSWAHL",AK$2="",AK$2=0),"",IF(AK$2=$BO$1,$BO118,IF(AK$2=$BP$1,$BP118,IF(AK$2=$BQ$1,$BQ118,IF(AK$2=$BR$1,$BR118,IF(AK$2=$BS$1,$BS118,IF(AK$2=$BT$1,$BT118,IF(AK$2=$BU$1,$BU118,INDEX(Tiere!$BN$2:$BN$145,_xlfn.AGGREGATE(15,6,(ROW(Tiere!$BN$2:$BN$145)-1)/(--(SEARCH(AK$2,Tiere!$BN$2:$BN$145)&gt;0)),ROW()-2),1))))))))),"")</f>
        <v/>
      </c>
      <c r="AK119" s="2438"/>
      <c r="AL119" s="2472" t="str">
        <f>IFERROR(IF(OR(AM$2="ZURÜCK ZUR AUSWAHL",AM$2="",AM$2=0),"",IF(AM$2=$BO$1,$BO118,IF(AM$2=$BP$1,$BP118,IF(AM$2=$BQ$1,$BQ118,IF(AM$2=$BR$1,$BR118,IF(AM$2=$BS$1,$BS118,IF(AM$2=$BT$1,$BT118,IF(AM$2=$BU$1,$BU118,INDEX(Tiere!$BN$2:$BN$145,_xlfn.AGGREGATE(15,6,(ROW(Tiere!$BN$2:$BN$145)-1)/(--(SEARCH(AM$2,Tiere!$BN$2:$BN$145)&gt;0)),ROW()-1),1))))))))),"")</f>
        <v/>
      </c>
      <c r="AM119" s="2438"/>
      <c r="AN119" s="2472" t="str">
        <f>IFERROR(IF(OR(AO$2="ZURÜCK ZUR AUSWAHL",AO$2="",AO$2=0),"",IF(AO$2=$BO$1,$BO118,IF(AO$2=$BP$1,$BP118,IF(AO$2=$BQ$1,$BQ118,IF(AO$2=$BR$1,$BR118,IF(AO$2=$BS$1,$BS118,IF(AO$2=$BT$1,$BT118,IF(AO$2=$BU$1,$BU118,INDEX(Tiere!$BN$2:$BN$145,_xlfn.AGGREGATE(15,6,(ROW(Tiere!$BN$2:$BN$145)-1)/(--(SEARCH(AO$2,Tiere!$BN$2:$BN$145)&gt;0)),ROW()-1),1))))))))),"")</f>
        <v/>
      </c>
      <c r="AO119" s="2438"/>
      <c r="AP119" s="2472" t="str">
        <f>IFERROR(IF(OR(AQ$2="ZURÜCK ZUR AUSWAHL",AQ$2="",AQ$2=0),"",IF(AQ$2=$BO$1,$BO118,IF(AQ$2=$BP$1,$BP118,IF(AQ$2=$BQ$1,$BQ118,IF(AQ$2=$BR$1,$BR118,IF(AQ$2=$BS$1,$BS118,IF(AQ$2=$BT$1,$BT118,IF(AQ$2=$BU$1,$BU118,INDEX(Tiere!$BN$2:$BN$145,_xlfn.AGGREGATE(15,6,(ROW(Tiere!$BN$2:$BN$145)-1)/(--(SEARCH(AQ$2,Tiere!$BN$2:$BN$145)&gt;0)),ROW()-1),1))))))))),"")</f>
        <v/>
      </c>
      <c r="AQ119" s="2438"/>
      <c r="AR119" s="2472" t="str">
        <f>IFERROR(IF(OR(AS$2="ZURÜCK ZUR AUSWAHL",AS$2="",AS$2=0),"",IF(AS$2=$BO$1,$BO118,IF(AS$2=$BP$1,$BP118,IF(AS$2=$BQ$1,$BQ118,IF(AS$2=$BR$1,$BR118,IF(AS$2=$BS$1,$BS118,IF(AS$2=$BT$1,$BT118,IF(AS$2=$BU$1,$BU118,INDEX(Tiere!$BN$2:$BN$145,_xlfn.AGGREGATE(15,6,(ROW(Tiere!$BN$2:$BN$145)-1)/(--(SEARCH(AS$2,Tiere!$BN$2:$BN$145)&gt;0)),ROW()-1),1))))))))),"")</f>
        <v/>
      </c>
      <c r="AS119" s="2438"/>
      <c r="AT119" s="2472" t="str">
        <f>IFERROR(IF(OR(AU$2="ZURÜCK ZUR AUSWAHL",AU$2="",AU$2=0),"",IF(AU$2=$BO$1,$BO118,IF(AU$2=$BP$1,$BP118,IF(AU$2=$BQ$1,$BQ118,IF(AU$2=$BR$1,$BR118,IF(AU$2=$BS$1,$BS118,IF(AU$2=$BT$1,$BT118,IF(AU$2=$BU$1,$BU118,INDEX(Tiere!$BN$2:$BN$145,_xlfn.AGGREGATE(15,6,(ROW(Tiere!$BN$2:$BN$145)-1)/(--(SEARCH(AU$2,Tiere!$BN$2:$BN$145)&gt;0)),ROW()-1),1))))))))),"")</f>
        <v/>
      </c>
      <c r="AU119" s="2438"/>
      <c r="AV119" s="2472" t="str">
        <f>IFERROR(IF(OR(AW$2="ZURÜCK ZUR AUSWAHL",AW$2="",AW$2=0),"",IF(AW$2=$BO$1,$BO118,IF(AW$2=$BP$1,$BP118,IF(AW$2=$BQ$1,$BQ118,IF(AW$2=$BR$1,$BR118,IF(AW$2=$BS$1,$BS118,IF(AW$2=$BT$1,$BT118,IF(AW$2=$BU$1,$BU118,INDEX(Tiere!$BN$2:$BN$145,_xlfn.AGGREGATE(15,6,(ROW(Tiere!$BN$2:$BN$145)-1)/(--(SEARCH(AW$2,Tiere!$BN$2:$BN$145)&gt;0)),ROW()-1),1))))))))),"")</f>
        <v/>
      </c>
      <c r="AW119" s="2438"/>
      <c r="AX119" s="2472" t="str">
        <f>IFERROR(IF(OR(AY$2="ZURÜCK ZUR AUSWAHL",AY$2="",AY$2=0),"",IF(AY$2=$BO$1,$BO118,IF(AY$2=$BP$1,$BP118,IF(AY$2=$BQ$1,$BQ118,IF(AY$2=$BR$1,$BR118,IF(AY$2=$BS$1,$BS118,IF(AY$2=$BT$1,$BT118,IF(AY$2=$BU$1,$BU118,INDEX(Tiere!$BN$2:$BN$145,_xlfn.AGGREGATE(15,6,(ROW(Tiere!$BN$2:$BN$145)-1)/(--(SEARCH(AY$2,Tiere!$BN$2:$BN$145)&gt;0)),ROW()-1),1))))))))),"")</f>
        <v/>
      </c>
      <c r="AY119" s="2438"/>
      <c r="AZ119" s="2472" t="str">
        <f>IFERROR(IF(OR(BA$2="ZURÜCK ZUR AUSWAHL",BA$2="",BA$2=0),"",IF(BA$2=$BO$1,$BO118,IF(BA$2=$BP$1,$BP118,IF(BA$2=$BQ$1,$BQ118,IF(BA$2=$BR$1,$BR118,IF(BA$2=$BS$1,$BS118,IF(BA$2=$BT$1,$BT118,IF(BA$2=$BU$1,$BU118,INDEX(Tiere!$BN$2:$BN$145,_xlfn.AGGREGATE(15,6,(ROW(Tiere!$BN$2:$BN$145)-1)/(--(SEARCH(BA$2,Tiere!$BN$2:$BN$145)&gt;0)),ROW()-1),1))))))))),"")</f>
        <v/>
      </c>
      <c r="BA119" s="2438"/>
      <c r="BB119" s="2472" t="str">
        <f>IFERROR(IF(OR(BC$2="ZURÜCK ZUR AUSWAHL",BC$2="",BC$2=0),"",IF(BC$2=$BO$1,$BO118,IF(BC$2=$BP$1,$BP118,IF(BC$2=$BQ$1,$BQ118,IF(BC$2=$BR$1,$BR118,IF(BC$2=$BS$1,$BS118,IF(BC$2=$BT$1,$BT118,IF(BC$2=$BU$1,$BU118,INDEX(Tiere!$BN$2:$BN$145,_xlfn.AGGREGATE(15,6,(ROW(Tiere!$BN$2:$BN$145)-1)/(--(SEARCH(BC$2,Tiere!$BN$2:$BN$145)&gt;0)),ROW()-1),1))))))))),"")</f>
        <v/>
      </c>
      <c r="BC119" s="2438"/>
      <c r="BD119" s="2472" t="str">
        <f>IFERROR(IF(OR(BE$2="ZURÜCK ZUR AUSWAHL",BE$2="",BE$2=0),"",IF(BE$2=$BO$1,$BO118,IF(BE$2=$BP$1,$BP118,IF(BE$2=$BQ$1,$BQ118,IF(BE$2=$BR$1,$BR118,IF(BE$2=$BS$1,$BS118,IF(BE$2=$BT$1,$BT118,IF(BE$2=$BU$1,$BU118,INDEX(Tiere!$BN$2:$BN$145,_xlfn.AGGREGATE(15,6,(ROW(Tiere!$BN$2:$BN$145)-1)/(--(SEARCH(BE$2,Tiere!$BN$2:$BN$145)&gt;0)),ROW()-1),1))))))))),"")</f>
        <v/>
      </c>
      <c r="BE119" s="2438"/>
      <c r="BF119" s="2472" t="str">
        <f>IFERROR(IF(OR(BG$2="ZURÜCK ZUR AUSWAHL",BG$2="",BG$2=0),"",IF(BG$2=$BO$1,$BO118,IF(BG$2=$BP$1,$BP118,IF(BG$2=$BQ$1,$BQ118,IF(BG$2=$BR$1,$BR118,IF(BG$2=$BS$1,$BS118,IF(BG$2=$BT$1,$BT118,IF(BG$2=$BU$1,$BU118,INDEX(Tiere!$BN$2:$BN$145,_xlfn.AGGREGATE(15,6,(ROW(Tiere!$BN$2:$BN$145)-1)/(--(SEARCH(BG$2,Tiere!$BN$2:$BN$145)&gt;0)),ROW()-1),1))))))))),"")</f>
        <v/>
      </c>
      <c r="BG119" s="2438"/>
      <c r="BH119" s="2472" t="str">
        <f>IFERROR(IF(OR(BI$2="ZURÜCK ZUR AUSWAHL",BI$2="",BI$2=0),"",IF(BI$2=$BO$1,$BO118,IF(BI$2=$BP$1,$BP118,IF(BI$2=$BQ$1,$BQ118,IF(BI$2=$BR$1,$BR118,IF(BI$2=$BS$1,$BS118,IF(BI$2=$BT$1,$BT118,IF(BI$2=$BU$1,$BU118,INDEX(Tiere!$BN$2:$BN$145,_xlfn.AGGREGATE(15,6,(ROW(Tiere!$BN$2:$BN$145)-1)/(--(SEARCH(BI$2,Tiere!$BN$2:$BN$145)&gt;0)),ROW()-1),1))))))))),"")</f>
        <v/>
      </c>
      <c r="BI119" s="2438"/>
      <c r="BJ119" s="2472" t="str">
        <f>IFERROR(IF(OR(BK$2="ZURÜCK ZUR AUSWAHL",BK$2="",BK$2=0),"",IF(BK$2=$BO$1,$BO118,IF(BK$2=$BP$1,$BP118,IF(BK$2=$BQ$1,$BQ118,IF(BK$2=$BR$1,$BR118,IF(BK$2=$BS$1,$BS118,IF(BK$2=$BT$1,$BT118,IF(BK$2=$BU$1,$BU118,INDEX(Tiere!$BN$2:$BN$145,_xlfn.AGGREGATE(15,6,(ROW(Tiere!$BN$2:$BN$145)-1)/(--(SEARCH(BK$2,Tiere!$BN$2:$BN$145)&gt;0)),ROW()-1),1))))))))),"")</f>
        <v/>
      </c>
      <c r="BK119" s="2438"/>
      <c r="BL119" s="2472" t="str">
        <f>IFERROR(IF(OR(BM$2="ZURÜCK ZUR AUSWAHL",BM$2="",BM$2=0),"",IF(BM$2=$BO$1,$BO118,IF(BM$2=$BP$1,$BP118,IF(BM$2=$BQ$1,$BQ118,IF(BM$2=$BR$1,$BR118,IF(BM$2=$BS$1,$BS118,IF(BM$2=$BT$1,$BT118,IF(BM$2=$BU$1,$BU118,INDEX(Tiere!$BN$2:$BN$145,_xlfn.AGGREGATE(15,6,(ROW(Tiere!$BN$2:$BN$145)-1)/(--(SEARCH(BM$2,Tiere!$BN$2:$BN$145)&gt;0)),ROW()-1),1))))))))),"")</f>
        <v/>
      </c>
      <c r="BM119" s="2438"/>
      <c r="BN119" s="2478" t="s">
        <v>1297</v>
      </c>
      <c r="BO119" s="2470"/>
      <c r="BP119" s="2470"/>
      <c r="BQ119" s="2470"/>
      <c r="BR119" s="2470"/>
      <c r="BS119" s="2470"/>
      <c r="BT119" s="2470"/>
      <c r="BU119" s="2470"/>
    </row>
    <row r="120" spans="36:73" ht="13.8" thickBot="1">
      <c r="AJ120" s="2472" t="str">
        <f>IFERROR(IF(OR(AK$2="ZURÜCK ZUR AUSWAHL",AK$2="",AK$2=0),"",IF(AK$2=$BO$1,$BO119,IF(AK$2=$BP$1,$BP119,IF(AK$2=$BQ$1,$BQ119,IF(AK$2=$BR$1,$BR119,IF(AK$2=$BS$1,$BS119,IF(AK$2=$BT$1,$BT119,IF(AK$2=$BU$1,$BU119,INDEX(Tiere!$BN$2:$BN$145,_xlfn.AGGREGATE(15,6,(ROW(Tiere!$BN$2:$BN$145)-1)/(--(SEARCH(AK$2,Tiere!$BN$2:$BN$145)&gt;0)),ROW()-2),1))))))))),"")</f>
        <v/>
      </c>
      <c r="AK120" s="2436"/>
      <c r="AL120" s="2472" t="str">
        <f>IFERROR(IF(OR(AM$2="ZURÜCK ZUR AUSWAHL",AM$2="",AM$2=0),"",IF(AM$2=$BO$1,$BO119,IF(AM$2=$BP$1,$BP119,IF(AM$2=$BQ$1,$BQ119,IF(AM$2=$BR$1,$BR119,IF(AM$2=$BS$1,$BS119,IF(AM$2=$BT$1,$BT119,IF(AM$2=$BU$1,$BU119,INDEX(Tiere!$BN$2:$BN$145,_xlfn.AGGREGATE(15,6,(ROW(Tiere!$BN$2:$BN$145)-1)/(--(SEARCH(AM$2,Tiere!$BN$2:$BN$145)&gt;0)),ROW()-1),1))))))))),"")</f>
        <v/>
      </c>
      <c r="AM120" s="2436"/>
      <c r="AN120" s="2472" t="str">
        <f>IFERROR(IF(OR(AO$2="ZURÜCK ZUR AUSWAHL",AO$2="",AO$2=0),"",IF(AO$2=$BO$1,$BO119,IF(AO$2=$BP$1,$BP119,IF(AO$2=$BQ$1,$BQ119,IF(AO$2=$BR$1,$BR119,IF(AO$2=$BS$1,$BS119,IF(AO$2=$BT$1,$BT119,IF(AO$2=$BU$1,$BU119,INDEX(Tiere!$BN$2:$BN$145,_xlfn.AGGREGATE(15,6,(ROW(Tiere!$BN$2:$BN$145)-1)/(--(SEARCH(AO$2,Tiere!$BN$2:$BN$145)&gt;0)),ROW()-1),1))))))))),"")</f>
        <v/>
      </c>
      <c r="AO120" s="2436"/>
      <c r="AP120" s="2472" t="str">
        <f>IFERROR(IF(OR(AQ$2="ZURÜCK ZUR AUSWAHL",AQ$2="",AQ$2=0),"",IF(AQ$2=$BO$1,$BO119,IF(AQ$2=$BP$1,$BP119,IF(AQ$2=$BQ$1,$BQ119,IF(AQ$2=$BR$1,$BR119,IF(AQ$2=$BS$1,$BS119,IF(AQ$2=$BT$1,$BT119,IF(AQ$2=$BU$1,$BU119,INDEX(Tiere!$BN$2:$BN$145,_xlfn.AGGREGATE(15,6,(ROW(Tiere!$BN$2:$BN$145)-1)/(--(SEARCH(AQ$2,Tiere!$BN$2:$BN$145)&gt;0)),ROW()-1),1))))))))),"")</f>
        <v/>
      </c>
      <c r="AQ120" s="2436"/>
      <c r="AR120" s="2472" t="str">
        <f>IFERROR(IF(OR(AS$2="ZURÜCK ZUR AUSWAHL",AS$2="",AS$2=0),"",IF(AS$2=$BO$1,$BO119,IF(AS$2=$BP$1,$BP119,IF(AS$2=$BQ$1,$BQ119,IF(AS$2=$BR$1,$BR119,IF(AS$2=$BS$1,$BS119,IF(AS$2=$BT$1,$BT119,IF(AS$2=$BU$1,$BU119,INDEX(Tiere!$BN$2:$BN$145,_xlfn.AGGREGATE(15,6,(ROW(Tiere!$BN$2:$BN$145)-1)/(--(SEARCH(AS$2,Tiere!$BN$2:$BN$145)&gt;0)),ROW()-1),1))))))))),"")</f>
        <v/>
      </c>
      <c r="AS120" s="2436"/>
      <c r="AT120" s="2472" t="str">
        <f>IFERROR(IF(OR(AU$2="ZURÜCK ZUR AUSWAHL",AU$2="",AU$2=0),"",IF(AU$2=$BO$1,$BO119,IF(AU$2=$BP$1,$BP119,IF(AU$2=$BQ$1,$BQ119,IF(AU$2=$BR$1,$BR119,IF(AU$2=$BS$1,$BS119,IF(AU$2=$BT$1,$BT119,IF(AU$2=$BU$1,$BU119,INDEX(Tiere!$BN$2:$BN$145,_xlfn.AGGREGATE(15,6,(ROW(Tiere!$BN$2:$BN$145)-1)/(--(SEARCH(AU$2,Tiere!$BN$2:$BN$145)&gt;0)),ROW()-1),1))))))))),"")</f>
        <v/>
      </c>
      <c r="AU120" s="2436"/>
      <c r="AV120" s="2472" t="str">
        <f>IFERROR(IF(OR(AW$2="ZURÜCK ZUR AUSWAHL",AW$2="",AW$2=0),"",IF(AW$2=$BO$1,$BO119,IF(AW$2=$BP$1,$BP119,IF(AW$2=$BQ$1,$BQ119,IF(AW$2=$BR$1,$BR119,IF(AW$2=$BS$1,$BS119,IF(AW$2=$BT$1,$BT119,IF(AW$2=$BU$1,$BU119,INDEX(Tiere!$BN$2:$BN$145,_xlfn.AGGREGATE(15,6,(ROW(Tiere!$BN$2:$BN$145)-1)/(--(SEARCH(AW$2,Tiere!$BN$2:$BN$145)&gt;0)),ROW()-1),1))))))))),"")</f>
        <v/>
      </c>
      <c r="AW120" s="2436"/>
      <c r="AX120" s="2472" t="str">
        <f>IFERROR(IF(OR(AY$2="ZURÜCK ZUR AUSWAHL",AY$2="",AY$2=0),"",IF(AY$2=$BO$1,$BO119,IF(AY$2=$BP$1,$BP119,IF(AY$2=$BQ$1,$BQ119,IF(AY$2=$BR$1,$BR119,IF(AY$2=$BS$1,$BS119,IF(AY$2=$BT$1,$BT119,IF(AY$2=$BU$1,$BU119,INDEX(Tiere!$BN$2:$BN$145,_xlfn.AGGREGATE(15,6,(ROW(Tiere!$BN$2:$BN$145)-1)/(--(SEARCH(AY$2,Tiere!$BN$2:$BN$145)&gt;0)),ROW()-1),1))))))))),"")</f>
        <v/>
      </c>
      <c r="AY120" s="2436"/>
      <c r="AZ120" s="2472" t="str">
        <f>IFERROR(IF(OR(BA$2="ZURÜCK ZUR AUSWAHL",BA$2="",BA$2=0),"",IF(BA$2=$BO$1,$BO119,IF(BA$2=$BP$1,$BP119,IF(BA$2=$BQ$1,$BQ119,IF(BA$2=$BR$1,$BR119,IF(BA$2=$BS$1,$BS119,IF(BA$2=$BT$1,$BT119,IF(BA$2=$BU$1,$BU119,INDEX(Tiere!$BN$2:$BN$145,_xlfn.AGGREGATE(15,6,(ROW(Tiere!$BN$2:$BN$145)-1)/(--(SEARCH(BA$2,Tiere!$BN$2:$BN$145)&gt;0)),ROW()-1),1))))))))),"")</f>
        <v/>
      </c>
      <c r="BA120" s="2436"/>
      <c r="BB120" s="2472" t="str">
        <f>IFERROR(IF(OR(BC$2="ZURÜCK ZUR AUSWAHL",BC$2="",BC$2=0),"",IF(BC$2=$BO$1,$BO119,IF(BC$2=$BP$1,$BP119,IF(BC$2=$BQ$1,$BQ119,IF(BC$2=$BR$1,$BR119,IF(BC$2=$BS$1,$BS119,IF(BC$2=$BT$1,$BT119,IF(BC$2=$BU$1,$BU119,INDEX(Tiere!$BN$2:$BN$145,_xlfn.AGGREGATE(15,6,(ROW(Tiere!$BN$2:$BN$145)-1)/(--(SEARCH(BC$2,Tiere!$BN$2:$BN$145)&gt;0)),ROW()-1),1))))))))),"")</f>
        <v/>
      </c>
      <c r="BC120" s="2436"/>
      <c r="BD120" s="2472" t="str">
        <f>IFERROR(IF(OR(BE$2="ZURÜCK ZUR AUSWAHL",BE$2="",BE$2=0),"",IF(BE$2=$BO$1,$BO119,IF(BE$2=$BP$1,$BP119,IF(BE$2=$BQ$1,$BQ119,IF(BE$2=$BR$1,$BR119,IF(BE$2=$BS$1,$BS119,IF(BE$2=$BT$1,$BT119,IF(BE$2=$BU$1,$BU119,INDEX(Tiere!$BN$2:$BN$145,_xlfn.AGGREGATE(15,6,(ROW(Tiere!$BN$2:$BN$145)-1)/(--(SEARCH(BE$2,Tiere!$BN$2:$BN$145)&gt;0)),ROW()-1),1))))))))),"")</f>
        <v/>
      </c>
      <c r="BE120" s="2436"/>
      <c r="BF120" s="2472" t="str">
        <f>IFERROR(IF(OR(BG$2="ZURÜCK ZUR AUSWAHL",BG$2="",BG$2=0),"",IF(BG$2=$BO$1,$BO119,IF(BG$2=$BP$1,$BP119,IF(BG$2=$BQ$1,$BQ119,IF(BG$2=$BR$1,$BR119,IF(BG$2=$BS$1,$BS119,IF(BG$2=$BT$1,$BT119,IF(BG$2=$BU$1,$BU119,INDEX(Tiere!$BN$2:$BN$145,_xlfn.AGGREGATE(15,6,(ROW(Tiere!$BN$2:$BN$145)-1)/(--(SEARCH(BG$2,Tiere!$BN$2:$BN$145)&gt;0)),ROW()-1),1))))))))),"")</f>
        <v/>
      </c>
      <c r="BG120" s="2436"/>
      <c r="BH120" s="2472" t="str">
        <f>IFERROR(IF(OR(BI$2="ZURÜCK ZUR AUSWAHL",BI$2="",BI$2=0),"",IF(BI$2=$BO$1,$BO119,IF(BI$2=$BP$1,$BP119,IF(BI$2=$BQ$1,$BQ119,IF(BI$2=$BR$1,$BR119,IF(BI$2=$BS$1,$BS119,IF(BI$2=$BT$1,$BT119,IF(BI$2=$BU$1,$BU119,INDEX(Tiere!$BN$2:$BN$145,_xlfn.AGGREGATE(15,6,(ROW(Tiere!$BN$2:$BN$145)-1)/(--(SEARCH(BI$2,Tiere!$BN$2:$BN$145)&gt;0)),ROW()-1),1))))))))),"")</f>
        <v/>
      </c>
      <c r="BI120" s="2436"/>
      <c r="BJ120" s="2472" t="str">
        <f>IFERROR(IF(OR(BK$2="ZURÜCK ZUR AUSWAHL",BK$2="",BK$2=0),"",IF(BK$2=$BO$1,$BO119,IF(BK$2=$BP$1,$BP119,IF(BK$2=$BQ$1,$BQ119,IF(BK$2=$BR$1,$BR119,IF(BK$2=$BS$1,$BS119,IF(BK$2=$BT$1,$BT119,IF(BK$2=$BU$1,$BU119,INDEX(Tiere!$BN$2:$BN$145,_xlfn.AGGREGATE(15,6,(ROW(Tiere!$BN$2:$BN$145)-1)/(--(SEARCH(BK$2,Tiere!$BN$2:$BN$145)&gt;0)),ROW()-1),1))))))))),"")</f>
        <v/>
      </c>
      <c r="BK120" s="2436"/>
      <c r="BL120" s="2472" t="str">
        <f>IFERROR(IF(OR(BM$2="ZURÜCK ZUR AUSWAHL",BM$2="",BM$2=0),"",IF(BM$2=$BO$1,$BO119,IF(BM$2=$BP$1,$BP119,IF(BM$2=$BQ$1,$BQ119,IF(BM$2=$BR$1,$BR119,IF(BM$2=$BS$1,$BS119,IF(BM$2=$BT$1,$BT119,IF(BM$2=$BU$1,$BU119,INDEX(Tiere!$BN$2:$BN$145,_xlfn.AGGREGATE(15,6,(ROW(Tiere!$BN$2:$BN$145)-1)/(--(SEARCH(BM$2,Tiere!$BN$2:$BN$145)&gt;0)),ROW()-1),1))))))))),"")</f>
        <v/>
      </c>
      <c r="BM120" s="2436"/>
      <c r="BN120" s="2478" t="s">
        <v>1298</v>
      </c>
      <c r="BO120" s="2470"/>
      <c r="BP120" s="2470"/>
      <c r="BQ120" s="2470"/>
      <c r="BR120" s="2470"/>
      <c r="BS120" s="2470"/>
      <c r="BT120" s="2470"/>
      <c r="BU120" s="2470"/>
    </row>
    <row r="121" spans="36:73" ht="13.8" thickBot="1">
      <c r="AJ121" s="2472" t="str">
        <f>IFERROR(IF(OR(AK$2="ZURÜCK ZUR AUSWAHL",AK$2="",AK$2=0),"",IF(AK$2=$BO$1,$BO120,IF(AK$2=$BP$1,$BP120,IF(AK$2=$BQ$1,$BQ120,IF(AK$2=$BR$1,$BR120,IF(AK$2=$BS$1,$BS120,IF(AK$2=$BT$1,$BT120,IF(AK$2=$BU$1,$BU120,INDEX(Tiere!$BN$2:$BN$145,_xlfn.AGGREGATE(15,6,(ROW(Tiere!$BN$2:$BN$145)-1)/(--(SEARCH(AK$2,Tiere!$BN$2:$BN$145)&gt;0)),ROW()-2),1))))))))),"")</f>
        <v/>
      </c>
      <c r="AK121" s="2438"/>
      <c r="AL121" s="2472" t="str">
        <f>IFERROR(IF(OR(AM$2="ZURÜCK ZUR AUSWAHL",AM$2="",AM$2=0),"",IF(AM$2=$BO$1,$BO120,IF(AM$2=$BP$1,$BP120,IF(AM$2=$BQ$1,$BQ120,IF(AM$2=$BR$1,$BR120,IF(AM$2=$BS$1,$BS120,IF(AM$2=$BT$1,$BT120,IF(AM$2=$BU$1,$BU120,INDEX(Tiere!$BN$2:$BN$145,_xlfn.AGGREGATE(15,6,(ROW(Tiere!$BN$2:$BN$145)-1)/(--(SEARCH(AM$2,Tiere!$BN$2:$BN$145)&gt;0)),ROW()-1),1))))))))),"")</f>
        <v/>
      </c>
      <c r="AM121" s="2438"/>
      <c r="AN121" s="2472" t="str">
        <f>IFERROR(IF(OR(AO$2="ZURÜCK ZUR AUSWAHL",AO$2="",AO$2=0),"",IF(AO$2=$BO$1,$BO120,IF(AO$2=$BP$1,$BP120,IF(AO$2=$BQ$1,$BQ120,IF(AO$2=$BR$1,$BR120,IF(AO$2=$BS$1,$BS120,IF(AO$2=$BT$1,$BT120,IF(AO$2=$BU$1,$BU120,INDEX(Tiere!$BN$2:$BN$145,_xlfn.AGGREGATE(15,6,(ROW(Tiere!$BN$2:$BN$145)-1)/(--(SEARCH(AO$2,Tiere!$BN$2:$BN$145)&gt;0)),ROW()-1),1))))))))),"")</f>
        <v/>
      </c>
      <c r="AO121" s="2438"/>
      <c r="AP121" s="2472" t="str">
        <f>IFERROR(IF(OR(AQ$2="ZURÜCK ZUR AUSWAHL",AQ$2="",AQ$2=0),"",IF(AQ$2=$BO$1,$BO120,IF(AQ$2=$BP$1,$BP120,IF(AQ$2=$BQ$1,$BQ120,IF(AQ$2=$BR$1,$BR120,IF(AQ$2=$BS$1,$BS120,IF(AQ$2=$BT$1,$BT120,IF(AQ$2=$BU$1,$BU120,INDEX(Tiere!$BN$2:$BN$145,_xlfn.AGGREGATE(15,6,(ROW(Tiere!$BN$2:$BN$145)-1)/(--(SEARCH(AQ$2,Tiere!$BN$2:$BN$145)&gt;0)),ROW()-1),1))))))))),"")</f>
        <v/>
      </c>
      <c r="AQ121" s="2438"/>
      <c r="AR121" s="2472" t="str">
        <f>IFERROR(IF(OR(AS$2="ZURÜCK ZUR AUSWAHL",AS$2="",AS$2=0),"",IF(AS$2=$BO$1,$BO120,IF(AS$2=$BP$1,$BP120,IF(AS$2=$BQ$1,$BQ120,IF(AS$2=$BR$1,$BR120,IF(AS$2=$BS$1,$BS120,IF(AS$2=$BT$1,$BT120,IF(AS$2=$BU$1,$BU120,INDEX(Tiere!$BN$2:$BN$145,_xlfn.AGGREGATE(15,6,(ROW(Tiere!$BN$2:$BN$145)-1)/(--(SEARCH(AS$2,Tiere!$BN$2:$BN$145)&gt;0)),ROW()-1),1))))))))),"")</f>
        <v/>
      </c>
      <c r="AS121" s="2438"/>
      <c r="AT121" s="2472" t="str">
        <f>IFERROR(IF(OR(AU$2="ZURÜCK ZUR AUSWAHL",AU$2="",AU$2=0),"",IF(AU$2=$BO$1,$BO120,IF(AU$2=$BP$1,$BP120,IF(AU$2=$BQ$1,$BQ120,IF(AU$2=$BR$1,$BR120,IF(AU$2=$BS$1,$BS120,IF(AU$2=$BT$1,$BT120,IF(AU$2=$BU$1,$BU120,INDEX(Tiere!$BN$2:$BN$145,_xlfn.AGGREGATE(15,6,(ROW(Tiere!$BN$2:$BN$145)-1)/(--(SEARCH(AU$2,Tiere!$BN$2:$BN$145)&gt;0)),ROW()-1),1))))))))),"")</f>
        <v/>
      </c>
      <c r="AU121" s="2438"/>
      <c r="AV121" s="2472" t="str">
        <f>IFERROR(IF(OR(AW$2="ZURÜCK ZUR AUSWAHL",AW$2="",AW$2=0),"",IF(AW$2=$BO$1,$BO120,IF(AW$2=$BP$1,$BP120,IF(AW$2=$BQ$1,$BQ120,IF(AW$2=$BR$1,$BR120,IF(AW$2=$BS$1,$BS120,IF(AW$2=$BT$1,$BT120,IF(AW$2=$BU$1,$BU120,INDEX(Tiere!$BN$2:$BN$145,_xlfn.AGGREGATE(15,6,(ROW(Tiere!$BN$2:$BN$145)-1)/(--(SEARCH(AW$2,Tiere!$BN$2:$BN$145)&gt;0)),ROW()-1),1))))))))),"")</f>
        <v/>
      </c>
      <c r="AW121" s="2438"/>
      <c r="AX121" s="2472" t="str">
        <f>IFERROR(IF(OR(AY$2="ZURÜCK ZUR AUSWAHL",AY$2="",AY$2=0),"",IF(AY$2=$BO$1,$BO120,IF(AY$2=$BP$1,$BP120,IF(AY$2=$BQ$1,$BQ120,IF(AY$2=$BR$1,$BR120,IF(AY$2=$BS$1,$BS120,IF(AY$2=$BT$1,$BT120,IF(AY$2=$BU$1,$BU120,INDEX(Tiere!$BN$2:$BN$145,_xlfn.AGGREGATE(15,6,(ROW(Tiere!$BN$2:$BN$145)-1)/(--(SEARCH(AY$2,Tiere!$BN$2:$BN$145)&gt;0)),ROW()-1),1))))))))),"")</f>
        <v/>
      </c>
      <c r="AY121" s="2438"/>
      <c r="AZ121" s="2472" t="str">
        <f>IFERROR(IF(OR(BA$2="ZURÜCK ZUR AUSWAHL",BA$2="",BA$2=0),"",IF(BA$2=$BO$1,$BO120,IF(BA$2=$BP$1,$BP120,IF(BA$2=$BQ$1,$BQ120,IF(BA$2=$BR$1,$BR120,IF(BA$2=$BS$1,$BS120,IF(BA$2=$BT$1,$BT120,IF(BA$2=$BU$1,$BU120,INDEX(Tiere!$BN$2:$BN$145,_xlfn.AGGREGATE(15,6,(ROW(Tiere!$BN$2:$BN$145)-1)/(--(SEARCH(BA$2,Tiere!$BN$2:$BN$145)&gt;0)),ROW()-1),1))))))))),"")</f>
        <v/>
      </c>
      <c r="BA121" s="2438"/>
      <c r="BB121" s="2472" t="str">
        <f>IFERROR(IF(OR(BC$2="ZURÜCK ZUR AUSWAHL",BC$2="",BC$2=0),"",IF(BC$2=$BO$1,$BO120,IF(BC$2=$BP$1,$BP120,IF(BC$2=$BQ$1,$BQ120,IF(BC$2=$BR$1,$BR120,IF(BC$2=$BS$1,$BS120,IF(BC$2=$BT$1,$BT120,IF(BC$2=$BU$1,$BU120,INDEX(Tiere!$BN$2:$BN$145,_xlfn.AGGREGATE(15,6,(ROW(Tiere!$BN$2:$BN$145)-1)/(--(SEARCH(BC$2,Tiere!$BN$2:$BN$145)&gt;0)),ROW()-1),1))))))))),"")</f>
        <v/>
      </c>
      <c r="BC121" s="2438"/>
      <c r="BD121" s="2472" t="str">
        <f>IFERROR(IF(OR(BE$2="ZURÜCK ZUR AUSWAHL",BE$2="",BE$2=0),"",IF(BE$2=$BO$1,$BO120,IF(BE$2=$BP$1,$BP120,IF(BE$2=$BQ$1,$BQ120,IF(BE$2=$BR$1,$BR120,IF(BE$2=$BS$1,$BS120,IF(BE$2=$BT$1,$BT120,IF(BE$2=$BU$1,$BU120,INDEX(Tiere!$BN$2:$BN$145,_xlfn.AGGREGATE(15,6,(ROW(Tiere!$BN$2:$BN$145)-1)/(--(SEARCH(BE$2,Tiere!$BN$2:$BN$145)&gt;0)),ROW()-1),1))))))))),"")</f>
        <v/>
      </c>
      <c r="BE121" s="2438"/>
      <c r="BF121" s="2472" t="str">
        <f>IFERROR(IF(OR(BG$2="ZURÜCK ZUR AUSWAHL",BG$2="",BG$2=0),"",IF(BG$2=$BO$1,$BO120,IF(BG$2=$BP$1,$BP120,IF(BG$2=$BQ$1,$BQ120,IF(BG$2=$BR$1,$BR120,IF(BG$2=$BS$1,$BS120,IF(BG$2=$BT$1,$BT120,IF(BG$2=$BU$1,$BU120,INDEX(Tiere!$BN$2:$BN$145,_xlfn.AGGREGATE(15,6,(ROW(Tiere!$BN$2:$BN$145)-1)/(--(SEARCH(BG$2,Tiere!$BN$2:$BN$145)&gt;0)),ROW()-1),1))))))))),"")</f>
        <v/>
      </c>
      <c r="BG121" s="2438"/>
      <c r="BH121" s="2472" t="str">
        <f>IFERROR(IF(OR(BI$2="ZURÜCK ZUR AUSWAHL",BI$2="",BI$2=0),"",IF(BI$2=$BO$1,$BO120,IF(BI$2=$BP$1,$BP120,IF(BI$2=$BQ$1,$BQ120,IF(BI$2=$BR$1,$BR120,IF(BI$2=$BS$1,$BS120,IF(BI$2=$BT$1,$BT120,IF(BI$2=$BU$1,$BU120,INDEX(Tiere!$BN$2:$BN$145,_xlfn.AGGREGATE(15,6,(ROW(Tiere!$BN$2:$BN$145)-1)/(--(SEARCH(BI$2,Tiere!$BN$2:$BN$145)&gt;0)),ROW()-1),1))))))))),"")</f>
        <v/>
      </c>
      <c r="BI121" s="2438"/>
      <c r="BJ121" s="2472" t="str">
        <f>IFERROR(IF(OR(BK$2="ZURÜCK ZUR AUSWAHL",BK$2="",BK$2=0),"",IF(BK$2=$BO$1,$BO120,IF(BK$2=$BP$1,$BP120,IF(BK$2=$BQ$1,$BQ120,IF(BK$2=$BR$1,$BR120,IF(BK$2=$BS$1,$BS120,IF(BK$2=$BT$1,$BT120,IF(BK$2=$BU$1,$BU120,INDEX(Tiere!$BN$2:$BN$145,_xlfn.AGGREGATE(15,6,(ROW(Tiere!$BN$2:$BN$145)-1)/(--(SEARCH(BK$2,Tiere!$BN$2:$BN$145)&gt;0)),ROW()-1),1))))))))),"")</f>
        <v/>
      </c>
      <c r="BK121" s="2438"/>
      <c r="BL121" s="2472" t="str">
        <f>IFERROR(IF(OR(BM$2="ZURÜCK ZUR AUSWAHL",BM$2="",BM$2=0),"",IF(BM$2=$BO$1,$BO120,IF(BM$2=$BP$1,$BP120,IF(BM$2=$BQ$1,$BQ120,IF(BM$2=$BR$1,$BR120,IF(BM$2=$BS$1,$BS120,IF(BM$2=$BT$1,$BT120,IF(BM$2=$BU$1,$BU120,INDEX(Tiere!$BN$2:$BN$145,_xlfn.AGGREGATE(15,6,(ROW(Tiere!$BN$2:$BN$145)-1)/(--(SEARCH(BM$2,Tiere!$BN$2:$BN$145)&gt;0)),ROW()-1),1))))))))),"")</f>
        <v/>
      </c>
      <c r="BM121" s="2438"/>
      <c r="BN121" s="2478" t="s">
        <v>1299</v>
      </c>
      <c r="BO121" s="2470"/>
      <c r="BP121" s="2470"/>
      <c r="BQ121" s="2470"/>
      <c r="BR121" s="2470"/>
      <c r="BS121" s="2470"/>
      <c r="BT121" s="2470"/>
      <c r="BU121" s="2470"/>
    </row>
    <row r="122" spans="36:73" ht="13.8" thickBot="1">
      <c r="AJ122" s="2472" t="str">
        <f>IFERROR(IF(OR(AK$2="ZURÜCK ZUR AUSWAHL",AK$2="",AK$2=0),"",IF(AK$2=$BO$1,$BO121,IF(AK$2=$BP$1,$BP121,IF(AK$2=$BQ$1,$BQ121,IF(AK$2=$BR$1,$BR121,IF(AK$2=$BS$1,$BS121,IF(AK$2=$BT$1,$BT121,IF(AK$2=$BU$1,$BU121,INDEX(Tiere!$BN$2:$BN$145,_xlfn.AGGREGATE(15,6,(ROW(Tiere!$BN$2:$BN$145)-1)/(--(SEARCH(AK$2,Tiere!$BN$2:$BN$145)&gt;0)),ROW()-2),1))))))))),"")</f>
        <v/>
      </c>
      <c r="AK122" s="2436"/>
      <c r="AL122" s="2472" t="str">
        <f>IFERROR(IF(OR(AM$2="ZURÜCK ZUR AUSWAHL",AM$2="",AM$2=0),"",IF(AM$2=$BO$1,$BO121,IF(AM$2=$BP$1,$BP121,IF(AM$2=$BQ$1,$BQ121,IF(AM$2=$BR$1,$BR121,IF(AM$2=$BS$1,$BS121,IF(AM$2=$BT$1,$BT121,IF(AM$2=$BU$1,$BU121,INDEX(Tiere!$BN$2:$BN$145,_xlfn.AGGREGATE(15,6,(ROW(Tiere!$BN$2:$BN$145)-1)/(--(SEARCH(AM$2,Tiere!$BN$2:$BN$145)&gt;0)),ROW()-1),1))))))))),"")</f>
        <v/>
      </c>
      <c r="AM122" s="2436"/>
      <c r="AN122" s="2472" t="str">
        <f>IFERROR(IF(OR(AO$2="ZURÜCK ZUR AUSWAHL",AO$2="",AO$2=0),"",IF(AO$2=$BO$1,$BO121,IF(AO$2=$BP$1,$BP121,IF(AO$2=$BQ$1,$BQ121,IF(AO$2=$BR$1,$BR121,IF(AO$2=$BS$1,$BS121,IF(AO$2=$BT$1,$BT121,IF(AO$2=$BU$1,$BU121,INDEX(Tiere!$BN$2:$BN$145,_xlfn.AGGREGATE(15,6,(ROW(Tiere!$BN$2:$BN$145)-1)/(--(SEARCH(AO$2,Tiere!$BN$2:$BN$145)&gt;0)),ROW()-1),1))))))))),"")</f>
        <v/>
      </c>
      <c r="AO122" s="2436"/>
      <c r="AP122" s="2472" t="str">
        <f>IFERROR(IF(OR(AQ$2="ZURÜCK ZUR AUSWAHL",AQ$2="",AQ$2=0),"",IF(AQ$2=$BO$1,$BO121,IF(AQ$2=$BP$1,$BP121,IF(AQ$2=$BQ$1,$BQ121,IF(AQ$2=$BR$1,$BR121,IF(AQ$2=$BS$1,$BS121,IF(AQ$2=$BT$1,$BT121,IF(AQ$2=$BU$1,$BU121,INDEX(Tiere!$BN$2:$BN$145,_xlfn.AGGREGATE(15,6,(ROW(Tiere!$BN$2:$BN$145)-1)/(--(SEARCH(AQ$2,Tiere!$BN$2:$BN$145)&gt;0)),ROW()-1),1))))))))),"")</f>
        <v/>
      </c>
      <c r="AQ122" s="2436"/>
      <c r="AR122" s="2472" t="str">
        <f>IFERROR(IF(OR(AS$2="ZURÜCK ZUR AUSWAHL",AS$2="",AS$2=0),"",IF(AS$2=$BO$1,$BO121,IF(AS$2=$BP$1,$BP121,IF(AS$2=$BQ$1,$BQ121,IF(AS$2=$BR$1,$BR121,IF(AS$2=$BS$1,$BS121,IF(AS$2=$BT$1,$BT121,IF(AS$2=$BU$1,$BU121,INDEX(Tiere!$BN$2:$BN$145,_xlfn.AGGREGATE(15,6,(ROW(Tiere!$BN$2:$BN$145)-1)/(--(SEARCH(AS$2,Tiere!$BN$2:$BN$145)&gt;0)),ROW()-1),1))))))))),"")</f>
        <v/>
      </c>
      <c r="AS122" s="2436"/>
      <c r="AT122" s="2472" t="str">
        <f>IFERROR(IF(OR(AU$2="ZURÜCK ZUR AUSWAHL",AU$2="",AU$2=0),"",IF(AU$2=$BO$1,$BO121,IF(AU$2=$BP$1,$BP121,IF(AU$2=$BQ$1,$BQ121,IF(AU$2=$BR$1,$BR121,IF(AU$2=$BS$1,$BS121,IF(AU$2=$BT$1,$BT121,IF(AU$2=$BU$1,$BU121,INDEX(Tiere!$BN$2:$BN$145,_xlfn.AGGREGATE(15,6,(ROW(Tiere!$BN$2:$BN$145)-1)/(--(SEARCH(AU$2,Tiere!$BN$2:$BN$145)&gt;0)),ROW()-1),1))))))))),"")</f>
        <v/>
      </c>
      <c r="AU122" s="2436"/>
      <c r="AV122" s="2472" t="str">
        <f>IFERROR(IF(OR(AW$2="ZURÜCK ZUR AUSWAHL",AW$2="",AW$2=0),"",IF(AW$2=$BO$1,$BO121,IF(AW$2=$BP$1,$BP121,IF(AW$2=$BQ$1,$BQ121,IF(AW$2=$BR$1,$BR121,IF(AW$2=$BS$1,$BS121,IF(AW$2=$BT$1,$BT121,IF(AW$2=$BU$1,$BU121,INDEX(Tiere!$BN$2:$BN$145,_xlfn.AGGREGATE(15,6,(ROW(Tiere!$BN$2:$BN$145)-1)/(--(SEARCH(AW$2,Tiere!$BN$2:$BN$145)&gt;0)),ROW()-1),1))))))))),"")</f>
        <v/>
      </c>
      <c r="AW122" s="2436"/>
      <c r="AX122" s="2472" t="str">
        <f>IFERROR(IF(OR(AY$2="ZURÜCK ZUR AUSWAHL",AY$2="",AY$2=0),"",IF(AY$2=$BO$1,$BO121,IF(AY$2=$BP$1,$BP121,IF(AY$2=$BQ$1,$BQ121,IF(AY$2=$BR$1,$BR121,IF(AY$2=$BS$1,$BS121,IF(AY$2=$BT$1,$BT121,IF(AY$2=$BU$1,$BU121,INDEX(Tiere!$BN$2:$BN$145,_xlfn.AGGREGATE(15,6,(ROW(Tiere!$BN$2:$BN$145)-1)/(--(SEARCH(AY$2,Tiere!$BN$2:$BN$145)&gt;0)),ROW()-1),1))))))))),"")</f>
        <v/>
      </c>
      <c r="AY122" s="2436"/>
      <c r="AZ122" s="2472" t="str">
        <f>IFERROR(IF(OR(BA$2="ZURÜCK ZUR AUSWAHL",BA$2="",BA$2=0),"",IF(BA$2=$BO$1,$BO121,IF(BA$2=$BP$1,$BP121,IF(BA$2=$BQ$1,$BQ121,IF(BA$2=$BR$1,$BR121,IF(BA$2=$BS$1,$BS121,IF(BA$2=$BT$1,$BT121,IF(BA$2=$BU$1,$BU121,INDEX(Tiere!$BN$2:$BN$145,_xlfn.AGGREGATE(15,6,(ROW(Tiere!$BN$2:$BN$145)-1)/(--(SEARCH(BA$2,Tiere!$BN$2:$BN$145)&gt;0)),ROW()-1),1))))))))),"")</f>
        <v/>
      </c>
      <c r="BA122" s="2436"/>
      <c r="BB122" s="2472" t="str">
        <f>IFERROR(IF(OR(BC$2="ZURÜCK ZUR AUSWAHL",BC$2="",BC$2=0),"",IF(BC$2=$BO$1,$BO121,IF(BC$2=$BP$1,$BP121,IF(BC$2=$BQ$1,$BQ121,IF(BC$2=$BR$1,$BR121,IF(BC$2=$BS$1,$BS121,IF(BC$2=$BT$1,$BT121,IF(BC$2=$BU$1,$BU121,INDEX(Tiere!$BN$2:$BN$145,_xlfn.AGGREGATE(15,6,(ROW(Tiere!$BN$2:$BN$145)-1)/(--(SEARCH(BC$2,Tiere!$BN$2:$BN$145)&gt;0)),ROW()-1),1))))))))),"")</f>
        <v/>
      </c>
      <c r="BC122" s="2436"/>
      <c r="BD122" s="2472" t="str">
        <f>IFERROR(IF(OR(BE$2="ZURÜCK ZUR AUSWAHL",BE$2="",BE$2=0),"",IF(BE$2=$BO$1,$BO121,IF(BE$2=$BP$1,$BP121,IF(BE$2=$BQ$1,$BQ121,IF(BE$2=$BR$1,$BR121,IF(BE$2=$BS$1,$BS121,IF(BE$2=$BT$1,$BT121,IF(BE$2=$BU$1,$BU121,INDEX(Tiere!$BN$2:$BN$145,_xlfn.AGGREGATE(15,6,(ROW(Tiere!$BN$2:$BN$145)-1)/(--(SEARCH(BE$2,Tiere!$BN$2:$BN$145)&gt;0)),ROW()-1),1))))))))),"")</f>
        <v/>
      </c>
      <c r="BE122" s="2436"/>
      <c r="BF122" s="2472" t="str">
        <f>IFERROR(IF(OR(BG$2="ZURÜCK ZUR AUSWAHL",BG$2="",BG$2=0),"",IF(BG$2=$BO$1,$BO121,IF(BG$2=$BP$1,$BP121,IF(BG$2=$BQ$1,$BQ121,IF(BG$2=$BR$1,$BR121,IF(BG$2=$BS$1,$BS121,IF(BG$2=$BT$1,$BT121,IF(BG$2=$BU$1,$BU121,INDEX(Tiere!$BN$2:$BN$145,_xlfn.AGGREGATE(15,6,(ROW(Tiere!$BN$2:$BN$145)-1)/(--(SEARCH(BG$2,Tiere!$BN$2:$BN$145)&gt;0)),ROW()-1),1))))))))),"")</f>
        <v/>
      </c>
      <c r="BG122" s="2436"/>
      <c r="BH122" s="2472" t="str">
        <f>IFERROR(IF(OR(BI$2="ZURÜCK ZUR AUSWAHL",BI$2="",BI$2=0),"",IF(BI$2=$BO$1,$BO121,IF(BI$2=$BP$1,$BP121,IF(BI$2=$BQ$1,$BQ121,IF(BI$2=$BR$1,$BR121,IF(BI$2=$BS$1,$BS121,IF(BI$2=$BT$1,$BT121,IF(BI$2=$BU$1,$BU121,INDEX(Tiere!$BN$2:$BN$145,_xlfn.AGGREGATE(15,6,(ROW(Tiere!$BN$2:$BN$145)-1)/(--(SEARCH(BI$2,Tiere!$BN$2:$BN$145)&gt;0)),ROW()-1),1))))))))),"")</f>
        <v/>
      </c>
      <c r="BI122" s="2436"/>
      <c r="BJ122" s="2472" t="str">
        <f>IFERROR(IF(OR(BK$2="ZURÜCK ZUR AUSWAHL",BK$2="",BK$2=0),"",IF(BK$2=$BO$1,$BO121,IF(BK$2=$BP$1,$BP121,IF(BK$2=$BQ$1,$BQ121,IF(BK$2=$BR$1,$BR121,IF(BK$2=$BS$1,$BS121,IF(BK$2=$BT$1,$BT121,IF(BK$2=$BU$1,$BU121,INDEX(Tiere!$BN$2:$BN$145,_xlfn.AGGREGATE(15,6,(ROW(Tiere!$BN$2:$BN$145)-1)/(--(SEARCH(BK$2,Tiere!$BN$2:$BN$145)&gt;0)),ROW()-1),1))))))))),"")</f>
        <v/>
      </c>
      <c r="BK122" s="2436"/>
      <c r="BL122" s="2472" t="str">
        <f>IFERROR(IF(OR(BM$2="ZURÜCK ZUR AUSWAHL",BM$2="",BM$2=0),"",IF(BM$2=$BO$1,$BO121,IF(BM$2=$BP$1,$BP121,IF(BM$2=$BQ$1,$BQ121,IF(BM$2=$BR$1,$BR121,IF(BM$2=$BS$1,$BS121,IF(BM$2=$BT$1,$BT121,IF(BM$2=$BU$1,$BU121,INDEX(Tiere!$BN$2:$BN$145,_xlfn.AGGREGATE(15,6,(ROW(Tiere!$BN$2:$BN$145)-1)/(--(SEARCH(BM$2,Tiere!$BN$2:$BN$145)&gt;0)),ROW()-1),1))))))))),"")</f>
        <v/>
      </c>
      <c r="BM122" s="2436"/>
      <c r="BN122" s="2478" t="s">
        <v>1300</v>
      </c>
      <c r="BO122" s="2470"/>
      <c r="BP122" s="2470"/>
      <c r="BQ122" s="2470"/>
      <c r="BR122" s="2470"/>
      <c r="BS122" s="2470"/>
      <c r="BT122" s="2470"/>
      <c r="BU122" s="2470"/>
    </row>
    <row r="123" spans="36:73" ht="14.4" thickTop="1" thickBot="1">
      <c r="AJ123" s="2472" t="str">
        <f>IFERROR(IF(OR(AK$2="ZURÜCK ZUR AUSWAHL",AK$2="",AK$2=0),"",IF(AK$2=$BO$1,$BO122,IF(AK$2=$BP$1,$BP122,IF(AK$2=$BQ$1,$BQ122,IF(AK$2=$BR$1,$BR122,IF(AK$2=$BS$1,$BS122,IF(AK$2=$BT$1,$BT122,IF(AK$2=$BU$1,$BU122,INDEX(Tiere!$BN$2:$BN$145,_xlfn.AGGREGATE(15,6,(ROW(Tiere!$BN$2:$BN$145)-1)/(--(SEARCH(AK$2,Tiere!$BN$2:$BN$145)&gt;0)),ROW()-2),1))))))))),"")</f>
        <v/>
      </c>
      <c r="AK123" s="2438"/>
      <c r="AL123" s="2472" t="str">
        <f>IFERROR(IF(OR(AM$2="ZURÜCK ZUR AUSWAHL",AM$2="",AM$2=0),"",IF(AM$2=$BO$1,$BO122,IF(AM$2=$BP$1,$BP122,IF(AM$2=$BQ$1,$BQ122,IF(AM$2=$BR$1,$BR122,IF(AM$2=$BS$1,$BS122,IF(AM$2=$BT$1,$BT122,IF(AM$2=$BU$1,$BU122,INDEX(Tiere!$BN$2:$BN$145,_xlfn.AGGREGATE(15,6,(ROW(Tiere!$BN$2:$BN$145)-1)/(--(SEARCH(AM$2,Tiere!$BN$2:$BN$145)&gt;0)),ROW()-1),1))))))))),"")</f>
        <v/>
      </c>
      <c r="AM123" s="2438"/>
      <c r="AN123" s="2472" t="str">
        <f>IFERROR(IF(OR(AO$2="ZURÜCK ZUR AUSWAHL",AO$2="",AO$2=0),"",IF(AO$2=$BO$1,$BO122,IF(AO$2=$BP$1,$BP122,IF(AO$2=$BQ$1,$BQ122,IF(AO$2=$BR$1,$BR122,IF(AO$2=$BS$1,$BS122,IF(AO$2=$BT$1,$BT122,IF(AO$2=$BU$1,$BU122,INDEX(Tiere!$BN$2:$BN$145,_xlfn.AGGREGATE(15,6,(ROW(Tiere!$BN$2:$BN$145)-1)/(--(SEARCH(AO$2,Tiere!$BN$2:$BN$145)&gt;0)),ROW()-1),1))))))))),"")</f>
        <v/>
      </c>
      <c r="AO123" s="2438"/>
      <c r="AP123" s="2472" t="str">
        <f>IFERROR(IF(OR(AQ$2="ZURÜCK ZUR AUSWAHL",AQ$2="",AQ$2=0),"",IF(AQ$2=$BO$1,$BO122,IF(AQ$2=$BP$1,$BP122,IF(AQ$2=$BQ$1,$BQ122,IF(AQ$2=$BR$1,$BR122,IF(AQ$2=$BS$1,$BS122,IF(AQ$2=$BT$1,$BT122,IF(AQ$2=$BU$1,$BU122,INDEX(Tiere!$BN$2:$BN$145,_xlfn.AGGREGATE(15,6,(ROW(Tiere!$BN$2:$BN$145)-1)/(--(SEARCH(AQ$2,Tiere!$BN$2:$BN$145)&gt;0)),ROW()-1),1))))))))),"")</f>
        <v/>
      </c>
      <c r="AQ123" s="2438"/>
      <c r="AR123" s="2472" t="str">
        <f>IFERROR(IF(OR(AS$2="ZURÜCK ZUR AUSWAHL",AS$2="",AS$2=0),"",IF(AS$2=$BO$1,$BO122,IF(AS$2=$BP$1,$BP122,IF(AS$2=$BQ$1,$BQ122,IF(AS$2=$BR$1,$BR122,IF(AS$2=$BS$1,$BS122,IF(AS$2=$BT$1,$BT122,IF(AS$2=$BU$1,$BU122,INDEX(Tiere!$BN$2:$BN$145,_xlfn.AGGREGATE(15,6,(ROW(Tiere!$BN$2:$BN$145)-1)/(--(SEARCH(AS$2,Tiere!$BN$2:$BN$145)&gt;0)),ROW()-1),1))))))))),"")</f>
        <v/>
      </c>
      <c r="AS123" s="2438"/>
      <c r="AT123" s="2472" t="str">
        <f>IFERROR(IF(OR(AU$2="ZURÜCK ZUR AUSWAHL",AU$2="",AU$2=0),"",IF(AU$2=$BO$1,$BO122,IF(AU$2=$BP$1,$BP122,IF(AU$2=$BQ$1,$BQ122,IF(AU$2=$BR$1,$BR122,IF(AU$2=$BS$1,$BS122,IF(AU$2=$BT$1,$BT122,IF(AU$2=$BU$1,$BU122,INDEX(Tiere!$BN$2:$BN$145,_xlfn.AGGREGATE(15,6,(ROW(Tiere!$BN$2:$BN$145)-1)/(--(SEARCH(AU$2,Tiere!$BN$2:$BN$145)&gt;0)),ROW()-1),1))))))))),"")</f>
        <v/>
      </c>
      <c r="AU123" s="2438"/>
      <c r="AV123" s="2472" t="str">
        <f>IFERROR(IF(OR(AW$2="ZURÜCK ZUR AUSWAHL",AW$2="",AW$2=0),"",IF(AW$2=$BO$1,$BO122,IF(AW$2=$BP$1,$BP122,IF(AW$2=$BQ$1,$BQ122,IF(AW$2=$BR$1,$BR122,IF(AW$2=$BS$1,$BS122,IF(AW$2=$BT$1,$BT122,IF(AW$2=$BU$1,$BU122,INDEX(Tiere!$BN$2:$BN$145,_xlfn.AGGREGATE(15,6,(ROW(Tiere!$BN$2:$BN$145)-1)/(--(SEARCH(AW$2,Tiere!$BN$2:$BN$145)&gt;0)),ROW()-1),1))))))))),"")</f>
        <v/>
      </c>
      <c r="AW123" s="2438"/>
      <c r="AX123" s="2472" t="str">
        <f>IFERROR(IF(OR(AY$2="ZURÜCK ZUR AUSWAHL",AY$2="",AY$2=0),"",IF(AY$2=$BO$1,$BO122,IF(AY$2=$BP$1,$BP122,IF(AY$2=$BQ$1,$BQ122,IF(AY$2=$BR$1,$BR122,IF(AY$2=$BS$1,$BS122,IF(AY$2=$BT$1,$BT122,IF(AY$2=$BU$1,$BU122,INDEX(Tiere!$BN$2:$BN$145,_xlfn.AGGREGATE(15,6,(ROW(Tiere!$BN$2:$BN$145)-1)/(--(SEARCH(AY$2,Tiere!$BN$2:$BN$145)&gt;0)),ROW()-1),1))))))))),"")</f>
        <v/>
      </c>
      <c r="AY123" s="2438"/>
      <c r="AZ123" s="2472" t="str">
        <f>IFERROR(IF(OR(BA$2="ZURÜCK ZUR AUSWAHL",BA$2="",BA$2=0),"",IF(BA$2=$BO$1,$BO122,IF(BA$2=$BP$1,$BP122,IF(BA$2=$BQ$1,$BQ122,IF(BA$2=$BR$1,$BR122,IF(BA$2=$BS$1,$BS122,IF(BA$2=$BT$1,$BT122,IF(BA$2=$BU$1,$BU122,INDEX(Tiere!$BN$2:$BN$145,_xlfn.AGGREGATE(15,6,(ROW(Tiere!$BN$2:$BN$145)-1)/(--(SEARCH(BA$2,Tiere!$BN$2:$BN$145)&gt;0)),ROW()-1),1))))))))),"")</f>
        <v/>
      </c>
      <c r="BA123" s="2438"/>
      <c r="BB123" s="2472" t="str">
        <f>IFERROR(IF(OR(BC$2="ZURÜCK ZUR AUSWAHL",BC$2="",BC$2=0),"",IF(BC$2=$BO$1,$BO122,IF(BC$2=$BP$1,$BP122,IF(BC$2=$BQ$1,$BQ122,IF(BC$2=$BR$1,$BR122,IF(BC$2=$BS$1,$BS122,IF(BC$2=$BT$1,$BT122,IF(BC$2=$BU$1,$BU122,INDEX(Tiere!$BN$2:$BN$145,_xlfn.AGGREGATE(15,6,(ROW(Tiere!$BN$2:$BN$145)-1)/(--(SEARCH(BC$2,Tiere!$BN$2:$BN$145)&gt;0)),ROW()-1),1))))))))),"")</f>
        <v/>
      </c>
      <c r="BC123" s="2438"/>
      <c r="BD123" s="2472" t="str">
        <f>IFERROR(IF(OR(BE$2="ZURÜCK ZUR AUSWAHL",BE$2="",BE$2=0),"",IF(BE$2=$BO$1,$BO122,IF(BE$2=$BP$1,$BP122,IF(BE$2=$BQ$1,$BQ122,IF(BE$2=$BR$1,$BR122,IF(BE$2=$BS$1,$BS122,IF(BE$2=$BT$1,$BT122,IF(BE$2=$BU$1,$BU122,INDEX(Tiere!$BN$2:$BN$145,_xlfn.AGGREGATE(15,6,(ROW(Tiere!$BN$2:$BN$145)-1)/(--(SEARCH(BE$2,Tiere!$BN$2:$BN$145)&gt;0)),ROW()-1),1))))))))),"")</f>
        <v/>
      </c>
      <c r="BE123" s="2438"/>
      <c r="BF123" s="2472" t="str">
        <f>IFERROR(IF(OR(BG$2="ZURÜCK ZUR AUSWAHL",BG$2="",BG$2=0),"",IF(BG$2=$BO$1,$BO122,IF(BG$2=$BP$1,$BP122,IF(BG$2=$BQ$1,$BQ122,IF(BG$2=$BR$1,$BR122,IF(BG$2=$BS$1,$BS122,IF(BG$2=$BT$1,$BT122,IF(BG$2=$BU$1,$BU122,INDEX(Tiere!$BN$2:$BN$145,_xlfn.AGGREGATE(15,6,(ROW(Tiere!$BN$2:$BN$145)-1)/(--(SEARCH(BG$2,Tiere!$BN$2:$BN$145)&gt;0)),ROW()-1),1))))))))),"")</f>
        <v/>
      </c>
      <c r="BG123" s="2438"/>
      <c r="BH123" s="2472" t="str">
        <f>IFERROR(IF(OR(BI$2="ZURÜCK ZUR AUSWAHL",BI$2="",BI$2=0),"",IF(BI$2=$BO$1,$BO122,IF(BI$2=$BP$1,$BP122,IF(BI$2=$BQ$1,$BQ122,IF(BI$2=$BR$1,$BR122,IF(BI$2=$BS$1,$BS122,IF(BI$2=$BT$1,$BT122,IF(BI$2=$BU$1,$BU122,INDEX(Tiere!$BN$2:$BN$145,_xlfn.AGGREGATE(15,6,(ROW(Tiere!$BN$2:$BN$145)-1)/(--(SEARCH(BI$2,Tiere!$BN$2:$BN$145)&gt;0)),ROW()-1),1))))))))),"")</f>
        <v/>
      </c>
      <c r="BI123" s="2438"/>
      <c r="BJ123" s="2472" t="str">
        <f>IFERROR(IF(OR(BK$2="ZURÜCK ZUR AUSWAHL",BK$2="",BK$2=0),"",IF(BK$2=$BO$1,$BO122,IF(BK$2=$BP$1,$BP122,IF(BK$2=$BQ$1,$BQ122,IF(BK$2=$BR$1,$BR122,IF(BK$2=$BS$1,$BS122,IF(BK$2=$BT$1,$BT122,IF(BK$2=$BU$1,$BU122,INDEX(Tiere!$BN$2:$BN$145,_xlfn.AGGREGATE(15,6,(ROW(Tiere!$BN$2:$BN$145)-1)/(--(SEARCH(BK$2,Tiere!$BN$2:$BN$145)&gt;0)),ROW()-1),1))))))))),"")</f>
        <v/>
      </c>
      <c r="BK123" s="2438"/>
      <c r="BL123" s="2472" t="str">
        <f>IFERROR(IF(OR(BM$2="ZURÜCK ZUR AUSWAHL",BM$2="",BM$2=0),"",IF(BM$2=$BO$1,$BO122,IF(BM$2=$BP$1,$BP122,IF(BM$2=$BQ$1,$BQ122,IF(BM$2=$BR$1,$BR122,IF(BM$2=$BS$1,$BS122,IF(BM$2=$BT$1,$BT122,IF(BM$2=$BU$1,$BU122,INDEX(Tiere!$BN$2:$BN$145,_xlfn.AGGREGATE(15,6,(ROW(Tiere!$BN$2:$BN$145)-1)/(--(SEARCH(BM$2,Tiere!$BN$2:$BN$145)&gt;0)),ROW()-1),1))))))))),"")</f>
        <v/>
      </c>
      <c r="BM123" s="2438"/>
      <c r="BN123" s="2481" t="s">
        <v>1301</v>
      </c>
      <c r="BO123" s="2470"/>
      <c r="BP123" s="2470"/>
      <c r="BQ123" s="2470"/>
      <c r="BR123" s="2470"/>
      <c r="BS123" s="2470"/>
      <c r="BT123" s="2470"/>
      <c r="BU123" s="2470"/>
    </row>
    <row r="124" spans="36:73" ht="13.8" thickBot="1">
      <c r="AJ124" s="2472" t="str">
        <f>IFERROR(IF(OR(AK$2="ZURÜCK ZUR AUSWAHL",AK$2="",AK$2=0),"",IF(AK$2=$BO$1,$BO123,IF(AK$2=$BP$1,$BP123,IF(AK$2=$BQ$1,$BQ123,IF(AK$2=$BR$1,$BR123,IF(AK$2=$BS$1,$BS123,IF(AK$2=$BT$1,$BT123,IF(AK$2=$BU$1,$BU123,INDEX(Tiere!$BN$2:$BN$145,_xlfn.AGGREGATE(15,6,(ROW(Tiere!$BN$2:$BN$145)-1)/(--(SEARCH(AK$2,Tiere!$BN$2:$BN$145)&gt;0)),ROW()-2),1))))))))),"")</f>
        <v/>
      </c>
      <c r="AK124" s="2436"/>
      <c r="AL124" s="2472" t="str">
        <f>IFERROR(IF(OR(AM$2="ZURÜCK ZUR AUSWAHL",AM$2="",AM$2=0),"",IF(AM$2=$BO$1,$BO123,IF(AM$2=$BP$1,$BP123,IF(AM$2=$BQ$1,$BQ123,IF(AM$2=$BR$1,$BR123,IF(AM$2=$BS$1,$BS123,IF(AM$2=$BT$1,$BT123,IF(AM$2=$BU$1,$BU123,INDEX(Tiere!$BN$2:$BN$145,_xlfn.AGGREGATE(15,6,(ROW(Tiere!$BN$2:$BN$145)-1)/(--(SEARCH(AM$2,Tiere!$BN$2:$BN$145)&gt;0)),ROW()-1),1))))))))),"")</f>
        <v/>
      </c>
      <c r="AM124" s="2436"/>
      <c r="AN124" s="2472" t="str">
        <f>IFERROR(IF(OR(AO$2="ZURÜCK ZUR AUSWAHL",AO$2="",AO$2=0),"",IF(AO$2=$BO$1,$BO123,IF(AO$2=$BP$1,$BP123,IF(AO$2=$BQ$1,$BQ123,IF(AO$2=$BR$1,$BR123,IF(AO$2=$BS$1,$BS123,IF(AO$2=$BT$1,$BT123,IF(AO$2=$BU$1,$BU123,INDEX(Tiere!$BN$2:$BN$145,_xlfn.AGGREGATE(15,6,(ROW(Tiere!$BN$2:$BN$145)-1)/(--(SEARCH(AO$2,Tiere!$BN$2:$BN$145)&gt;0)),ROW()-1),1))))))))),"")</f>
        <v/>
      </c>
      <c r="AO124" s="2436"/>
      <c r="AP124" s="2472" t="str">
        <f>IFERROR(IF(OR(AQ$2="ZURÜCK ZUR AUSWAHL",AQ$2="",AQ$2=0),"",IF(AQ$2=$BO$1,$BO123,IF(AQ$2=$BP$1,$BP123,IF(AQ$2=$BQ$1,$BQ123,IF(AQ$2=$BR$1,$BR123,IF(AQ$2=$BS$1,$BS123,IF(AQ$2=$BT$1,$BT123,IF(AQ$2=$BU$1,$BU123,INDEX(Tiere!$BN$2:$BN$145,_xlfn.AGGREGATE(15,6,(ROW(Tiere!$BN$2:$BN$145)-1)/(--(SEARCH(AQ$2,Tiere!$BN$2:$BN$145)&gt;0)),ROW()-1),1))))))))),"")</f>
        <v/>
      </c>
      <c r="AQ124" s="2436"/>
      <c r="AR124" s="2472" t="str">
        <f>IFERROR(IF(OR(AS$2="ZURÜCK ZUR AUSWAHL",AS$2="",AS$2=0),"",IF(AS$2=$BO$1,$BO123,IF(AS$2=$BP$1,$BP123,IF(AS$2=$BQ$1,$BQ123,IF(AS$2=$BR$1,$BR123,IF(AS$2=$BS$1,$BS123,IF(AS$2=$BT$1,$BT123,IF(AS$2=$BU$1,$BU123,INDEX(Tiere!$BN$2:$BN$145,_xlfn.AGGREGATE(15,6,(ROW(Tiere!$BN$2:$BN$145)-1)/(--(SEARCH(AS$2,Tiere!$BN$2:$BN$145)&gt;0)),ROW()-1),1))))))))),"")</f>
        <v/>
      </c>
      <c r="AS124" s="2436"/>
      <c r="AT124" s="2472" t="str">
        <f>IFERROR(IF(OR(AU$2="ZURÜCK ZUR AUSWAHL",AU$2="",AU$2=0),"",IF(AU$2=$BO$1,$BO123,IF(AU$2=$BP$1,$BP123,IF(AU$2=$BQ$1,$BQ123,IF(AU$2=$BR$1,$BR123,IF(AU$2=$BS$1,$BS123,IF(AU$2=$BT$1,$BT123,IF(AU$2=$BU$1,$BU123,INDEX(Tiere!$BN$2:$BN$145,_xlfn.AGGREGATE(15,6,(ROW(Tiere!$BN$2:$BN$145)-1)/(--(SEARCH(AU$2,Tiere!$BN$2:$BN$145)&gt;0)),ROW()-1),1))))))))),"")</f>
        <v/>
      </c>
      <c r="AU124" s="2436"/>
      <c r="AV124" s="2472" t="str">
        <f>IFERROR(IF(OR(AW$2="ZURÜCK ZUR AUSWAHL",AW$2="",AW$2=0),"",IF(AW$2=$BO$1,$BO123,IF(AW$2=$BP$1,$BP123,IF(AW$2=$BQ$1,$BQ123,IF(AW$2=$BR$1,$BR123,IF(AW$2=$BS$1,$BS123,IF(AW$2=$BT$1,$BT123,IF(AW$2=$BU$1,$BU123,INDEX(Tiere!$BN$2:$BN$145,_xlfn.AGGREGATE(15,6,(ROW(Tiere!$BN$2:$BN$145)-1)/(--(SEARCH(AW$2,Tiere!$BN$2:$BN$145)&gt;0)),ROW()-1),1))))))))),"")</f>
        <v/>
      </c>
      <c r="AW124" s="2436"/>
      <c r="AX124" s="2472" t="str">
        <f>IFERROR(IF(OR(AY$2="ZURÜCK ZUR AUSWAHL",AY$2="",AY$2=0),"",IF(AY$2=$BO$1,$BO123,IF(AY$2=$BP$1,$BP123,IF(AY$2=$BQ$1,$BQ123,IF(AY$2=$BR$1,$BR123,IF(AY$2=$BS$1,$BS123,IF(AY$2=$BT$1,$BT123,IF(AY$2=$BU$1,$BU123,INDEX(Tiere!$BN$2:$BN$145,_xlfn.AGGREGATE(15,6,(ROW(Tiere!$BN$2:$BN$145)-1)/(--(SEARCH(AY$2,Tiere!$BN$2:$BN$145)&gt;0)),ROW()-1),1))))))))),"")</f>
        <v/>
      </c>
      <c r="AY124" s="2436"/>
      <c r="AZ124" s="2472" t="str">
        <f>IFERROR(IF(OR(BA$2="ZURÜCK ZUR AUSWAHL",BA$2="",BA$2=0),"",IF(BA$2=$BO$1,$BO123,IF(BA$2=$BP$1,$BP123,IF(BA$2=$BQ$1,$BQ123,IF(BA$2=$BR$1,$BR123,IF(BA$2=$BS$1,$BS123,IF(BA$2=$BT$1,$BT123,IF(BA$2=$BU$1,$BU123,INDEX(Tiere!$BN$2:$BN$145,_xlfn.AGGREGATE(15,6,(ROW(Tiere!$BN$2:$BN$145)-1)/(--(SEARCH(BA$2,Tiere!$BN$2:$BN$145)&gt;0)),ROW()-1),1))))))))),"")</f>
        <v/>
      </c>
      <c r="BA124" s="2436"/>
      <c r="BB124" s="2472" t="str">
        <f>IFERROR(IF(OR(BC$2="ZURÜCK ZUR AUSWAHL",BC$2="",BC$2=0),"",IF(BC$2=$BO$1,$BO123,IF(BC$2=$BP$1,$BP123,IF(BC$2=$BQ$1,$BQ123,IF(BC$2=$BR$1,$BR123,IF(BC$2=$BS$1,$BS123,IF(BC$2=$BT$1,$BT123,IF(BC$2=$BU$1,$BU123,INDEX(Tiere!$BN$2:$BN$145,_xlfn.AGGREGATE(15,6,(ROW(Tiere!$BN$2:$BN$145)-1)/(--(SEARCH(BC$2,Tiere!$BN$2:$BN$145)&gt;0)),ROW()-1),1))))))))),"")</f>
        <v/>
      </c>
      <c r="BC124" s="2436"/>
      <c r="BD124" s="2472" t="str">
        <f>IFERROR(IF(OR(BE$2="ZURÜCK ZUR AUSWAHL",BE$2="",BE$2=0),"",IF(BE$2=$BO$1,$BO123,IF(BE$2=$BP$1,$BP123,IF(BE$2=$BQ$1,$BQ123,IF(BE$2=$BR$1,$BR123,IF(BE$2=$BS$1,$BS123,IF(BE$2=$BT$1,$BT123,IF(BE$2=$BU$1,$BU123,INDEX(Tiere!$BN$2:$BN$145,_xlfn.AGGREGATE(15,6,(ROW(Tiere!$BN$2:$BN$145)-1)/(--(SEARCH(BE$2,Tiere!$BN$2:$BN$145)&gt;0)),ROW()-1),1))))))))),"")</f>
        <v/>
      </c>
      <c r="BE124" s="2436"/>
      <c r="BF124" s="2472" t="str">
        <f>IFERROR(IF(OR(BG$2="ZURÜCK ZUR AUSWAHL",BG$2="",BG$2=0),"",IF(BG$2=$BO$1,$BO123,IF(BG$2=$BP$1,$BP123,IF(BG$2=$BQ$1,$BQ123,IF(BG$2=$BR$1,$BR123,IF(BG$2=$BS$1,$BS123,IF(BG$2=$BT$1,$BT123,IF(BG$2=$BU$1,$BU123,INDEX(Tiere!$BN$2:$BN$145,_xlfn.AGGREGATE(15,6,(ROW(Tiere!$BN$2:$BN$145)-1)/(--(SEARCH(BG$2,Tiere!$BN$2:$BN$145)&gt;0)),ROW()-1),1))))))))),"")</f>
        <v/>
      </c>
      <c r="BG124" s="2436"/>
      <c r="BH124" s="2472" t="str">
        <f>IFERROR(IF(OR(BI$2="ZURÜCK ZUR AUSWAHL",BI$2="",BI$2=0),"",IF(BI$2=$BO$1,$BO123,IF(BI$2=$BP$1,$BP123,IF(BI$2=$BQ$1,$BQ123,IF(BI$2=$BR$1,$BR123,IF(BI$2=$BS$1,$BS123,IF(BI$2=$BT$1,$BT123,IF(BI$2=$BU$1,$BU123,INDEX(Tiere!$BN$2:$BN$145,_xlfn.AGGREGATE(15,6,(ROW(Tiere!$BN$2:$BN$145)-1)/(--(SEARCH(BI$2,Tiere!$BN$2:$BN$145)&gt;0)),ROW()-1),1))))))))),"")</f>
        <v/>
      </c>
      <c r="BI124" s="2436"/>
      <c r="BJ124" s="2472" t="str">
        <f>IFERROR(IF(OR(BK$2="ZURÜCK ZUR AUSWAHL",BK$2="",BK$2=0),"",IF(BK$2=$BO$1,$BO123,IF(BK$2=$BP$1,$BP123,IF(BK$2=$BQ$1,$BQ123,IF(BK$2=$BR$1,$BR123,IF(BK$2=$BS$1,$BS123,IF(BK$2=$BT$1,$BT123,IF(BK$2=$BU$1,$BU123,INDEX(Tiere!$BN$2:$BN$145,_xlfn.AGGREGATE(15,6,(ROW(Tiere!$BN$2:$BN$145)-1)/(--(SEARCH(BK$2,Tiere!$BN$2:$BN$145)&gt;0)),ROW()-1),1))))))))),"")</f>
        <v/>
      </c>
      <c r="BK124" s="2436"/>
      <c r="BL124" s="2472" t="str">
        <f>IFERROR(IF(OR(BM$2="ZURÜCK ZUR AUSWAHL",BM$2="",BM$2=0),"",IF(BM$2=$BO$1,$BO123,IF(BM$2=$BP$1,$BP123,IF(BM$2=$BQ$1,$BQ123,IF(BM$2=$BR$1,$BR123,IF(BM$2=$BS$1,$BS123,IF(BM$2=$BT$1,$BT123,IF(BM$2=$BU$1,$BU123,INDEX(Tiere!$BN$2:$BN$145,_xlfn.AGGREGATE(15,6,(ROW(Tiere!$BN$2:$BN$145)-1)/(--(SEARCH(BM$2,Tiere!$BN$2:$BN$145)&gt;0)),ROW()-1),1))))))))),"")</f>
        <v/>
      </c>
      <c r="BM124" s="2436"/>
      <c r="BN124" s="2478" t="s">
        <v>1302</v>
      </c>
      <c r="BO124" s="2470"/>
      <c r="BP124" s="2470"/>
      <c r="BQ124" s="2470"/>
      <c r="BR124" s="2470"/>
      <c r="BS124" s="2470"/>
      <c r="BT124" s="2470"/>
      <c r="BU124" s="2470"/>
    </row>
    <row r="125" spans="36:73" ht="13.8" thickBot="1">
      <c r="AJ125" s="2472" t="str">
        <f>IFERROR(IF(OR(AK$2="ZURÜCK ZUR AUSWAHL",AK$2="",AK$2=0),"",IF(AK$2=$BO$1,$BO124,IF(AK$2=$BP$1,$BP124,IF(AK$2=$BQ$1,$BQ124,IF(AK$2=$BR$1,$BR124,IF(AK$2=$BS$1,$BS124,IF(AK$2=$BT$1,$BT124,IF(AK$2=$BU$1,$BU124,INDEX(Tiere!$BN$2:$BN$145,_xlfn.AGGREGATE(15,6,(ROW(Tiere!$BN$2:$BN$145)-1)/(--(SEARCH(AK$2,Tiere!$BN$2:$BN$145)&gt;0)),ROW()-2),1))))))))),"")</f>
        <v/>
      </c>
      <c r="AK125" s="2438"/>
      <c r="AL125" s="2472" t="str">
        <f>IFERROR(IF(OR(AM$2="ZURÜCK ZUR AUSWAHL",AM$2="",AM$2=0),"",IF(AM$2=$BO$1,$BO124,IF(AM$2=$BP$1,$BP124,IF(AM$2=$BQ$1,$BQ124,IF(AM$2=$BR$1,$BR124,IF(AM$2=$BS$1,$BS124,IF(AM$2=$BT$1,$BT124,IF(AM$2=$BU$1,$BU124,INDEX(Tiere!$BN$2:$BN$145,_xlfn.AGGREGATE(15,6,(ROW(Tiere!$BN$2:$BN$145)-1)/(--(SEARCH(AM$2,Tiere!$BN$2:$BN$145)&gt;0)),ROW()-1),1))))))))),"")</f>
        <v/>
      </c>
      <c r="AM125" s="2438"/>
      <c r="AN125" s="2472" t="str">
        <f>IFERROR(IF(OR(AO$2="ZURÜCK ZUR AUSWAHL",AO$2="",AO$2=0),"",IF(AO$2=$BO$1,$BO124,IF(AO$2=$BP$1,$BP124,IF(AO$2=$BQ$1,$BQ124,IF(AO$2=$BR$1,$BR124,IF(AO$2=$BS$1,$BS124,IF(AO$2=$BT$1,$BT124,IF(AO$2=$BU$1,$BU124,INDEX(Tiere!$BN$2:$BN$145,_xlfn.AGGREGATE(15,6,(ROW(Tiere!$BN$2:$BN$145)-1)/(--(SEARCH(AO$2,Tiere!$BN$2:$BN$145)&gt;0)),ROW()-1),1))))))))),"")</f>
        <v/>
      </c>
      <c r="AO125" s="2438"/>
      <c r="AP125" s="2472" t="str">
        <f>IFERROR(IF(OR(AQ$2="ZURÜCK ZUR AUSWAHL",AQ$2="",AQ$2=0),"",IF(AQ$2=$BO$1,$BO124,IF(AQ$2=$BP$1,$BP124,IF(AQ$2=$BQ$1,$BQ124,IF(AQ$2=$BR$1,$BR124,IF(AQ$2=$BS$1,$BS124,IF(AQ$2=$BT$1,$BT124,IF(AQ$2=$BU$1,$BU124,INDEX(Tiere!$BN$2:$BN$145,_xlfn.AGGREGATE(15,6,(ROW(Tiere!$BN$2:$BN$145)-1)/(--(SEARCH(AQ$2,Tiere!$BN$2:$BN$145)&gt;0)),ROW()-1),1))))))))),"")</f>
        <v/>
      </c>
      <c r="AQ125" s="2438"/>
      <c r="AR125" s="2472" t="str">
        <f>IFERROR(IF(OR(AS$2="ZURÜCK ZUR AUSWAHL",AS$2="",AS$2=0),"",IF(AS$2=$BO$1,$BO124,IF(AS$2=$BP$1,$BP124,IF(AS$2=$BQ$1,$BQ124,IF(AS$2=$BR$1,$BR124,IF(AS$2=$BS$1,$BS124,IF(AS$2=$BT$1,$BT124,IF(AS$2=$BU$1,$BU124,INDEX(Tiere!$BN$2:$BN$145,_xlfn.AGGREGATE(15,6,(ROW(Tiere!$BN$2:$BN$145)-1)/(--(SEARCH(AS$2,Tiere!$BN$2:$BN$145)&gt;0)),ROW()-1),1))))))))),"")</f>
        <v/>
      </c>
      <c r="AS125" s="2438"/>
      <c r="AT125" s="2472" t="str">
        <f>IFERROR(IF(OR(AU$2="ZURÜCK ZUR AUSWAHL",AU$2="",AU$2=0),"",IF(AU$2=$BO$1,$BO124,IF(AU$2=$BP$1,$BP124,IF(AU$2=$BQ$1,$BQ124,IF(AU$2=$BR$1,$BR124,IF(AU$2=$BS$1,$BS124,IF(AU$2=$BT$1,$BT124,IF(AU$2=$BU$1,$BU124,INDEX(Tiere!$BN$2:$BN$145,_xlfn.AGGREGATE(15,6,(ROW(Tiere!$BN$2:$BN$145)-1)/(--(SEARCH(AU$2,Tiere!$BN$2:$BN$145)&gt;0)),ROW()-1),1))))))))),"")</f>
        <v/>
      </c>
      <c r="AU125" s="2438"/>
      <c r="AV125" s="2472" t="str">
        <f>IFERROR(IF(OR(AW$2="ZURÜCK ZUR AUSWAHL",AW$2="",AW$2=0),"",IF(AW$2=$BO$1,$BO124,IF(AW$2=$BP$1,$BP124,IF(AW$2=$BQ$1,$BQ124,IF(AW$2=$BR$1,$BR124,IF(AW$2=$BS$1,$BS124,IF(AW$2=$BT$1,$BT124,IF(AW$2=$BU$1,$BU124,INDEX(Tiere!$BN$2:$BN$145,_xlfn.AGGREGATE(15,6,(ROW(Tiere!$BN$2:$BN$145)-1)/(--(SEARCH(AW$2,Tiere!$BN$2:$BN$145)&gt;0)),ROW()-1),1))))))))),"")</f>
        <v/>
      </c>
      <c r="AW125" s="2438"/>
      <c r="AX125" s="2472" t="str">
        <f>IFERROR(IF(OR(AY$2="ZURÜCK ZUR AUSWAHL",AY$2="",AY$2=0),"",IF(AY$2=$BO$1,$BO124,IF(AY$2=$BP$1,$BP124,IF(AY$2=$BQ$1,$BQ124,IF(AY$2=$BR$1,$BR124,IF(AY$2=$BS$1,$BS124,IF(AY$2=$BT$1,$BT124,IF(AY$2=$BU$1,$BU124,INDEX(Tiere!$BN$2:$BN$145,_xlfn.AGGREGATE(15,6,(ROW(Tiere!$BN$2:$BN$145)-1)/(--(SEARCH(AY$2,Tiere!$BN$2:$BN$145)&gt;0)),ROW()-1),1))))))))),"")</f>
        <v/>
      </c>
      <c r="AY125" s="2438"/>
      <c r="AZ125" s="2472" t="str">
        <f>IFERROR(IF(OR(BA$2="ZURÜCK ZUR AUSWAHL",BA$2="",BA$2=0),"",IF(BA$2=$BO$1,$BO124,IF(BA$2=$BP$1,$BP124,IF(BA$2=$BQ$1,$BQ124,IF(BA$2=$BR$1,$BR124,IF(BA$2=$BS$1,$BS124,IF(BA$2=$BT$1,$BT124,IF(BA$2=$BU$1,$BU124,INDEX(Tiere!$BN$2:$BN$145,_xlfn.AGGREGATE(15,6,(ROW(Tiere!$BN$2:$BN$145)-1)/(--(SEARCH(BA$2,Tiere!$BN$2:$BN$145)&gt;0)),ROW()-1),1))))))))),"")</f>
        <v/>
      </c>
      <c r="BA125" s="2438"/>
      <c r="BB125" s="2472" t="str">
        <f>IFERROR(IF(OR(BC$2="ZURÜCK ZUR AUSWAHL",BC$2="",BC$2=0),"",IF(BC$2=$BO$1,$BO124,IF(BC$2=$BP$1,$BP124,IF(BC$2=$BQ$1,$BQ124,IF(BC$2=$BR$1,$BR124,IF(BC$2=$BS$1,$BS124,IF(BC$2=$BT$1,$BT124,IF(BC$2=$BU$1,$BU124,INDEX(Tiere!$BN$2:$BN$145,_xlfn.AGGREGATE(15,6,(ROW(Tiere!$BN$2:$BN$145)-1)/(--(SEARCH(BC$2,Tiere!$BN$2:$BN$145)&gt;0)),ROW()-1),1))))))))),"")</f>
        <v/>
      </c>
      <c r="BC125" s="2438"/>
      <c r="BD125" s="2472" t="str">
        <f>IFERROR(IF(OR(BE$2="ZURÜCK ZUR AUSWAHL",BE$2="",BE$2=0),"",IF(BE$2=$BO$1,$BO124,IF(BE$2=$BP$1,$BP124,IF(BE$2=$BQ$1,$BQ124,IF(BE$2=$BR$1,$BR124,IF(BE$2=$BS$1,$BS124,IF(BE$2=$BT$1,$BT124,IF(BE$2=$BU$1,$BU124,INDEX(Tiere!$BN$2:$BN$145,_xlfn.AGGREGATE(15,6,(ROW(Tiere!$BN$2:$BN$145)-1)/(--(SEARCH(BE$2,Tiere!$BN$2:$BN$145)&gt;0)),ROW()-1),1))))))))),"")</f>
        <v/>
      </c>
      <c r="BE125" s="2438"/>
      <c r="BF125" s="2472" t="str">
        <f>IFERROR(IF(OR(BG$2="ZURÜCK ZUR AUSWAHL",BG$2="",BG$2=0),"",IF(BG$2=$BO$1,$BO124,IF(BG$2=$BP$1,$BP124,IF(BG$2=$BQ$1,$BQ124,IF(BG$2=$BR$1,$BR124,IF(BG$2=$BS$1,$BS124,IF(BG$2=$BT$1,$BT124,IF(BG$2=$BU$1,$BU124,INDEX(Tiere!$BN$2:$BN$145,_xlfn.AGGREGATE(15,6,(ROW(Tiere!$BN$2:$BN$145)-1)/(--(SEARCH(BG$2,Tiere!$BN$2:$BN$145)&gt;0)),ROW()-1),1))))))))),"")</f>
        <v/>
      </c>
      <c r="BG125" s="2438"/>
      <c r="BH125" s="2472" t="str">
        <f>IFERROR(IF(OR(BI$2="ZURÜCK ZUR AUSWAHL",BI$2="",BI$2=0),"",IF(BI$2=$BO$1,$BO124,IF(BI$2=$BP$1,$BP124,IF(BI$2=$BQ$1,$BQ124,IF(BI$2=$BR$1,$BR124,IF(BI$2=$BS$1,$BS124,IF(BI$2=$BT$1,$BT124,IF(BI$2=$BU$1,$BU124,INDEX(Tiere!$BN$2:$BN$145,_xlfn.AGGREGATE(15,6,(ROW(Tiere!$BN$2:$BN$145)-1)/(--(SEARCH(BI$2,Tiere!$BN$2:$BN$145)&gt;0)),ROW()-1),1))))))))),"")</f>
        <v/>
      </c>
      <c r="BI125" s="2438"/>
      <c r="BJ125" s="2472" t="str">
        <f>IFERROR(IF(OR(BK$2="ZURÜCK ZUR AUSWAHL",BK$2="",BK$2=0),"",IF(BK$2=$BO$1,$BO124,IF(BK$2=$BP$1,$BP124,IF(BK$2=$BQ$1,$BQ124,IF(BK$2=$BR$1,$BR124,IF(BK$2=$BS$1,$BS124,IF(BK$2=$BT$1,$BT124,IF(BK$2=$BU$1,$BU124,INDEX(Tiere!$BN$2:$BN$145,_xlfn.AGGREGATE(15,6,(ROW(Tiere!$BN$2:$BN$145)-1)/(--(SEARCH(BK$2,Tiere!$BN$2:$BN$145)&gt;0)),ROW()-1),1))))))))),"")</f>
        <v/>
      </c>
      <c r="BK125" s="2438"/>
      <c r="BL125" s="2472" t="str">
        <f>IFERROR(IF(OR(BM$2="ZURÜCK ZUR AUSWAHL",BM$2="",BM$2=0),"",IF(BM$2=$BO$1,$BO124,IF(BM$2=$BP$1,$BP124,IF(BM$2=$BQ$1,$BQ124,IF(BM$2=$BR$1,$BR124,IF(BM$2=$BS$1,$BS124,IF(BM$2=$BT$1,$BT124,IF(BM$2=$BU$1,$BU124,INDEX(Tiere!$BN$2:$BN$145,_xlfn.AGGREGATE(15,6,(ROW(Tiere!$BN$2:$BN$145)-1)/(--(SEARCH(BM$2,Tiere!$BN$2:$BN$145)&gt;0)),ROW()-1),1))))))))),"")</f>
        <v/>
      </c>
      <c r="BM125" s="2438"/>
      <c r="BN125" s="2478" t="s">
        <v>1303</v>
      </c>
      <c r="BO125" s="2470"/>
      <c r="BP125" s="2470"/>
      <c r="BQ125" s="2470"/>
      <c r="BR125" s="2470"/>
      <c r="BS125" s="2470"/>
      <c r="BT125" s="2470"/>
      <c r="BU125" s="2470"/>
    </row>
    <row r="126" spans="36:73" ht="13.8" thickBot="1">
      <c r="AJ126" s="2472" t="str">
        <f>IFERROR(IF(OR(AK$2="ZURÜCK ZUR AUSWAHL",AK$2="",AK$2=0),"",IF(AK$2=$BO$1,$BO125,IF(AK$2=$BP$1,$BP125,IF(AK$2=$BQ$1,$BQ125,IF(AK$2=$BR$1,$BR125,IF(AK$2=$BS$1,$BS125,IF(AK$2=$BT$1,$BT125,IF(AK$2=$BU$1,$BU125,INDEX(Tiere!$BN$2:$BN$145,_xlfn.AGGREGATE(15,6,(ROW(Tiere!$BN$2:$BN$145)-1)/(--(SEARCH(AK$2,Tiere!$BN$2:$BN$145)&gt;0)),ROW()-2),1))))))))),"")</f>
        <v/>
      </c>
      <c r="AK126" s="2436"/>
      <c r="AL126" s="2472" t="str">
        <f>IFERROR(IF(OR(AM$2="ZURÜCK ZUR AUSWAHL",AM$2="",AM$2=0),"",IF(AM$2=$BO$1,$BO125,IF(AM$2=$BP$1,$BP125,IF(AM$2=$BQ$1,$BQ125,IF(AM$2=$BR$1,$BR125,IF(AM$2=$BS$1,$BS125,IF(AM$2=$BT$1,$BT125,IF(AM$2=$BU$1,$BU125,INDEX(Tiere!$BN$2:$BN$145,_xlfn.AGGREGATE(15,6,(ROW(Tiere!$BN$2:$BN$145)-1)/(--(SEARCH(AM$2,Tiere!$BN$2:$BN$145)&gt;0)),ROW()-1),1))))))))),"")</f>
        <v/>
      </c>
      <c r="AM126" s="2436"/>
      <c r="AN126" s="2472" t="str">
        <f>IFERROR(IF(OR(AO$2="ZURÜCK ZUR AUSWAHL",AO$2="",AO$2=0),"",IF(AO$2=$BO$1,$BO125,IF(AO$2=$BP$1,$BP125,IF(AO$2=$BQ$1,$BQ125,IF(AO$2=$BR$1,$BR125,IF(AO$2=$BS$1,$BS125,IF(AO$2=$BT$1,$BT125,IF(AO$2=$BU$1,$BU125,INDEX(Tiere!$BN$2:$BN$145,_xlfn.AGGREGATE(15,6,(ROW(Tiere!$BN$2:$BN$145)-1)/(--(SEARCH(AO$2,Tiere!$BN$2:$BN$145)&gt;0)),ROW()-1),1))))))))),"")</f>
        <v/>
      </c>
      <c r="AO126" s="2436"/>
      <c r="AP126" s="2472" t="str">
        <f>IFERROR(IF(OR(AQ$2="ZURÜCK ZUR AUSWAHL",AQ$2="",AQ$2=0),"",IF(AQ$2=$BO$1,$BO125,IF(AQ$2=$BP$1,$BP125,IF(AQ$2=$BQ$1,$BQ125,IF(AQ$2=$BR$1,$BR125,IF(AQ$2=$BS$1,$BS125,IF(AQ$2=$BT$1,$BT125,IF(AQ$2=$BU$1,$BU125,INDEX(Tiere!$BN$2:$BN$145,_xlfn.AGGREGATE(15,6,(ROW(Tiere!$BN$2:$BN$145)-1)/(--(SEARCH(AQ$2,Tiere!$BN$2:$BN$145)&gt;0)),ROW()-1),1))))))))),"")</f>
        <v/>
      </c>
      <c r="AQ126" s="2436"/>
      <c r="AR126" s="2472" t="str">
        <f>IFERROR(IF(OR(AS$2="ZURÜCK ZUR AUSWAHL",AS$2="",AS$2=0),"",IF(AS$2=$BO$1,$BO125,IF(AS$2=$BP$1,$BP125,IF(AS$2=$BQ$1,$BQ125,IF(AS$2=$BR$1,$BR125,IF(AS$2=$BS$1,$BS125,IF(AS$2=$BT$1,$BT125,IF(AS$2=$BU$1,$BU125,INDEX(Tiere!$BN$2:$BN$145,_xlfn.AGGREGATE(15,6,(ROW(Tiere!$BN$2:$BN$145)-1)/(--(SEARCH(AS$2,Tiere!$BN$2:$BN$145)&gt;0)),ROW()-1),1))))))))),"")</f>
        <v/>
      </c>
      <c r="AS126" s="2436"/>
      <c r="AT126" s="2472" t="str">
        <f>IFERROR(IF(OR(AU$2="ZURÜCK ZUR AUSWAHL",AU$2="",AU$2=0),"",IF(AU$2=$BO$1,$BO125,IF(AU$2=$BP$1,$BP125,IF(AU$2=$BQ$1,$BQ125,IF(AU$2=$BR$1,$BR125,IF(AU$2=$BS$1,$BS125,IF(AU$2=$BT$1,$BT125,IF(AU$2=$BU$1,$BU125,INDEX(Tiere!$BN$2:$BN$145,_xlfn.AGGREGATE(15,6,(ROW(Tiere!$BN$2:$BN$145)-1)/(--(SEARCH(AU$2,Tiere!$BN$2:$BN$145)&gt;0)),ROW()-1),1))))))))),"")</f>
        <v/>
      </c>
      <c r="AU126" s="2436"/>
      <c r="AV126" s="2472" t="str">
        <f>IFERROR(IF(OR(AW$2="ZURÜCK ZUR AUSWAHL",AW$2="",AW$2=0),"",IF(AW$2=$BO$1,$BO125,IF(AW$2=$BP$1,$BP125,IF(AW$2=$BQ$1,$BQ125,IF(AW$2=$BR$1,$BR125,IF(AW$2=$BS$1,$BS125,IF(AW$2=$BT$1,$BT125,IF(AW$2=$BU$1,$BU125,INDEX(Tiere!$BN$2:$BN$145,_xlfn.AGGREGATE(15,6,(ROW(Tiere!$BN$2:$BN$145)-1)/(--(SEARCH(AW$2,Tiere!$BN$2:$BN$145)&gt;0)),ROW()-1),1))))))))),"")</f>
        <v/>
      </c>
      <c r="AW126" s="2436"/>
      <c r="AX126" s="2472" t="str">
        <f>IFERROR(IF(OR(AY$2="ZURÜCK ZUR AUSWAHL",AY$2="",AY$2=0),"",IF(AY$2=$BO$1,$BO125,IF(AY$2=$BP$1,$BP125,IF(AY$2=$BQ$1,$BQ125,IF(AY$2=$BR$1,$BR125,IF(AY$2=$BS$1,$BS125,IF(AY$2=$BT$1,$BT125,IF(AY$2=$BU$1,$BU125,INDEX(Tiere!$BN$2:$BN$145,_xlfn.AGGREGATE(15,6,(ROW(Tiere!$BN$2:$BN$145)-1)/(--(SEARCH(AY$2,Tiere!$BN$2:$BN$145)&gt;0)),ROW()-1),1))))))))),"")</f>
        <v/>
      </c>
      <c r="AY126" s="2436"/>
      <c r="AZ126" s="2472" t="str">
        <f>IFERROR(IF(OR(BA$2="ZURÜCK ZUR AUSWAHL",BA$2="",BA$2=0),"",IF(BA$2=$BO$1,$BO125,IF(BA$2=$BP$1,$BP125,IF(BA$2=$BQ$1,$BQ125,IF(BA$2=$BR$1,$BR125,IF(BA$2=$BS$1,$BS125,IF(BA$2=$BT$1,$BT125,IF(BA$2=$BU$1,$BU125,INDEX(Tiere!$BN$2:$BN$145,_xlfn.AGGREGATE(15,6,(ROW(Tiere!$BN$2:$BN$145)-1)/(--(SEARCH(BA$2,Tiere!$BN$2:$BN$145)&gt;0)),ROW()-1),1))))))))),"")</f>
        <v/>
      </c>
      <c r="BA126" s="2436"/>
      <c r="BB126" s="2472" t="str">
        <f>IFERROR(IF(OR(BC$2="ZURÜCK ZUR AUSWAHL",BC$2="",BC$2=0),"",IF(BC$2=$BO$1,$BO125,IF(BC$2=$BP$1,$BP125,IF(BC$2=$BQ$1,$BQ125,IF(BC$2=$BR$1,$BR125,IF(BC$2=$BS$1,$BS125,IF(BC$2=$BT$1,$BT125,IF(BC$2=$BU$1,$BU125,INDEX(Tiere!$BN$2:$BN$145,_xlfn.AGGREGATE(15,6,(ROW(Tiere!$BN$2:$BN$145)-1)/(--(SEARCH(BC$2,Tiere!$BN$2:$BN$145)&gt;0)),ROW()-1),1))))))))),"")</f>
        <v/>
      </c>
      <c r="BC126" s="2436"/>
      <c r="BD126" s="2472" t="str">
        <f>IFERROR(IF(OR(BE$2="ZURÜCK ZUR AUSWAHL",BE$2="",BE$2=0),"",IF(BE$2=$BO$1,$BO125,IF(BE$2=$BP$1,$BP125,IF(BE$2=$BQ$1,$BQ125,IF(BE$2=$BR$1,$BR125,IF(BE$2=$BS$1,$BS125,IF(BE$2=$BT$1,$BT125,IF(BE$2=$BU$1,$BU125,INDEX(Tiere!$BN$2:$BN$145,_xlfn.AGGREGATE(15,6,(ROW(Tiere!$BN$2:$BN$145)-1)/(--(SEARCH(BE$2,Tiere!$BN$2:$BN$145)&gt;0)),ROW()-1),1))))))))),"")</f>
        <v/>
      </c>
      <c r="BE126" s="2436"/>
      <c r="BF126" s="2472" t="str">
        <f>IFERROR(IF(OR(BG$2="ZURÜCK ZUR AUSWAHL",BG$2="",BG$2=0),"",IF(BG$2=$BO$1,$BO125,IF(BG$2=$BP$1,$BP125,IF(BG$2=$BQ$1,$BQ125,IF(BG$2=$BR$1,$BR125,IF(BG$2=$BS$1,$BS125,IF(BG$2=$BT$1,$BT125,IF(BG$2=$BU$1,$BU125,INDEX(Tiere!$BN$2:$BN$145,_xlfn.AGGREGATE(15,6,(ROW(Tiere!$BN$2:$BN$145)-1)/(--(SEARCH(BG$2,Tiere!$BN$2:$BN$145)&gt;0)),ROW()-1),1))))))))),"")</f>
        <v/>
      </c>
      <c r="BG126" s="2436"/>
      <c r="BH126" s="2472" t="str">
        <f>IFERROR(IF(OR(BI$2="ZURÜCK ZUR AUSWAHL",BI$2="",BI$2=0),"",IF(BI$2=$BO$1,$BO125,IF(BI$2=$BP$1,$BP125,IF(BI$2=$BQ$1,$BQ125,IF(BI$2=$BR$1,$BR125,IF(BI$2=$BS$1,$BS125,IF(BI$2=$BT$1,$BT125,IF(BI$2=$BU$1,$BU125,INDEX(Tiere!$BN$2:$BN$145,_xlfn.AGGREGATE(15,6,(ROW(Tiere!$BN$2:$BN$145)-1)/(--(SEARCH(BI$2,Tiere!$BN$2:$BN$145)&gt;0)),ROW()-1),1))))))))),"")</f>
        <v/>
      </c>
      <c r="BI126" s="2436"/>
      <c r="BJ126" s="2472" t="str">
        <f>IFERROR(IF(OR(BK$2="ZURÜCK ZUR AUSWAHL",BK$2="",BK$2=0),"",IF(BK$2=$BO$1,$BO125,IF(BK$2=$BP$1,$BP125,IF(BK$2=$BQ$1,$BQ125,IF(BK$2=$BR$1,$BR125,IF(BK$2=$BS$1,$BS125,IF(BK$2=$BT$1,$BT125,IF(BK$2=$BU$1,$BU125,INDEX(Tiere!$BN$2:$BN$145,_xlfn.AGGREGATE(15,6,(ROW(Tiere!$BN$2:$BN$145)-1)/(--(SEARCH(BK$2,Tiere!$BN$2:$BN$145)&gt;0)),ROW()-1),1))))))))),"")</f>
        <v/>
      </c>
      <c r="BK126" s="2436"/>
      <c r="BL126" s="2472" t="str">
        <f>IFERROR(IF(OR(BM$2="ZURÜCK ZUR AUSWAHL",BM$2="",BM$2=0),"",IF(BM$2=$BO$1,$BO125,IF(BM$2=$BP$1,$BP125,IF(BM$2=$BQ$1,$BQ125,IF(BM$2=$BR$1,$BR125,IF(BM$2=$BS$1,$BS125,IF(BM$2=$BT$1,$BT125,IF(BM$2=$BU$1,$BU125,INDEX(Tiere!$BN$2:$BN$145,_xlfn.AGGREGATE(15,6,(ROW(Tiere!$BN$2:$BN$145)-1)/(--(SEARCH(BM$2,Tiere!$BN$2:$BN$145)&gt;0)),ROW()-1),1))))))))),"")</f>
        <v/>
      </c>
      <c r="BM126" s="2436"/>
      <c r="BN126" s="2478" t="s">
        <v>1304</v>
      </c>
      <c r="BO126" s="2470"/>
      <c r="BP126" s="2470"/>
      <c r="BQ126" s="2470"/>
      <c r="BR126" s="2470"/>
      <c r="BS126" s="2470"/>
      <c r="BT126" s="2470"/>
      <c r="BU126" s="2470"/>
    </row>
    <row r="127" spans="36:73" ht="13.8" thickBot="1">
      <c r="AJ127" s="2472" t="str">
        <f>IFERROR(IF(OR(AK$2="ZURÜCK ZUR AUSWAHL",AK$2="",AK$2=0),"",IF(AK$2=$BO$1,$BO126,IF(AK$2=$BP$1,$BP126,IF(AK$2=$BQ$1,$BQ126,IF(AK$2=$BR$1,$BR126,IF(AK$2=$BS$1,$BS126,IF(AK$2=$BT$1,$BT126,IF(AK$2=$BU$1,$BU126,INDEX(Tiere!$BN$2:$BN$145,_xlfn.AGGREGATE(15,6,(ROW(Tiere!$BN$2:$BN$145)-1)/(--(SEARCH(AK$2,Tiere!$BN$2:$BN$145)&gt;0)),ROW()-2),1))))))))),"")</f>
        <v/>
      </c>
      <c r="AK127" s="2438"/>
      <c r="AL127" s="2472" t="str">
        <f>IFERROR(IF(OR(AM$2="ZURÜCK ZUR AUSWAHL",AM$2="",AM$2=0),"",IF(AM$2=$BO$1,$BO126,IF(AM$2=$BP$1,$BP126,IF(AM$2=$BQ$1,$BQ126,IF(AM$2=$BR$1,$BR126,IF(AM$2=$BS$1,$BS126,IF(AM$2=$BT$1,$BT126,IF(AM$2=$BU$1,$BU126,INDEX(Tiere!$BN$2:$BN$145,_xlfn.AGGREGATE(15,6,(ROW(Tiere!$BN$2:$BN$145)-1)/(--(SEARCH(AM$2,Tiere!$BN$2:$BN$145)&gt;0)),ROW()-1),1))))))))),"")</f>
        <v/>
      </c>
      <c r="AM127" s="2438"/>
      <c r="AN127" s="2472" t="str">
        <f>IFERROR(IF(OR(AO$2="ZURÜCK ZUR AUSWAHL",AO$2="",AO$2=0),"",IF(AO$2=$BO$1,$BO126,IF(AO$2=$BP$1,$BP126,IF(AO$2=$BQ$1,$BQ126,IF(AO$2=$BR$1,$BR126,IF(AO$2=$BS$1,$BS126,IF(AO$2=$BT$1,$BT126,IF(AO$2=$BU$1,$BU126,INDEX(Tiere!$BN$2:$BN$145,_xlfn.AGGREGATE(15,6,(ROW(Tiere!$BN$2:$BN$145)-1)/(--(SEARCH(AO$2,Tiere!$BN$2:$BN$145)&gt;0)),ROW()-1),1))))))))),"")</f>
        <v/>
      </c>
      <c r="AO127" s="2438"/>
      <c r="AP127" s="2472" t="str">
        <f>IFERROR(IF(OR(AQ$2="ZURÜCK ZUR AUSWAHL",AQ$2="",AQ$2=0),"",IF(AQ$2=$BO$1,$BO126,IF(AQ$2=$BP$1,$BP126,IF(AQ$2=$BQ$1,$BQ126,IF(AQ$2=$BR$1,$BR126,IF(AQ$2=$BS$1,$BS126,IF(AQ$2=$BT$1,$BT126,IF(AQ$2=$BU$1,$BU126,INDEX(Tiere!$BN$2:$BN$145,_xlfn.AGGREGATE(15,6,(ROW(Tiere!$BN$2:$BN$145)-1)/(--(SEARCH(AQ$2,Tiere!$BN$2:$BN$145)&gt;0)),ROW()-1),1))))))))),"")</f>
        <v/>
      </c>
      <c r="AQ127" s="2438"/>
      <c r="AR127" s="2472" t="str">
        <f>IFERROR(IF(OR(AS$2="ZURÜCK ZUR AUSWAHL",AS$2="",AS$2=0),"",IF(AS$2=$BO$1,$BO126,IF(AS$2=$BP$1,$BP126,IF(AS$2=$BQ$1,$BQ126,IF(AS$2=$BR$1,$BR126,IF(AS$2=$BS$1,$BS126,IF(AS$2=$BT$1,$BT126,IF(AS$2=$BU$1,$BU126,INDEX(Tiere!$BN$2:$BN$145,_xlfn.AGGREGATE(15,6,(ROW(Tiere!$BN$2:$BN$145)-1)/(--(SEARCH(AS$2,Tiere!$BN$2:$BN$145)&gt;0)),ROW()-1),1))))))))),"")</f>
        <v/>
      </c>
      <c r="AS127" s="2438"/>
      <c r="AT127" s="2472" t="str">
        <f>IFERROR(IF(OR(AU$2="ZURÜCK ZUR AUSWAHL",AU$2="",AU$2=0),"",IF(AU$2=$BO$1,$BO126,IF(AU$2=$BP$1,$BP126,IF(AU$2=$BQ$1,$BQ126,IF(AU$2=$BR$1,$BR126,IF(AU$2=$BS$1,$BS126,IF(AU$2=$BT$1,$BT126,IF(AU$2=$BU$1,$BU126,INDEX(Tiere!$BN$2:$BN$145,_xlfn.AGGREGATE(15,6,(ROW(Tiere!$BN$2:$BN$145)-1)/(--(SEARCH(AU$2,Tiere!$BN$2:$BN$145)&gt;0)),ROW()-1),1))))))))),"")</f>
        <v/>
      </c>
      <c r="AU127" s="2438"/>
      <c r="AV127" s="2472" t="str">
        <f>IFERROR(IF(OR(AW$2="ZURÜCK ZUR AUSWAHL",AW$2="",AW$2=0),"",IF(AW$2=$BO$1,$BO126,IF(AW$2=$BP$1,$BP126,IF(AW$2=$BQ$1,$BQ126,IF(AW$2=$BR$1,$BR126,IF(AW$2=$BS$1,$BS126,IF(AW$2=$BT$1,$BT126,IF(AW$2=$BU$1,$BU126,INDEX(Tiere!$BN$2:$BN$145,_xlfn.AGGREGATE(15,6,(ROW(Tiere!$BN$2:$BN$145)-1)/(--(SEARCH(AW$2,Tiere!$BN$2:$BN$145)&gt;0)),ROW()-1),1))))))))),"")</f>
        <v/>
      </c>
      <c r="AW127" s="2438"/>
      <c r="AX127" s="2472" t="str">
        <f>IFERROR(IF(OR(AY$2="ZURÜCK ZUR AUSWAHL",AY$2="",AY$2=0),"",IF(AY$2=$BO$1,$BO126,IF(AY$2=$BP$1,$BP126,IF(AY$2=$BQ$1,$BQ126,IF(AY$2=$BR$1,$BR126,IF(AY$2=$BS$1,$BS126,IF(AY$2=$BT$1,$BT126,IF(AY$2=$BU$1,$BU126,INDEX(Tiere!$BN$2:$BN$145,_xlfn.AGGREGATE(15,6,(ROW(Tiere!$BN$2:$BN$145)-1)/(--(SEARCH(AY$2,Tiere!$BN$2:$BN$145)&gt;0)),ROW()-1),1))))))))),"")</f>
        <v/>
      </c>
      <c r="AY127" s="2438"/>
      <c r="AZ127" s="2472" t="str">
        <f>IFERROR(IF(OR(BA$2="ZURÜCK ZUR AUSWAHL",BA$2="",BA$2=0),"",IF(BA$2=$BO$1,$BO126,IF(BA$2=$BP$1,$BP126,IF(BA$2=$BQ$1,$BQ126,IF(BA$2=$BR$1,$BR126,IF(BA$2=$BS$1,$BS126,IF(BA$2=$BT$1,$BT126,IF(BA$2=$BU$1,$BU126,INDEX(Tiere!$BN$2:$BN$145,_xlfn.AGGREGATE(15,6,(ROW(Tiere!$BN$2:$BN$145)-1)/(--(SEARCH(BA$2,Tiere!$BN$2:$BN$145)&gt;0)),ROW()-1),1))))))))),"")</f>
        <v/>
      </c>
      <c r="BA127" s="2438"/>
      <c r="BB127" s="2472" t="str">
        <f>IFERROR(IF(OR(BC$2="ZURÜCK ZUR AUSWAHL",BC$2="",BC$2=0),"",IF(BC$2=$BO$1,$BO126,IF(BC$2=$BP$1,$BP126,IF(BC$2=$BQ$1,$BQ126,IF(BC$2=$BR$1,$BR126,IF(BC$2=$BS$1,$BS126,IF(BC$2=$BT$1,$BT126,IF(BC$2=$BU$1,$BU126,INDEX(Tiere!$BN$2:$BN$145,_xlfn.AGGREGATE(15,6,(ROW(Tiere!$BN$2:$BN$145)-1)/(--(SEARCH(BC$2,Tiere!$BN$2:$BN$145)&gt;0)),ROW()-1),1))))))))),"")</f>
        <v/>
      </c>
      <c r="BC127" s="2438"/>
      <c r="BD127" s="2472" t="str">
        <f>IFERROR(IF(OR(BE$2="ZURÜCK ZUR AUSWAHL",BE$2="",BE$2=0),"",IF(BE$2=$BO$1,$BO126,IF(BE$2=$BP$1,$BP126,IF(BE$2=$BQ$1,$BQ126,IF(BE$2=$BR$1,$BR126,IF(BE$2=$BS$1,$BS126,IF(BE$2=$BT$1,$BT126,IF(BE$2=$BU$1,$BU126,INDEX(Tiere!$BN$2:$BN$145,_xlfn.AGGREGATE(15,6,(ROW(Tiere!$BN$2:$BN$145)-1)/(--(SEARCH(BE$2,Tiere!$BN$2:$BN$145)&gt;0)),ROW()-1),1))))))))),"")</f>
        <v/>
      </c>
      <c r="BE127" s="2438"/>
      <c r="BF127" s="2472" t="str">
        <f>IFERROR(IF(OR(BG$2="ZURÜCK ZUR AUSWAHL",BG$2="",BG$2=0),"",IF(BG$2=$BO$1,$BO126,IF(BG$2=$BP$1,$BP126,IF(BG$2=$BQ$1,$BQ126,IF(BG$2=$BR$1,$BR126,IF(BG$2=$BS$1,$BS126,IF(BG$2=$BT$1,$BT126,IF(BG$2=$BU$1,$BU126,INDEX(Tiere!$BN$2:$BN$145,_xlfn.AGGREGATE(15,6,(ROW(Tiere!$BN$2:$BN$145)-1)/(--(SEARCH(BG$2,Tiere!$BN$2:$BN$145)&gt;0)),ROW()-1),1))))))))),"")</f>
        <v/>
      </c>
      <c r="BG127" s="2438"/>
      <c r="BH127" s="2472" t="str">
        <f>IFERROR(IF(OR(BI$2="ZURÜCK ZUR AUSWAHL",BI$2="",BI$2=0),"",IF(BI$2=$BO$1,$BO126,IF(BI$2=$BP$1,$BP126,IF(BI$2=$BQ$1,$BQ126,IF(BI$2=$BR$1,$BR126,IF(BI$2=$BS$1,$BS126,IF(BI$2=$BT$1,$BT126,IF(BI$2=$BU$1,$BU126,INDEX(Tiere!$BN$2:$BN$145,_xlfn.AGGREGATE(15,6,(ROW(Tiere!$BN$2:$BN$145)-1)/(--(SEARCH(BI$2,Tiere!$BN$2:$BN$145)&gt;0)),ROW()-1),1))))))))),"")</f>
        <v/>
      </c>
      <c r="BI127" s="2438"/>
      <c r="BJ127" s="2472" t="str">
        <f>IFERROR(IF(OR(BK$2="ZURÜCK ZUR AUSWAHL",BK$2="",BK$2=0),"",IF(BK$2=$BO$1,$BO126,IF(BK$2=$BP$1,$BP126,IF(BK$2=$BQ$1,$BQ126,IF(BK$2=$BR$1,$BR126,IF(BK$2=$BS$1,$BS126,IF(BK$2=$BT$1,$BT126,IF(BK$2=$BU$1,$BU126,INDEX(Tiere!$BN$2:$BN$145,_xlfn.AGGREGATE(15,6,(ROW(Tiere!$BN$2:$BN$145)-1)/(--(SEARCH(BK$2,Tiere!$BN$2:$BN$145)&gt;0)),ROW()-1),1))))))))),"")</f>
        <v/>
      </c>
      <c r="BK127" s="2438"/>
      <c r="BL127" s="2472" t="str">
        <f>IFERROR(IF(OR(BM$2="ZURÜCK ZUR AUSWAHL",BM$2="",BM$2=0),"",IF(BM$2=$BO$1,$BO126,IF(BM$2=$BP$1,$BP126,IF(BM$2=$BQ$1,$BQ126,IF(BM$2=$BR$1,$BR126,IF(BM$2=$BS$1,$BS126,IF(BM$2=$BT$1,$BT126,IF(BM$2=$BU$1,$BU126,INDEX(Tiere!$BN$2:$BN$145,_xlfn.AGGREGATE(15,6,(ROW(Tiere!$BN$2:$BN$145)-1)/(--(SEARCH(BM$2,Tiere!$BN$2:$BN$145)&gt;0)),ROW()-1),1))))))))),"")</f>
        <v/>
      </c>
      <c r="BM127" s="2438"/>
      <c r="BN127" s="2478" t="s">
        <v>1305</v>
      </c>
      <c r="BO127" s="2470"/>
      <c r="BP127" s="2470"/>
      <c r="BQ127" s="2470"/>
      <c r="BR127" s="2470"/>
      <c r="BS127" s="2470"/>
      <c r="BT127" s="2470"/>
      <c r="BU127" s="2470"/>
    </row>
    <row r="128" spans="36:73" ht="13.8" thickBot="1">
      <c r="AJ128" s="2472" t="str">
        <f>IFERROR(IF(OR(AK$2="ZURÜCK ZUR AUSWAHL",AK$2="",AK$2=0),"",IF(AK$2=$BO$1,$BO127,IF(AK$2=$BP$1,$BP127,IF(AK$2=$BQ$1,$BQ127,IF(AK$2=$BR$1,$BR127,IF(AK$2=$BS$1,$BS127,IF(AK$2=$BT$1,$BT127,IF(AK$2=$BU$1,$BU127,INDEX(Tiere!$BN$2:$BN$145,_xlfn.AGGREGATE(15,6,(ROW(Tiere!$BN$2:$BN$145)-1)/(--(SEARCH(AK$2,Tiere!$BN$2:$BN$145)&gt;0)),ROW()-2),1))))))))),"")</f>
        <v/>
      </c>
      <c r="AK128" s="2436"/>
      <c r="AL128" s="2472" t="str">
        <f>IFERROR(IF(OR(AM$2="ZURÜCK ZUR AUSWAHL",AM$2="",AM$2=0),"",IF(AM$2=$BO$1,$BO127,IF(AM$2=$BP$1,$BP127,IF(AM$2=$BQ$1,$BQ127,IF(AM$2=$BR$1,$BR127,IF(AM$2=$BS$1,$BS127,IF(AM$2=$BT$1,$BT127,IF(AM$2=$BU$1,$BU127,INDEX(Tiere!$BN$2:$BN$145,_xlfn.AGGREGATE(15,6,(ROW(Tiere!$BN$2:$BN$145)-1)/(--(SEARCH(AM$2,Tiere!$BN$2:$BN$145)&gt;0)),ROW()-1),1))))))))),"")</f>
        <v/>
      </c>
      <c r="AM128" s="2436"/>
      <c r="AN128" s="2472" t="str">
        <f>IFERROR(IF(OR(AO$2="ZURÜCK ZUR AUSWAHL",AO$2="",AO$2=0),"",IF(AO$2=$BO$1,$BO127,IF(AO$2=$BP$1,$BP127,IF(AO$2=$BQ$1,$BQ127,IF(AO$2=$BR$1,$BR127,IF(AO$2=$BS$1,$BS127,IF(AO$2=$BT$1,$BT127,IF(AO$2=$BU$1,$BU127,INDEX(Tiere!$BN$2:$BN$145,_xlfn.AGGREGATE(15,6,(ROW(Tiere!$BN$2:$BN$145)-1)/(--(SEARCH(AO$2,Tiere!$BN$2:$BN$145)&gt;0)),ROW()-1),1))))))))),"")</f>
        <v/>
      </c>
      <c r="AO128" s="2436"/>
      <c r="AP128" s="2472" t="str">
        <f>IFERROR(IF(OR(AQ$2="ZURÜCK ZUR AUSWAHL",AQ$2="",AQ$2=0),"",IF(AQ$2=$BO$1,$BO127,IF(AQ$2=$BP$1,$BP127,IF(AQ$2=$BQ$1,$BQ127,IF(AQ$2=$BR$1,$BR127,IF(AQ$2=$BS$1,$BS127,IF(AQ$2=$BT$1,$BT127,IF(AQ$2=$BU$1,$BU127,INDEX(Tiere!$BN$2:$BN$145,_xlfn.AGGREGATE(15,6,(ROW(Tiere!$BN$2:$BN$145)-1)/(--(SEARCH(AQ$2,Tiere!$BN$2:$BN$145)&gt;0)),ROW()-1),1))))))))),"")</f>
        <v/>
      </c>
      <c r="AQ128" s="2436"/>
      <c r="AR128" s="2472" t="str">
        <f>IFERROR(IF(OR(AS$2="ZURÜCK ZUR AUSWAHL",AS$2="",AS$2=0),"",IF(AS$2=$BO$1,$BO127,IF(AS$2=$BP$1,$BP127,IF(AS$2=$BQ$1,$BQ127,IF(AS$2=$BR$1,$BR127,IF(AS$2=$BS$1,$BS127,IF(AS$2=$BT$1,$BT127,IF(AS$2=$BU$1,$BU127,INDEX(Tiere!$BN$2:$BN$145,_xlfn.AGGREGATE(15,6,(ROW(Tiere!$BN$2:$BN$145)-1)/(--(SEARCH(AS$2,Tiere!$BN$2:$BN$145)&gt;0)),ROW()-1),1))))))))),"")</f>
        <v/>
      </c>
      <c r="AS128" s="2436"/>
      <c r="AT128" s="2472" t="str">
        <f>IFERROR(IF(OR(AU$2="ZURÜCK ZUR AUSWAHL",AU$2="",AU$2=0),"",IF(AU$2=$BO$1,$BO127,IF(AU$2=$BP$1,$BP127,IF(AU$2=$BQ$1,$BQ127,IF(AU$2=$BR$1,$BR127,IF(AU$2=$BS$1,$BS127,IF(AU$2=$BT$1,$BT127,IF(AU$2=$BU$1,$BU127,INDEX(Tiere!$BN$2:$BN$145,_xlfn.AGGREGATE(15,6,(ROW(Tiere!$BN$2:$BN$145)-1)/(--(SEARCH(AU$2,Tiere!$BN$2:$BN$145)&gt;0)),ROW()-1),1))))))))),"")</f>
        <v/>
      </c>
      <c r="AU128" s="2436"/>
      <c r="AV128" s="2472" t="str">
        <f>IFERROR(IF(OR(AW$2="ZURÜCK ZUR AUSWAHL",AW$2="",AW$2=0),"",IF(AW$2=$BO$1,$BO127,IF(AW$2=$BP$1,$BP127,IF(AW$2=$BQ$1,$BQ127,IF(AW$2=$BR$1,$BR127,IF(AW$2=$BS$1,$BS127,IF(AW$2=$BT$1,$BT127,IF(AW$2=$BU$1,$BU127,INDEX(Tiere!$BN$2:$BN$145,_xlfn.AGGREGATE(15,6,(ROW(Tiere!$BN$2:$BN$145)-1)/(--(SEARCH(AW$2,Tiere!$BN$2:$BN$145)&gt;0)),ROW()-1),1))))))))),"")</f>
        <v/>
      </c>
      <c r="AW128" s="2436"/>
      <c r="AX128" s="2472" t="str">
        <f>IFERROR(IF(OR(AY$2="ZURÜCK ZUR AUSWAHL",AY$2="",AY$2=0),"",IF(AY$2=$BO$1,$BO127,IF(AY$2=$BP$1,$BP127,IF(AY$2=$BQ$1,$BQ127,IF(AY$2=$BR$1,$BR127,IF(AY$2=$BS$1,$BS127,IF(AY$2=$BT$1,$BT127,IF(AY$2=$BU$1,$BU127,INDEX(Tiere!$BN$2:$BN$145,_xlfn.AGGREGATE(15,6,(ROW(Tiere!$BN$2:$BN$145)-1)/(--(SEARCH(AY$2,Tiere!$BN$2:$BN$145)&gt;0)),ROW()-1),1))))))))),"")</f>
        <v/>
      </c>
      <c r="AY128" s="2436"/>
      <c r="AZ128" s="2472" t="str">
        <f>IFERROR(IF(OR(BA$2="ZURÜCK ZUR AUSWAHL",BA$2="",BA$2=0),"",IF(BA$2=$BO$1,$BO127,IF(BA$2=$BP$1,$BP127,IF(BA$2=$BQ$1,$BQ127,IF(BA$2=$BR$1,$BR127,IF(BA$2=$BS$1,$BS127,IF(BA$2=$BT$1,$BT127,IF(BA$2=$BU$1,$BU127,INDEX(Tiere!$BN$2:$BN$145,_xlfn.AGGREGATE(15,6,(ROW(Tiere!$BN$2:$BN$145)-1)/(--(SEARCH(BA$2,Tiere!$BN$2:$BN$145)&gt;0)),ROW()-1),1))))))))),"")</f>
        <v/>
      </c>
      <c r="BA128" s="2436"/>
      <c r="BB128" s="2472" t="str">
        <f>IFERROR(IF(OR(BC$2="ZURÜCK ZUR AUSWAHL",BC$2="",BC$2=0),"",IF(BC$2=$BO$1,$BO127,IF(BC$2=$BP$1,$BP127,IF(BC$2=$BQ$1,$BQ127,IF(BC$2=$BR$1,$BR127,IF(BC$2=$BS$1,$BS127,IF(BC$2=$BT$1,$BT127,IF(BC$2=$BU$1,$BU127,INDEX(Tiere!$BN$2:$BN$145,_xlfn.AGGREGATE(15,6,(ROW(Tiere!$BN$2:$BN$145)-1)/(--(SEARCH(BC$2,Tiere!$BN$2:$BN$145)&gt;0)),ROW()-1),1))))))))),"")</f>
        <v/>
      </c>
      <c r="BC128" s="2436"/>
      <c r="BD128" s="2472" t="str">
        <f>IFERROR(IF(OR(BE$2="ZURÜCK ZUR AUSWAHL",BE$2="",BE$2=0),"",IF(BE$2=$BO$1,$BO127,IF(BE$2=$BP$1,$BP127,IF(BE$2=$BQ$1,$BQ127,IF(BE$2=$BR$1,$BR127,IF(BE$2=$BS$1,$BS127,IF(BE$2=$BT$1,$BT127,IF(BE$2=$BU$1,$BU127,INDEX(Tiere!$BN$2:$BN$145,_xlfn.AGGREGATE(15,6,(ROW(Tiere!$BN$2:$BN$145)-1)/(--(SEARCH(BE$2,Tiere!$BN$2:$BN$145)&gt;0)),ROW()-1),1))))))))),"")</f>
        <v/>
      </c>
      <c r="BE128" s="2436"/>
      <c r="BF128" s="2472" t="str">
        <f>IFERROR(IF(OR(BG$2="ZURÜCK ZUR AUSWAHL",BG$2="",BG$2=0),"",IF(BG$2=$BO$1,$BO127,IF(BG$2=$BP$1,$BP127,IF(BG$2=$BQ$1,$BQ127,IF(BG$2=$BR$1,$BR127,IF(BG$2=$BS$1,$BS127,IF(BG$2=$BT$1,$BT127,IF(BG$2=$BU$1,$BU127,INDEX(Tiere!$BN$2:$BN$145,_xlfn.AGGREGATE(15,6,(ROW(Tiere!$BN$2:$BN$145)-1)/(--(SEARCH(BG$2,Tiere!$BN$2:$BN$145)&gt;0)),ROW()-1),1))))))))),"")</f>
        <v/>
      </c>
      <c r="BG128" s="2436"/>
      <c r="BH128" s="2472" t="str">
        <f>IFERROR(IF(OR(BI$2="ZURÜCK ZUR AUSWAHL",BI$2="",BI$2=0),"",IF(BI$2=$BO$1,$BO127,IF(BI$2=$BP$1,$BP127,IF(BI$2=$BQ$1,$BQ127,IF(BI$2=$BR$1,$BR127,IF(BI$2=$BS$1,$BS127,IF(BI$2=$BT$1,$BT127,IF(BI$2=$BU$1,$BU127,INDEX(Tiere!$BN$2:$BN$145,_xlfn.AGGREGATE(15,6,(ROW(Tiere!$BN$2:$BN$145)-1)/(--(SEARCH(BI$2,Tiere!$BN$2:$BN$145)&gt;0)),ROW()-1),1))))))))),"")</f>
        <v/>
      </c>
      <c r="BI128" s="2436"/>
      <c r="BJ128" s="2472" t="str">
        <f>IFERROR(IF(OR(BK$2="ZURÜCK ZUR AUSWAHL",BK$2="",BK$2=0),"",IF(BK$2=$BO$1,$BO127,IF(BK$2=$BP$1,$BP127,IF(BK$2=$BQ$1,$BQ127,IF(BK$2=$BR$1,$BR127,IF(BK$2=$BS$1,$BS127,IF(BK$2=$BT$1,$BT127,IF(BK$2=$BU$1,$BU127,INDEX(Tiere!$BN$2:$BN$145,_xlfn.AGGREGATE(15,6,(ROW(Tiere!$BN$2:$BN$145)-1)/(--(SEARCH(BK$2,Tiere!$BN$2:$BN$145)&gt;0)),ROW()-1),1))))))))),"")</f>
        <v/>
      </c>
      <c r="BK128" s="2436"/>
      <c r="BL128" s="2472" t="str">
        <f>IFERROR(IF(OR(BM$2="ZURÜCK ZUR AUSWAHL",BM$2="",BM$2=0),"",IF(BM$2=$BO$1,$BO127,IF(BM$2=$BP$1,$BP127,IF(BM$2=$BQ$1,$BQ127,IF(BM$2=$BR$1,$BR127,IF(BM$2=$BS$1,$BS127,IF(BM$2=$BT$1,$BT127,IF(BM$2=$BU$1,$BU127,INDEX(Tiere!$BN$2:$BN$145,_xlfn.AGGREGATE(15,6,(ROW(Tiere!$BN$2:$BN$145)-1)/(--(SEARCH(BM$2,Tiere!$BN$2:$BN$145)&gt;0)),ROW()-1),1))))))))),"")</f>
        <v/>
      </c>
      <c r="BM128" s="2436"/>
      <c r="BN128" s="2478" t="s">
        <v>1306</v>
      </c>
      <c r="BO128" s="2470"/>
      <c r="BP128" s="2470"/>
      <c r="BQ128" s="2470"/>
      <c r="BR128" s="2470"/>
      <c r="BS128" s="2470"/>
      <c r="BT128" s="2470"/>
      <c r="BU128" s="2470"/>
    </row>
    <row r="129" spans="36:73" ht="13.8" thickBot="1">
      <c r="AJ129" s="2472" t="str">
        <f>IFERROR(IF(OR(AK$2="ZURÜCK ZUR AUSWAHL",AK$2="",AK$2=0),"",IF(AK$2=$BO$1,$BO128,IF(AK$2=$BP$1,$BP128,IF(AK$2=$BQ$1,$BQ128,IF(AK$2=$BR$1,$BR128,IF(AK$2=$BS$1,$BS128,IF(AK$2=$BT$1,$BT128,IF(AK$2=$BU$1,$BU128,INDEX(Tiere!$BN$2:$BN$145,_xlfn.AGGREGATE(15,6,(ROW(Tiere!$BN$2:$BN$145)-1)/(--(SEARCH(AK$2,Tiere!$BN$2:$BN$145)&gt;0)),ROW()-2),1))))))))),"")</f>
        <v/>
      </c>
      <c r="AK129" s="2438"/>
      <c r="AL129" s="2472" t="str">
        <f>IFERROR(IF(OR(AM$2="ZURÜCK ZUR AUSWAHL",AM$2="",AM$2=0),"",IF(AM$2=$BO$1,$BO128,IF(AM$2=$BP$1,$BP128,IF(AM$2=$BQ$1,$BQ128,IF(AM$2=$BR$1,$BR128,IF(AM$2=$BS$1,$BS128,IF(AM$2=$BT$1,$BT128,IF(AM$2=$BU$1,$BU128,INDEX(Tiere!$BN$2:$BN$145,_xlfn.AGGREGATE(15,6,(ROW(Tiere!$BN$2:$BN$145)-1)/(--(SEARCH(AM$2,Tiere!$BN$2:$BN$145)&gt;0)),ROW()-1),1))))))))),"")</f>
        <v/>
      </c>
      <c r="AM129" s="2438"/>
      <c r="AN129" s="2472" t="str">
        <f>IFERROR(IF(OR(AO$2="ZURÜCK ZUR AUSWAHL",AO$2="",AO$2=0),"",IF(AO$2=$BO$1,$BO128,IF(AO$2=$BP$1,$BP128,IF(AO$2=$BQ$1,$BQ128,IF(AO$2=$BR$1,$BR128,IF(AO$2=$BS$1,$BS128,IF(AO$2=$BT$1,$BT128,IF(AO$2=$BU$1,$BU128,INDEX(Tiere!$BN$2:$BN$145,_xlfn.AGGREGATE(15,6,(ROW(Tiere!$BN$2:$BN$145)-1)/(--(SEARCH(AO$2,Tiere!$BN$2:$BN$145)&gt;0)),ROW()-1),1))))))))),"")</f>
        <v/>
      </c>
      <c r="AO129" s="2438"/>
      <c r="AP129" s="2472" t="str">
        <f>IFERROR(IF(OR(AQ$2="ZURÜCK ZUR AUSWAHL",AQ$2="",AQ$2=0),"",IF(AQ$2=$BO$1,$BO128,IF(AQ$2=$BP$1,$BP128,IF(AQ$2=$BQ$1,$BQ128,IF(AQ$2=$BR$1,$BR128,IF(AQ$2=$BS$1,$BS128,IF(AQ$2=$BT$1,$BT128,IF(AQ$2=$BU$1,$BU128,INDEX(Tiere!$BN$2:$BN$145,_xlfn.AGGREGATE(15,6,(ROW(Tiere!$BN$2:$BN$145)-1)/(--(SEARCH(AQ$2,Tiere!$BN$2:$BN$145)&gt;0)),ROW()-1),1))))))))),"")</f>
        <v/>
      </c>
      <c r="AQ129" s="2438"/>
      <c r="AR129" s="2472" t="str">
        <f>IFERROR(IF(OR(AS$2="ZURÜCK ZUR AUSWAHL",AS$2="",AS$2=0),"",IF(AS$2=$BO$1,$BO128,IF(AS$2=$BP$1,$BP128,IF(AS$2=$BQ$1,$BQ128,IF(AS$2=$BR$1,$BR128,IF(AS$2=$BS$1,$BS128,IF(AS$2=$BT$1,$BT128,IF(AS$2=$BU$1,$BU128,INDEX(Tiere!$BN$2:$BN$145,_xlfn.AGGREGATE(15,6,(ROW(Tiere!$BN$2:$BN$145)-1)/(--(SEARCH(AS$2,Tiere!$BN$2:$BN$145)&gt;0)),ROW()-1),1))))))))),"")</f>
        <v/>
      </c>
      <c r="AS129" s="2438"/>
      <c r="AT129" s="2472" t="str">
        <f>IFERROR(IF(OR(AU$2="ZURÜCK ZUR AUSWAHL",AU$2="",AU$2=0),"",IF(AU$2=$BO$1,$BO128,IF(AU$2=$BP$1,$BP128,IF(AU$2=$BQ$1,$BQ128,IF(AU$2=$BR$1,$BR128,IF(AU$2=$BS$1,$BS128,IF(AU$2=$BT$1,$BT128,IF(AU$2=$BU$1,$BU128,INDEX(Tiere!$BN$2:$BN$145,_xlfn.AGGREGATE(15,6,(ROW(Tiere!$BN$2:$BN$145)-1)/(--(SEARCH(AU$2,Tiere!$BN$2:$BN$145)&gt;0)),ROW()-1),1))))))))),"")</f>
        <v/>
      </c>
      <c r="AU129" s="2438"/>
      <c r="AV129" s="2472" t="str">
        <f>IFERROR(IF(OR(AW$2="ZURÜCK ZUR AUSWAHL",AW$2="",AW$2=0),"",IF(AW$2=$BO$1,$BO128,IF(AW$2=$BP$1,$BP128,IF(AW$2=$BQ$1,$BQ128,IF(AW$2=$BR$1,$BR128,IF(AW$2=$BS$1,$BS128,IF(AW$2=$BT$1,$BT128,IF(AW$2=$BU$1,$BU128,INDEX(Tiere!$BN$2:$BN$145,_xlfn.AGGREGATE(15,6,(ROW(Tiere!$BN$2:$BN$145)-1)/(--(SEARCH(AW$2,Tiere!$BN$2:$BN$145)&gt;0)),ROW()-1),1))))))))),"")</f>
        <v/>
      </c>
      <c r="AW129" s="2438"/>
      <c r="AX129" s="2472" t="str">
        <f>IFERROR(IF(OR(AY$2="ZURÜCK ZUR AUSWAHL",AY$2="",AY$2=0),"",IF(AY$2=$BO$1,$BO128,IF(AY$2=$BP$1,$BP128,IF(AY$2=$BQ$1,$BQ128,IF(AY$2=$BR$1,$BR128,IF(AY$2=$BS$1,$BS128,IF(AY$2=$BT$1,$BT128,IF(AY$2=$BU$1,$BU128,INDEX(Tiere!$BN$2:$BN$145,_xlfn.AGGREGATE(15,6,(ROW(Tiere!$BN$2:$BN$145)-1)/(--(SEARCH(AY$2,Tiere!$BN$2:$BN$145)&gt;0)),ROW()-1),1))))))))),"")</f>
        <v/>
      </c>
      <c r="AY129" s="2438"/>
      <c r="AZ129" s="2472" t="str">
        <f>IFERROR(IF(OR(BA$2="ZURÜCK ZUR AUSWAHL",BA$2="",BA$2=0),"",IF(BA$2=$BO$1,$BO128,IF(BA$2=$BP$1,$BP128,IF(BA$2=$BQ$1,$BQ128,IF(BA$2=$BR$1,$BR128,IF(BA$2=$BS$1,$BS128,IF(BA$2=$BT$1,$BT128,IF(BA$2=$BU$1,$BU128,INDEX(Tiere!$BN$2:$BN$145,_xlfn.AGGREGATE(15,6,(ROW(Tiere!$BN$2:$BN$145)-1)/(--(SEARCH(BA$2,Tiere!$BN$2:$BN$145)&gt;0)),ROW()-1),1))))))))),"")</f>
        <v/>
      </c>
      <c r="BA129" s="2438"/>
      <c r="BB129" s="2472" t="str">
        <f>IFERROR(IF(OR(BC$2="ZURÜCK ZUR AUSWAHL",BC$2="",BC$2=0),"",IF(BC$2=$BO$1,$BO128,IF(BC$2=$BP$1,$BP128,IF(BC$2=$BQ$1,$BQ128,IF(BC$2=$BR$1,$BR128,IF(BC$2=$BS$1,$BS128,IF(BC$2=$BT$1,$BT128,IF(BC$2=$BU$1,$BU128,INDEX(Tiere!$BN$2:$BN$145,_xlfn.AGGREGATE(15,6,(ROW(Tiere!$BN$2:$BN$145)-1)/(--(SEARCH(BC$2,Tiere!$BN$2:$BN$145)&gt;0)),ROW()-1),1))))))))),"")</f>
        <v/>
      </c>
      <c r="BC129" s="2438"/>
      <c r="BD129" s="2472" t="str">
        <f>IFERROR(IF(OR(BE$2="ZURÜCK ZUR AUSWAHL",BE$2="",BE$2=0),"",IF(BE$2=$BO$1,$BO128,IF(BE$2=$BP$1,$BP128,IF(BE$2=$BQ$1,$BQ128,IF(BE$2=$BR$1,$BR128,IF(BE$2=$BS$1,$BS128,IF(BE$2=$BT$1,$BT128,IF(BE$2=$BU$1,$BU128,INDEX(Tiere!$BN$2:$BN$145,_xlfn.AGGREGATE(15,6,(ROW(Tiere!$BN$2:$BN$145)-1)/(--(SEARCH(BE$2,Tiere!$BN$2:$BN$145)&gt;0)),ROW()-1),1))))))))),"")</f>
        <v/>
      </c>
      <c r="BE129" s="2438"/>
      <c r="BF129" s="2472" t="str">
        <f>IFERROR(IF(OR(BG$2="ZURÜCK ZUR AUSWAHL",BG$2="",BG$2=0),"",IF(BG$2=$BO$1,$BO128,IF(BG$2=$BP$1,$BP128,IF(BG$2=$BQ$1,$BQ128,IF(BG$2=$BR$1,$BR128,IF(BG$2=$BS$1,$BS128,IF(BG$2=$BT$1,$BT128,IF(BG$2=$BU$1,$BU128,INDEX(Tiere!$BN$2:$BN$145,_xlfn.AGGREGATE(15,6,(ROW(Tiere!$BN$2:$BN$145)-1)/(--(SEARCH(BG$2,Tiere!$BN$2:$BN$145)&gt;0)),ROW()-1),1))))))))),"")</f>
        <v/>
      </c>
      <c r="BG129" s="2438"/>
      <c r="BH129" s="2472" t="str">
        <f>IFERROR(IF(OR(BI$2="ZURÜCK ZUR AUSWAHL",BI$2="",BI$2=0),"",IF(BI$2=$BO$1,$BO128,IF(BI$2=$BP$1,$BP128,IF(BI$2=$BQ$1,$BQ128,IF(BI$2=$BR$1,$BR128,IF(BI$2=$BS$1,$BS128,IF(BI$2=$BT$1,$BT128,IF(BI$2=$BU$1,$BU128,INDEX(Tiere!$BN$2:$BN$145,_xlfn.AGGREGATE(15,6,(ROW(Tiere!$BN$2:$BN$145)-1)/(--(SEARCH(BI$2,Tiere!$BN$2:$BN$145)&gt;0)),ROW()-1),1))))))))),"")</f>
        <v/>
      </c>
      <c r="BI129" s="2438"/>
      <c r="BJ129" s="2472" t="str">
        <f>IFERROR(IF(OR(BK$2="ZURÜCK ZUR AUSWAHL",BK$2="",BK$2=0),"",IF(BK$2=$BO$1,$BO128,IF(BK$2=$BP$1,$BP128,IF(BK$2=$BQ$1,$BQ128,IF(BK$2=$BR$1,$BR128,IF(BK$2=$BS$1,$BS128,IF(BK$2=$BT$1,$BT128,IF(BK$2=$BU$1,$BU128,INDEX(Tiere!$BN$2:$BN$145,_xlfn.AGGREGATE(15,6,(ROW(Tiere!$BN$2:$BN$145)-1)/(--(SEARCH(BK$2,Tiere!$BN$2:$BN$145)&gt;0)),ROW()-1),1))))))))),"")</f>
        <v/>
      </c>
      <c r="BK129" s="2438"/>
      <c r="BL129" s="2472" t="str">
        <f>IFERROR(IF(OR(BM$2="ZURÜCK ZUR AUSWAHL",BM$2="",BM$2=0),"",IF(BM$2=$BO$1,$BO128,IF(BM$2=$BP$1,$BP128,IF(BM$2=$BQ$1,$BQ128,IF(BM$2=$BR$1,$BR128,IF(BM$2=$BS$1,$BS128,IF(BM$2=$BT$1,$BT128,IF(BM$2=$BU$1,$BU128,INDEX(Tiere!$BN$2:$BN$145,_xlfn.AGGREGATE(15,6,(ROW(Tiere!$BN$2:$BN$145)-1)/(--(SEARCH(BM$2,Tiere!$BN$2:$BN$145)&gt;0)),ROW()-1),1))))))))),"")</f>
        <v/>
      </c>
      <c r="BM129" s="2438"/>
      <c r="BN129" s="2478" t="s">
        <v>1307</v>
      </c>
      <c r="BO129" s="2470"/>
      <c r="BP129" s="2470"/>
      <c r="BQ129" s="2470"/>
      <c r="BR129" s="2470"/>
      <c r="BS129" s="2470"/>
      <c r="BT129" s="2470"/>
      <c r="BU129" s="2470"/>
    </row>
    <row r="130" spans="36:73" ht="13.8" thickBot="1">
      <c r="AJ130" s="2472" t="str">
        <f>IFERROR(IF(OR(AK$2="ZURÜCK ZUR AUSWAHL",AK$2="",AK$2=0),"",IF(AK$2=$BO$1,$BO129,IF(AK$2=$BP$1,$BP129,IF(AK$2=$BQ$1,$BQ129,IF(AK$2=$BR$1,$BR129,IF(AK$2=$BS$1,$BS129,IF(AK$2=$BT$1,$BT129,IF(AK$2=$BU$1,$BU129,INDEX(Tiere!$BN$2:$BN$145,_xlfn.AGGREGATE(15,6,(ROW(Tiere!$BN$2:$BN$145)-1)/(--(SEARCH(AK$2,Tiere!$BN$2:$BN$145)&gt;0)),ROW()-2),1))))))))),"")</f>
        <v/>
      </c>
      <c r="AK130" s="2436"/>
      <c r="AL130" s="2472" t="str">
        <f>IFERROR(IF(OR(AM$2="ZURÜCK ZUR AUSWAHL",AM$2="",AM$2=0),"",IF(AM$2=$BO$1,$BO129,IF(AM$2=$BP$1,$BP129,IF(AM$2=$BQ$1,$BQ129,IF(AM$2=$BR$1,$BR129,IF(AM$2=$BS$1,$BS129,IF(AM$2=$BT$1,$BT129,IF(AM$2=$BU$1,$BU129,INDEX(Tiere!$BN$2:$BN$145,_xlfn.AGGREGATE(15,6,(ROW(Tiere!$BN$2:$BN$145)-1)/(--(SEARCH(AM$2,Tiere!$BN$2:$BN$145)&gt;0)),ROW()-1),1))))))))),"")</f>
        <v/>
      </c>
      <c r="AM130" s="2436"/>
      <c r="AN130" s="2472" t="str">
        <f>IFERROR(IF(OR(AO$2="ZURÜCK ZUR AUSWAHL",AO$2="",AO$2=0),"",IF(AO$2=$BO$1,$BO129,IF(AO$2=$BP$1,$BP129,IF(AO$2=$BQ$1,$BQ129,IF(AO$2=$BR$1,$BR129,IF(AO$2=$BS$1,$BS129,IF(AO$2=$BT$1,$BT129,IF(AO$2=$BU$1,$BU129,INDEX(Tiere!$BN$2:$BN$145,_xlfn.AGGREGATE(15,6,(ROW(Tiere!$BN$2:$BN$145)-1)/(--(SEARCH(AO$2,Tiere!$BN$2:$BN$145)&gt;0)),ROW()-1),1))))))))),"")</f>
        <v/>
      </c>
      <c r="AO130" s="2436"/>
      <c r="AP130" s="2472" t="str">
        <f>IFERROR(IF(OR(AQ$2="ZURÜCK ZUR AUSWAHL",AQ$2="",AQ$2=0),"",IF(AQ$2=$BO$1,$BO129,IF(AQ$2=$BP$1,$BP129,IF(AQ$2=$BQ$1,$BQ129,IF(AQ$2=$BR$1,$BR129,IF(AQ$2=$BS$1,$BS129,IF(AQ$2=$BT$1,$BT129,IF(AQ$2=$BU$1,$BU129,INDEX(Tiere!$BN$2:$BN$145,_xlfn.AGGREGATE(15,6,(ROW(Tiere!$BN$2:$BN$145)-1)/(--(SEARCH(AQ$2,Tiere!$BN$2:$BN$145)&gt;0)),ROW()-1),1))))))))),"")</f>
        <v/>
      </c>
      <c r="AQ130" s="2436"/>
      <c r="AR130" s="2472" t="str">
        <f>IFERROR(IF(OR(AS$2="ZURÜCK ZUR AUSWAHL",AS$2="",AS$2=0),"",IF(AS$2=$BO$1,$BO129,IF(AS$2=$BP$1,$BP129,IF(AS$2=$BQ$1,$BQ129,IF(AS$2=$BR$1,$BR129,IF(AS$2=$BS$1,$BS129,IF(AS$2=$BT$1,$BT129,IF(AS$2=$BU$1,$BU129,INDEX(Tiere!$BN$2:$BN$145,_xlfn.AGGREGATE(15,6,(ROW(Tiere!$BN$2:$BN$145)-1)/(--(SEARCH(AS$2,Tiere!$BN$2:$BN$145)&gt;0)),ROW()-1),1))))))))),"")</f>
        <v/>
      </c>
      <c r="AS130" s="2436"/>
      <c r="AT130" s="2472" t="str">
        <f>IFERROR(IF(OR(AU$2="ZURÜCK ZUR AUSWAHL",AU$2="",AU$2=0),"",IF(AU$2=$BO$1,$BO129,IF(AU$2=$BP$1,$BP129,IF(AU$2=$BQ$1,$BQ129,IF(AU$2=$BR$1,$BR129,IF(AU$2=$BS$1,$BS129,IF(AU$2=$BT$1,$BT129,IF(AU$2=$BU$1,$BU129,INDEX(Tiere!$BN$2:$BN$145,_xlfn.AGGREGATE(15,6,(ROW(Tiere!$BN$2:$BN$145)-1)/(--(SEARCH(AU$2,Tiere!$BN$2:$BN$145)&gt;0)),ROW()-1),1))))))))),"")</f>
        <v/>
      </c>
      <c r="AU130" s="2436"/>
      <c r="AV130" s="2472" t="str">
        <f>IFERROR(IF(OR(AW$2="ZURÜCK ZUR AUSWAHL",AW$2="",AW$2=0),"",IF(AW$2=$BO$1,$BO129,IF(AW$2=$BP$1,$BP129,IF(AW$2=$BQ$1,$BQ129,IF(AW$2=$BR$1,$BR129,IF(AW$2=$BS$1,$BS129,IF(AW$2=$BT$1,$BT129,IF(AW$2=$BU$1,$BU129,INDEX(Tiere!$BN$2:$BN$145,_xlfn.AGGREGATE(15,6,(ROW(Tiere!$BN$2:$BN$145)-1)/(--(SEARCH(AW$2,Tiere!$BN$2:$BN$145)&gt;0)),ROW()-1),1))))))))),"")</f>
        <v/>
      </c>
      <c r="AW130" s="2436"/>
      <c r="AX130" s="2472" t="str">
        <f>IFERROR(IF(OR(AY$2="ZURÜCK ZUR AUSWAHL",AY$2="",AY$2=0),"",IF(AY$2=$BO$1,$BO129,IF(AY$2=$BP$1,$BP129,IF(AY$2=$BQ$1,$BQ129,IF(AY$2=$BR$1,$BR129,IF(AY$2=$BS$1,$BS129,IF(AY$2=$BT$1,$BT129,IF(AY$2=$BU$1,$BU129,INDEX(Tiere!$BN$2:$BN$145,_xlfn.AGGREGATE(15,6,(ROW(Tiere!$BN$2:$BN$145)-1)/(--(SEARCH(AY$2,Tiere!$BN$2:$BN$145)&gt;0)),ROW()-1),1))))))))),"")</f>
        <v/>
      </c>
      <c r="AY130" s="2436"/>
      <c r="AZ130" s="2472" t="str">
        <f>IFERROR(IF(OR(BA$2="ZURÜCK ZUR AUSWAHL",BA$2="",BA$2=0),"",IF(BA$2=$BO$1,$BO129,IF(BA$2=$BP$1,$BP129,IF(BA$2=$BQ$1,$BQ129,IF(BA$2=$BR$1,$BR129,IF(BA$2=$BS$1,$BS129,IF(BA$2=$BT$1,$BT129,IF(BA$2=$BU$1,$BU129,INDEX(Tiere!$BN$2:$BN$145,_xlfn.AGGREGATE(15,6,(ROW(Tiere!$BN$2:$BN$145)-1)/(--(SEARCH(BA$2,Tiere!$BN$2:$BN$145)&gt;0)),ROW()-1),1))))))))),"")</f>
        <v/>
      </c>
      <c r="BA130" s="2436"/>
      <c r="BB130" s="2472" t="str">
        <f>IFERROR(IF(OR(BC$2="ZURÜCK ZUR AUSWAHL",BC$2="",BC$2=0),"",IF(BC$2=$BO$1,$BO129,IF(BC$2=$BP$1,$BP129,IF(BC$2=$BQ$1,$BQ129,IF(BC$2=$BR$1,$BR129,IF(BC$2=$BS$1,$BS129,IF(BC$2=$BT$1,$BT129,IF(BC$2=$BU$1,$BU129,INDEX(Tiere!$BN$2:$BN$145,_xlfn.AGGREGATE(15,6,(ROW(Tiere!$BN$2:$BN$145)-1)/(--(SEARCH(BC$2,Tiere!$BN$2:$BN$145)&gt;0)),ROW()-1),1))))))))),"")</f>
        <v/>
      </c>
      <c r="BC130" s="2436"/>
      <c r="BD130" s="2472" t="str">
        <f>IFERROR(IF(OR(BE$2="ZURÜCK ZUR AUSWAHL",BE$2="",BE$2=0),"",IF(BE$2=$BO$1,$BO129,IF(BE$2=$BP$1,$BP129,IF(BE$2=$BQ$1,$BQ129,IF(BE$2=$BR$1,$BR129,IF(BE$2=$BS$1,$BS129,IF(BE$2=$BT$1,$BT129,IF(BE$2=$BU$1,$BU129,INDEX(Tiere!$BN$2:$BN$145,_xlfn.AGGREGATE(15,6,(ROW(Tiere!$BN$2:$BN$145)-1)/(--(SEARCH(BE$2,Tiere!$BN$2:$BN$145)&gt;0)),ROW()-1),1))))))))),"")</f>
        <v/>
      </c>
      <c r="BE130" s="2436"/>
      <c r="BF130" s="2472" t="str">
        <f>IFERROR(IF(OR(BG$2="ZURÜCK ZUR AUSWAHL",BG$2="",BG$2=0),"",IF(BG$2=$BO$1,$BO129,IF(BG$2=$BP$1,$BP129,IF(BG$2=$BQ$1,$BQ129,IF(BG$2=$BR$1,$BR129,IF(BG$2=$BS$1,$BS129,IF(BG$2=$BT$1,$BT129,IF(BG$2=$BU$1,$BU129,INDEX(Tiere!$BN$2:$BN$145,_xlfn.AGGREGATE(15,6,(ROW(Tiere!$BN$2:$BN$145)-1)/(--(SEARCH(BG$2,Tiere!$BN$2:$BN$145)&gt;0)),ROW()-1),1))))))))),"")</f>
        <v/>
      </c>
      <c r="BG130" s="2436"/>
      <c r="BH130" s="2472" t="str">
        <f>IFERROR(IF(OR(BI$2="ZURÜCK ZUR AUSWAHL",BI$2="",BI$2=0),"",IF(BI$2=$BO$1,$BO129,IF(BI$2=$BP$1,$BP129,IF(BI$2=$BQ$1,$BQ129,IF(BI$2=$BR$1,$BR129,IF(BI$2=$BS$1,$BS129,IF(BI$2=$BT$1,$BT129,IF(BI$2=$BU$1,$BU129,INDEX(Tiere!$BN$2:$BN$145,_xlfn.AGGREGATE(15,6,(ROW(Tiere!$BN$2:$BN$145)-1)/(--(SEARCH(BI$2,Tiere!$BN$2:$BN$145)&gt;0)),ROW()-1),1))))))))),"")</f>
        <v/>
      </c>
      <c r="BI130" s="2436"/>
      <c r="BJ130" s="2472" t="str">
        <f>IFERROR(IF(OR(BK$2="ZURÜCK ZUR AUSWAHL",BK$2="",BK$2=0),"",IF(BK$2=$BO$1,$BO129,IF(BK$2=$BP$1,$BP129,IF(BK$2=$BQ$1,$BQ129,IF(BK$2=$BR$1,$BR129,IF(BK$2=$BS$1,$BS129,IF(BK$2=$BT$1,$BT129,IF(BK$2=$BU$1,$BU129,INDEX(Tiere!$BN$2:$BN$145,_xlfn.AGGREGATE(15,6,(ROW(Tiere!$BN$2:$BN$145)-1)/(--(SEARCH(BK$2,Tiere!$BN$2:$BN$145)&gt;0)),ROW()-1),1))))))))),"")</f>
        <v/>
      </c>
      <c r="BK130" s="2436"/>
      <c r="BL130" s="2472" t="str">
        <f>IFERROR(IF(OR(BM$2="ZURÜCK ZUR AUSWAHL",BM$2="",BM$2=0),"",IF(BM$2=$BO$1,$BO129,IF(BM$2=$BP$1,$BP129,IF(BM$2=$BQ$1,$BQ129,IF(BM$2=$BR$1,$BR129,IF(BM$2=$BS$1,$BS129,IF(BM$2=$BT$1,$BT129,IF(BM$2=$BU$1,$BU129,INDEX(Tiere!$BN$2:$BN$145,_xlfn.AGGREGATE(15,6,(ROW(Tiere!$BN$2:$BN$145)-1)/(--(SEARCH(BM$2,Tiere!$BN$2:$BN$145)&gt;0)),ROW()-1),1))))))))),"")</f>
        <v/>
      </c>
      <c r="BM130" s="2436"/>
      <c r="BN130" s="2478" t="s">
        <v>1308</v>
      </c>
      <c r="BO130" s="2470"/>
      <c r="BP130" s="2470"/>
      <c r="BQ130" s="2470"/>
      <c r="BR130" s="2470"/>
      <c r="BS130" s="2470"/>
      <c r="BT130" s="2470"/>
      <c r="BU130" s="2470"/>
    </row>
    <row r="131" spans="36:73" ht="13.8" thickBot="1">
      <c r="AJ131" s="2472" t="str">
        <f>IFERROR(IF(OR(AK$2="ZURÜCK ZUR AUSWAHL",AK$2="",AK$2=0),"",IF(AK$2=$BO$1,$BO130,IF(AK$2=$BP$1,$BP130,IF(AK$2=$BQ$1,$BQ130,IF(AK$2=$BR$1,$BR130,IF(AK$2=$BS$1,$BS130,IF(AK$2=$BT$1,$BT130,IF(AK$2=$BU$1,$BU130,INDEX(Tiere!$BN$2:$BN$145,_xlfn.AGGREGATE(15,6,(ROW(Tiere!$BN$2:$BN$145)-1)/(--(SEARCH(AK$2,Tiere!$BN$2:$BN$145)&gt;0)),ROW()-2),1))))))))),"")</f>
        <v/>
      </c>
      <c r="AK131" s="2438"/>
      <c r="AL131" s="2472" t="str">
        <f>IFERROR(IF(OR(AM$2="ZURÜCK ZUR AUSWAHL",AM$2="",AM$2=0),"",IF(AM$2=$BO$1,$BO130,IF(AM$2=$BP$1,$BP130,IF(AM$2=$BQ$1,$BQ130,IF(AM$2=$BR$1,$BR130,IF(AM$2=$BS$1,$BS130,IF(AM$2=$BT$1,$BT130,IF(AM$2=$BU$1,$BU130,INDEX(Tiere!$BN$2:$BN$145,_xlfn.AGGREGATE(15,6,(ROW(Tiere!$BN$2:$BN$145)-1)/(--(SEARCH(AM$2,Tiere!$BN$2:$BN$145)&gt;0)),ROW()-1),1))))))))),"")</f>
        <v/>
      </c>
      <c r="AM131" s="2438"/>
      <c r="AN131" s="2472" t="str">
        <f>IFERROR(IF(OR(AO$2="ZURÜCK ZUR AUSWAHL",AO$2="",AO$2=0),"",IF(AO$2=$BO$1,$BO130,IF(AO$2=$BP$1,$BP130,IF(AO$2=$BQ$1,$BQ130,IF(AO$2=$BR$1,$BR130,IF(AO$2=$BS$1,$BS130,IF(AO$2=$BT$1,$BT130,IF(AO$2=$BU$1,$BU130,INDEX(Tiere!$BN$2:$BN$145,_xlfn.AGGREGATE(15,6,(ROW(Tiere!$BN$2:$BN$145)-1)/(--(SEARCH(AO$2,Tiere!$BN$2:$BN$145)&gt;0)),ROW()-1),1))))))))),"")</f>
        <v/>
      </c>
      <c r="AO131" s="2438"/>
      <c r="AP131" s="2472" t="str">
        <f>IFERROR(IF(OR(AQ$2="ZURÜCK ZUR AUSWAHL",AQ$2="",AQ$2=0),"",IF(AQ$2=$BO$1,$BO130,IF(AQ$2=$BP$1,$BP130,IF(AQ$2=$BQ$1,$BQ130,IF(AQ$2=$BR$1,$BR130,IF(AQ$2=$BS$1,$BS130,IF(AQ$2=$BT$1,$BT130,IF(AQ$2=$BU$1,$BU130,INDEX(Tiere!$BN$2:$BN$145,_xlfn.AGGREGATE(15,6,(ROW(Tiere!$BN$2:$BN$145)-1)/(--(SEARCH(AQ$2,Tiere!$BN$2:$BN$145)&gt;0)),ROW()-1),1))))))))),"")</f>
        <v/>
      </c>
      <c r="AQ131" s="2438"/>
      <c r="AR131" s="2472" t="str">
        <f>IFERROR(IF(OR(AS$2="ZURÜCK ZUR AUSWAHL",AS$2="",AS$2=0),"",IF(AS$2=$BO$1,$BO130,IF(AS$2=$BP$1,$BP130,IF(AS$2=$BQ$1,$BQ130,IF(AS$2=$BR$1,$BR130,IF(AS$2=$BS$1,$BS130,IF(AS$2=$BT$1,$BT130,IF(AS$2=$BU$1,$BU130,INDEX(Tiere!$BN$2:$BN$145,_xlfn.AGGREGATE(15,6,(ROW(Tiere!$BN$2:$BN$145)-1)/(--(SEARCH(AS$2,Tiere!$BN$2:$BN$145)&gt;0)),ROW()-1),1))))))))),"")</f>
        <v/>
      </c>
      <c r="AS131" s="2438"/>
      <c r="AT131" s="2472" t="str">
        <f>IFERROR(IF(OR(AU$2="ZURÜCK ZUR AUSWAHL",AU$2="",AU$2=0),"",IF(AU$2=$BO$1,$BO130,IF(AU$2=$BP$1,$BP130,IF(AU$2=$BQ$1,$BQ130,IF(AU$2=$BR$1,$BR130,IF(AU$2=$BS$1,$BS130,IF(AU$2=$BT$1,$BT130,IF(AU$2=$BU$1,$BU130,INDEX(Tiere!$BN$2:$BN$145,_xlfn.AGGREGATE(15,6,(ROW(Tiere!$BN$2:$BN$145)-1)/(--(SEARCH(AU$2,Tiere!$BN$2:$BN$145)&gt;0)),ROW()-1),1))))))))),"")</f>
        <v/>
      </c>
      <c r="AU131" s="2438"/>
      <c r="AV131" s="2472" t="str">
        <f>IFERROR(IF(OR(AW$2="ZURÜCK ZUR AUSWAHL",AW$2="",AW$2=0),"",IF(AW$2=$BO$1,$BO130,IF(AW$2=$BP$1,$BP130,IF(AW$2=$BQ$1,$BQ130,IF(AW$2=$BR$1,$BR130,IF(AW$2=$BS$1,$BS130,IF(AW$2=$BT$1,$BT130,IF(AW$2=$BU$1,$BU130,INDEX(Tiere!$BN$2:$BN$145,_xlfn.AGGREGATE(15,6,(ROW(Tiere!$BN$2:$BN$145)-1)/(--(SEARCH(AW$2,Tiere!$BN$2:$BN$145)&gt;0)),ROW()-1),1))))))))),"")</f>
        <v/>
      </c>
      <c r="AW131" s="2438"/>
      <c r="AX131" s="2472" t="str">
        <f>IFERROR(IF(OR(AY$2="ZURÜCK ZUR AUSWAHL",AY$2="",AY$2=0),"",IF(AY$2=$BO$1,$BO130,IF(AY$2=$BP$1,$BP130,IF(AY$2=$BQ$1,$BQ130,IF(AY$2=$BR$1,$BR130,IF(AY$2=$BS$1,$BS130,IF(AY$2=$BT$1,$BT130,IF(AY$2=$BU$1,$BU130,INDEX(Tiere!$BN$2:$BN$145,_xlfn.AGGREGATE(15,6,(ROW(Tiere!$BN$2:$BN$145)-1)/(--(SEARCH(AY$2,Tiere!$BN$2:$BN$145)&gt;0)),ROW()-1),1))))))))),"")</f>
        <v/>
      </c>
      <c r="AY131" s="2438"/>
      <c r="AZ131" s="2472" t="str">
        <f>IFERROR(IF(OR(BA$2="ZURÜCK ZUR AUSWAHL",BA$2="",BA$2=0),"",IF(BA$2=$BO$1,$BO130,IF(BA$2=$BP$1,$BP130,IF(BA$2=$BQ$1,$BQ130,IF(BA$2=$BR$1,$BR130,IF(BA$2=$BS$1,$BS130,IF(BA$2=$BT$1,$BT130,IF(BA$2=$BU$1,$BU130,INDEX(Tiere!$BN$2:$BN$145,_xlfn.AGGREGATE(15,6,(ROW(Tiere!$BN$2:$BN$145)-1)/(--(SEARCH(BA$2,Tiere!$BN$2:$BN$145)&gt;0)),ROW()-1),1))))))))),"")</f>
        <v/>
      </c>
      <c r="BA131" s="2438"/>
      <c r="BB131" s="2472" t="str">
        <f>IFERROR(IF(OR(BC$2="ZURÜCK ZUR AUSWAHL",BC$2="",BC$2=0),"",IF(BC$2=$BO$1,$BO130,IF(BC$2=$BP$1,$BP130,IF(BC$2=$BQ$1,$BQ130,IF(BC$2=$BR$1,$BR130,IF(BC$2=$BS$1,$BS130,IF(BC$2=$BT$1,$BT130,IF(BC$2=$BU$1,$BU130,INDEX(Tiere!$BN$2:$BN$145,_xlfn.AGGREGATE(15,6,(ROW(Tiere!$BN$2:$BN$145)-1)/(--(SEARCH(BC$2,Tiere!$BN$2:$BN$145)&gt;0)),ROW()-1),1))))))))),"")</f>
        <v/>
      </c>
      <c r="BC131" s="2438"/>
      <c r="BD131" s="2472" t="str">
        <f>IFERROR(IF(OR(BE$2="ZURÜCK ZUR AUSWAHL",BE$2="",BE$2=0),"",IF(BE$2=$BO$1,$BO130,IF(BE$2=$BP$1,$BP130,IF(BE$2=$BQ$1,$BQ130,IF(BE$2=$BR$1,$BR130,IF(BE$2=$BS$1,$BS130,IF(BE$2=$BT$1,$BT130,IF(BE$2=$BU$1,$BU130,INDEX(Tiere!$BN$2:$BN$145,_xlfn.AGGREGATE(15,6,(ROW(Tiere!$BN$2:$BN$145)-1)/(--(SEARCH(BE$2,Tiere!$BN$2:$BN$145)&gt;0)),ROW()-1),1))))))))),"")</f>
        <v/>
      </c>
      <c r="BE131" s="2438"/>
      <c r="BF131" s="2472" t="str">
        <f>IFERROR(IF(OR(BG$2="ZURÜCK ZUR AUSWAHL",BG$2="",BG$2=0),"",IF(BG$2=$BO$1,$BO130,IF(BG$2=$BP$1,$BP130,IF(BG$2=$BQ$1,$BQ130,IF(BG$2=$BR$1,$BR130,IF(BG$2=$BS$1,$BS130,IF(BG$2=$BT$1,$BT130,IF(BG$2=$BU$1,$BU130,INDEX(Tiere!$BN$2:$BN$145,_xlfn.AGGREGATE(15,6,(ROW(Tiere!$BN$2:$BN$145)-1)/(--(SEARCH(BG$2,Tiere!$BN$2:$BN$145)&gt;0)),ROW()-1),1))))))))),"")</f>
        <v/>
      </c>
      <c r="BG131" s="2438"/>
      <c r="BH131" s="2472" t="str">
        <f>IFERROR(IF(OR(BI$2="ZURÜCK ZUR AUSWAHL",BI$2="",BI$2=0),"",IF(BI$2=$BO$1,$BO130,IF(BI$2=$BP$1,$BP130,IF(BI$2=$BQ$1,$BQ130,IF(BI$2=$BR$1,$BR130,IF(BI$2=$BS$1,$BS130,IF(BI$2=$BT$1,$BT130,IF(BI$2=$BU$1,$BU130,INDEX(Tiere!$BN$2:$BN$145,_xlfn.AGGREGATE(15,6,(ROW(Tiere!$BN$2:$BN$145)-1)/(--(SEARCH(BI$2,Tiere!$BN$2:$BN$145)&gt;0)),ROW()-1),1))))))))),"")</f>
        <v/>
      </c>
      <c r="BI131" s="2438"/>
      <c r="BJ131" s="2472" t="str">
        <f>IFERROR(IF(OR(BK$2="ZURÜCK ZUR AUSWAHL",BK$2="",BK$2=0),"",IF(BK$2=$BO$1,$BO130,IF(BK$2=$BP$1,$BP130,IF(BK$2=$BQ$1,$BQ130,IF(BK$2=$BR$1,$BR130,IF(BK$2=$BS$1,$BS130,IF(BK$2=$BT$1,$BT130,IF(BK$2=$BU$1,$BU130,INDEX(Tiere!$BN$2:$BN$145,_xlfn.AGGREGATE(15,6,(ROW(Tiere!$BN$2:$BN$145)-1)/(--(SEARCH(BK$2,Tiere!$BN$2:$BN$145)&gt;0)),ROW()-1),1))))))))),"")</f>
        <v/>
      </c>
      <c r="BK131" s="2438"/>
      <c r="BL131" s="2472" t="str">
        <f>IFERROR(IF(OR(BM$2="ZURÜCK ZUR AUSWAHL",BM$2="",BM$2=0),"",IF(BM$2=$BO$1,$BO130,IF(BM$2=$BP$1,$BP130,IF(BM$2=$BQ$1,$BQ130,IF(BM$2=$BR$1,$BR130,IF(BM$2=$BS$1,$BS130,IF(BM$2=$BT$1,$BT130,IF(BM$2=$BU$1,$BU130,INDEX(Tiere!$BN$2:$BN$145,_xlfn.AGGREGATE(15,6,(ROW(Tiere!$BN$2:$BN$145)-1)/(--(SEARCH(BM$2,Tiere!$BN$2:$BN$145)&gt;0)),ROW()-1),1))))))))),"")</f>
        <v/>
      </c>
      <c r="BM131" s="2438"/>
      <c r="BN131" s="2478" t="s">
        <v>1309</v>
      </c>
      <c r="BO131" s="2470"/>
      <c r="BP131" s="2470"/>
      <c r="BQ131" s="2470"/>
      <c r="BR131" s="2470"/>
      <c r="BS131" s="2470"/>
      <c r="BT131" s="2470"/>
      <c r="BU131" s="2470"/>
    </row>
    <row r="132" spans="36:73" ht="13.8" thickBot="1">
      <c r="AJ132" s="2472" t="str">
        <f>IFERROR(IF(OR(AK$2="ZURÜCK ZUR AUSWAHL",AK$2="",AK$2=0),"",IF(AK$2=$BO$1,$BO131,IF(AK$2=$BP$1,$BP131,IF(AK$2=$BQ$1,$BQ131,IF(AK$2=$BR$1,$BR131,IF(AK$2=$BS$1,$BS131,IF(AK$2=$BT$1,$BT131,IF(AK$2=$BU$1,$BU131,INDEX(Tiere!$BN$2:$BN$145,_xlfn.AGGREGATE(15,6,(ROW(Tiere!$BN$2:$BN$145)-1)/(--(SEARCH(AK$2,Tiere!$BN$2:$BN$145)&gt;0)),ROW()-2),1))))))))),"")</f>
        <v/>
      </c>
      <c r="AK132" s="2436"/>
      <c r="AL132" s="2472" t="str">
        <f>IFERROR(IF(OR(AM$2="ZURÜCK ZUR AUSWAHL",AM$2="",AM$2=0),"",IF(AM$2=$BO$1,$BO131,IF(AM$2=$BP$1,$BP131,IF(AM$2=$BQ$1,$BQ131,IF(AM$2=$BR$1,$BR131,IF(AM$2=$BS$1,$BS131,IF(AM$2=$BT$1,$BT131,IF(AM$2=$BU$1,$BU131,INDEX(Tiere!$BN$2:$BN$145,_xlfn.AGGREGATE(15,6,(ROW(Tiere!$BN$2:$BN$145)-1)/(--(SEARCH(AM$2,Tiere!$BN$2:$BN$145)&gt;0)),ROW()-1),1))))))))),"")</f>
        <v/>
      </c>
      <c r="AM132" s="2436"/>
      <c r="AN132" s="2472" t="str">
        <f>IFERROR(IF(OR(AO$2="ZURÜCK ZUR AUSWAHL",AO$2="",AO$2=0),"",IF(AO$2=$BO$1,$BO131,IF(AO$2=$BP$1,$BP131,IF(AO$2=$BQ$1,$BQ131,IF(AO$2=$BR$1,$BR131,IF(AO$2=$BS$1,$BS131,IF(AO$2=$BT$1,$BT131,IF(AO$2=$BU$1,$BU131,INDEX(Tiere!$BN$2:$BN$145,_xlfn.AGGREGATE(15,6,(ROW(Tiere!$BN$2:$BN$145)-1)/(--(SEARCH(AO$2,Tiere!$BN$2:$BN$145)&gt;0)),ROW()-1),1))))))))),"")</f>
        <v/>
      </c>
      <c r="AO132" s="2436"/>
      <c r="AP132" s="2472" t="str">
        <f>IFERROR(IF(OR(AQ$2="ZURÜCK ZUR AUSWAHL",AQ$2="",AQ$2=0),"",IF(AQ$2=$BO$1,$BO131,IF(AQ$2=$BP$1,$BP131,IF(AQ$2=$BQ$1,$BQ131,IF(AQ$2=$BR$1,$BR131,IF(AQ$2=$BS$1,$BS131,IF(AQ$2=$BT$1,$BT131,IF(AQ$2=$BU$1,$BU131,INDEX(Tiere!$BN$2:$BN$145,_xlfn.AGGREGATE(15,6,(ROW(Tiere!$BN$2:$BN$145)-1)/(--(SEARCH(AQ$2,Tiere!$BN$2:$BN$145)&gt;0)),ROW()-1),1))))))))),"")</f>
        <v/>
      </c>
      <c r="AQ132" s="2436"/>
      <c r="AR132" s="2472" t="str">
        <f>IFERROR(IF(OR(AS$2="ZURÜCK ZUR AUSWAHL",AS$2="",AS$2=0),"",IF(AS$2=$BO$1,$BO131,IF(AS$2=$BP$1,$BP131,IF(AS$2=$BQ$1,$BQ131,IF(AS$2=$BR$1,$BR131,IF(AS$2=$BS$1,$BS131,IF(AS$2=$BT$1,$BT131,IF(AS$2=$BU$1,$BU131,INDEX(Tiere!$BN$2:$BN$145,_xlfn.AGGREGATE(15,6,(ROW(Tiere!$BN$2:$BN$145)-1)/(--(SEARCH(AS$2,Tiere!$BN$2:$BN$145)&gt;0)),ROW()-1),1))))))))),"")</f>
        <v/>
      </c>
      <c r="AS132" s="2436"/>
      <c r="AT132" s="2472" t="str">
        <f>IFERROR(IF(OR(AU$2="ZURÜCK ZUR AUSWAHL",AU$2="",AU$2=0),"",IF(AU$2=$BO$1,$BO131,IF(AU$2=$BP$1,$BP131,IF(AU$2=$BQ$1,$BQ131,IF(AU$2=$BR$1,$BR131,IF(AU$2=$BS$1,$BS131,IF(AU$2=$BT$1,$BT131,IF(AU$2=$BU$1,$BU131,INDEX(Tiere!$BN$2:$BN$145,_xlfn.AGGREGATE(15,6,(ROW(Tiere!$BN$2:$BN$145)-1)/(--(SEARCH(AU$2,Tiere!$BN$2:$BN$145)&gt;0)),ROW()-1),1))))))))),"")</f>
        <v/>
      </c>
      <c r="AU132" s="2436"/>
      <c r="AV132" s="2472" t="str">
        <f>IFERROR(IF(OR(AW$2="ZURÜCK ZUR AUSWAHL",AW$2="",AW$2=0),"",IF(AW$2=$BO$1,$BO131,IF(AW$2=$BP$1,$BP131,IF(AW$2=$BQ$1,$BQ131,IF(AW$2=$BR$1,$BR131,IF(AW$2=$BS$1,$BS131,IF(AW$2=$BT$1,$BT131,IF(AW$2=$BU$1,$BU131,INDEX(Tiere!$BN$2:$BN$145,_xlfn.AGGREGATE(15,6,(ROW(Tiere!$BN$2:$BN$145)-1)/(--(SEARCH(AW$2,Tiere!$BN$2:$BN$145)&gt;0)),ROW()-1),1))))))))),"")</f>
        <v/>
      </c>
      <c r="AW132" s="2436"/>
      <c r="AX132" s="2472" t="str">
        <f>IFERROR(IF(OR(AY$2="ZURÜCK ZUR AUSWAHL",AY$2="",AY$2=0),"",IF(AY$2=$BO$1,$BO131,IF(AY$2=$BP$1,$BP131,IF(AY$2=$BQ$1,$BQ131,IF(AY$2=$BR$1,$BR131,IF(AY$2=$BS$1,$BS131,IF(AY$2=$BT$1,$BT131,IF(AY$2=$BU$1,$BU131,INDEX(Tiere!$BN$2:$BN$145,_xlfn.AGGREGATE(15,6,(ROW(Tiere!$BN$2:$BN$145)-1)/(--(SEARCH(AY$2,Tiere!$BN$2:$BN$145)&gt;0)),ROW()-1),1))))))))),"")</f>
        <v/>
      </c>
      <c r="AY132" s="2436"/>
      <c r="AZ132" s="2472" t="str">
        <f>IFERROR(IF(OR(BA$2="ZURÜCK ZUR AUSWAHL",BA$2="",BA$2=0),"",IF(BA$2=$BO$1,$BO131,IF(BA$2=$BP$1,$BP131,IF(BA$2=$BQ$1,$BQ131,IF(BA$2=$BR$1,$BR131,IF(BA$2=$BS$1,$BS131,IF(BA$2=$BT$1,$BT131,IF(BA$2=$BU$1,$BU131,INDEX(Tiere!$BN$2:$BN$145,_xlfn.AGGREGATE(15,6,(ROW(Tiere!$BN$2:$BN$145)-1)/(--(SEARCH(BA$2,Tiere!$BN$2:$BN$145)&gt;0)),ROW()-1),1))))))))),"")</f>
        <v/>
      </c>
      <c r="BA132" s="2436"/>
      <c r="BB132" s="2472" t="str">
        <f>IFERROR(IF(OR(BC$2="ZURÜCK ZUR AUSWAHL",BC$2="",BC$2=0),"",IF(BC$2=$BO$1,$BO131,IF(BC$2=$BP$1,$BP131,IF(BC$2=$BQ$1,$BQ131,IF(BC$2=$BR$1,$BR131,IF(BC$2=$BS$1,$BS131,IF(BC$2=$BT$1,$BT131,IF(BC$2=$BU$1,$BU131,INDEX(Tiere!$BN$2:$BN$145,_xlfn.AGGREGATE(15,6,(ROW(Tiere!$BN$2:$BN$145)-1)/(--(SEARCH(BC$2,Tiere!$BN$2:$BN$145)&gt;0)),ROW()-1),1))))))))),"")</f>
        <v/>
      </c>
      <c r="BC132" s="2436"/>
      <c r="BD132" s="2472" t="str">
        <f>IFERROR(IF(OR(BE$2="ZURÜCK ZUR AUSWAHL",BE$2="",BE$2=0),"",IF(BE$2=$BO$1,$BO131,IF(BE$2=$BP$1,$BP131,IF(BE$2=$BQ$1,$BQ131,IF(BE$2=$BR$1,$BR131,IF(BE$2=$BS$1,$BS131,IF(BE$2=$BT$1,$BT131,IF(BE$2=$BU$1,$BU131,INDEX(Tiere!$BN$2:$BN$145,_xlfn.AGGREGATE(15,6,(ROW(Tiere!$BN$2:$BN$145)-1)/(--(SEARCH(BE$2,Tiere!$BN$2:$BN$145)&gt;0)),ROW()-1),1))))))))),"")</f>
        <v/>
      </c>
      <c r="BE132" s="2436"/>
      <c r="BF132" s="2472" t="str">
        <f>IFERROR(IF(OR(BG$2="ZURÜCK ZUR AUSWAHL",BG$2="",BG$2=0),"",IF(BG$2=$BO$1,$BO131,IF(BG$2=$BP$1,$BP131,IF(BG$2=$BQ$1,$BQ131,IF(BG$2=$BR$1,$BR131,IF(BG$2=$BS$1,$BS131,IF(BG$2=$BT$1,$BT131,IF(BG$2=$BU$1,$BU131,INDEX(Tiere!$BN$2:$BN$145,_xlfn.AGGREGATE(15,6,(ROW(Tiere!$BN$2:$BN$145)-1)/(--(SEARCH(BG$2,Tiere!$BN$2:$BN$145)&gt;0)),ROW()-1),1))))))))),"")</f>
        <v/>
      </c>
      <c r="BG132" s="2436"/>
      <c r="BH132" s="2472" t="str">
        <f>IFERROR(IF(OR(BI$2="ZURÜCK ZUR AUSWAHL",BI$2="",BI$2=0),"",IF(BI$2=$BO$1,$BO131,IF(BI$2=$BP$1,$BP131,IF(BI$2=$BQ$1,$BQ131,IF(BI$2=$BR$1,$BR131,IF(BI$2=$BS$1,$BS131,IF(BI$2=$BT$1,$BT131,IF(BI$2=$BU$1,$BU131,INDEX(Tiere!$BN$2:$BN$145,_xlfn.AGGREGATE(15,6,(ROW(Tiere!$BN$2:$BN$145)-1)/(--(SEARCH(BI$2,Tiere!$BN$2:$BN$145)&gt;0)),ROW()-1),1))))))))),"")</f>
        <v/>
      </c>
      <c r="BI132" s="2436"/>
      <c r="BJ132" s="2472" t="str">
        <f>IFERROR(IF(OR(BK$2="ZURÜCK ZUR AUSWAHL",BK$2="",BK$2=0),"",IF(BK$2=$BO$1,$BO131,IF(BK$2=$BP$1,$BP131,IF(BK$2=$BQ$1,$BQ131,IF(BK$2=$BR$1,$BR131,IF(BK$2=$BS$1,$BS131,IF(BK$2=$BT$1,$BT131,IF(BK$2=$BU$1,$BU131,INDEX(Tiere!$BN$2:$BN$145,_xlfn.AGGREGATE(15,6,(ROW(Tiere!$BN$2:$BN$145)-1)/(--(SEARCH(BK$2,Tiere!$BN$2:$BN$145)&gt;0)),ROW()-1),1))))))))),"")</f>
        <v/>
      </c>
      <c r="BK132" s="2436"/>
      <c r="BL132" s="2472" t="str">
        <f>IFERROR(IF(OR(BM$2="ZURÜCK ZUR AUSWAHL",BM$2="",BM$2=0),"",IF(BM$2=$BO$1,$BO131,IF(BM$2=$BP$1,$BP131,IF(BM$2=$BQ$1,$BQ131,IF(BM$2=$BR$1,$BR131,IF(BM$2=$BS$1,$BS131,IF(BM$2=$BT$1,$BT131,IF(BM$2=$BU$1,$BU131,INDEX(Tiere!$BN$2:$BN$145,_xlfn.AGGREGATE(15,6,(ROW(Tiere!$BN$2:$BN$145)-1)/(--(SEARCH(BM$2,Tiere!$BN$2:$BN$145)&gt;0)),ROW()-1),1))))))))),"")</f>
        <v/>
      </c>
      <c r="BM132" s="2436"/>
      <c r="BN132" s="2478" t="s">
        <v>1310</v>
      </c>
      <c r="BO132" s="2470"/>
      <c r="BP132" s="2470"/>
      <c r="BQ132" s="2470"/>
      <c r="BR132" s="2470"/>
      <c r="BS132" s="2470"/>
      <c r="BT132" s="2470"/>
      <c r="BU132" s="2470"/>
    </row>
    <row r="133" spans="36:73" ht="13.8" thickBot="1">
      <c r="AJ133" s="2472" t="str">
        <f>IFERROR(IF(OR(AK$2="ZURÜCK ZUR AUSWAHL",AK$2="",AK$2=0),"",IF(AK$2=$BO$1,$BO132,IF(AK$2=$BP$1,$BP132,IF(AK$2=$BQ$1,$BQ132,IF(AK$2=$BR$1,$BR132,IF(AK$2=$BS$1,$BS132,IF(AK$2=$BT$1,$BT132,IF(AK$2=$BU$1,$BU132,INDEX(Tiere!$BN$2:$BN$145,_xlfn.AGGREGATE(15,6,(ROW(Tiere!$BN$2:$BN$145)-1)/(--(SEARCH(AK$2,Tiere!$BN$2:$BN$145)&gt;0)),ROW()-2),1))))))))),"")</f>
        <v/>
      </c>
      <c r="AK133" s="2438"/>
      <c r="AL133" s="2472" t="str">
        <f>IFERROR(IF(OR(AM$2="ZURÜCK ZUR AUSWAHL",AM$2="",AM$2=0),"",IF(AM$2=$BO$1,$BO132,IF(AM$2=$BP$1,$BP132,IF(AM$2=$BQ$1,$BQ132,IF(AM$2=$BR$1,$BR132,IF(AM$2=$BS$1,$BS132,IF(AM$2=$BT$1,$BT132,IF(AM$2=$BU$1,$BU132,INDEX(Tiere!$BN$2:$BN$145,_xlfn.AGGREGATE(15,6,(ROW(Tiere!$BN$2:$BN$145)-1)/(--(SEARCH(AM$2,Tiere!$BN$2:$BN$145)&gt;0)),ROW()-1),1))))))))),"")</f>
        <v/>
      </c>
      <c r="AM133" s="2438"/>
      <c r="AN133" s="2472" t="str">
        <f>IFERROR(IF(OR(AO$2="ZURÜCK ZUR AUSWAHL",AO$2="",AO$2=0),"",IF(AO$2=$BO$1,$BO132,IF(AO$2=$BP$1,$BP132,IF(AO$2=$BQ$1,$BQ132,IF(AO$2=$BR$1,$BR132,IF(AO$2=$BS$1,$BS132,IF(AO$2=$BT$1,$BT132,IF(AO$2=$BU$1,$BU132,INDEX(Tiere!$BN$2:$BN$145,_xlfn.AGGREGATE(15,6,(ROW(Tiere!$BN$2:$BN$145)-1)/(--(SEARCH(AO$2,Tiere!$BN$2:$BN$145)&gt;0)),ROW()-1),1))))))))),"")</f>
        <v/>
      </c>
      <c r="AO133" s="2438"/>
      <c r="AP133" s="2472" t="str">
        <f>IFERROR(IF(OR(AQ$2="ZURÜCK ZUR AUSWAHL",AQ$2="",AQ$2=0),"",IF(AQ$2=$BO$1,$BO132,IF(AQ$2=$BP$1,$BP132,IF(AQ$2=$BQ$1,$BQ132,IF(AQ$2=$BR$1,$BR132,IF(AQ$2=$BS$1,$BS132,IF(AQ$2=$BT$1,$BT132,IF(AQ$2=$BU$1,$BU132,INDEX(Tiere!$BN$2:$BN$145,_xlfn.AGGREGATE(15,6,(ROW(Tiere!$BN$2:$BN$145)-1)/(--(SEARCH(AQ$2,Tiere!$BN$2:$BN$145)&gt;0)),ROW()-1),1))))))))),"")</f>
        <v/>
      </c>
      <c r="AQ133" s="2438"/>
      <c r="AR133" s="2472" t="str">
        <f>IFERROR(IF(OR(AS$2="ZURÜCK ZUR AUSWAHL",AS$2="",AS$2=0),"",IF(AS$2=$BO$1,$BO132,IF(AS$2=$BP$1,$BP132,IF(AS$2=$BQ$1,$BQ132,IF(AS$2=$BR$1,$BR132,IF(AS$2=$BS$1,$BS132,IF(AS$2=$BT$1,$BT132,IF(AS$2=$BU$1,$BU132,INDEX(Tiere!$BN$2:$BN$145,_xlfn.AGGREGATE(15,6,(ROW(Tiere!$BN$2:$BN$145)-1)/(--(SEARCH(AS$2,Tiere!$BN$2:$BN$145)&gt;0)),ROW()-1),1))))))))),"")</f>
        <v/>
      </c>
      <c r="AS133" s="2438"/>
      <c r="AT133" s="2472" t="str">
        <f>IFERROR(IF(OR(AU$2="ZURÜCK ZUR AUSWAHL",AU$2="",AU$2=0),"",IF(AU$2=$BO$1,$BO132,IF(AU$2=$BP$1,$BP132,IF(AU$2=$BQ$1,$BQ132,IF(AU$2=$BR$1,$BR132,IF(AU$2=$BS$1,$BS132,IF(AU$2=$BT$1,$BT132,IF(AU$2=$BU$1,$BU132,INDEX(Tiere!$BN$2:$BN$145,_xlfn.AGGREGATE(15,6,(ROW(Tiere!$BN$2:$BN$145)-1)/(--(SEARCH(AU$2,Tiere!$BN$2:$BN$145)&gt;0)),ROW()-1),1))))))))),"")</f>
        <v/>
      </c>
      <c r="AU133" s="2438"/>
      <c r="AV133" s="2472" t="str">
        <f>IFERROR(IF(OR(AW$2="ZURÜCK ZUR AUSWAHL",AW$2="",AW$2=0),"",IF(AW$2=$BO$1,$BO132,IF(AW$2=$BP$1,$BP132,IF(AW$2=$BQ$1,$BQ132,IF(AW$2=$BR$1,$BR132,IF(AW$2=$BS$1,$BS132,IF(AW$2=$BT$1,$BT132,IF(AW$2=$BU$1,$BU132,INDEX(Tiere!$BN$2:$BN$145,_xlfn.AGGREGATE(15,6,(ROW(Tiere!$BN$2:$BN$145)-1)/(--(SEARCH(AW$2,Tiere!$BN$2:$BN$145)&gt;0)),ROW()-1),1))))))))),"")</f>
        <v/>
      </c>
      <c r="AW133" s="2438"/>
      <c r="AX133" s="2472" t="str">
        <f>IFERROR(IF(OR(AY$2="ZURÜCK ZUR AUSWAHL",AY$2="",AY$2=0),"",IF(AY$2=$BO$1,$BO132,IF(AY$2=$BP$1,$BP132,IF(AY$2=$BQ$1,$BQ132,IF(AY$2=$BR$1,$BR132,IF(AY$2=$BS$1,$BS132,IF(AY$2=$BT$1,$BT132,IF(AY$2=$BU$1,$BU132,INDEX(Tiere!$BN$2:$BN$145,_xlfn.AGGREGATE(15,6,(ROW(Tiere!$BN$2:$BN$145)-1)/(--(SEARCH(AY$2,Tiere!$BN$2:$BN$145)&gt;0)),ROW()-1),1))))))))),"")</f>
        <v/>
      </c>
      <c r="AY133" s="2438"/>
      <c r="AZ133" s="2472" t="str">
        <f>IFERROR(IF(OR(BA$2="ZURÜCK ZUR AUSWAHL",BA$2="",BA$2=0),"",IF(BA$2=$BO$1,$BO132,IF(BA$2=$BP$1,$BP132,IF(BA$2=$BQ$1,$BQ132,IF(BA$2=$BR$1,$BR132,IF(BA$2=$BS$1,$BS132,IF(BA$2=$BT$1,$BT132,IF(BA$2=$BU$1,$BU132,INDEX(Tiere!$BN$2:$BN$145,_xlfn.AGGREGATE(15,6,(ROW(Tiere!$BN$2:$BN$145)-1)/(--(SEARCH(BA$2,Tiere!$BN$2:$BN$145)&gt;0)),ROW()-1),1))))))))),"")</f>
        <v/>
      </c>
      <c r="BA133" s="2438"/>
      <c r="BB133" s="2472" t="str">
        <f>IFERROR(IF(OR(BC$2="ZURÜCK ZUR AUSWAHL",BC$2="",BC$2=0),"",IF(BC$2=$BO$1,$BO132,IF(BC$2=$BP$1,$BP132,IF(BC$2=$BQ$1,$BQ132,IF(BC$2=$BR$1,$BR132,IF(BC$2=$BS$1,$BS132,IF(BC$2=$BT$1,$BT132,IF(BC$2=$BU$1,$BU132,INDEX(Tiere!$BN$2:$BN$145,_xlfn.AGGREGATE(15,6,(ROW(Tiere!$BN$2:$BN$145)-1)/(--(SEARCH(BC$2,Tiere!$BN$2:$BN$145)&gt;0)),ROW()-1),1))))))))),"")</f>
        <v/>
      </c>
      <c r="BC133" s="2438"/>
      <c r="BD133" s="2472" t="str">
        <f>IFERROR(IF(OR(BE$2="ZURÜCK ZUR AUSWAHL",BE$2="",BE$2=0),"",IF(BE$2=$BO$1,$BO132,IF(BE$2=$BP$1,$BP132,IF(BE$2=$BQ$1,$BQ132,IF(BE$2=$BR$1,$BR132,IF(BE$2=$BS$1,$BS132,IF(BE$2=$BT$1,$BT132,IF(BE$2=$BU$1,$BU132,INDEX(Tiere!$BN$2:$BN$145,_xlfn.AGGREGATE(15,6,(ROW(Tiere!$BN$2:$BN$145)-1)/(--(SEARCH(BE$2,Tiere!$BN$2:$BN$145)&gt;0)),ROW()-1),1))))))))),"")</f>
        <v/>
      </c>
      <c r="BE133" s="2438"/>
      <c r="BF133" s="2472" t="str">
        <f>IFERROR(IF(OR(BG$2="ZURÜCK ZUR AUSWAHL",BG$2="",BG$2=0),"",IF(BG$2=$BO$1,$BO132,IF(BG$2=$BP$1,$BP132,IF(BG$2=$BQ$1,$BQ132,IF(BG$2=$BR$1,$BR132,IF(BG$2=$BS$1,$BS132,IF(BG$2=$BT$1,$BT132,IF(BG$2=$BU$1,$BU132,INDEX(Tiere!$BN$2:$BN$145,_xlfn.AGGREGATE(15,6,(ROW(Tiere!$BN$2:$BN$145)-1)/(--(SEARCH(BG$2,Tiere!$BN$2:$BN$145)&gt;0)),ROW()-1),1))))))))),"")</f>
        <v/>
      </c>
      <c r="BG133" s="2438"/>
      <c r="BH133" s="2472" t="str">
        <f>IFERROR(IF(OR(BI$2="ZURÜCK ZUR AUSWAHL",BI$2="",BI$2=0),"",IF(BI$2=$BO$1,$BO132,IF(BI$2=$BP$1,$BP132,IF(BI$2=$BQ$1,$BQ132,IF(BI$2=$BR$1,$BR132,IF(BI$2=$BS$1,$BS132,IF(BI$2=$BT$1,$BT132,IF(BI$2=$BU$1,$BU132,INDEX(Tiere!$BN$2:$BN$145,_xlfn.AGGREGATE(15,6,(ROW(Tiere!$BN$2:$BN$145)-1)/(--(SEARCH(BI$2,Tiere!$BN$2:$BN$145)&gt;0)),ROW()-1),1))))))))),"")</f>
        <v/>
      </c>
      <c r="BI133" s="2438"/>
      <c r="BJ133" s="2472" t="str">
        <f>IFERROR(IF(OR(BK$2="ZURÜCK ZUR AUSWAHL",BK$2="",BK$2=0),"",IF(BK$2=$BO$1,$BO132,IF(BK$2=$BP$1,$BP132,IF(BK$2=$BQ$1,$BQ132,IF(BK$2=$BR$1,$BR132,IF(BK$2=$BS$1,$BS132,IF(BK$2=$BT$1,$BT132,IF(BK$2=$BU$1,$BU132,INDEX(Tiere!$BN$2:$BN$145,_xlfn.AGGREGATE(15,6,(ROW(Tiere!$BN$2:$BN$145)-1)/(--(SEARCH(BK$2,Tiere!$BN$2:$BN$145)&gt;0)),ROW()-1),1))))))))),"")</f>
        <v/>
      </c>
      <c r="BK133" s="2438"/>
      <c r="BL133" s="2472" t="str">
        <f>IFERROR(IF(OR(BM$2="ZURÜCK ZUR AUSWAHL",BM$2="",BM$2=0),"",IF(BM$2=$BO$1,$BO132,IF(BM$2=$BP$1,$BP132,IF(BM$2=$BQ$1,$BQ132,IF(BM$2=$BR$1,$BR132,IF(BM$2=$BS$1,$BS132,IF(BM$2=$BT$1,$BT132,IF(BM$2=$BU$1,$BU132,INDEX(Tiere!$BN$2:$BN$145,_xlfn.AGGREGATE(15,6,(ROW(Tiere!$BN$2:$BN$145)-1)/(--(SEARCH(BM$2,Tiere!$BN$2:$BN$145)&gt;0)),ROW()-1),1))))))))),"")</f>
        <v/>
      </c>
      <c r="BM133" s="2438"/>
      <c r="BN133" s="2478" t="s">
        <v>1311</v>
      </c>
      <c r="BO133" s="2470"/>
      <c r="BP133" s="2470"/>
      <c r="BQ133" s="2470"/>
      <c r="BR133" s="2470"/>
      <c r="BS133" s="2470"/>
      <c r="BT133" s="2470"/>
      <c r="BU133" s="2470"/>
    </row>
    <row r="134" spans="36:73" ht="13.8" thickBot="1">
      <c r="AJ134" s="2472" t="str">
        <f>IFERROR(IF(OR(AK$2="ZURÜCK ZUR AUSWAHL",AK$2="",AK$2=0),"",IF(AK$2=$BO$1,$BO133,IF(AK$2=$BP$1,$BP133,IF(AK$2=$BQ$1,$BQ133,IF(AK$2=$BR$1,$BR133,IF(AK$2=$BS$1,$BS133,IF(AK$2=$BT$1,$BT133,IF(AK$2=$BU$1,$BU133,INDEX(Tiere!$BN$2:$BN$145,_xlfn.AGGREGATE(15,6,(ROW(Tiere!$BN$2:$BN$145)-1)/(--(SEARCH(AK$2,Tiere!$BN$2:$BN$145)&gt;0)),ROW()-2),1))))))))),"")</f>
        <v/>
      </c>
      <c r="AK134" s="2436"/>
      <c r="AL134" s="2472" t="str">
        <f>IFERROR(IF(OR(AM$2="ZURÜCK ZUR AUSWAHL",AM$2="",AM$2=0),"",IF(AM$2=$BO$1,$BO133,IF(AM$2=$BP$1,$BP133,IF(AM$2=$BQ$1,$BQ133,IF(AM$2=$BR$1,$BR133,IF(AM$2=$BS$1,$BS133,IF(AM$2=$BT$1,$BT133,IF(AM$2=$BU$1,$BU133,INDEX(Tiere!$BN$2:$BN$145,_xlfn.AGGREGATE(15,6,(ROW(Tiere!$BN$2:$BN$145)-1)/(--(SEARCH(AM$2,Tiere!$BN$2:$BN$145)&gt;0)),ROW()-1),1))))))))),"")</f>
        <v/>
      </c>
      <c r="AM134" s="2436"/>
      <c r="AN134" s="2472" t="str">
        <f>IFERROR(IF(OR(AO$2="ZURÜCK ZUR AUSWAHL",AO$2="",AO$2=0),"",IF(AO$2=$BO$1,$BO133,IF(AO$2=$BP$1,$BP133,IF(AO$2=$BQ$1,$BQ133,IF(AO$2=$BR$1,$BR133,IF(AO$2=$BS$1,$BS133,IF(AO$2=$BT$1,$BT133,IF(AO$2=$BU$1,$BU133,INDEX(Tiere!$BN$2:$BN$145,_xlfn.AGGREGATE(15,6,(ROW(Tiere!$BN$2:$BN$145)-1)/(--(SEARCH(AO$2,Tiere!$BN$2:$BN$145)&gt;0)),ROW()-1),1))))))))),"")</f>
        <v/>
      </c>
      <c r="AO134" s="2436"/>
      <c r="AP134" s="2472" t="str">
        <f>IFERROR(IF(OR(AQ$2="ZURÜCK ZUR AUSWAHL",AQ$2="",AQ$2=0),"",IF(AQ$2=$BO$1,$BO133,IF(AQ$2=$BP$1,$BP133,IF(AQ$2=$BQ$1,$BQ133,IF(AQ$2=$BR$1,$BR133,IF(AQ$2=$BS$1,$BS133,IF(AQ$2=$BT$1,$BT133,IF(AQ$2=$BU$1,$BU133,INDEX(Tiere!$BN$2:$BN$145,_xlfn.AGGREGATE(15,6,(ROW(Tiere!$BN$2:$BN$145)-1)/(--(SEARCH(AQ$2,Tiere!$BN$2:$BN$145)&gt;0)),ROW()-1),1))))))))),"")</f>
        <v/>
      </c>
      <c r="AQ134" s="2436"/>
      <c r="AR134" s="2472" t="str">
        <f>IFERROR(IF(OR(AS$2="ZURÜCK ZUR AUSWAHL",AS$2="",AS$2=0),"",IF(AS$2=$BO$1,$BO133,IF(AS$2=$BP$1,$BP133,IF(AS$2=$BQ$1,$BQ133,IF(AS$2=$BR$1,$BR133,IF(AS$2=$BS$1,$BS133,IF(AS$2=$BT$1,$BT133,IF(AS$2=$BU$1,$BU133,INDEX(Tiere!$BN$2:$BN$145,_xlfn.AGGREGATE(15,6,(ROW(Tiere!$BN$2:$BN$145)-1)/(--(SEARCH(AS$2,Tiere!$BN$2:$BN$145)&gt;0)),ROW()-1),1))))))))),"")</f>
        <v/>
      </c>
      <c r="AS134" s="2436"/>
      <c r="AT134" s="2472" t="str">
        <f>IFERROR(IF(OR(AU$2="ZURÜCK ZUR AUSWAHL",AU$2="",AU$2=0),"",IF(AU$2=$BO$1,$BO133,IF(AU$2=$BP$1,$BP133,IF(AU$2=$BQ$1,$BQ133,IF(AU$2=$BR$1,$BR133,IF(AU$2=$BS$1,$BS133,IF(AU$2=$BT$1,$BT133,IF(AU$2=$BU$1,$BU133,INDEX(Tiere!$BN$2:$BN$145,_xlfn.AGGREGATE(15,6,(ROW(Tiere!$BN$2:$BN$145)-1)/(--(SEARCH(AU$2,Tiere!$BN$2:$BN$145)&gt;0)),ROW()-1),1))))))))),"")</f>
        <v/>
      </c>
      <c r="AU134" s="2436"/>
      <c r="AV134" s="2472" t="str">
        <f>IFERROR(IF(OR(AW$2="ZURÜCK ZUR AUSWAHL",AW$2="",AW$2=0),"",IF(AW$2=$BO$1,$BO133,IF(AW$2=$BP$1,$BP133,IF(AW$2=$BQ$1,$BQ133,IF(AW$2=$BR$1,$BR133,IF(AW$2=$BS$1,$BS133,IF(AW$2=$BT$1,$BT133,IF(AW$2=$BU$1,$BU133,INDEX(Tiere!$BN$2:$BN$145,_xlfn.AGGREGATE(15,6,(ROW(Tiere!$BN$2:$BN$145)-1)/(--(SEARCH(AW$2,Tiere!$BN$2:$BN$145)&gt;0)),ROW()-1),1))))))))),"")</f>
        <v/>
      </c>
      <c r="AW134" s="2436"/>
      <c r="AX134" s="2472" t="str">
        <f>IFERROR(IF(OR(AY$2="ZURÜCK ZUR AUSWAHL",AY$2="",AY$2=0),"",IF(AY$2=$BO$1,$BO133,IF(AY$2=$BP$1,$BP133,IF(AY$2=$BQ$1,$BQ133,IF(AY$2=$BR$1,$BR133,IF(AY$2=$BS$1,$BS133,IF(AY$2=$BT$1,$BT133,IF(AY$2=$BU$1,$BU133,INDEX(Tiere!$BN$2:$BN$145,_xlfn.AGGREGATE(15,6,(ROW(Tiere!$BN$2:$BN$145)-1)/(--(SEARCH(AY$2,Tiere!$BN$2:$BN$145)&gt;0)),ROW()-1),1))))))))),"")</f>
        <v/>
      </c>
      <c r="AY134" s="2436"/>
      <c r="AZ134" s="2472" t="str">
        <f>IFERROR(IF(OR(BA$2="ZURÜCK ZUR AUSWAHL",BA$2="",BA$2=0),"",IF(BA$2=$BO$1,$BO133,IF(BA$2=$BP$1,$BP133,IF(BA$2=$BQ$1,$BQ133,IF(BA$2=$BR$1,$BR133,IF(BA$2=$BS$1,$BS133,IF(BA$2=$BT$1,$BT133,IF(BA$2=$BU$1,$BU133,INDEX(Tiere!$BN$2:$BN$145,_xlfn.AGGREGATE(15,6,(ROW(Tiere!$BN$2:$BN$145)-1)/(--(SEARCH(BA$2,Tiere!$BN$2:$BN$145)&gt;0)),ROW()-1),1))))))))),"")</f>
        <v/>
      </c>
      <c r="BA134" s="2436"/>
      <c r="BB134" s="2472" t="str">
        <f>IFERROR(IF(OR(BC$2="ZURÜCK ZUR AUSWAHL",BC$2="",BC$2=0),"",IF(BC$2=$BO$1,$BO133,IF(BC$2=$BP$1,$BP133,IF(BC$2=$BQ$1,$BQ133,IF(BC$2=$BR$1,$BR133,IF(BC$2=$BS$1,$BS133,IF(BC$2=$BT$1,$BT133,IF(BC$2=$BU$1,$BU133,INDEX(Tiere!$BN$2:$BN$145,_xlfn.AGGREGATE(15,6,(ROW(Tiere!$BN$2:$BN$145)-1)/(--(SEARCH(BC$2,Tiere!$BN$2:$BN$145)&gt;0)),ROW()-1),1))))))))),"")</f>
        <v/>
      </c>
      <c r="BC134" s="2436"/>
      <c r="BD134" s="2472" t="str">
        <f>IFERROR(IF(OR(BE$2="ZURÜCK ZUR AUSWAHL",BE$2="",BE$2=0),"",IF(BE$2=$BO$1,$BO133,IF(BE$2=$BP$1,$BP133,IF(BE$2=$BQ$1,$BQ133,IF(BE$2=$BR$1,$BR133,IF(BE$2=$BS$1,$BS133,IF(BE$2=$BT$1,$BT133,IF(BE$2=$BU$1,$BU133,INDEX(Tiere!$BN$2:$BN$145,_xlfn.AGGREGATE(15,6,(ROW(Tiere!$BN$2:$BN$145)-1)/(--(SEARCH(BE$2,Tiere!$BN$2:$BN$145)&gt;0)),ROW()-1),1))))))))),"")</f>
        <v/>
      </c>
      <c r="BE134" s="2436"/>
      <c r="BF134" s="2472" t="str">
        <f>IFERROR(IF(OR(BG$2="ZURÜCK ZUR AUSWAHL",BG$2="",BG$2=0),"",IF(BG$2=$BO$1,$BO133,IF(BG$2=$BP$1,$BP133,IF(BG$2=$BQ$1,$BQ133,IF(BG$2=$BR$1,$BR133,IF(BG$2=$BS$1,$BS133,IF(BG$2=$BT$1,$BT133,IF(BG$2=$BU$1,$BU133,INDEX(Tiere!$BN$2:$BN$145,_xlfn.AGGREGATE(15,6,(ROW(Tiere!$BN$2:$BN$145)-1)/(--(SEARCH(BG$2,Tiere!$BN$2:$BN$145)&gt;0)),ROW()-1),1))))))))),"")</f>
        <v/>
      </c>
      <c r="BG134" s="2436"/>
      <c r="BH134" s="2472" t="str">
        <f>IFERROR(IF(OR(BI$2="ZURÜCK ZUR AUSWAHL",BI$2="",BI$2=0),"",IF(BI$2=$BO$1,$BO133,IF(BI$2=$BP$1,$BP133,IF(BI$2=$BQ$1,$BQ133,IF(BI$2=$BR$1,$BR133,IF(BI$2=$BS$1,$BS133,IF(BI$2=$BT$1,$BT133,IF(BI$2=$BU$1,$BU133,INDEX(Tiere!$BN$2:$BN$145,_xlfn.AGGREGATE(15,6,(ROW(Tiere!$BN$2:$BN$145)-1)/(--(SEARCH(BI$2,Tiere!$BN$2:$BN$145)&gt;0)),ROW()-1),1))))))))),"")</f>
        <v/>
      </c>
      <c r="BI134" s="2436"/>
      <c r="BJ134" s="2472" t="str">
        <f>IFERROR(IF(OR(BK$2="ZURÜCK ZUR AUSWAHL",BK$2="",BK$2=0),"",IF(BK$2=$BO$1,$BO133,IF(BK$2=$BP$1,$BP133,IF(BK$2=$BQ$1,$BQ133,IF(BK$2=$BR$1,$BR133,IF(BK$2=$BS$1,$BS133,IF(BK$2=$BT$1,$BT133,IF(BK$2=$BU$1,$BU133,INDEX(Tiere!$BN$2:$BN$145,_xlfn.AGGREGATE(15,6,(ROW(Tiere!$BN$2:$BN$145)-1)/(--(SEARCH(BK$2,Tiere!$BN$2:$BN$145)&gt;0)),ROW()-1),1))))))))),"")</f>
        <v/>
      </c>
      <c r="BK134" s="2436"/>
      <c r="BL134" s="2472" t="str">
        <f>IFERROR(IF(OR(BM$2="ZURÜCK ZUR AUSWAHL",BM$2="",BM$2=0),"",IF(BM$2=$BO$1,$BO133,IF(BM$2=$BP$1,$BP133,IF(BM$2=$BQ$1,$BQ133,IF(BM$2=$BR$1,$BR133,IF(BM$2=$BS$1,$BS133,IF(BM$2=$BT$1,$BT133,IF(BM$2=$BU$1,$BU133,INDEX(Tiere!$BN$2:$BN$145,_xlfn.AGGREGATE(15,6,(ROW(Tiere!$BN$2:$BN$145)-1)/(--(SEARCH(BM$2,Tiere!$BN$2:$BN$145)&gt;0)),ROW()-1),1))))))))),"")</f>
        <v/>
      </c>
      <c r="BM134" s="2436"/>
      <c r="BN134" s="2478" t="s">
        <v>1312</v>
      </c>
      <c r="BO134" s="2470"/>
      <c r="BP134" s="2470"/>
      <c r="BQ134" s="2470"/>
      <c r="BR134" s="2470"/>
      <c r="BS134" s="2470"/>
      <c r="BT134" s="2470"/>
      <c r="BU134" s="2470"/>
    </row>
    <row r="135" spans="36:73" ht="13.8" thickBot="1">
      <c r="AJ135" s="2472" t="str">
        <f>IFERROR(IF(OR(AK$2="ZURÜCK ZUR AUSWAHL",AK$2="",AK$2=0),"",IF(AK$2=$BO$1,$BO134,IF(AK$2=$BP$1,$BP134,IF(AK$2=$BQ$1,$BQ134,IF(AK$2=$BR$1,$BR134,IF(AK$2=$BS$1,$BS134,IF(AK$2=$BT$1,$BT134,IF(AK$2=$BU$1,$BU134,INDEX(Tiere!$BN$2:$BN$145,_xlfn.AGGREGATE(15,6,(ROW(Tiere!$BN$2:$BN$145)-1)/(--(SEARCH(AK$2,Tiere!$BN$2:$BN$145)&gt;0)),ROW()-2),1))))))))),"")</f>
        <v/>
      </c>
      <c r="AK135" s="2438"/>
      <c r="AL135" s="2472" t="str">
        <f>IFERROR(IF(OR(AM$2="ZURÜCK ZUR AUSWAHL",AM$2="",AM$2=0),"",IF(AM$2=$BO$1,$BO134,IF(AM$2=$BP$1,$BP134,IF(AM$2=$BQ$1,$BQ134,IF(AM$2=$BR$1,$BR134,IF(AM$2=$BS$1,$BS134,IF(AM$2=$BT$1,$BT134,IF(AM$2=$BU$1,$BU134,INDEX(Tiere!$BN$2:$BN$145,_xlfn.AGGREGATE(15,6,(ROW(Tiere!$BN$2:$BN$145)-1)/(--(SEARCH(AM$2,Tiere!$BN$2:$BN$145)&gt;0)),ROW()-1),1))))))))),"")</f>
        <v/>
      </c>
      <c r="AM135" s="2438"/>
      <c r="AN135" s="2472" t="str">
        <f>IFERROR(IF(OR(AO$2="ZURÜCK ZUR AUSWAHL",AO$2="",AO$2=0),"",IF(AO$2=$BO$1,$BO134,IF(AO$2=$BP$1,$BP134,IF(AO$2=$BQ$1,$BQ134,IF(AO$2=$BR$1,$BR134,IF(AO$2=$BS$1,$BS134,IF(AO$2=$BT$1,$BT134,IF(AO$2=$BU$1,$BU134,INDEX(Tiere!$BN$2:$BN$145,_xlfn.AGGREGATE(15,6,(ROW(Tiere!$BN$2:$BN$145)-1)/(--(SEARCH(AO$2,Tiere!$BN$2:$BN$145)&gt;0)),ROW()-1),1))))))))),"")</f>
        <v/>
      </c>
      <c r="AO135" s="2438"/>
      <c r="AP135" s="2472" t="str">
        <f>IFERROR(IF(OR(AQ$2="ZURÜCK ZUR AUSWAHL",AQ$2="",AQ$2=0),"",IF(AQ$2=$BO$1,$BO134,IF(AQ$2=$BP$1,$BP134,IF(AQ$2=$BQ$1,$BQ134,IF(AQ$2=$BR$1,$BR134,IF(AQ$2=$BS$1,$BS134,IF(AQ$2=$BT$1,$BT134,IF(AQ$2=$BU$1,$BU134,INDEX(Tiere!$BN$2:$BN$145,_xlfn.AGGREGATE(15,6,(ROW(Tiere!$BN$2:$BN$145)-1)/(--(SEARCH(AQ$2,Tiere!$BN$2:$BN$145)&gt;0)),ROW()-1),1))))))))),"")</f>
        <v/>
      </c>
      <c r="AQ135" s="2438"/>
      <c r="AR135" s="2472" t="str">
        <f>IFERROR(IF(OR(AS$2="ZURÜCK ZUR AUSWAHL",AS$2="",AS$2=0),"",IF(AS$2=$BO$1,$BO134,IF(AS$2=$BP$1,$BP134,IF(AS$2=$BQ$1,$BQ134,IF(AS$2=$BR$1,$BR134,IF(AS$2=$BS$1,$BS134,IF(AS$2=$BT$1,$BT134,IF(AS$2=$BU$1,$BU134,INDEX(Tiere!$BN$2:$BN$145,_xlfn.AGGREGATE(15,6,(ROW(Tiere!$BN$2:$BN$145)-1)/(--(SEARCH(AS$2,Tiere!$BN$2:$BN$145)&gt;0)),ROW()-1),1))))))))),"")</f>
        <v/>
      </c>
      <c r="AS135" s="2438"/>
      <c r="AT135" s="2472" t="str">
        <f>IFERROR(IF(OR(AU$2="ZURÜCK ZUR AUSWAHL",AU$2="",AU$2=0),"",IF(AU$2=$BO$1,$BO134,IF(AU$2=$BP$1,$BP134,IF(AU$2=$BQ$1,$BQ134,IF(AU$2=$BR$1,$BR134,IF(AU$2=$BS$1,$BS134,IF(AU$2=$BT$1,$BT134,IF(AU$2=$BU$1,$BU134,INDEX(Tiere!$BN$2:$BN$145,_xlfn.AGGREGATE(15,6,(ROW(Tiere!$BN$2:$BN$145)-1)/(--(SEARCH(AU$2,Tiere!$BN$2:$BN$145)&gt;0)),ROW()-1),1))))))))),"")</f>
        <v/>
      </c>
      <c r="AU135" s="2438"/>
      <c r="AV135" s="2472" t="str">
        <f>IFERROR(IF(OR(AW$2="ZURÜCK ZUR AUSWAHL",AW$2="",AW$2=0),"",IF(AW$2=$BO$1,$BO134,IF(AW$2=$BP$1,$BP134,IF(AW$2=$BQ$1,$BQ134,IF(AW$2=$BR$1,$BR134,IF(AW$2=$BS$1,$BS134,IF(AW$2=$BT$1,$BT134,IF(AW$2=$BU$1,$BU134,INDEX(Tiere!$BN$2:$BN$145,_xlfn.AGGREGATE(15,6,(ROW(Tiere!$BN$2:$BN$145)-1)/(--(SEARCH(AW$2,Tiere!$BN$2:$BN$145)&gt;0)),ROW()-1),1))))))))),"")</f>
        <v/>
      </c>
      <c r="AW135" s="2438"/>
      <c r="AX135" s="2472" t="str">
        <f>IFERROR(IF(OR(AY$2="ZURÜCK ZUR AUSWAHL",AY$2="",AY$2=0),"",IF(AY$2=$BO$1,$BO134,IF(AY$2=$BP$1,$BP134,IF(AY$2=$BQ$1,$BQ134,IF(AY$2=$BR$1,$BR134,IF(AY$2=$BS$1,$BS134,IF(AY$2=$BT$1,$BT134,IF(AY$2=$BU$1,$BU134,INDEX(Tiere!$BN$2:$BN$145,_xlfn.AGGREGATE(15,6,(ROW(Tiere!$BN$2:$BN$145)-1)/(--(SEARCH(AY$2,Tiere!$BN$2:$BN$145)&gt;0)),ROW()-1),1))))))))),"")</f>
        <v/>
      </c>
      <c r="AY135" s="2438"/>
      <c r="AZ135" s="2472" t="str">
        <f>IFERROR(IF(OR(BA$2="ZURÜCK ZUR AUSWAHL",BA$2="",BA$2=0),"",IF(BA$2=$BO$1,$BO134,IF(BA$2=$BP$1,$BP134,IF(BA$2=$BQ$1,$BQ134,IF(BA$2=$BR$1,$BR134,IF(BA$2=$BS$1,$BS134,IF(BA$2=$BT$1,$BT134,IF(BA$2=$BU$1,$BU134,INDEX(Tiere!$BN$2:$BN$145,_xlfn.AGGREGATE(15,6,(ROW(Tiere!$BN$2:$BN$145)-1)/(--(SEARCH(BA$2,Tiere!$BN$2:$BN$145)&gt;0)),ROW()-1),1))))))))),"")</f>
        <v/>
      </c>
      <c r="BA135" s="2438"/>
      <c r="BB135" s="2472" t="str">
        <f>IFERROR(IF(OR(BC$2="ZURÜCK ZUR AUSWAHL",BC$2="",BC$2=0),"",IF(BC$2=$BO$1,$BO134,IF(BC$2=$BP$1,$BP134,IF(BC$2=$BQ$1,$BQ134,IF(BC$2=$BR$1,$BR134,IF(BC$2=$BS$1,$BS134,IF(BC$2=$BT$1,$BT134,IF(BC$2=$BU$1,$BU134,INDEX(Tiere!$BN$2:$BN$145,_xlfn.AGGREGATE(15,6,(ROW(Tiere!$BN$2:$BN$145)-1)/(--(SEARCH(BC$2,Tiere!$BN$2:$BN$145)&gt;0)),ROW()-1),1))))))))),"")</f>
        <v/>
      </c>
      <c r="BC135" s="2438"/>
      <c r="BD135" s="2472" t="str">
        <f>IFERROR(IF(OR(BE$2="ZURÜCK ZUR AUSWAHL",BE$2="",BE$2=0),"",IF(BE$2=$BO$1,$BO134,IF(BE$2=$BP$1,$BP134,IF(BE$2=$BQ$1,$BQ134,IF(BE$2=$BR$1,$BR134,IF(BE$2=$BS$1,$BS134,IF(BE$2=$BT$1,$BT134,IF(BE$2=$BU$1,$BU134,INDEX(Tiere!$BN$2:$BN$145,_xlfn.AGGREGATE(15,6,(ROW(Tiere!$BN$2:$BN$145)-1)/(--(SEARCH(BE$2,Tiere!$BN$2:$BN$145)&gt;0)),ROW()-1),1))))))))),"")</f>
        <v/>
      </c>
      <c r="BE135" s="2438"/>
      <c r="BF135" s="2472" t="str">
        <f>IFERROR(IF(OR(BG$2="ZURÜCK ZUR AUSWAHL",BG$2="",BG$2=0),"",IF(BG$2=$BO$1,$BO134,IF(BG$2=$BP$1,$BP134,IF(BG$2=$BQ$1,$BQ134,IF(BG$2=$BR$1,$BR134,IF(BG$2=$BS$1,$BS134,IF(BG$2=$BT$1,$BT134,IF(BG$2=$BU$1,$BU134,INDEX(Tiere!$BN$2:$BN$145,_xlfn.AGGREGATE(15,6,(ROW(Tiere!$BN$2:$BN$145)-1)/(--(SEARCH(BG$2,Tiere!$BN$2:$BN$145)&gt;0)),ROW()-1),1))))))))),"")</f>
        <v/>
      </c>
      <c r="BG135" s="2438"/>
      <c r="BH135" s="2472" t="str">
        <f>IFERROR(IF(OR(BI$2="ZURÜCK ZUR AUSWAHL",BI$2="",BI$2=0),"",IF(BI$2=$BO$1,$BO134,IF(BI$2=$BP$1,$BP134,IF(BI$2=$BQ$1,$BQ134,IF(BI$2=$BR$1,$BR134,IF(BI$2=$BS$1,$BS134,IF(BI$2=$BT$1,$BT134,IF(BI$2=$BU$1,$BU134,INDEX(Tiere!$BN$2:$BN$145,_xlfn.AGGREGATE(15,6,(ROW(Tiere!$BN$2:$BN$145)-1)/(--(SEARCH(BI$2,Tiere!$BN$2:$BN$145)&gt;0)),ROW()-1),1))))))))),"")</f>
        <v/>
      </c>
      <c r="BI135" s="2438"/>
      <c r="BJ135" s="2472" t="str">
        <f>IFERROR(IF(OR(BK$2="ZURÜCK ZUR AUSWAHL",BK$2="",BK$2=0),"",IF(BK$2=$BO$1,$BO134,IF(BK$2=$BP$1,$BP134,IF(BK$2=$BQ$1,$BQ134,IF(BK$2=$BR$1,$BR134,IF(BK$2=$BS$1,$BS134,IF(BK$2=$BT$1,$BT134,IF(BK$2=$BU$1,$BU134,INDEX(Tiere!$BN$2:$BN$145,_xlfn.AGGREGATE(15,6,(ROW(Tiere!$BN$2:$BN$145)-1)/(--(SEARCH(BK$2,Tiere!$BN$2:$BN$145)&gt;0)),ROW()-1),1))))))))),"")</f>
        <v/>
      </c>
      <c r="BK135" s="2438"/>
      <c r="BL135" s="2472" t="str">
        <f>IFERROR(IF(OR(BM$2="ZURÜCK ZUR AUSWAHL",BM$2="",BM$2=0),"",IF(BM$2=$BO$1,$BO134,IF(BM$2=$BP$1,$BP134,IF(BM$2=$BQ$1,$BQ134,IF(BM$2=$BR$1,$BR134,IF(BM$2=$BS$1,$BS134,IF(BM$2=$BT$1,$BT134,IF(BM$2=$BU$1,$BU134,INDEX(Tiere!$BN$2:$BN$145,_xlfn.AGGREGATE(15,6,(ROW(Tiere!$BN$2:$BN$145)-1)/(--(SEARCH(BM$2,Tiere!$BN$2:$BN$145)&gt;0)),ROW()-1),1))))))))),"")</f>
        <v/>
      </c>
      <c r="BM135" s="2438"/>
      <c r="BN135" s="2478" t="s">
        <v>1313</v>
      </c>
      <c r="BO135" s="2470"/>
      <c r="BP135" s="2470"/>
      <c r="BQ135" s="2470"/>
      <c r="BR135" s="2470"/>
      <c r="BS135" s="2470"/>
      <c r="BT135" s="2470"/>
      <c r="BU135" s="2470"/>
    </row>
    <row r="136" spans="36:73" ht="13.8" thickBot="1">
      <c r="AJ136" s="2472" t="str">
        <f>IFERROR(IF(OR(AK$2="ZURÜCK ZUR AUSWAHL",AK$2="",AK$2=0),"",IF(AK$2=$BO$1,$BO135,IF(AK$2=$BP$1,$BP135,IF(AK$2=$BQ$1,$BQ135,IF(AK$2=$BR$1,$BR135,IF(AK$2=$BS$1,$BS135,IF(AK$2=$BT$1,$BT135,IF(AK$2=$BU$1,$BU135,INDEX(Tiere!$BN$2:$BN$145,_xlfn.AGGREGATE(15,6,(ROW(Tiere!$BN$2:$BN$145)-1)/(--(SEARCH(AK$2,Tiere!$BN$2:$BN$145)&gt;0)),ROW()-2),1))))))))),"")</f>
        <v/>
      </c>
      <c r="AK136" s="2436"/>
      <c r="AL136" s="2472" t="str">
        <f>IFERROR(IF(OR(AM$2="ZURÜCK ZUR AUSWAHL",AM$2="",AM$2=0),"",IF(AM$2=$BO$1,$BO135,IF(AM$2=$BP$1,$BP135,IF(AM$2=$BQ$1,$BQ135,IF(AM$2=$BR$1,$BR135,IF(AM$2=$BS$1,$BS135,IF(AM$2=$BT$1,$BT135,IF(AM$2=$BU$1,$BU135,INDEX(Tiere!$BN$2:$BN$145,_xlfn.AGGREGATE(15,6,(ROW(Tiere!$BN$2:$BN$145)-1)/(--(SEARCH(AM$2,Tiere!$BN$2:$BN$145)&gt;0)),ROW()-1),1))))))))),"")</f>
        <v/>
      </c>
      <c r="AM136" s="2436"/>
      <c r="AN136" s="2472" t="str">
        <f>IFERROR(IF(OR(AO$2="ZURÜCK ZUR AUSWAHL",AO$2="",AO$2=0),"",IF(AO$2=$BO$1,$BO135,IF(AO$2=$BP$1,$BP135,IF(AO$2=$BQ$1,$BQ135,IF(AO$2=$BR$1,$BR135,IF(AO$2=$BS$1,$BS135,IF(AO$2=$BT$1,$BT135,IF(AO$2=$BU$1,$BU135,INDEX(Tiere!$BN$2:$BN$145,_xlfn.AGGREGATE(15,6,(ROW(Tiere!$BN$2:$BN$145)-1)/(--(SEARCH(AO$2,Tiere!$BN$2:$BN$145)&gt;0)),ROW()-1),1))))))))),"")</f>
        <v/>
      </c>
      <c r="AO136" s="2436"/>
      <c r="AP136" s="2472" t="str">
        <f>IFERROR(IF(OR(AQ$2="ZURÜCK ZUR AUSWAHL",AQ$2="",AQ$2=0),"",IF(AQ$2=$BO$1,$BO135,IF(AQ$2=$BP$1,$BP135,IF(AQ$2=$BQ$1,$BQ135,IF(AQ$2=$BR$1,$BR135,IF(AQ$2=$BS$1,$BS135,IF(AQ$2=$BT$1,$BT135,IF(AQ$2=$BU$1,$BU135,INDEX(Tiere!$BN$2:$BN$145,_xlfn.AGGREGATE(15,6,(ROW(Tiere!$BN$2:$BN$145)-1)/(--(SEARCH(AQ$2,Tiere!$BN$2:$BN$145)&gt;0)),ROW()-1),1))))))))),"")</f>
        <v/>
      </c>
      <c r="AQ136" s="2436"/>
      <c r="AR136" s="2472" t="str">
        <f>IFERROR(IF(OR(AS$2="ZURÜCK ZUR AUSWAHL",AS$2="",AS$2=0),"",IF(AS$2=$BO$1,$BO135,IF(AS$2=$BP$1,$BP135,IF(AS$2=$BQ$1,$BQ135,IF(AS$2=$BR$1,$BR135,IF(AS$2=$BS$1,$BS135,IF(AS$2=$BT$1,$BT135,IF(AS$2=$BU$1,$BU135,INDEX(Tiere!$BN$2:$BN$145,_xlfn.AGGREGATE(15,6,(ROW(Tiere!$BN$2:$BN$145)-1)/(--(SEARCH(AS$2,Tiere!$BN$2:$BN$145)&gt;0)),ROW()-1),1))))))))),"")</f>
        <v/>
      </c>
      <c r="AS136" s="2436"/>
      <c r="AT136" s="2472" t="str">
        <f>IFERROR(IF(OR(AU$2="ZURÜCK ZUR AUSWAHL",AU$2="",AU$2=0),"",IF(AU$2=$BO$1,$BO135,IF(AU$2=$BP$1,$BP135,IF(AU$2=$BQ$1,$BQ135,IF(AU$2=$BR$1,$BR135,IF(AU$2=$BS$1,$BS135,IF(AU$2=$BT$1,$BT135,IF(AU$2=$BU$1,$BU135,INDEX(Tiere!$BN$2:$BN$145,_xlfn.AGGREGATE(15,6,(ROW(Tiere!$BN$2:$BN$145)-1)/(--(SEARCH(AU$2,Tiere!$BN$2:$BN$145)&gt;0)),ROW()-1),1))))))))),"")</f>
        <v/>
      </c>
      <c r="AU136" s="2436"/>
      <c r="AV136" s="2472" t="str">
        <f>IFERROR(IF(OR(AW$2="ZURÜCK ZUR AUSWAHL",AW$2="",AW$2=0),"",IF(AW$2=$BO$1,$BO135,IF(AW$2=$BP$1,$BP135,IF(AW$2=$BQ$1,$BQ135,IF(AW$2=$BR$1,$BR135,IF(AW$2=$BS$1,$BS135,IF(AW$2=$BT$1,$BT135,IF(AW$2=$BU$1,$BU135,INDEX(Tiere!$BN$2:$BN$145,_xlfn.AGGREGATE(15,6,(ROW(Tiere!$BN$2:$BN$145)-1)/(--(SEARCH(AW$2,Tiere!$BN$2:$BN$145)&gt;0)),ROW()-1),1))))))))),"")</f>
        <v/>
      </c>
      <c r="AW136" s="2436"/>
      <c r="AX136" s="2472" t="str">
        <f>IFERROR(IF(OR(AY$2="ZURÜCK ZUR AUSWAHL",AY$2="",AY$2=0),"",IF(AY$2=$BO$1,$BO135,IF(AY$2=$BP$1,$BP135,IF(AY$2=$BQ$1,$BQ135,IF(AY$2=$BR$1,$BR135,IF(AY$2=$BS$1,$BS135,IF(AY$2=$BT$1,$BT135,IF(AY$2=$BU$1,$BU135,INDEX(Tiere!$BN$2:$BN$145,_xlfn.AGGREGATE(15,6,(ROW(Tiere!$BN$2:$BN$145)-1)/(--(SEARCH(AY$2,Tiere!$BN$2:$BN$145)&gt;0)),ROW()-1),1))))))))),"")</f>
        <v/>
      </c>
      <c r="AY136" s="2436"/>
      <c r="AZ136" s="2472" t="str">
        <f>IFERROR(IF(OR(BA$2="ZURÜCK ZUR AUSWAHL",BA$2="",BA$2=0),"",IF(BA$2=$BO$1,$BO135,IF(BA$2=$BP$1,$BP135,IF(BA$2=$BQ$1,$BQ135,IF(BA$2=$BR$1,$BR135,IF(BA$2=$BS$1,$BS135,IF(BA$2=$BT$1,$BT135,IF(BA$2=$BU$1,$BU135,INDEX(Tiere!$BN$2:$BN$145,_xlfn.AGGREGATE(15,6,(ROW(Tiere!$BN$2:$BN$145)-1)/(--(SEARCH(BA$2,Tiere!$BN$2:$BN$145)&gt;0)),ROW()-1),1))))))))),"")</f>
        <v/>
      </c>
      <c r="BA136" s="2436"/>
      <c r="BB136" s="2472" t="str">
        <f>IFERROR(IF(OR(BC$2="ZURÜCK ZUR AUSWAHL",BC$2="",BC$2=0),"",IF(BC$2=$BO$1,$BO135,IF(BC$2=$BP$1,$BP135,IF(BC$2=$BQ$1,$BQ135,IF(BC$2=$BR$1,$BR135,IF(BC$2=$BS$1,$BS135,IF(BC$2=$BT$1,$BT135,IF(BC$2=$BU$1,$BU135,INDEX(Tiere!$BN$2:$BN$145,_xlfn.AGGREGATE(15,6,(ROW(Tiere!$BN$2:$BN$145)-1)/(--(SEARCH(BC$2,Tiere!$BN$2:$BN$145)&gt;0)),ROW()-1),1))))))))),"")</f>
        <v/>
      </c>
      <c r="BC136" s="2436"/>
      <c r="BD136" s="2472" t="str">
        <f>IFERROR(IF(OR(BE$2="ZURÜCK ZUR AUSWAHL",BE$2="",BE$2=0),"",IF(BE$2=$BO$1,$BO135,IF(BE$2=$BP$1,$BP135,IF(BE$2=$BQ$1,$BQ135,IF(BE$2=$BR$1,$BR135,IF(BE$2=$BS$1,$BS135,IF(BE$2=$BT$1,$BT135,IF(BE$2=$BU$1,$BU135,INDEX(Tiere!$BN$2:$BN$145,_xlfn.AGGREGATE(15,6,(ROW(Tiere!$BN$2:$BN$145)-1)/(--(SEARCH(BE$2,Tiere!$BN$2:$BN$145)&gt;0)),ROW()-1),1))))))))),"")</f>
        <v/>
      </c>
      <c r="BE136" s="2436"/>
      <c r="BF136" s="2472" t="str">
        <f>IFERROR(IF(OR(BG$2="ZURÜCK ZUR AUSWAHL",BG$2="",BG$2=0),"",IF(BG$2=$BO$1,$BO135,IF(BG$2=$BP$1,$BP135,IF(BG$2=$BQ$1,$BQ135,IF(BG$2=$BR$1,$BR135,IF(BG$2=$BS$1,$BS135,IF(BG$2=$BT$1,$BT135,IF(BG$2=$BU$1,$BU135,INDEX(Tiere!$BN$2:$BN$145,_xlfn.AGGREGATE(15,6,(ROW(Tiere!$BN$2:$BN$145)-1)/(--(SEARCH(BG$2,Tiere!$BN$2:$BN$145)&gt;0)),ROW()-1),1))))))))),"")</f>
        <v/>
      </c>
      <c r="BG136" s="2436"/>
      <c r="BH136" s="2472" t="str">
        <f>IFERROR(IF(OR(BI$2="ZURÜCK ZUR AUSWAHL",BI$2="",BI$2=0),"",IF(BI$2=$BO$1,$BO135,IF(BI$2=$BP$1,$BP135,IF(BI$2=$BQ$1,$BQ135,IF(BI$2=$BR$1,$BR135,IF(BI$2=$BS$1,$BS135,IF(BI$2=$BT$1,$BT135,IF(BI$2=$BU$1,$BU135,INDEX(Tiere!$BN$2:$BN$145,_xlfn.AGGREGATE(15,6,(ROW(Tiere!$BN$2:$BN$145)-1)/(--(SEARCH(BI$2,Tiere!$BN$2:$BN$145)&gt;0)),ROW()-1),1))))))))),"")</f>
        <v/>
      </c>
      <c r="BI136" s="2436"/>
      <c r="BJ136" s="2472" t="str">
        <f>IFERROR(IF(OR(BK$2="ZURÜCK ZUR AUSWAHL",BK$2="",BK$2=0),"",IF(BK$2=$BO$1,$BO135,IF(BK$2=$BP$1,$BP135,IF(BK$2=$BQ$1,$BQ135,IF(BK$2=$BR$1,$BR135,IF(BK$2=$BS$1,$BS135,IF(BK$2=$BT$1,$BT135,IF(BK$2=$BU$1,$BU135,INDEX(Tiere!$BN$2:$BN$145,_xlfn.AGGREGATE(15,6,(ROW(Tiere!$BN$2:$BN$145)-1)/(--(SEARCH(BK$2,Tiere!$BN$2:$BN$145)&gt;0)),ROW()-1),1))))))))),"")</f>
        <v/>
      </c>
      <c r="BK136" s="2436"/>
      <c r="BL136" s="2472" t="str">
        <f>IFERROR(IF(OR(BM$2="ZURÜCK ZUR AUSWAHL",BM$2="",BM$2=0),"",IF(BM$2=$BO$1,$BO135,IF(BM$2=$BP$1,$BP135,IF(BM$2=$BQ$1,$BQ135,IF(BM$2=$BR$1,$BR135,IF(BM$2=$BS$1,$BS135,IF(BM$2=$BT$1,$BT135,IF(BM$2=$BU$1,$BU135,INDEX(Tiere!$BN$2:$BN$145,_xlfn.AGGREGATE(15,6,(ROW(Tiere!$BN$2:$BN$145)-1)/(--(SEARCH(BM$2,Tiere!$BN$2:$BN$145)&gt;0)),ROW()-1),1))))))))),"")</f>
        <v/>
      </c>
      <c r="BM136" s="2436"/>
      <c r="BN136" s="2478" t="s">
        <v>1314</v>
      </c>
      <c r="BO136" s="2470"/>
      <c r="BP136" s="2470"/>
      <c r="BQ136" s="2470"/>
      <c r="BR136" s="2470"/>
      <c r="BS136" s="2470"/>
      <c r="BT136" s="2470"/>
      <c r="BU136" s="2470"/>
    </row>
    <row r="137" spans="36:73" ht="13.8" thickBot="1">
      <c r="AJ137" s="2472" t="str">
        <f>IFERROR(IF(OR(AK$2="ZURÜCK ZUR AUSWAHL",AK$2="",AK$2=0),"",IF(AK$2=$BO$1,$BO136,IF(AK$2=$BP$1,$BP136,IF(AK$2=$BQ$1,$BQ136,IF(AK$2=$BR$1,$BR136,IF(AK$2=$BS$1,$BS136,IF(AK$2=$BT$1,$BT136,IF(AK$2=$BU$1,$BU136,INDEX(Tiere!$BN$2:$BN$145,_xlfn.AGGREGATE(15,6,(ROW(Tiere!$BN$2:$BN$145)-1)/(--(SEARCH(AK$2,Tiere!$BN$2:$BN$145)&gt;0)),ROW()-2),1))))))))),"")</f>
        <v/>
      </c>
      <c r="AK137" s="2438"/>
      <c r="AL137" s="2472" t="str">
        <f>IFERROR(IF(OR(AM$2="ZURÜCK ZUR AUSWAHL",AM$2="",AM$2=0),"",IF(AM$2=$BO$1,$BO136,IF(AM$2=$BP$1,$BP136,IF(AM$2=$BQ$1,$BQ136,IF(AM$2=$BR$1,$BR136,IF(AM$2=$BS$1,$BS136,IF(AM$2=$BT$1,$BT136,IF(AM$2=$BU$1,$BU136,INDEX(Tiere!$BN$2:$BN$145,_xlfn.AGGREGATE(15,6,(ROW(Tiere!$BN$2:$BN$145)-1)/(--(SEARCH(AM$2,Tiere!$BN$2:$BN$145)&gt;0)),ROW()-1),1))))))))),"")</f>
        <v/>
      </c>
      <c r="AM137" s="2438"/>
      <c r="AN137" s="2472" t="str">
        <f>IFERROR(IF(OR(AO$2="ZURÜCK ZUR AUSWAHL",AO$2="",AO$2=0),"",IF(AO$2=$BO$1,$BO136,IF(AO$2=$BP$1,$BP136,IF(AO$2=$BQ$1,$BQ136,IF(AO$2=$BR$1,$BR136,IF(AO$2=$BS$1,$BS136,IF(AO$2=$BT$1,$BT136,IF(AO$2=$BU$1,$BU136,INDEX(Tiere!$BN$2:$BN$145,_xlfn.AGGREGATE(15,6,(ROW(Tiere!$BN$2:$BN$145)-1)/(--(SEARCH(AO$2,Tiere!$BN$2:$BN$145)&gt;0)),ROW()-1),1))))))))),"")</f>
        <v/>
      </c>
      <c r="AO137" s="2438"/>
      <c r="AP137" s="2472" t="str">
        <f>IFERROR(IF(OR(AQ$2="ZURÜCK ZUR AUSWAHL",AQ$2="",AQ$2=0),"",IF(AQ$2=$BO$1,$BO136,IF(AQ$2=$BP$1,$BP136,IF(AQ$2=$BQ$1,$BQ136,IF(AQ$2=$BR$1,$BR136,IF(AQ$2=$BS$1,$BS136,IF(AQ$2=$BT$1,$BT136,IF(AQ$2=$BU$1,$BU136,INDEX(Tiere!$BN$2:$BN$145,_xlfn.AGGREGATE(15,6,(ROW(Tiere!$BN$2:$BN$145)-1)/(--(SEARCH(AQ$2,Tiere!$BN$2:$BN$145)&gt;0)),ROW()-1),1))))))))),"")</f>
        <v/>
      </c>
      <c r="AQ137" s="2438"/>
      <c r="AR137" s="2472" t="str">
        <f>IFERROR(IF(OR(AS$2="ZURÜCK ZUR AUSWAHL",AS$2="",AS$2=0),"",IF(AS$2=$BO$1,$BO136,IF(AS$2=$BP$1,$BP136,IF(AS$2=$BQ$1,$BQ136,IF(AS$2=$BR$1,$BR136,IF(AS$2=$BS$1,$BS136,IF(AS$2=$BT$1,$BT136,IF(AS$2=$BU$1,$BU136,INDEX(Tiere!$BN$2:$BN$145,_xlfn.AGGREGATE(15,6,(ROW(Tiere!$BN$2:$BN$145)-1)/(--(SEARCH(AS$2,Tiere!$BN$2:$BN$145)&gt;0)),ROW()-1),1))))))))),"")</f>
        <v/>
      </c>
      <c r="AS137" s="2438"/>
      <c r="AT137" s="2472" t="str">
        <f>IFERROR(IF(OR(AU$2="ZURÜCK ZUR AUSWAHL",AU$2="",AU$2=0),"",IF(AU$2=$BO$1,$BO136,IF(AU$2=$BP$1,$BP136,IF(AU$2=$BQ$1,$BQ136,IF(AU$2=$BR$1,$BR136,IF(AU$2=$BS$1,$BS136,IF(AU$2=$BT$1,$BT136,IF(AU$2=$BU$1,$BU136,INDEX(Tiere!$BN$2:$BN$145,_xlfn.AGGREGATE(15,6,(ROW(Tiere!$BN$2:$BN$145)-1)/(--(SEARCH(AU$2,Tiere!$BN$2:$BN$145)&gt;0)),ROW()-1),1))))))))),"")</f>
        <v/>
      </c>
      <c r="AU137" s="2438"/>
      <c r="AV137" s="2472" t="str">
        <f>IFERROR(IF(OR(AW$2="ZURÜCK ZUR AUSWAHL",AW$2="",AW$2=0),"",IF(AW$2=$BO$1,$BO136,IF(AW$2=$BP$1,$BP136,IF(AW$2=$BQ$1,$BQ136,IF(AW$2=$BR$1,$BR136,IF(AW$2=$BS$1,$BS136,IF(AW$2=$BT$1,$BT136,IF(AW$2=$BU$1,$BU136,INDEX(Tiere!$BN$2:$BN$145,_xlfn.AGGREGATE(15,6,(ROW(Tiere!$BN$2:$BN$145)-1)/(--(SEARCH(AW$2,Tiere!$BN$2:$BN$145)&gt;0)),ROW()-1),1))))))))),"")</f>
        <v/>
      </c>
      <c r="AW137" s="2438"/>
      <c r="AX137" s="2472" t="str">
        <f>IFERROR(IF(OR(AY$2="ZURÜCK ZUR AUSWAHL",AY$2="",AY$2=0),"",IF(AY$2=$BO$1,$BO136,IF(AY$2=$BP$1,$BP136,IF(AY$2=$BQ$1,$BQ136,IF(AY$2=$BR$1,$BR136,IF(AY$2=$BS$1,$BS136,IF(AY$2=$BT$1,$BT136,IF(AY$2=$BU$1,$BU136,INDEX(Tiere!$BN$2:$BN$145,_xlfn.AGGREGATE(15,6,(ROW(Tiere!$BN$2:$BN$145)-1)/(--(SEARCH(AY$2,Tiere!$BN$2:$BN$145)&gt;0)),ROW()-1),1))))))))),"")</f>
        <v/>
      </c>
      <c r="AY137" s="2438"/>
      <c r="AZ137" s="2472" t="str">
        <f>IFERROR(IF(OR(BA$2="ZURÜCK ZUR AUSWAHL",BA$2="",BA$2=0),"",IF(BA$2=$BO$1,$BO136,IF(BA$2=$BP$1,$BP136,IF(BA$2=$BQ$1,$BQ136,IF(BA$2=$BR$1,$BR136,IF(BA$2=$BS$1,$BS136,IF(BA$2=$BT$1,$BT136,IF(BA$2=$BU$1,$BU136,INDEX(Tiere!$BN$2:$BN$145,_xlfn.AGGREGATE(15,6,(ROW(Tiere!$BN$2:$BN$145)-1)/(--(SEARCH(BA$2,Tiere!$BN$2:$BN$145)&gt;0)),ROW()-1),1))))))))),"")</f>
        <v/>
      </c>
      <c r="BA137" s="2438"/>
      <c r="BB137" s="2472" t="str">
        <f>IFERROR(IF(OR(BC$2="ZURÜCK ZUR AUSWAHL",BC$2="",BC$2=0),"",IF(BC$2=$BO$1,$BO136,IF(BC$2=$BP$1,$BP136,IF(BC$2=$BQ$1,$BQ136,IF(BC$2=$BR$1,$BR136,IF(BC$2=$BS$1,$BS136,IF(BC$2=$BT$1,$BT136,IF(BC$2=$BU$1,$BU136,INDEX(Tiere!$BN$2:$BN$145,_xlfn.AGGREGATE(15,6,(ROW(Tiere!$BN$2:$BN$145)-1)/(--(SEARCH(BC$2,Tiere!$BN$2:$BN$145)&gt;0)),ROW()-1),1))))))))),"")</f>
        <v/>
      </c>
      <c r="BC137" s="2438"/>
      <c r="BD137" s="2472" t="str">
        <f>IFERROR(IF(OR(BE$2="ZURÜCK ZUR AUSWAHL",BE$2="",BE$2=0),"",IF(BE$2=$BO$1,$BO136,IF(BE$2=$BP$1,$BP136,IF(BE$2=$BQ$1,$BQ136,IF(BE$2=$BR$1,$BR136,IF(BE$2=$BS$1,$BS136,IF(BE$2=$BT$1,$BT136,IF(BE$2=$BU$1,$BU136,INDEX(Tiere!$BN$2:$BN$145,_xlfn.AGGREGATE(15,6,(ROW(Tiere!$BN$2:$BN$145)-1)/(--(SEARCH(BE$2,Tiere!$BN$2:$BN$145)&gt;0)),ROW()-1),1))))))))),"")</f>
        <v/>
      </c>
      <c r="BE137" s="2438"/>
      <c r="BF137" s="2472" t="str">
        <f>IFERROR(IF(OR(BG$2="ZURÜCK ZUR AUSWAHL",BG$2="",BG$2=0),"",IF(BG$2=$BO$1,$BO136,IF(BG$2=$BP$1,$BP136,IF(BG$2=$BQ$1,$BQ136,IF(BG$2=$BR$1,$BR136,IF(BG$2=$BS$1,$BS136,IF(BG$2=$BT$1,$BT136,IF(BG$2=$BU$1,$BU136,INDEX(Tiere!$BN$2:$BN$145,_xlfn.AGGREGATE(15,6,(ROW(Tiere!$BN$2:$BN$145)-1)/(--(SEARCH(BG$2,Tiere!$BN$2:$BN$145)&gt;0)),ROW()-1),1))))))))),"")</f>
        <v/>
      </c>
      <c r="BG137" s="2438"/>
      <c r="BH137" s="2472" t="str">
        <f>IFERROR(IF(OR(BI$2="ZURÜCK ZUR AUSWAHL",BI$2="",BI$2=0),"",IF(BI$2=$BO$1,$BO136,IF(BI$2=$BP$1,$BP136,IF(BI$2=$BQ$1,$BQ136,IF(BI$2=$BR$1,$BR136,IF(BI$2=$BS$1,$BS136,IF(BI$2=$BT$1,$BT136,IF(BI$2=$BU$1,$BU136,INDEX(Tiere!$BN$2:$BN$145,_xlfn.AGGREGATE(15,6,(ROW(Tiere!$BN$2:$BN$145)-1)/(--(SEARCH(BI$2,Tiere!$BN$2:$BN$145)&gt;0)),ROW()-1),1))))))))),"")</f>
        <v/>
      </c>
      <c r="BI137" s="2438"/>
      <c r="BJ137" s="2472" t="str">
        <f>IFERROR(IF(OR(BK$2="ZURÜCK ZUR AUSWAHL",BK$2="",BK$2=0),"",IF(BK$2=$BO$1,$BO136,IF(BK$2=$BP$1,$BP136,IF(BK$2=$BQ$1,$BQ136,IF(BK$2=$BR$1,$BR136,IF(BK$2=$BS$1,$BS136,IF(BK$2=$BT$1,$BT136,IF(BK$2=$BU$1,$BU136,INDEX(Tiere!$BN$2:$BN$145,_xlfn.AGGREGATE(15,6,(ROW(Tiere!$BN$2:$BN$145)-1)/(--(SEARCH(BK$2,Tiere!$BN$2:$BN$145)&gt;0)),ROW()-1),1))))))))),"")</f>
        <v/>
      </c>
      <c r="BK137" s="2438"/>
      <c r="BL137" s="2472" t="str">
        <f>IFERROR(IF(OR(BM$2="ZURÜCK ZUR AUSWAHL",BM$2="",BM$2=0),"",IF(BM$2=$BO$1,$BO136,IF(BM$2=$BP$1,$BP136,IF(BM$2=$BQ$1,$BQ136,IF(BM$2=$BR$1,$BR136,IF(BM$2=$BS$1,$BS136,IF(BM$2=$BT$1,$BT136,IF(BM$2=$BU$1,$BU136,INDEX(Tiere!$BN$2:$BN$145,_xlfn.AGGREGATE(15,6,(ROW(Tiere!$BN$2:$BN$145)-1)/(--(SEARCH(BM$2,Tiere!$BN$2:$BN$145)&gt;0)),ROW()-1),1))))))))),"")</f>
        <v/>
      </c>
      <c r="BM137" s="2438"/>
      <c r="BN137" s="2478" t="s">
        <v>1315</v>
      </c>
      <c r="BO137" s="2470"/>
      <c r="BP137" s="2470"/>
      <c r="BQ137" s="2470"/>
      <c r="BR137" s="2470"/>
      <c r="BS137" s="2470"/>
      <c r="BT137" s="2470"/>
      <c r="BU137" s="2470"/>
    </row>
    <row r="138" spans="36:73" ht="13.8" thickBot="1">
      <c r="AJ138" s="2472" t="str">
        <f>IFERROR(IF(OR(AK$2="ZURÜCK ZUR AUSWAHL",AK$2="",AK$2=0),"",IF(AK$2=$BO$1,$BO137,IF(AK$2=$BP$1,$BP137,IF(AK$2=$BQ$1,$BQ137,IF(AK$2=$BR$1,$BR137,IF(AK$2=$BS$1,$BS137,IF(AK$2=$BT$1,$BT137,IF(AK$2=$BU$1,$BU137,INDEX(Tiere!$BN$2:$BN$145,_xlfn.AGGREGATE(15,6,(ROW(Tiere!$BN$2:$BN$145)-1)/(--(SEARCH(AK$2,Tiere!$BN$2:$BN$145)&gt;0)),ROW()-2),1))))))))),"")</f>
        <v/>
      </c>
      <c r="AK138" s="2436"/>
      <c r="AL138" s="2472" t="str">
        <f>IFERROR(IF(OR(AM$2="ZURÜCK ZUR AUSWAHL",AM$2="",AM$2=0),"",IF(AM$2=$BO$1,$BO137,IF(AM$2=$BP$1,$BP137,IF(AM$2=$BQ$1,$BQ137,IF(AM$2=$BR$1,$BR137,IF(AM$2=$BS$1,$BS137,IF(AM$2=$BT$1,$BT137,IF(AM$2=$BU$1,$BU137,INDEX(Tiere!$BN$2:$BN$145,_xlfn.AGGREGATE(15,6,(ROW(Tiere!$BN$2:$BN$145)-1)/(--(SEARCH(AM$2,Tiere!$BN$2:$BN$145)&gt;0)),ROW()-1),1))))))))),"")</f>
        <v/>
      </c>
      <c r="AM138" s="2436"/>
      <c r="AN138" s="2472" t="str">
        <f>IFERROR(IF(OR(AO$2="ZURÜCK ZUR AUSWAHL",AO$2="",AO$2=0),"",IF(AO$2=$BO$1,$BO137,IF(AO$2=$BP$1,$BP137,IF(AO$2=$BQ$1,$BQ137,IF(AO$2=$BR$1,$BR137,IF(AO$2=$BS$1,$BS137,IF(AO$2=$BT$1,$BT137,IF(AO$2=$BU$1,$BU137,INDEX(Tiere!$BN$2:$BN$145,_xlfn.AGGREGATE(15,6,(ROW(Tiere!$BN$2:$BN$145)-1)/(--(SEARCH(AO$2,Tiere!$BN$2:$BN$145)&gt;0)),ROW()-1),1))))))))),"")</f>
        <v/>
      </c>
      <c r="AO138" s="2436"/>
      <c r="AP138" s="2472" t="str">
        <f>IFERROR(IF(OR(AQ$2="ZURÜCK ZUR AUSWAHL",AQ$2="",AQ$2=0),"",IF(AQ$2=$BO$1,$BO137,IF(AQ$2=$BP$1,$BP137,IF(AQ$2=$BQ$1,$BQ137,IF(AQ$2=$BR$1,$BR137,IF(AQ$2=$BS$1,$BS137,IF(AQ$2=$BT$1,$BT137,IF(AQ$2=$BU$1,$BU137,INDEX(Tiere!$BN$2:$BN$145,_xlfn.AGGREGATE(15,6,(ROW(Tiere!$BN$2:$BN$145)-1)/(--(SEARCH(AQ$2,Tiere!$BN$2:$BN$145)&gt;0)),ROW()-1),1))))))))),"")</f>
        <v/>
      </c>
      <c r="AQ138" s="2436"/>
      <c r="AR138" s="2472" t="str">
        <f>IFERROR(IF(OR(AS$2="ZURÜCK ZUR AUSWAHL",AS$2="",AS$2=0),"",IF(AS$2=$BO$1,$BO137,IF(AS$2=$BP$1,$BP137,IF(AS$2=$BQ$1,$BQ137,IF(AS$2=$BR$1,$BR137,IF(AS$2=$BS$1,$BS137,IF(AS$2=$BT$1,$BT137,IF(AS$2=$BU$1,$BU137,INDEX(Tiere!$BN$2:$BN$145,_xlfn.AGGREGATE(15,6,(ROW(Tiere!$BN$2:$BN$145)-1)/(--(SEARCH(AS$2,Tiere!$BN$2:$BN$145)&gt;0)),ROW()-1),1))))))))),"")</f>
        <v/>
      </c>
      <c r="AS138" s="2436"/>
      <c r="AT138" s="2472" t="str">
        <f>IFERROR(IF(OR(AU$2="ZURÜCK ZUR AUSWAHL",AU$2="",AU$2=0),"",IF(AU$2=$BO$1,$BO137,IF(AU$2=$BP$1,$BP137,IF(AU$2=$BQ$1,$BQ137,IF(AU$2=$BR$1,$BR137,IF(AU$2=$BS$1,$BS137,IF(AU$2=$BT$1,$BT137,IF(AU$2=$BU$1,$BU137,INDEX(Tiere!$BN$2:$BN$145,_xlfn.AGGREGATE(15,6,(ROW(Tiere!$BN$2:$BN$145)-1)/(--(SEARCH(AU$2,Tiere!$BN$2:$BN$145)&gt;0)),ROW()-1),1))))))))),"")</f>
        <v/>
      </c>
      <c r="AU138" s="2436"/>
      <c r="AV138" s="2472" t="str">
        <f>IFERROR(IF(OR(AW$2="ZURÜCK ZUR AUSWAHL",AW$2="",AW$2=0),"",IF(AW$2=$BO$1,$BO137,IF(AW$2=$BP$1,$BP137,IF(AW$2=$BQ$1,$BQ137,IF(AW$2=$BR$1,$BR137,IF(AW$2=$BS$1,$BS137,IF(AW$2=$BT$1,$BT137,IF(AW$2=$BU$1,$BU137,INDEX(Tiere!$BN$2:$BN$145,_xlfn.AGGREGATE(15,6,(ROW(Tiere!$BN$2:$BN$145)-1)/(--(SEARCH(AW$2,Tiere!$BN$2:$BN$145)&gt;0)),ROW()-1),1))))))))),"")</f>
        <v/>
      </c>
      <c r="AW138" s="2436"/>
      <c r="AX138" s="2472" t="str">
        <f>IFERROR(IF(OR(AY$2="ZURÜCK ZUR AUSWAHL",AY$2="",AY$2=0),"",IF(AY$2=$BO$1,$BO137,IF(AY$2=$BP$1,$BP137,IF(AY$2=$BQ$1,$BQ137,IF(AY$2=$BR$1,$BR137,IF(AY$2=$BS$1,$BS137,IF(AY$2=$BT$1,$BT137,IF(AY$2=$BU$1,$BU137,INDEX(Tiere!$BN$2:$BN$145,_xlfn.AGGREGATE(15,6,(ROW(Tiere!$BN$2:$BN$145)-1)/(--(SEARCH(AY$2,Tiere!$BN$2:$BN$145)&gt;0)),ROW()-1),1))))))))),"")</f>
        <v/>
      </c>
      <c r="AY138" s="2436"/>
      <c r="AZ138" s="2472" t="str">
        <f>IFERROR(IF(OR(BA$2="ZURÜCK ZUR AUSWAHL",BA$2="",BA$2=0),"",IF(BA$2=$BO$1,$BO137,IF(BA$2=$BP$1,$BP137,IF(BA$2=$BQ$1,$BQ137,IF(BA$2=$BR$1,$BR137,IF(BA$2=$BS$1,$BS137,IF(BA$2=$BT$1,$BT137,IF(BA$2=$BU$1,$BU137,INDEX(Tiere!$BN$2:$BN$145,_xlfn.AGGREGATE(15,6,(ROW(Tiere!$BN$2:$BN$145)-1)/(--(SEARCH(BA$2,Tiere!$BN$2:$BN$145)&gt;0)),ROW()-1),1))))))))),"")</f>
        <v/>
      </c>
      <c r="BA138" s="2436"/>
      <c r="BB138" s="2472" t="str">
        <f>IFERROR(IF(OR(BC$2="ZURÜCK ZUR AUSWAHL",BC$2="",BC$2=0),"",IF(BC$2=$BO$1,$BO137,IF(BC$2=$BP$1,$BP137,IF(BC$2=$BQ$1,$BQ137,IF(BC$2=$BR$1,$BR137,IF(BC$2=$BS$1,$BS137,IF(BC$2=$BT$1,$BT137,IF(BC$2=$BU$1,$BU137,INDEX(Tiere!$BN$2:$BN$145,_xlfn.AGGREGATE(15,6,(ROW(Tiere!$BN$2:$BN$145)-1)/(--(SEARCH(BC$2,Tiere!$BN$2:$BN$145)&gt;0)),ROW()-1),1))))))))),"")</f>
        <v/>
      </c>
      <c r="BC138" s="2436"/>
      <c r="BD138" s="2472" t="str">
        <f>IFERROR(IF(OR(BE$2="ZURÜCK ZUR AUSWAHL",BE$2="",BE$2=0),"",IF(BE$2=$BO$1,$BO137,IF(BE$2=$BP$1,$BP137,IF(BE$2=$BQ$1,$BQ137,IF(BE$2=$BR$1,$BR137,IF(BE$2=$BS$1,$BS137,IF(BE$2=$BT$1,$BT137,IF(BE$2=$BU$1,$BU137,INDEX(Tiere!$BN$2:$BN$145,_xlfn.AGGREGATE(15,6,(ROW(Tiere!$BN$2:$BN$145)-1)/(--(SEARCH(BE$2,Tiere!$BN$2:$BN$145)&gt;0)),ROW()-1),1))))))))),"")</f>
        <v/>
      </c>
      <c r="BE138" s="2436"/>
      <c r="BF138" s="2472" t="str">
        <f>IFERROR(IF(OR(BG$2="ZURÜCK ZUR AUSWAHL",BG$2="",BG$2=0),"",IF(BG$2=$BO$1,$BO137,IF(BG$2=$BP$1,$BP137,IF(BG$2=$BQ$1,$BQ137,IF(BG$2=$BR$1,$BR137,IF(BG$2=$BS$1,$BS137,IF(BG$2=$BT$1,$BT137,IF(BG$2=$BU$1,$BU137,INDEX(Tiere!$BN$2:$BN$145,_xlfn.AGGREGATE(15,6,(ROW(Tiere!$BN$2:$BN$145)-1)/(--(SEARCH(BG$2,Tiere!$BN$2:$BN$145)&gt;0)),ROW()-1),1))))))))),"")</f>
        <v/>
      </c>
      <c r="BG138" s="2436"/>
      <c r="BH138" s="2472" t="str">
        <f>IFERROR(IF(OR(BI$2="ZURÜCK ZUR AUSWAHL",BI$2="",BI$2=0),"",IF(BI$2=$BO$1,$BO137,IF(BI$2=$BP$1,$BP137,IF(BI$2=$BQ$1,$BQ137,IF(BI$2=$BR$1,$BR137,IF(BI$2=$BS$1,$BS137,IF(BI$2=$BT$1,$BT137,IF(BI$2=$BU$1,$BU137,INDEX(Tiere!$BN$2:$BN$145,_xlfn.AGGREGATE(15,6,(ROW(Tiere!$BN$2:$BN$145)-1)/(--(SEARCH(BI$2,Tiere!$BN$2:$BN$145)&gt;0)),ROW()-1),1))))))))),"")</f>
        <v/>
      </c>
      <c r="BI138" s="2436"/>
      <c r="BJ138" s="2472" t="str">
        <f>IFERROR(IF(OR(BK$2="ZURÜCK ZUR AUSWAHL",BK$2="",BK$2=0),"",IF(BK$2=$BO$1,$BO137,IF(BK$2=$BP$1,$BP137,IF(BK$2=$BQ$1,$BQ137,IF(BK$2=$BR$1,$BR137,IF(BK$2=$BS$1,$BS137,IF(BK$2=$BT$1,$BT137,IF(BK$2=$BU$1,$BU137,INDEX(Tiere!$BN$2:$BN$145,_xlfn.AGGREGATE(15,6,(ROW(Tiere!$BN$2:$BN$145)-1)/(--(SEARCH(BK$2,Tiere!$BN$2:$BN$145)&gt;0)),ROW()-1),1))))))))),"")</f>
        <v/>
      </c>
      <c r="BK138" s="2436"/>
      <c r="BL138" s="2472" t="str">
        <f>IFERROR(IF(OR(BM$2="ZURÜCK ZUR AUSWAHL",BM$2="",BM$2=0),"",IF(BM$2=$BO$1,$BO137,IF(BM$2=$BP$1,$BP137,IF(BM$2=$BQ$1,$BQ137,IF(BM$2=$BR$1,$BR137,IF(BM$2=$BS$1,$BS137,IF(BM$2=$BT$1,$BT137,IF(BM$2=$BU$1,$BU137,INDEX(Tiere!$BN$2:$BN$145,_xlfn.AGGREGATE(15,6,(ROW(Tiere!$BN$2:$BN$145)-1)/(--(SEARCH(BM$2,Tiere!$BN$2:$BN$145)&gt;0)),ROW()-1),1))))))))),"")</f>
        <v/>
      </c>
      <c r="BM138" s="2436"/>
      <c r="BN138" s="2478" t="s">
        <v>1316</v>
      </c>
      <c r="BO138" s="2470"/>
      <c r="BP138" s="2470"/>
      <c r="BQ138" s="2470"/>
      <c r="BR138" s="2470"/>
      <c r="BS138" s="2470"/>
      <c r="BT138" s="2470"/>
      <c r="BU138" s="2470"/>
    </row>
    <row r="139" spans="36:73" ht="13.8" thickBot="1">
      <c r="AJ139" s="2472" t="str">
        <f>IFERROR(IF(OR(AK$2="ZURÜCK ZUR AUSWAHL",AK$2="",AK$2=0),"",IF(AK$2=$BO$1,$BO138,IF(AK$2=$BP$1,$BP138,IF(AK$2=$BQ$1,$BQ138,IF(AK$2=$BR$1,$BR138,IF(AK$2=$BS$1,$BS138,IF(AK$2=$BT$1,$BT138,IF(AK$2=$BU$1,$BU138,INDEX(Tiere!$BN$2:$BN$145,_xlfn.AGGREGATE(15,6,(ROW(Tiere!$BN$2:$BN$145)-1)/(--(SEARCH(AK$2,Tiere!$BN$2:$BN$145)&gt;0)),ROW()-2),1))))))))),"")</f>
        <v/>
      </c>
      <c r="AK139" s="2438"/>
      <c r="AL139" s="2472" t="str">
        <f>IFERROR(IF(OR(AM$2="ZURÜCK ZUR AUSWAHL",AM$2="",AM$2=0),"",IF(AM$2=$BO$1,$BO138,IF(AM$2=$BP$1,$BP138,IF(AM$2=$BQ$1,$BQ138,IF(AM$2=$BR$1,$BR138,IF(AM$2=$BS$1,$BS138,IF(AM$2=$BT$1,$BT138,IF(AM$2=$BU$1,$BU138,INDEX(Tiere!$BN$2:$BN$145,_xlfn.AGGREGATE(15,6,(ROW(Tiere!$BN$2:$BN$145)-1)/(--(SEARCH(AM$2,Tiere!$BN$2:$BN$145)&gt;0)),ROW()-1),1))))))))),"")</f>
        <v/>
      </c>
      <c r="AM139" s="2438"/>
      <c r="AN139" s="2472" t="str">
        <f>IFERROR(IF(OR(AO$2="ZURÜCK ZUR AUSWAHL",AO$2="",AO$2=0),"",IF(AO$2=$BO$1,$BO138,IF(AO$2=$BP$1,$BP138,IF(AO$2=$BQ$1,$BQ138,IF(AO$2=$BR$1,$BR138,IF(AO$2=$BS$1,$BS138,IF(AO$2=$BT$1,$BT138,IF(AO$2=$BU$1,$BU138,INDEX(Tiere!$BN$2:$BN$145,_xlfn.AGGREGATE(15,6,(ROW(Tiere!$BN$2:$BN$145)-1)/(--(SEARCH(AO$2,Tiere!$BN$2:$BN$145)&gt;0)),ROW()-1),1))))))))),"")</f>
        <v/>
      </c>
      <c r="AO139" s="2438"/>
      <c r="AP139" s="2472" t="str">
        <f>IFERROR(IF(OR(AQ$2="ZURÜCK ZUR AUSWAHL",AQ$2="",AQ$2=0),"",IF(AQ$2=$BO$1,$BO138,IF(AQ$2=$BP$1,$BP138,IF(AQ$2=$BQ$1,$BQ138,IF(AQ$2=$BR$1,$BR138,IF(AQ$2=$BS$1,$BS138,IF(AQ$2=$BT$1,$BT138,IF(AQ$2=$BU$1,$BU138,INDEX(Tiere!$BN$2:$BN$145,_xlfn.AGGREGATE(15,6,(ROW(Tiere!$BN$2:$BN$145)-1)/(--(SEARCH(AQ$2,Tiere!$BN$2:$BN$145)&gt;0)),ROW()-1),1))))))))),"")</f>
        <v/>
      </c>
      <c r="AQ139" s="2438"/>
      <c r="AR139" s="2472" t="str">
        <f>IFERROR(IF(OR(AS$2="ZURÜCK ZUR AUSWAHL",AS$2="",AS$2=0),"",IF(AS$2=$BO$1,$BO138,IF(AS$2=$BP$1,$BP138,IF(AS$2=$BQ$1,$BQ138,IF(AS$2=$BR$1,$BR138,IF(AS$2=$BS$1,$BS138,IF(AS$2=$BT$1,$BT138,IF(AS$2=$BU$1,$BU138,INDEX(Tiere!$BN$2:$BN$145,_xlfn.AGGREGATE(15,6,(ROW(Tiere!$BN$2:$BN$145)-1)/(--(SEARCH(AS$2,Tiere!$BN$2:$BN$145)&gt;0)),ROW()-1),1))))))))),"")</f>
        <v/>
      </c>
      <c r="AS139" s="2438"/>
      <c r="AT139" s="2472" t="str">
        <f>IFERROR(IF(OR(AU$2="ZURÜCK ZUR AUSWAHL",AU$2="",AU$2=0),"",IF(AU$2=$BO$1,$BO138,IF(AU$2=$BP$1,$BP138,IF(AU$2=$BQ$1,$BQ138,IF(AU$2=$BR$1,$BR138,IF(AU$2=$BS$1,$BS138,IF(AU$2=$BT$1,$BT138,IF(AU$2=$BU$1,$BU138,INDEX(Tiere!$BN$2:$BN$145,_xlfn.AGGREGATE(15,6,(ROW(Tiere!$BN$2:$BN$145)-1)/(--(SEARCH(AU$2,Tiere!$BN$2:$BN$145)&gt;0)),ROW()-1),1))))))))),"")</f>
        <v/>
      </c>
      <c r="AU139" s="2438"/>
      <c r="AV139" s="2472" t="str">
        <f>IFERROR(IF(OR(AW$2="ZURÜCK ZUR AUSWAHL",AW$2="",AW$2=0),"",IF(AW$2=$BO$1,$BO138,IF(AW$2=$BP$1,$BP138,IF(AW$2=$BQ$1,$BQ138,IF(AW$2=$BR$1,$BR138,IF(AW$2=$BS$1,$BS138,IF(AW$2=$BT$1,$BT138,IF(AW$2=$BU$1,$BU138,INDEX(Tiere!$BN$2:$BN$145,_xlfn.AGGREGATE(15,6,(ROW(Tiere!$BN$2:$BN$145)-1)/(--(SEARCH(AW$2,Tiere!$BN$2:$BN$145)&gt;0)),ROW()-1),1))))))))),"")</f>
        <v/>
      </c>
      <c r="AW139" s="2438"/>
      <c r="AX139" s="2472" t="str">
        <f>IFERROR(IF(OR(AY$2="ZURÜCK ZUR AUSWAHL",AY$2="",AY$2=0),"",IF(AY$2=$BO$1,$BO138,IF(AY$2=$BP$1,$BP138,IF(AY$2=$BQ$1,$BQ138,IF(AY$2=$BR$1,$BR138,IF(AY$2=$BS$1,$BS138,IF(AY$2=$BT$1,$BT138,IF(AY$2=$BU$1,$BU138,INDEX(Tiere!$BN$2:$BN$145,_xlfn.AGGREGATE(15,6,(ROW(Tiere!$BN$2:$BN$145)-1)/(--(SEARCH(AY$2,Tiere!$BN$2:$BN$145)&gt;0)),ROW()-1),1))))))))),"")</f>
        <v/>
      </c>
      <c r="AY139" s="2438"/>
      <c r="AZ139" s="2472" t="str">
        <f>IFERROR(IF(OR(BA$2="ZURÜCK ZUR AUSWAHL",BA$2="",BA$2=0),"",IF(BA$2=$BO$1,$BO138,IF(BA$2=$BP$1,$BP138,IF(BA$2=$BQ$1,$BQ138,IF(BA$2=$BR$1,$BR138,IF(BA$2=$BS$1,$BS138,IF(BA$2=$BT$1,$BT138,IF(BA$2=$BU$1,$BU138,INDEX(Tiere!$BN$2:$BN$145,_xlfn.AGGREGATE(15,6,(ROW(Tiere!$BN$2:$BN$145)-1)/(--(SEARCH(BA$2,Tiere!$BN$2:$BN$145)&gt;0)),ROW()-1),1))))))))),"")</f>
        <v/>
      </c>
      <c r="BA139" s="2438"/>
      <c r="BB139" s="2472" t="str">
        <f>IFERROR(IF(OR(BC$2="ZURÜCK ZUR AUSWAHL",BC$2="",BC$2=0),"",IF(BC$2=$BO$1,$BO138,IF(BC$2=$BP$1,$BP138,IF(BC$2=$BQ$1,$BQ138,IF(BC$2=$BR$1,$BR138,IF(BC$2=$BS$1,$BS138,IF(BC$2=$BT$1,$BT138,IF(BC$2=$BU$1,$BU138,INDEX(Tiere!$BN$2:$BN$145,_xlfn.AGGREGATE(15,6,(ROW(Tiere!$BN$2:$BN$145)-1)/(--(SEARCH(BC$2,Tiere!$BN$2:$BN$145)&gt;0)),ROW()-1),1))))))))),"")</f>
        <v/>
      </c>
      <c r="BC139" s="2438"/>
      <c r="BD139" s="2472" t="str">
        <f>IFERROR(IF(OR(BE$2="ZURÜCK ZUR AUSWAHL",BE$2="",BE$2=0),"",IF(BE$2=$BO$1,$BO138,IF(BE$2=$BP$1,$BP138,IF(BE$2=$BQ$1,$BQ138,IF(BE$2=$BR$1,$BR138,IF(BE$2=$BS$1,$BS138,IF(BE$2=$BT$1,$BT138,IF(BE$2=$BU$1,$BU138,INDEX(Tiere!$BN$2:$BN$145,_xlfn.AGGREGATE(15,6,(ROW(Tiere!$BN$2:$BN$145)-1)/(--(SEARCH(BE$2,Tiere!$BN$2:$BN$145)&gt;0)),ROW()-1),1))))))))),"")</f>
        <v/>
      </c>
      <c r="BE139" s="2438"/>
      <c r="BF139" s="2472" t="str">
        <f>IFERROR(IF(OR(BG$2="ZURÜCK ZUR AUSWAHL",BG$2="",BG$2=0),"",IF(BG$2=$BO$1,$BO138,IF(BG$2=$BP$1,$BP138,IF(BG$2=$BQ$1,$BQ138,IF(BG$2=$BR$1,$BR138,IF(BG$2=$BS$1,$BS138,IF(BG$2=$BT$1,$BT138,IF(BG$2=$BU$1,$BU138,INDEX(Tiere!$BN$2:$BN$145,_xlfn.AGGREGATE(15,6,(ROW(Tiere!$BN$2:$BN$145)-1)/(--(SEARCH(BG$2,Tiere!$BN$2:$BN$145)&gt;0)),ROW()-1),1))))))))),"")</f>
        <v/>
      </c>
      <c r="BG139" s="2438"/>
      <c r="BH139" s="2472" t="str">
        <f>IFERROR(IF(OR(BI$2="ZURÜCK ZUR AUSWAHL",BI$2="",BI$2=0),"",IF(BI$2=$BO$1,$BO138,IF(BI$2=$BP$1,$BP138,IF(BI$2=$BQ$1,$BQ138,IF(BI$2=$BR$1,$BR138,IF(BI$2=$BS$1,$BS138,IF(BI$2=$BT$1,$BT138,IF(BI$2=$BU$1,$BU138,INDEX(Tiere!$BN$2:$BN$145,_xlfn.AGGREGATE(15,6,(ROW(Tiere!$BN$2:$BN$145)-1)/(--(SEARCH(BI$2,Tiere!$BN$2:$BN$145)&gt;0)),ROW()-1),1))))))))),"")</f>
        <v/>
      </c>
      <c r="BI139" s="2438"/>
      <c r="BJ139" s="2472" t="str">
        <f>IFERROR(IF(OR(BK$2="ZURÜCK ZUR AUSWAHL",BK$2="",BK$2=0),"",IF(BK$2=$BO$1,$BO138,IF(BK$2=$BP$1,$BP138,IF(BK$2=$BQ$1,$BQ138,IF(BK$2=$BR$1,$BR138,IF(BK$2=$BS$1,$BS138,IF(BK$2=$BT$1,$BT138,IF(BK$2=$BU$1,$BU138,INDEX(Tiere!$BN$2:$BN$145,_xlfn.AGGREGATE(15,6,(ROW(Tiere!$BN$2:$BN$145)-1)/(--(SEARCH(BK$2,Tiere!$BN$2:$BN$145)&gt;0)),ROW()-1),1))))))))),"")</f>
        <v/>
      </c>
      <c r="BK139" s="2438"/>
      <c r="BL139" s="2472" t="str">
        <f>IFERROR(IF(OR(BM$2="ZURÜCK ZUR AUSWAHL",BM$2="",BM$2=0),"",IF(BM$2=$BO$1,$BO138,IF(BM$2=$BP$1,$BP138,IF(BM$2=$BQ$1,$BQ138,IF(BM$2=$BR$1,$BR138,IF(BM$2=$BS$1,$BS138,IF(BM$2=$BT$1,$BT138,IF(BM$2=$BU$1,$BU138,INDEX(Tiere!$BN$2:$BN$145,_xlfn.AGGREGATE(15,6,(ROW(Tiere!$BN$2:$BN$145)-1)/(--(SEARCH(BM$2,Tiere!$BN$2:$BN$145)&gt;0)),ROW()-1),1))))))))),"")</f>
        <v/>
      </c>
      <c r="BM139" s="2438"/>
      <c r="BN139" s="2478" t="s">
        <v>1317</v>
      </c>
      <c r="BO139" s="2470"/>
      <c r="BP139" s="2470"/>
      <c r="BQ139" s="2470"/>
      <c r="BR139" s="2470"/>
      <c r="BS139" s="2470"/>
      <c r="BT139" s="2470"/>
      <c r="BU139" s="2470"/>
    </row>
    <row r="140" spans="36:73" ht="13.8" thickBot="1">
      <c r="AJ140" s="2472" t="str">
        <f>IFERROR(IF(OR(AK$2="ZURÜCK ZUR AUSWAHL",AK$2="",AK$2=0),"",IF(AK$2=$BO$1,$BO139,IF(AK$2=$BP$1,$BP139,IF(AK$2=$BQ$1,$BQ139,IF(AK$2=$BR$1,$BR139,IF(AK$2=$BS$1,$BS139,IF(AK$2=$BT$1,$BT139,IF(AK$2=$BU$1,$BU139,INDEX(Tiere!$BN$2:$BN$145,_xlfn.AGGREGATE(15,6,(ROW(Tiere!$BN$2:$BN$145)-1)/(--(SEARCH(AK$2,Tiere!$BN$2:$BN$145)&gt;0)),ROW()-2),1))))))))),"")</f>
        <v/>
      </c>
      <c r="AK140" s="2436"/>
      <c r="AL140" s="2472" t="str">
        <f>IFERROR(IF(OR(AM$2="ZURÜCK ZUR AUSWAHL",AM$2="",AM$2=0),"",IF(AM$2=$BO$1,$BO139,IF(AM$2=$BP$1,$BP139,IF(AM$2=$BQ$1,$BQ139,IF(AM$2=$BR$1,$BR139,IF(AM$2=$BS$1,$BS139,IF(AM$2=$BT$1,$BT139,IF(AM$2=$BU$1,$BU139,INDEX(Tiere!$BN$2:$BN$145,_xlfn.AGGREGATE(15,6,(ROW(Tiere!$BN$2:$BN$145)-1)/(--(SEARCH(AM$2,Tiere!$BN$2:$BN$145)&gt;0)),ROW()-1),1))))))))),"")</f>
        <v/>
      </c>
      <c r="AM140" s="2436"/>
      <c r="AN140" s="2472" t="str">
        <f>IFERROR(IF(OR(AO$2="ZURÜCK ZUR AUSWAHL",AO$2="",AO$2=0),"",IF(AO$2=$BO$1,$BO139,IF(AO$2=$BP$1,$BP139,IF(AO$2=$BQ$1,$BQ139,IF(AO$2=$BR$1,$BR139,IF(AO$2=$BS$1,$BS139,IF(AO$2=$BT$1,$BT139,IF(AO$2=$BU$1,$BU139,INDEX(Tiere!$BN$2:$BN$145,_xlfn.AGGREGATE(15,6,(ROW(Tiere!$BN$2:$BN$145)-1)/(--(SEARCH(AO$2,Tiere!$BN$2:$BN$145)&gt;0)),ROW()-1),1))))))))),"")</f>
        <v/>
      </c>
      <c r="AO140" s="2436"/>
      <c r="AP140" s="2472" t="str">
        <f>IFERROR(IF(OR(AQ$2="ZURÜCK ZUR AUSWAHL",AQ$2="",AQ$2=0),"",IF(AQ$2=$BO$1,$BO139,IF(AQ$2=$BP$1,$BP139,IF(AQ$2=$BQ$1,$BQ139,IF(AQ$2=$BR$1,$BR139,IF(AQ$2=$BS$1,$BS139,IF(AQ$2=$BT$1,$BT139,IF(AQ$2=$BU$1,$BU139,INDEX(Tiere!$BN$2:$BN$145,_xlfn.AGGREGATE(15,6,(ROW(Tiere!$BN$2:$BN$145)-1)/(--(SEARCH(AQ$2,Tiere!$BN$2:$BN$145)&gt;0)),ROW()-1),1))))))))),"")</f>
        <v/>
      </c>
      <c r="AQ140" s="2436"/>
      <c r="AR140" s="2472" t="str">
        <f>IFERROR(IF(OR(AS$2="ZURÜCK ZUR AUSWAHL",AS$2="",AS$2=0),"",IF(AS$2=$BO$1,$BO139,IF(AS$2=$BP$1,$BP139,IF(AS$2=$BQ$1,$BQ139,IF(AS$2=$BR$1,$BR139,IF(AS$2=$BS$1,$BS139,IF(AS$2=$BT$1,$BT139,IF(AS$2=$BU$1,$BU139,INDEX(Tiere!$BN$2:$BN$145,_xlfn.AGGREGATE(15,6,(ROW(Tiere!$BN$2:$BN$145)-1)/(--(SEARCH(AS$2,Tiere!$BN$2:$BN$145)&gt;0)),ROW()-1),1))))))))),"")</f>
        <v/>
      </c>
      <c r="AS140" s="2436"/>
      <c r="AT140" s="2472" t="str">
        <f>IFERROR(IF(OR(AU$2="ZURÜCK ZUR AUSWAHL",AU$2="",AU$2=0),"",IF(AU$2=$BO$1,$BO139,IF(AU$2=$BP$1,$BP139,IF(AU$2=$BQ$1,$BQ139,IF(AU$2=$BR$1,$BR139,IF(AU$2=$BS$1,$BS139,IF(AU$2=$BT$1,$BT139,IF(AU$2=$BU$1,$BU139,INDEX(Tiere!$BN$2:$BN$145,_xlfn.AGGREGATE(15,6,(ROW(Tiere!$BN$2:$BN$145)-1)/(--(SEARCH(AU$2,Tiere!$BN$2:$BN$145)&gt;0)),ROW()-1),1))))))))),"")</f>
        <v/>
      </c>
      <c r="AU140" s="2436"/>
      <c r="AV140" s="2472" t="str">
        <f>IFERROR(IF(OR(AW$2="ZURÜCK ZUR AUSWAHL",AW$2="",AW$2=0),"",IF(AW$2=$BO$1,$BO139,IF(AW$2=$BP$1,$BP139,IF(AW$2=$BQ$1,$BQ139,IF(AW$2=$BR$1,$BR139,IF(AW$2=$BS$1,$BS139,IF(AW$2=$BT$1,$BT139,IF(AW$2=$BU$1,$BU139,INDEX(Tiere!$BN$2:$BN$145,_xlfn.AGGREGATE(15,6,(ROW(Tiere!$BN$2:$BN$145)-1)/(--(SEARCH(AW$2,Tiere!$BN$2:$BN$145)&gt;0)),ROW()-1),1))))))))),"")</f>
        <v/>
      </c>
      <c r="AW140" s="2436"/>
      <c r="AX140" s="2472" t="str">
        <f>IFERROR(IF(OR(AY$2="ZURÜCK ZUR AUSWAHL",AY$2="",AY$2=0),"",IF(AY$2=$BO$1,$BO139,IF(AY$2=$BP$1,$BP139,IF(AY$2=$BQ$1,$BQ139,IF(AY$2=$BR$1,$BR139,IF(AY$2=$BS$1,$BS139,IF(AY$2=$BT$1,$BT139,IF(AY$2=$BU$1,$BU139,INDEX(Tiere!$BN$2:$BN$145,_xlfn.AGGREGATE(15,6,(ROW(Tiere!$BN$2:$BN$145)-1)/(--(SEARCH(AY$2,Tiere!$BN$2:$BN$145)&gt;0)),ROW()-1),1))))))))),"")</f>
        <v/>
      </c>
      <c r="AY140" s="2436"/>
      <c r="AZ140" s="2472" t="str">
        <f>IFERROR(IF(OR(BA$2="ZURÜCK ZUR AUSWAHL",BA$2="",BA$2=0),"",IF(BA$2=$BO$1,$BO139,IF(BA$2=$BP$1,$BP139,IF(BA$2=$BQ$1,$BQ139,IF(BA$2=$BR$1,$BR139,IF(BA$2=$BS$1,$BS139,IF(BA$2=$BT$1,$BT139,IF(BA$2=$BU$1,$BU139,INDEX(Tiere!$BN$2:$BN$145,_xlfn.AGGREGATE(15,6,(ROW(Tiere!$BN$2:$BN$145)-1)/(--(SEARCH(BA$2,Tiere!$BN$2:$BN$145)&gt;0)),ROW()-1),1))))))))),"")</f>
        <v/>
      </c>
      <c r="BA140" s="2436"/>
      <c r="BB140" s="2472" t="str">
        <f>IFERROR(IF(OR(BC$2="ZURÜCK ZUR AUSWAHL",BC$2="",BC$2=0),"",IF(BC$2=$BO$1,$BO139,IF(BC$2=$BP$1,$BP139,IF(BC$2=$BQ$1,$BQ139,IF(BC$2=$BR$1,$BR139,IF(BC$2=$BS$1,$BS139,IF(BC$2=$BT$1,$BT139,IF(BC$2=$BU$1,$BU139,INDEX(Tiere!$BN$2:$BN$145,_xlfn.AGGREGATE(15,6,(ROW(Tiere!$BN$2:$BN$145)-1)/(--(SEARCH(BC$2,Tiere!$BN$2:$BN$145)&gt;0)),ROW()-1),1))))))))),"")</f>
        <v/>
      </c>
      <c r="BC140" s="2436"/>
      <c r="BD140" s="2472" t="str">
        <f>IFERROR(IF(OR(BE$2="ZURÜCK ZUR AUSWAHL",BE$2="",BE$2=0),"",IF(BE$2=$BO$1,$BO139,IF(BE$2=$BP$1,$BP139,IF(BE$2=$BQ$1,$BQ139,IF(BE$2=$BR$1,$BR139,IF(BE$2=$BS$1,$BS139,IF(BE$2=$BT$1,$BT139,IF(BE$2=$BU$1,$BU139,INDEX(Tiere!$BN$2:$BN$145,_xlfn.AGGREGATE(15,6,(ROW(Tiere!$BN$2:$BN$145)-1)/(--(SEARCH(BE$2,Tiere!$BN$2:$BN$145)&gt;0)),ROW()-1),1))))))))),"")</f>
        <v/>
      </c>
      <c r="BE140" s="2436"/>
      <c r="BF140" s="2472" t="str">
        <f>IFERROR(IF(OR(BG$2="ZURÜCK ZUR AUSWAHL",BG$2="",BG$2=0),"",IF(BG$2=$BO$1,$BO139,IF(BG$2=$BP$1,$BP139,IF(BG$2=$BQ$1,$BQ139,IF(BG$2=$BR$1,$BR139,IF(BG$2=$BS$1,$BS139,IF(BG$2=$BT$1,$BT139,IF(BG$2=$BU$1,$BU139,INDEX(Tiere!$BN$2:$BN$145,_xlfn.AGGREGATE(15,6,(ROW(Tiere!$BN$2:$BN$145)-1)/(--(SEARCH(BG$2,Tiere!$BN$2:$BN$145)&gt;0)),ROW()-1),1))))))))),"")</f>
        <v/>
      </c>
      <c r="BG140" s="2436"/>
      <c r="BH140" s="2472" t="str">
        <f>IFERROR(IF(OR(BI$2="ZURÜCK ZUR AUSWAHL",BI$2="",BI$2=0),"",IF(BI$2=$BO$1,$BO139,IF(BI$2=$BP$1,$BP139,IF(BI$2=$BQ$1,$BQ139,IF(BI$2=$BR$1,$BR139,IF(BI$2=$BS$1,$BS139,IF(BI$2=$BT$1,$BT139,IF(BI$2=$BU$1,$BU139,INDEX(Tiere!$BN$2:$BN$145,_xlfn.AGGREGATE(15,6,(ROW(Tiere!$BN$2:$BN$145)-1)/(--(SEARCH(BI$2,Tiere!$BN$2:$BN$145)&gt;0)),ROW()-1),1))))))))),"")</f>
        <v/>
      </c>
      <c r="BI140" s="2436"/>
      <c r="BJ140" s="2472" t="str">
        <f>IFERROR(IF(OR(BK$2="ZURÜCK ZUR AUSWAHL",BK$2="",BK$2=0),"",IF(BK$2=$BO$1,$BO139,IF(BK$2=$BP$1,$BP139,IF(BK$2=$BQ$1,$BQ139,IF(BK$2=$BR$1,$BR139,IF(BK$2=$BS$1,$BS139,IF(BK$2=$BT$1,$BT139,IF(BK$2=$BU$1,$BU139,INDEX(Tiere!$BN$2:$BN$145,_xlfn.AGGREGATE(15,6,(ROW(Tiere!$BN$2:$BN$145)-1)/(--(SEARCH(BK$2,Tiere!$BN$2:$BN$145)&gt;0)),ROW()-1),1))))))))),"")</f>
        <v/>
      </c>
      <c r="BK140" s="2436"/>
      <c r="BL140" s="2472" t="str">
        <f>IFERROR(IF(OR(BM$2="ZURÜCK ZUR AUSWAHL",BM$2="",BM$2=0),"",IF(BM$2=$BO$1,$BO139,IF(BM$2=$BP$1,$BP139,IF(BM$2=$BQ$1,$BQ139,IF(BM$2=$BR$1,$BR139,IF(BM$2=$BS$1,$BS139,IF(BM$2=$BT$1,$BT139,IF(BM$2=$BU$1,$BU139,INDEX(Tiere!$BN$2:$BN$145,_xlfn.AGGREGATE(15,6,(ROW(Tiere!$BN$2:$BN$145)-1)/(--(SEARCH(BM$2,Tiere!$BN$2:$BN$145)&gt;0)),ROW()-1),1))))))))),"")</f>
        <v/>
      </c>
      <c r="BM140" s="2436"/>
      <c r="BN140" s="2478" t="s">
        <v>1318</v>
      </c>
      <c r="BO140" s="2470"/>
      <c r="BP140" s="2470"/>
      <c r="BQ140" s="2470"/>
      <c r="BR140" s="2470"/>
      <c r="BS140" s="2470"/>
      <c r="BT140" s="2470"/>
      <c r="BU140" s="2470"/>
    </row>
    <row r="141" spans="36:73" ht="13.8" thickBot="1">
      <c r="AJ141" s="2472" t="str">
        <f>IFERROR(IF(OR(AK$2="ZURÜCK ZUR AUSWAHL",AK$2="",AK$2=0),"",IF(AK$2=$BO$1,$BO140,IF(AK$2=$BP$1,$BP140,IF(AK$2=$BQ$1,$BQ140,IF(AK$2=$BR$1,$BR140,IF(AK$2=$BS$1,$BS140,IF(AK$2=$BT$1,$BT140,IF(AK$2=$BU$1,$BU140,INDEX(Tiere!$BN$2:$BN$145,_xlfn.AGGREGATE(15,6,(ROW(Tiere!$BN$2:$BN$145)-1)/(--(SEARCH(AK$2,Tiere!$BN$2:$BN$145)&gt;0)),ROW()-2),1))))))))),"")</f>
        <v/>
      </c>
      <c r="AK141" s="2438"/>
      <c r="AL141" s="2472" t="str">
        <f>IFERROR(IF(OR(AM$2="ZURÜCK ZUR AUSWAHL",AM$2="",AM$2=0),"",IF(AM$2=$BO$1,$BO140,IF(AM$2=$BP$1,$BP140,IF(AM$2=$BQ$1,$BQ140,IF(AM$2=$BR$1,$BR140,IF(AM$2=$BS$1,$BS140,IF(AM$2=$BT$1,$BT140,IF(AM$2=$BU$1,$BU140,INDEX(Tiere!$BN$2:$BN$145,_xlfn.AGGREGATE(15,6,(ROW(Tiere!$BN$2:$BN$145)-1)/(--(SEARCH(AM$2,Tiere!$BN$2:$BN$145)&gt;0)),ROW()-1),1))))))))),"")</f>
        <v/>
      </c>
      <c r="AM141" s="2438"/>
      <c r="AN141" s="2472" t="str">
        <f>IFERROR(IF(OR(AO$2="ZURÜCK ZUR AUSWAHL",AO$2="",AO$2=0),"",IF(AO$2=$BO$1,$BO140,IF(AO$2=$BP$1,$BP140,IF(AO$2=$BQ$1,$BQ140,IF(AO$2=$BR$1,$BR140,IF(AO$2=$BS$1,$BS140,IF(AO$2=$BT$1,$BT140,IF(AO$2=$BU$1,$BU140,INDEX(Tiere!$BN$2:$BN$145,_xlfn.AGGREGATE(15,6,(ROW(Tiere!$BN$2:$BN$145)-1)/(--(SEARCH(AO$2,Tiere!$BN$2:$BN$145)&gt;0)),ROW()-1),1))))))))),"")</f>
        <v/>
      </c>
      <c r="AO141" s="2438"/>
      <c r="AP141" s="2472" t="str">
        <f>IFERROR(IF(OR(AQ$2="ZURÜCK ZUR AUSWAHL",AQ$2="",AQ$2=0),"",IF(AQ$2=$BO$1,$BO140,IF(AQ$2=$BP$1,$BP140,IF(AQ$2=$BQ$1,$BQ140,IF(AQ$2=$BR$1,$BR140,IF(AQ$2=$BS$1,$BS140,IF(AQ$2=$BT$1,$BT140,IF(AQ$2=$BU$1,$BU140,INDEX(Tiere!$BN$2:$BN$145,_xlfn.AGGREGATE(15,6,(ROW(Tiere!$BN$2:$BN$145)-1)/(--(SEARCH(AQ$2,Tiere!$BN$2:$BN$145)&gt;0)),ROW()-1),1))))))))),"")</f>
        <v/>
      </c>
      <c r="AQ141" s="2438"/>
      <c r="AR141" s="2472" t="str">
        <f>IFERROR(IF(OR(AS$2="ZURÜCK ZUR AUSWAHL",AS$2="",AS$2=0),"",IF(AS$2=$BO$1,$BO140,IF(AS$2=$BP$1,$BP140,IF(AS$2=$BQ$1,$BQ140,IF(AS$2=$BR$1,$BR140,IF(AS$2=$BS$1,$BS140,IF(AS$2=$BT$1,$BT140,IF(AS$2=$BU$1,$BU140,INDEX(Tiere!$BN$2:$BN$145,_xlfn.AGGREGATE(15,6,(ROW(Tiere!$BN$2:$BN$145)-1)/(--(SEARCH(AS$2,Tiere!$BN$2:$BN$145)&gt;0)),ROW()-1),1))))))))),"")</f>
        <v/>
      </c>
      <c r="AS141" s="2438"/>
      <c r="AT141" s="2472" t="str">
        <f>IFERROR(IF(OR(AU$2="ZURÜCK ZUR AUSWAHL",AU$2="",AU$2=0),"",IF(AU$2=$BO$1,$BO140,IF(AU$2=$BP$1,$BP140,IF(AU$2=$BQ$1,$BQ140,IF(AU$2=$BR$1,$BR140,IF(AU$2=$BS$1,$BS140,IF(AU$2=$BT$1,$BT140,IF(AU$2=$BU$1,$BU140,INDEX(Tiere!$BN$2:$BN$145,_xlfn.AGGREGATE(15,6,(ROW(Tiere!$BN$2:$BN$145)-1)/(--(SEARCH(AU$2,Tiere!$BN$2:$BN$145)&gt;0)),ROW()-1),1))))))))),"")</f>
        <v/>
      </c>
      <c r="AU141" s="2438"/>
      <c r="AV141" s="2472" t="str">
        <f>IFERROR(IF(OR(AW$2="ZURÜCK ZUR AUSWAHL",AW$2="",AW$2=0),"",IF(AW$2=$BO$1,$BO140,IF(AW$2=$BP$1,$BP140,IF(AW$2=$BQ$1,$BQ140,IF(AW$2=$BR$1,$BR140,IF(AW$2=$BS$1,$BS140,IF(AW$2=$BT$1,$BT140,IF(AW$2=$BU$1,$BU140,INDEX(Tiere!$BN$2:$BN$145,_xlfn.AGGREGATE(15,6,(ROW(Tiere!$BN$2:$BN$145)-1)/(--(SEARCH(AW$2,Tiere!$BN$2:$BN$145)&gt;0)),ROW()-1),1))))))))),"")</f>
        <v/>
      </c>
      <c r="AW141" s="2438"/>
      <c r="AX141" s="2472" t="str">
        <f>IFERROR(IF(OR(AY$2="ZURÜCK ZUR AUSWAHL",AY$2="",AY$2=0),"",IF(AY$2=$BO$1,$BO140,IF(AY$2=$BP$1,$BP140,IF(AY$2=$BQ$1,$BQ140,IF(AY$2=$BR$1,$BR140,IF(AY$2=$BS$1,$BS140,IF(AY$2=$BT$1,$BT140,IF(AY$2=$BU$1,$BU140,INDEX(Tiere!$BN$2:$BN$145,_xlfn.AGGREGATE(15,6,(ROW(Tiere!$BN$2:$BN$145)-1)/(--(SEARCH(AY$2,Tiere!$BN$2:$BN$145)&gt;0)),ROW()-1),1))))))))),"")</f>
        <v/>
      </c>
      <c r="AY141" s="2438"/>
      <c r="AZ141" s="2472" t="str">
        <f>IFERROR(IF(OR(BA$2="ZURÜCK ZUR AUSWAHL",BA$2="",BA$2=0),"",IF(BA$2=$BO$1,$BO140,IF(BA$2=$BP$1,$BP140,IF(BA$2=$BQ$1,$BQ140,IF(BA$2=$BR$1,$BR140,IF(BA$2=$BS$1,$BS140,IF(BA$2=$BT$1,$BT140,IF(BA$2=$BU$1,$BU140,INDEX(Tiere!$BN$2:$BN$145,_xlfn.AGGREGATE(15,6,(ROW(Tiere!$BN$2:$BN$145)-1)/(--(SEARCH(BA$2,Tiere!$BN$2:$BN$145)&gt;0)),ROW()-1),1))))))))),"")</f>
        <v/>
      </c>
      <c r="BA141" s="2438"/>
      <c r="BB141" s="2472" t="str">
        <f>IFERROR(IF(OR(BC$2="ZURÜCK ZUR AUSWAHL",BC$2="",BC$2=0),"",IF(BC$2=$BO$1,$BO140,IF(BC$2=$BP$1,$BP140,IF(BC$2=$BQ$1,$BQ140,IF(BC$2=$BR$1,$BR140,IF(BC$2=$BS$1,$BS140,IF(BC$2=$BT$1,$BT140,IF(BC$2=$BU$1,$BU140,INDEX(Tiere!$BN$2:$BN$145,_xlfn.AGGREGATE(15,6,(ROW(Tiere!$BN$2:$BN$145)-1)/(--(SEARCH(BC$2,Tiere!$BN$2:$BN$145)&gt;0)),ROW()-1),1))))))))),"")</f>
        <v/>
      </c>
      <c r="BC141" s="2438"/>
      <c r="BD141" s="2472" t="str">
        <f>IFERROR(IF(OR(BE$2="ZURÜCK ZUR AUSWAHL",BE$2="",BE$2=0),"",IF(BE$2=$BO$1,$BO140,IF(BE$2=$BP$1,$BP140,IF(BE$2=$BQ$1,$BQ140,IF(BE$2=$BR$1,$BR140,IF(BE$2=$BS$1,$BS140,IF(BE$2=$BT$1,$BT140,IF(BE$2=$BU$1,$BU140,INDEX(Tiere!$BN$2:$BN$145,_xlfn.AGGREGATE(15,6,(ROW(Tiere!$BN$2:$BN$145)-1)/(--(SEARCH(BE$2,Tiere!$BN$2:$BN$145)&gt;0)),ROW()-1),1))))))))),"")</f>
        <v/>
      </c>
      <c r="BE141" s="2438"/>
      <c r="BF141" s="2472" t="str">
        <f>IFERROR(IF(OR(BG$2="ZURÜCK ZUR AUSWAHL",BG$2="",BG$2=0),"",IF(BG$2=$BO$1,$BO140,IF(BG$2=$BP$1,$BP140,IF(BG$2=$BQ$1,$BQ140,IF(BG$2=$BR$1,$BR140,IF(BG$2=$BS$1,$BS140,IF(BG$2=$BT$1,$BT140,IF(BG$2=$BU$1,$BU140,INDEX(Tiere!$BN$2:$BN$145,_xlfn.AGGREGATE(15,6,(ROW(Tiere!$BN$2:$BN$145)-1)/(--(SEARCH(BG$2,Tiere!$BN$2:$BN$145)&gt;0)),ROW()-1),1))))))))),"")</f>
        <v/>
      </c>
      <c r="BG141" s="2438"/>
      <c r="BH141" s="2472" t="str">
        <f>IFERROR(IF(OR(BI$2="ZURÜCK ZUR AUSWAHL",BI$2="",BI$2=0),"",IF(BI$2=$BO$1,$BO140,IF(BI$2=$BP$1,$BP140,IF(BI$2=$BQ$1,$BQ140,IF(BI$2=$BR$1,$BR140,IF(BI$2=$BS$1,$BS140,IF(BI$2=$BT$1,$BT140,IF(BI$2=$BU$1,$BU140,INDEX(Tiere!$BN$2:$BN$145,_xlfn.AGGREGATE(15,6,(ROW(Tiere!$BN$2:$BN$145)-1)/(--(SEARCH(BI$2,Tiere!$BN$2:$BN$145)&gt;0)),ROW()-1),1))))))))),"")</f>
        <v/>
      </c>
      <c r="BI141" s="2438"/>
      <c r="BJ141" s="2472" t="str">
        <f>IFERROR(IF(OR(BK$2="ZURÜCK ZUR AUSWAHL",BK$2="",BK$2=0),"",IF(BK$2=$BO$1,$BO140,IF(BK$2=$BP$1,$BP140,IF(BK$2=$BQ$1,$BQ140,IF(BK$2=$BR$1,$BR140,IF(BK$2=$BS$1,$BS140,IF(BK$2=$BT$1,$BT140,IF(BK$2=$BU$1,$BU140,INDEX(Tiere!$BN$2:$BN$145,_xlfn.AGGREGATE(15,6,(ROW(Tiere!$BN$2:$BN$145)-1)/(--(SEARCH(BK$2,Tiere!$BN$2:$BN$145)&gt;0)),ROW()-1),1))))))))),"")</f>
        <v/>
      </c>
      <c r="BK141" s="2438"/>
      <c r="BL141" s="2472" t="str">
        <f>IFERROR(IF(OR(BM$2="ZURÜCK ZUR AUSWAHL",BM$2="",BM$2=0),"",IF(BM$2=$BO$1,$BO140,IF(BM$2=$BP$1,$BP140,IF(BM$2=$BQ$1,$BQ140,IF(BM$2=$BR$1,$BR140,IF(BM$2=$BS$1,$BS140,IF(BM$2=$BT$1,$BT140,IF(BM$2=$BU$1,$BU140,INDEX(Tiere!$BN$2:$BN$145,_xlfn.AGGREGATE(15,6,(ROW(Tiere!$BN$2:$BN$145)-1)/(--(SEARCH(BM$2,Tiere!$BN$2:$BN$145)&gt;0)),ROW()-1),1))))))))),"")</f>
        <v/>
      </c>
      <c r="BM141" s="2438"/>
      <c r="BN141" s="2478" t="s">
        <v>1319</v>
      </c>
      <c r="BO141" s="2470"/>
      <c r="BP141" s="2470"/>
      <c r="BQ141" s="2470"/>
      <c r="BR141" s="2470"/>
      <c r="BS141" s="2470"/>
      <c r="BT141" s="2470"/>
      <c r="BU141" s="2470"/>
    </row>
    <row r="142" spans="36:73" ht="13.8" thickBot="1">
      <c r="AJ142" s="2472" t="str">
        <f>IFERROR(IF(OR(AK$2="ZURÜCK ZUR AUSWAHL",AK$2="",AK$2=0),"",IF(AK$2=$BO$1,$BO141,IF(AK$2=$BP$1,$BP141,IF(AK$2=$BQ$1,$BQ141,IF(AK$2=$BR$1,$BR141,IF(AK$2=$BS$1,$BS141,IF(AK$2=$BT$1,$BT141,IF(AK$2=$BU$1,$BU141,INDEX(Tiere!$BN$2:$BN$145,_xlfn.AGGREGATE(15,6,(ROW(Tiere!$BN$2:$BN$145)-1)/(--(SEARCH(AK$2,Tiere!$BN$2:$BN$145)&gt;0)),ROW()-2),1))))))))),"")</f>
        <v/>
      </c>
      <c r="AK142" s="2436"/>
      <c r="AL142" s="2472" t="str">
        <f>IFERROR(IF(OR(AM$2="ZURÜCK ZUR AUSWAHL",AM$2="",AM$2=0),"",IF(AM$2=$BO$1,$BO141,IF(AM$2=$BP$1,$BP141,IF(AM$2=$BQ$1,$BQ141,IF(AM$2=$BR$1,$BR141,IF(AM$2=$BS$1,$BS141,IF(AM$2=$BT$1,$BT141,IF(AM$2=$BU$1,$BU141,INDEX(Tiere!$BN$2:$BN$145,_xlfn.AGGREGATE(15,6,(ROW(Tiere!$BN$2:$BN$145)-1)/(--(SEARCH(AM$2,Tiere!$BN$2:$BN$145)&gt;0)),ROW()-1),1))))))))),"")</f>
        <v/>
      </c>
      <c r="AM142" s="2436"/>
      <c r="AN142" s="2472" t="str">
        <f>IFERROR(IF(OR(AO$2="ZURÜCK ZUR AUSWAHL",AO$2="",AO$2=0),"",IF(AO$2=$BO$1,$BO141,IF(AO$2=$BP$1,$BP141,IF(AO$2=$BQ$1,$BQ141,IF(AO$2=$BR$1,$BR141,IF(AO$2=$BS$1,$BS141,IF(AO$2=$BT$1,$BT141,IF(AO$2=$BU$1,$BU141,INDEX(Tiere!$BN$2:$BN$145,_xlfn.AGGREGATE(15,6,(ROW(Tiere!$BN$2:$BN$145)-1)/(--(SEARCH(AO$2,Tiere!$BN$2:$BN$145)&gt;0)),ROW()-1),1))))))))),"")</f>
        <v/>
      </c>
      <c r="AO142" s="2436"/>
      <c r="AP142" s="2472" t="str">
        <f>IFERROR(IF(OR(AQ$2="ZURÜCK ZUR AUSWAHL",AQ$2="",AQ$2=0),"",IF(AQ$2=$BO$1,$BO141,IF(AQ$2=$BP$1,$BP141,IF(AQ$2=$BQ$1,$BQ141,IF(AQ$2=$BR$1,$BR141,IF(AQ$2=$BS$1,$BS141,IF(AQ$2=$BT$1,$BT141,IF(AQ$2=$BU$1,$BU141,INDEX(Tiere!$BN$2:$BN$145,_xlfn.AGGREGATE(15,6,(ROW(Tiere!$BN$2:$BN$145)-1)/(--(SEARCH(AQ$2,Tiere!$BN$2:$BN$145)&gt;0)),ROW()-1),1))))))))),"")</f>
        <v/>
      </c>
      <c r="AQ142" s="2436"/>
      <c r="AR142" s="2472" t="str">
        <f>IFERROR(IF(OR(AS$2="ZURÜCK ZUR AUSWAHL",AS$2="",AS$2=0),"",IF(AS$2=$BO$1,$BO141,IF(AS$2=$BP$1,$BP141,IF(AS$2=$BQ$1,$BQ141,IF(AS$2=$BR$1,$BR141,IF(AS$2=$BS$1,$BS141,IF(AS$2=$BT$1,$BT141,IF(AS$2=$BU$1,$BU141,INDEX(Tiere!$BN$2:$BN$145,_xlfn.AGGREGATE(15,6,(ROW(Tiere!$BN$2:$BN$145)-1)/(--(SEARCH(AS$2,Tiere!$BN$2:$BN$145)&gt;0)),ROW()-1),1))))))))),"")</f>
        <v/>
      </c>
      <c r="AS142" s="2436"/>
      <c r="AT142" s="2472" t="str">
        <f>IFERROR(IF(OR(AU$2="ZURÜCK ZUR AUSWAHL",AU$2="",AU$2=0),"",IF(AU$2=$BO$1,$BO141,IF(AU$2=$BP$1,$BP141,IF(AU$2=$BQ$1,$BQ141,IF(AU$2=$BR$1,$BR141,IF(AU$2=$BS$1,$BS141,IF(AU$2=$BT$1,$BT141,IF(AU$2=$BU$1,$BU141,INDEX(Tiere!$BN$2:$BN$145,_xlfn.AGGREGATE(15,6,(ROW(Tiere!$BN$2:$BN$145)-1)/(--(SEARCH(AU$2,Tiere!$BN$2:$BN$145)&gt;0)),ROW()-1),1))))))))),"")</f>
        <v/>
      </c>
      <c r="AU142" s="2436"/>
      <c r="AV142" s="2472" t="str">
        <f>IFERROR(IF(OR(AW$2="ZURÜCK ZUR AUSWAHL",AW$2="",AW$2=0),"",IF(AW$2=$BO$1,$BO141,IF(AW$2=$BP$1,$BP141,IF(AW$2=$BQ$1,$BQ141,IF(AW$2=$BR$1,$BR141,IF(AW$2=$BS$1,$BS141,IF(AW$2=$BT$1,$BT141,IF(AW$2=$BU$1,$BU141,INDEX(Tiere!$BN$2:$BN$145,_xlfn.AGGREGATE(15,6,(ROW(Tiere!$BN$2:$BN$145)-1)/(--(SEARCH(AW$2,Tiere!$BN$2:$BN$145)&gt;0)),ROW()-1),1))))))))),"")</f>
        <v/>
      </c>
      <c r="AW142" s="2436"/>
      <c r="AX142" s="2472" t="str">
        <f>IFERROR(IF(OR(AY$2="ZURÜCK ZUR AUSWAHL",AY$2="",AY$2=0),"",IF(AY$2=$BO$1,$BO141,IF(AY$2=$BP$1,$BP141,IF(AY$2=$BQ$1,$BQ141,IF(AY$2=$BR$1,$BR141,IF(AY$2=$BS$1,$BS141,IF(AY$2=$BT$1,$BT141,IF(AY$2=$BU$1,$BU141,INDEX(Tiere!$BN$2:$BN$145,_xlfn.AGGREGATE(15,6,(ROW(Tiere!$BN$2:$BN$145)-1)/(--(SEARCH(AY$2,Tiere!$BN$2:$BN$145)&gt;0)),ROW()-1),1))))))))),"")</f>
        <v/>
      </c>
      <c r="AY142" s="2436"/>
      <c r="AZ142" s="2472" t="str">
        <f>IFERROR(IF(OR(BA$2="ZURÜCK ZUR AUSWAHL",BA$2="",BA$2=0),"",IF(BA$2=$BO$1,$BO141,IF(BA$2=$BP$1,$BP141,IF(BA$2=$BQ$1,$BQ141,IF(BA$2=$BR$1,$BR141,IF(BA$2=$BS$1,$BS141,IF(BA$2=$BT$1,$BT141,IF(BA$2=$BU$1,$BU141,INDEX(Tiere!$BN$2:$BN$145,_xlfn.AGGREGATE(15,6,(ROW(Tiere!$BN$2:$BN$145)-1)/(--(SEARCH(BA$2,Tiere!$BN$2:$BN$145)&gt;0)),ROW()-1),1))))))))),"")</f>
        <v/>
      </c>
      <c r="BA142" s="2436"/>
      <c r="BB142" s="2472" t="str">
        <f>IFERROR(IF(OR(BC$2="ZURÜCK ZUR AUSWAHL",BC$2="",BC$2=0),"",IF(BC$2=$BO$1,$BO141,IF(BC$2=$BP$1,$BP141,IF(BC$2=$BQ$1,$BQ141,IF(BC$2=$BR$1,$BR141,IF(BC$2=$BS$1,$BS141,IF(BC$2=$BT$1,$BT141,IF(BC$2=$BU$1,$BU141,INDEX(Tiere!$BN$2:$BN$145,_xlfn.AGGREGATE(15,6,(ROW(Tiere!$BN$2:$BN$145)-1)/(--(SEARCH(BC$2,Tiere!$BN$2:$BN$145)&gt;0)),ROW()-1),1))))))))),"")</f>
        <v/>
      </c>
      <c r="BC142" s="2436"/>
      <c r="BD142" s="2472" t="str">
        <f>IFERROR(IF(OR(BE$2="ZURÜCK ZUR AUSWAHL",BE$2="",BE$2=0),"",IF(BE$2=$BO$1,$BO141,IF(BE$2=$BP$1,$BP141,IF(BE$2=$BQ$1,$BQ141,IF(BE$2=$BR$1,$BR141,IF(BE$2=$BS$1,$BS141,IF(BE$2=$BT$1,$BT141,IF(BE$2=$BU$1,$BU141,INDEX(Tiere!$BN$2:$BN$145,_xlfn.AGGREGATE(15,6,(ROW(Tiere!$BN$2:$BN$145)-1)/(--(SEARCH(BE$2,Tiere!$BN$2:$BN$145)&gt;0)),ROW()-1),1))))))))),"")</f>
        <v/>
      </c>
      <c r="BE142" s="2436"/>
      <c r="BF142" s="2472" t="str">
        <f>IFERROR(IF(OR(BG$2="ZURÜCK ZUR AUSWAHL",BG$2="",BG$2=0),"",IF(BG$2=$BO$1,$BO141,IF(BG$2=$BP$1,$BP141,IF(BG$2=$BQ$1,$BQ141,IF(BG$2=$BR$1,$BR141,IF(BG$2=$BS$1,$BS141,IF(BG$2=$BT$1,$BT141,IF(BG$2=$BU$1,$BU141,INDEX(Tiere!$BN$2:$BN$145,_xlfn.AGGREGATE(15,6,(ROW(Tiere!$BN$2:$BN$145)-1)/(--(SEARCH(BG$2,Tiere!$BN$2:$BN$145)&gt;0)),ROW()-1),1))))))))),"")</f>
        <v/>
      </c>
      <c r="BG142" s="2436"/>
      <c r="BH142" s="2472" t="str">
        <f>IFERROR(IF(OR(BI$2="ZURÜCK ZUR AUSWAHL",BI$2="",BI$2=0),"",IF(BI$2=$BO$1,$BO141,IF(BI$2=$BP$1,$BP141,IF(BI$2=$BQ$1,$BQ141,IF(BI$2=$BR$1,$BR141,IF(BI$2=$BS$1,$BS141,IF(BI$2=$BT$1,$BT141,IF(BI$2=$BU$1,$BU141,INDEX(Tiere!$BN$2:$BN$145,_xlfn.AGGREGATE(15,6,(ROW(Tiere!$BN$2:$BN$145)-1)/(--(SEARCH(BI$2,Tiere!$BN$2:$BN$145)&gt;0)),ROW()-1),1))))))))),"")</f>
        <v/>
      </c>
      <c r="BI142" s="2436"/>
      <c r="BJ142" s="2472" t="str">
        <f>IFERROR(IF(OR(BK$2="ZURÜCK ZUR AUSWAHL",BK$2="",BK$2=0),"",IF(BK$2=$BO$1,$BO141,IF(BK$2=$BP$1,$BP141,IF(BK$2=$BQ$1,$BQ141,IF(BK$2=$BR$1,$BR141,IF(BK$2=$BS$1,$BS141,IF(BK$2=$BT$1,$BT141,IF(BK$2=$BU$1,$BU141,INDEX(Tiere!$BN$2:$BN$145,_xlfn.AGGREGATE(15,6,(ROW(Tiere!$BN$2:$BN$145)-1)/(--(SEARCH(BK$2,Tiere!$BN$2:$BN$145)&gt;0)),ROW()-1),1))))))))),"")</f>
        <v/>
      </c>
      <c r="BK142" s="2436"/>
      <c r="BL142" s="2472" t="str">
        <f>IFERROR(IF(OR(BM$2="ZURÜCK ZUR AUSWAHL",BM$2="",BM$2=0),"",IF(BM$2=$BO$1,$BO141,IF(BM$2=$BP$1,$BP141,IF(BM$2=$BQ$1,$BQ141,IF(BM$2=$BR$1,$BR141,IF(BM$2=$BS$1,$BS141,IF(BM$2=$BT$1,$BT141,IF(BM$2=$BU$1,$BU141,INDEX(Tiere!$BN$2:$BN$145,_xlfn.AGGREGATE(15,6,(ROW(Tiere!$BN$2:$BN$145)-1)/(--(SEARCH(BM$2,Tiere!$BN$2:$BN$145)&gt;0)),ROW()-1),1))))))))),"")</f>
        <v/>
      </c>
      <c r="BM142" s="2436"/>
      <c r="BN142" s="2478" t="s">
        <v>1320</v>
      </c>
      <c r="BO142" s="2470"/>
      <c r="BP142" s="2470"/>
      <c r="BQ142" s="2470"/>
      <c r="BR142" s="2470"/>
      <c r="BS142" s="2470"/>
      <c r="BT142" s="2470"/>
      <c r="BU142" s="2470"/>
    </row>
    <row r="143" spans="36:73" ht="13.8" thickBot="1">
      <c r="AJ143" s="2472" t="str">
        <f>IFERROR(IF(OR(AK$2="ZURÜCK ZUR AUSWAHL",AK$2="",AK$2=0),"",IF(AK$2=$BO$1,$BO142,IF(AK$2=$BP$1,$BP142,IF(AK$2=$BQ$1,$BQ142,IF(AK$2=$BR$1,$BR142,IF(AK$2=$BS$1,$BS142,IF(AK$2=$BT$1,$BT142,IF(AK$2=$BU$1,$BU142,INDEX(Tiere!$BN$2:$BN$145,_xlfn.AGGREGATE(15,6,(ROW(Tiere!$BN$2:$BN$145)-1)/(--(SEARCH(AK$2,Tiere!$BN$2:$BN$145)&gt;0)),ROW()-2),1))))))))),"")</f>
        <v/>
      </c>
      <c r="AK143" s="2438"/>
      <c r="AL143" s="2472" t="str">
        <f>IFERROR(IF(OR(AM$2="ZURÜCK ZUR AUSWAHL",AM$2="",AM$2=0),"",IF(AM$2=$BO$1,$BO142,IF(AM$2=$BP$1,$BP142,IF(AM$2=$BQ$1,$BQ142,IF(AM$2=$BR$1,$BR142,IF(AM$2=$BS$1,$BS142,IF(AM$2=$BT$1,$BT142,IF(AM$2=$BU$1,$BU142,INDEX(Tiere!$BN$2:$BN$145,_xlfn.AGGREGATE(15,6,(ROW(Tiere!$BN$2:$BN$145)-1)/(--(SEARCH(AM$2,Tiere!$BN$2:$BN$145)&gt;0)),ROW()-1),1))))))))),"")</f>
        <v/>
      </c>
      <c r="AM143" s="2438"/>
      <c r="AN143" s="2472" t="str">
        <f>IFERROR(IF(OR(AO$2="ZURÜCK ZUR AUSWAHL",AO$2="",AO$2=0),"",IF(AO$2=$BO$1,$BO142,IF(AO$2=$BP$1,$BP142,IF(AO$2=$BQ$1,$BQ142,IF(AO$2=$BR$1,$BR142,IF(AO$2=$BS$1,$BS142,IF(AO$2=$BT$1,$BT142,IF(AO$2=$BU$1,$BU142,INDEX(Tiere!$BN$2:$BN$145,_xlfn.AGGREGATE(15,6,(ROW(Tiere!$BN$2:$BN$145)-1)/(--(SEARCH(AO$2,Tiere!$BN$2:$BN$145)&gt;0)),ROW()-1),1))))))))),"")</f>
        <v/>
      </c>
      <c r="AO143" s="2438"/>
      <c r="AP143" s="2472" t="str">
        <f>IFERROR(IF(OR(AQ$2="ZURÜCK ZUR AUSWAHL",AQ$2="",AQ$2=0),"",IF(AQ$2=$BO$1,$BO142,IF(AQ$2=$BP$1,$BP142,IF(AQ$2=$BQ$1,$BQ142,IF(AQ$2=$BR$1,$BR142,IF(AQ$2=$BS$1,$BS142,IF(AQ$2=$BT$1,$BT142,IF(AQ$2=$BU$1,$BU142,INDEX(Tiere!$BN$2:$BN$145,_xlfn.AGGREGATE(15,6,(ROW(Tiere!$BN$2:$BN$145)-1)/(--(SEARCH(AQ$2,Tiere!$BN$2:$BN$145)&gt;0)),ROW()-1),1))))))))),"")</f>
        <v/>
      </c>
      <c r="AQ143" s="2438"/>
      <c r="AR143" s="2472" t="str">
        <f>IFERROR(IF(OR(AS$2="ZURÜCK ZUR AUSWAHL",AS$2="",AS$2=0),"",IF(AS$2=$BO$1,$BO142,IF(AS$2=$BP$1,$BP142,IF(AS$2=$BQ$1,$BQ142,IF(AS$2=$BR$1,$BR142,IF(AS$2=$BS$1,$BS142,IF(AS$2=$BT$1,$BT142,IF(AS$2=$BU$1,$BU142,INDEX(Tiere!$BN$2:$BN$145,_xlfn.AGGREGATE(15,6,(ROW(Tiere!$BN$2:$BN$145)-1)/(--(SEARCH(AS$2,Tiere!$BN$2:$BN$145)&gt;0)),ROW()-1),1))))))))),"")</f>
        <v/>
      </c>
      <c r="AS143" s="2438"/>
      <c r="AT143" s="2472" t="str">
        <f>IFERROR(IF(OR(AU$2="ZURÜCK ZUR AUSWAHL",AU$2="",AU$2=0),"",IF(AU$2=$BO$1,$BO142,IF(AU$2=$BP$1,$BP142,IF(AU$2=$BQ$1,$BQ142,IF(AU$2=$BR$1,$BR142,IF(AU$2=$BS$1,$BS142,IF(AU$2=$BT$1,$BT142,IF(AU$2=$BU$1,$BU142,INDEX(Tiere!$BN$2:$BN$145,_xlfn.AGGREGATE(15,6,(ROW(Tiere!$BN$2:$BN$145)-1)/(--(SEARCH(AU$2,Tiere!$BN$2:$BN$145)&gt;0)),ROW()-1),1))))))))),"")</f>
        <v/>
      </c>
      <c r="AU143" s="2438"/>
      <c r="AV143" s="2472" t="str">
        <f>IFERROR(IF(OR(AW$2="ZURÜCK ZUR AUSWAHL",AW$2="",AW$2=0),"",IF(AW$2=$BO$1,$BO142,IF(AW$2=$BP$1,$BP142,IF(AW$2=$BQ$1,$BQ142,IF(AW$2=$BR$1,$BR142,IF(AW$2=$BS$1,$BS142,IF(AW$2=$BT$1,$BT142,IF(AW$2=$BU$1,$BU142,INDEX(Tiere!$BN$2:$BN$145,_xlfn.AGGREGATE(15,6,(ROW(Tiere!$BN$2:$BN$145)-1)/(--(SEARCH(AW$2,Tiere!$BN$2:$BN$145)&gt;0)),ROW()-1),1))))))))),"")</f>
        <v/>
      </c>
      <c r="AW143" s="2438"/>
      <c r="AX143" s="2472" t="str">
        <f>IFERROR(IF(OR(AY$2="ZURÜCK ZUR AUSWAHL",AY$2="",AY$2=0),"",IF(AY$2=$BO$1,$BO142,IF(AY$2=$BP$1,$BP142,IF(AY$2=$BQ$1,$BQ142,IF(AY$2=$BR$1,$BR142,IF(AY$2=$BS$1,$BS142,IF(AY$2=$BT$1,$BT142,IF(AY$2=$BU$1,$BU142,INDEX(Tiere!$BN$2:$BN$145,_xlfn.AGGREGATE(15,6,(ROW(Tiere!$BN$2:$BN$145)-1)/(--(SEARCH(AY$2,Tiere!$BN$2:$BN$145)&gt;0)),ROW()-1),1))))))))),"")</f>
        <v/>
      </c>
      <c r="AY143" s="2438"/>
      <c r="AZ143" s="2472" t="str">
        <f>IFERROR(IF(OR(BA$2="ZURÜCK ZUR AUSWAHL",BA$2="",BA$2=0),"",IF(BA$2=$BO$1,$BO142,IF(BA$2=$BP$1,$BP142,IF(BA$2=$BQ$1,$BQ142,IF(BA$2=$BR$1,$BR142,IF(BA$2=$BS$1,$BS142,IF(BA$2=$BT$1,$BT142,IF(BA$2=$BU$1,$BU142,INDEX(Tiere!$BN$2:$BN$145,_xlfn.AGGREGATE(15,6,(ROW(Tiere!$BN$2:$BN$145)-1)/(--(SEARCH(BA$2,Tiere!$BN$2:$BN$145)&gt;0)),ROW()-1),1))))))))),"")</f>
        <v/>
      </c>
      <c r="BA143" s="2438"/>
      <c r="BB143" s="2472" t="str">
        <f>IFERROR(IF(OR(BC$2="ZURÜCK ZUR AUSWAHL",BC$2="",BC$2=0),"",IF(BC$2=$BO$1,$BO142,IF(BC$2=$BP$1,$BP142,IF(BC$2=$BQ$1,$BQ142,IF(BC$2=$BR$1,$BR142,IF(BC$2=$BS$1,$BS142,IF(BC$2=$BT$1,$BT142,IF(BC$2=$BU$1,$BU142,INDEX(Tiere!$BN$2:$BN$145,_xlfn.AGGREGATE(15,6,(ROW(Tiere!$BN$2:$BN$145)-1)/(--(SEARCH(BC$2,Tiere!$BN$2:$BN$145)&gt;0)),ROW()-1),1))))))))),"")</f>
        <v/>
      </c>
      <c r="BC143" s="2438"/>
      <c r="BD143" s="2472" t="str">
        <f>IFERROR(IF(OR(BE$2="ZURÜCK ZUR AUSWAHL",BE$2="",BE$2=0),"",IF(BE$2=$BO$1,$BO142,IF(BE$2=$BP$1,$BP142,IF(BE$2=$BQ$1,$BQ142,IF(BE$2=$BR$1,$BR142,IF(BE$2=$BS$1,$BS142,IF(BE$2=$BT$1,$BT142,IF(BE$2=$BU$1,$BU142,INDEX(Tiere!$BN$2:$BN$145,_xlfn.AGGREGATE(15,6,(ROW(Tiere!$BN$2:$BN$145)-1)/(--(SEARCH(BE$2,Tiere!$BN$2:$BN$145)&gt;0)),ROW()-1),1))))))))),"")</f>
        <v/>
      </c>
      <c r="BE143" s="2438"/>
      <c r="BF143" s="2472" t="str">
        <f>IFERROR(IF(OR(BG$2="ZURÜCK ZUR AUSWAHL",BG$2="",BG$2=0),"",IF(BG$2=$BO$1,$BO142,IF(BG$2=$BP$1,$BP142,IF(BG$2=$BQ$1,$BQ142,IF(BG$2=$BR$1,$BR142,IF(BG$2=$BS$1,$BS142,IF(BG$2=$BT$1,$BT142,IF(BG$2=$BU$1,$BU142,INDEX(Tiere!$BN$2:$BN$145,_xlfn.AGGREGATE(15,6,(ROW(Tiere!$BN$2:$BN$145)-1)/(--(SEARCH(BG$2,Tiere!$BN$2:$BN$145)&gt;0)),ROW()-1),1))))))))),"")</f>
        <v/>
      </c>
      <c r="BG143" s="2438"/>
      <c r="BH143" s="2472" t="str">
        <f>IFERROR(IF(OR(BI$2="ZURÜCK ZUR AUSWAHL",BI$2="",BI$2=0),"",IF(BI$2=$BO$1,$BO142,IF(BI$2=$BP$1,$BP142,IF(BI$2=$BQ$1,$BQ142,IF(BI$2=$BR$1,$BR142,IF(BI$2=$BS$1,$BS142,IF(BI$2=$BT$1,$BT142,IF(BI$2=$BU$1,$BU142,INDEX(Tiere!$BN$2:$BN$145,_xlfn.AGGREGATE(15,6,(ROW(Tiere!$BN$2:$BN$145)-1)/(--(SEARCH(BI$2,Tiere!$BN$2:$BN$145)&gt;0)),ROW()-1),1))))))))),"")</f>
        <v/>
      </c>
      <c r="BI143" s="2438"/>
      <c r="BJ143" s="2472" t="str">
        <f>IFERROR(IF(OR(BK$2="ZURÜCK ZUR AUSWAHL",BK$2="",BK$2=0),"",IF(BK$2=$BO$1,$BO142,IF(BK$2=$BP$1,$BP142,IF(BK$2=$BQ$1,$BQ142,IF(BK$2=$BR$1,$BR142,IF(BK$2=$BS$1,$BS142,IF(BK$2=$BT$1,$BT142,IF(BK$2=$BU$1,$BU142,INDEX(Tiere!$BN$2:$BN$145,_xlfn.AGGREGATE(15,6,(ROW(Tiere!$BN$2:$BN$145)-1)/(--(SEARCH(BK$2,Tiere!$BN$2:$BN$145)&gt;0)),ROW()-1),1))))))))),"")</f>
        <v/>
      </c>
      <c r="BK143" s="2438"/>
      <c r="BL143" s="2472" t="str">
        <f>IFERROR(IF(OR(BM$2="ZURÜCK ZUR AUSWAHL",BM$2="",BM$2=0),"",IF(BM$2=$BO$1,$BO142,IF(BM$2=$BP$1,$BP142,IF(BM$2=$BQ$1,$BQ142,IF(BM$2=$BR$1,$BR142,IF(BM$2=$BS$1,$BS142,IF(BM$2=$BT$1,$BT142,IF(BM$2=$BU$1,$BU142,INDEX(Tiere!$BN$2:$BN$145,_xlfn.AGGREGATE(15,6,(ROW(Tiere!$BN$2:$BN$145)-1)/(--(SEARCH(BM$2,Tiere!$BN$2:$BN$145)&gt;0)),ROW()-1),1))))))))),"")</f>
        <v/>
      </c>
      <c r="BM143" s="2438"/>
      <c r="BN143" s="2478" t="s">
        <v>1321</v>
      </c>
      <c r="BO143" s="2470"/>
      <c r="BP143" s="2470"/>
      <c r="BQ143" s="2470"/>
      <c r="BR143" s="2470"/>
      <c r="BS143" s="2470"/>
      <c r="BT143" s="2470"/>
      <c r="BU143" s="2470"/>
    </row>
    <row r="144" spans="36:73" ht="13.2">
      <c r="AJ144" s="2472" t="str">
        <f>IFERROR(IF(OR(AK$2="ZURÜCK ZUR AUSWAHL",AK$2="",AK$2=0),"",IF(AK$2=$BO$1,$BO143,IF(AK$2=$BP$1,$BP143,IF(AK$2=$BQ$1,$BQ143,IF(AK$2=$BR$1,$BR143,IF(AK$2=$BS$1,$BS143,IF(AK$2=$BT$1,$BT143,IF(AK$2=$BU$1,$BU143,INDEX(Tiere!$BN$2:$BN$145,_xlfn.AGGREGATE(15,6,(ROW(Tiere!$BN$2:$BN$145)-1)/(--(SEARCH(AK$2,Tiere!$BN$2:$BN$145)&gt;0)),ROW()-2),1))))))))),"")</f>
        <v/>
      </c>
      <c r="AK144" s="2436"/>
      <c r="AL144" s="2472" t="str">
        <f>IFERROR(IF(OR(AM$2="ZURÜCK ZUR AUSWAHL",AM$2="",AM$2=0),"",IF(AM$2=$BO$1,$BO143,IF(AM$2=$BP$1,$BP143,IF(AM$2=$BQ$1,$BQ143,IF(AM$2=$BR$1,$BR143,IF(AM$2=$BS$1,$BS143,IF(AM$2=$BT$1,$BT143,IF(AM$2=$BU$1,$BU143,INDEX(Tiere!$BN$2:$BN$145,_xlfn.AGGREGATE(15,6,(ROW(Tiere!$BN$2:$BN$145)-1)/(--(SEARCH(AM$2,Tiere!$BN$2:$BN$145)&gt;0)),ROW()-1),1))))))))),"")</f>
        <v/>
      </c>
      <c r="AM144" s="2436"/>
      <c r="AN144" s="2472" t="str">
        <f>IFERROR(IF(OR(AO$2="ZURÜCK ZUR AUSWAHL",AO$2="",AO$2=0),"",IF(AO$2=$BO$1,$BO143,IF(AO$2=$BP$1,$BP143,IF(AO$2=$BQ$1,$BQ143,IF(AO$2=$BR$1,$BR143,IF(AO$2=$BS$1,$BS143,IF(AO$2=$BT$1,$BT143,IF(AO$2=$BU$1,$BU143,INDEX(Tiere!$BN$2:$BN$145,_xlfn.AGGREGATE(15,6,(ROW(Tiere!$BN$2:$BN$145)-1)/(--(SEARCH(AO$2,Tiere!$BN$2:$BN$145)&gt;0)),ROW()-1),1))))))))),"")</f>
        <v/>
      </c>
      <c r="AO144" s="2436"/>
      <c r="AP144" s="2472" t="str">
        <f>IFERROR(IF(OR(AQ$2="ZURÜCK ZUR AUSWAHL",AQ$2="",AQ$2=0),"",IF(AQ$2=$BO$1,$BO143,IF(AQ$2=$BP$1,$BP143,IF(AQ$2=$BQ$1,$BQ143,IF(AQ$2=$BR$1,$BR143,IF(AQ$2=$BS$1,$BS143,IF(AQ$2=$BT$1,$BT143,IF(AQ$2=$BU$1,$BU143,INDEX(Tiere!$BN$2:$BN$145,_xlfn.AGGREGATE(15,6,(ROW(Tiere!$BN$2:$BN$145)-1)/(--(SEARCH(AQ$2,Tiere!$BN$2:$BN$145)&gt;0)),ROW()-1),1))))))))),"")</f>
        <v/>
      </c>
      <c r="AQ144" s="2436"/>
      <c r="AR144" s="2472" t="str">
        <f>IFERROR(IF(OR(AS$2="ZURÜCK ZUR AUSWAHL",AS$2="",AS$2=0),"",IF(AS$2=$BO$1,$BO143,IF(AS$2=$BP$1,$BP143,IF(AS$2=$BQ$1,$BQ143,IF(AS$2=$BR$1,$BR143,IF(AS$2=$BS$1,$BS143,IF(AS$2=$BT$1,$BT143,IF(AS$2=$BU$1,$BU143,INDEX(Tiere!$BN$2:$BN$145,_xlfn.AGGREGATE(15,6,(ROW(Tiere!$BN$2:$BN$145)-1)/(--(SEARCH(AS$2,Tiere!$BN$2:$BN$145)&gt;0)),ROW()-1),1))))))))),"")</f>
        <v/>
      </c>
      <c r="AS144" s="2436"/>
      <c r="AT144" s="2472" t="str">
        <f>IFERROR(IF(OR(AU$2="ZURÜCK ZUR AUSWAHL",AU$2="",AU$2=0),"",IF(AU$2=$BO$1,$BO143,IF(AU$2=$BP$1,$BP143,IF(AU$2=$BQ$1,$BQ143,IF(AU$2=$BR$1,$BR143,IF(AU$2=$BS$1,$BS143,IF(AU$2=$BT$1,$BT143,IF(AU$2=$BU$1,$BU143,INDEX(Tiere!$BN$2:$BN$145,_xlfn.AGGREGATE(15,6,(ROW(Tiere!$BN$2:$BN$145)-1)/(--(SEARCH(AU$2,Tiere!$BN$2:$BN$145)&gt;0)),ROW()-1),1))))))))),"")</f>
        <v/>
      </c>
      <c r="AU144" s="2436"/>
      <c r="AV144" s="2472" t="str">
        <f>IFERROR(IF(OR(AW$2="ZURÜCK ZUR AUSWAHL",AW$2="",AW$2=0),"",IF(AW$2=$BO$1,$BO143,IF(AW$2=$BP$1,$BP143,IF(AW$2=$BQ$1,$BQ143,IF(AW$2=$BR$1,$BR143,IF(AW$2=$BS$1,$BS143,IF(AW$2=$BT$1,$BT143,IF(AW$2=$BU$1,$BU143,INDEX(Tiere!$BN$2:$BN$145,_xlfn.AGGREGATE(15,6,(ROW(Tiere!$BN$2:$BN$145)-1)/(--(SEARCH(AW$2,Tiere!$BN$2:$BN$145)&gt;0)),ROW()-1),1))))))))),"")</f>
        <v/>
      </c>
      <c r="AW144" s="2436"/>
      <c r="AX144" s="2472" t="str">
        <f>IFERROR(IF(OR(AY$2="ZURÜCK ZUR AUSWAHL",AY$2="",AY$2=0),"",IF(AY$2=$BO$1,$BO143,IF(AY$2=$BP$1,$BP143,IF(AY$2=$BQ$1,$BQ143,IF(AY$2=$BR$1,$BR143,IF(AY$2=$BS$1,$BS143,IF(AY$2=$BT$1,$BT143,IF(AY$2=$BU$1,$BU143,INDEX(Tiere!$BN$2:$BN$145,_xlfn.AGGREGATE(15,6,(ROW(Tiere!$BN$2:$BN$145)-1)/(--(SEARCH(AY$2,Tiere!$BN$2:$BN$145)&gt;0)),ROW()-1),1))))))))),"")</f>
        <v/>
      </c>
      <c r="AY144" s="2436"/>
      <c r="AZ144" s="2472" t="str">
        <f>IFERROR(IF(OR(BA$2="ZURÜCK ZUR AUSWAHL",BA$2="",BA$2=0),"",IF(BA$2=$BO$1,$BO143,IF(BA$2=$BP$1,$BP143,IF(BA$2=$BQ$1,$BQ143,IF(BA$2=$BR$1,$BR143,IF(BA$2=$BS$1,$BS143,IF(BA$2=$BT$1,$BT143,IF(BA$2=$BU$1,$BU143,INDEX(Tiere!$BN$2:$BN$145,_xlfn.AGGREGATE(15,6,(ROW(Tiere!$BN$2:$BN$145)-1)/(--(SEARCH(BA$2,Tiere!$BN$2:$BN$145)&gt;0)),ROW()-1),1))))))))),"")</f>
        <v/>
      </c>
      <c r="BA144" s="2436"/>
      <c r="BB144" s="2472" t="str">
        <f>IFERROR(IF(OR(BC$2="ZURÜCK ZUR AUSWAHL",BC$2="",BC$2=0),"",IF(BC$2=$BO$1,$BO143,IF(BC$2=$BP$1,$BP143,IF(BC$2=$BQ$1,$BQ143,IF(BC$2=$BR$1,$BR143,IF(BC$2=$BS$1,$BS143,IF(BC$2=$BT$1,$BT143,IF(BC$2=$BU$1,$BU143,INDEX(Tiere!$BN$2:$BN$145,_xlfn.AGGREGATE(15,6,(ROW(Tiere!$BN$2:$BN$145)-1)/(--(SEARCH(BC$2,Tiere!$BN$2:$BN$145)&gt;0)),ROW()-1),1))))))))),"")</f>
        <v/>
      </c>
      <c r="BC144" s="2436"/>
      <c r="BD144" s="2472" t="str">
        <f>IFERROR(IF(OR(BE$2="ZURÜCK ZUR AUSWAHL",BE$2="",BE$2=0),"",IF(BE$2=$BO$1,$BO143,IF(BE$2=$BP$1,$BP143,IF(BE$2=$BQ$1,$BQ143,IF(BE$2=$BR$1,$BR143,IF(BE$2=$BS$1,$BS143,IF(BE$2=$BT$1,$BT143,IF(BE$2=$BU$1,$BU143,INDEX(Tiere!$BN$2:$BN$145,_xlfn.AGGREGATE(15,6,(ROW(Tiere!$BN$2:$BN$145)-1)/(--(SEARCH(BE$2,Tiere!$BN$2:$BN$145)&gt;0)),ROW()-1),1))))))))),"")</f>
        <v/>
      </c>
      <c r="BE144" s="2436"/>
      <c r="BF144" s="2472" t="str">
        <f>IFERROR(IF(OR(BG$2="ZURÜCK ZUR AUSWAHL",BG$2="",BG$2=0),"",IF(BG$2=$BO$1,$BO143,IF(BG$2=$BP$1,$BP143,IF(BG$2=$BQ$1,$BQ143,IF(BG$2=$BR$1,$BR143,IF(BG$2=$BS$1,$BS143,IF(BG$2=$BT$1,$BT143,IF(BG$2=$BU$1,$BU143,INDEX(Tiere!$BN$2:$BN$145,_xlfn.AGGREGATE(15,6,(ROW(Tiere!$BN$2:$BN$145)-1)/(--(SEARCH(BG$2,Tiere!$BN$2:$BN$145)&gt;0)),ROW()-1),1))))))))),"")</f>
        <v/>
      </c>
      <c r="BG144" s="2436"/>
      <c r="BH144" s="2472" t="str">
        <f>IFERROR(IF(OR(BI$2="ZURÜCK ZUR AUSWAHL",BI$2="",BI$2=0),"",IF(BI$2=$BO$1,$BO143,IF(BI$2=$BP$1,$BP143,IF(BI$2=$BQ$1,$BQ143,IF(BI$2=$BR$1,$BR143,IF(BI$2=$BS$1,$BS143,IF(BI$2=$BT$1,$BT143,IF(BI$2=$BU$1,$BU143,INDEX(Tiere!$BN$2:$BN$145,_xlfn.AGGREGATE(15,6,(ROW(Tiere!$BN$2:$BN$145)-1)/(--(SEARCH(BI$2,Tiere!$BN$2:$BN$145)&gt;0)),ROW()-1),1))))))))),"")</f>
        <v/>
      </c>
      <c r="BI144" s="2436"/>
      <c r="BJ144" s="2472" t="str">
        <f>IFERROR(IF(OR(BK$2="ZURÜCK ZUR AUSWAHL",BK$2="",BK$2=0),"",IF(BK$2=$BO$1,$BO143,IF(BK$2=$BP$1,$BP143,IF(BK$2=$BQ$1,$BQ143,IF(BK$2=$BR$1,$BR143,IF(BK$2=$BS$1,$BS143,IF(BK$2=$BT$1,$BT143,IF(BK$2=$BU$1,$BU143,INDEX(Tiere!$BN$2:$BN$145,_xlfn.AGGREGATE(15,6,(ROW(Tiere!$BN$2:$BN$145)-1)/(--(SEARCH(BK$2,Tiere!$BN$2:$BN$145)&gt;0)),ROW()-1),1))))))))),"")</f>
        <v/>
      </c>
      <c r="BK144" s="2436"/>
      <c r="BL144" s="2472" t="str">
        <f>IFERROR(IF(OR(BM$2="ZURÜCK ZUR AUSWAHL",BM$2="",BM$2=0),"",IF(BM$2=$BO$1,$BO143,IF(BM$2=$BP$1,$BP143,IF(BM$2=$BQ$1,$BQ143,IF(BM$2=$BR$1,$BR143,IF(BM$2=$BS$1,$BS143,IF(BM$2=$BT$1,$BT143,IF(BM$2=$BU$1,$BU143,INDEX(Tiere!$BN$2:$BN$145,_xlfn.AGGREGATE(15,6,(ROW(Tiere!$BN$2:$BN$145)-1)/(--(SEARCH(BM$2,Tiere!$BN$2:$BN$145)&gt;0)),ROW()-1),1))))))))),"")</f>
        <v/>
      </c>
      <c r="BM144" s="2436"/>
      <c r="BN144" s="2478" t="s">
        <v>1322</v>
      </c>
      <c r="BO144" s="2470"/>
      <c r="BP144" s="2470"/>
      <c r="BQ144" s="2470"/>
      <c r="BR144" s="2470"/>
      <c r="BS144" s="2470"/>
      <c r="BT144" s="2470"/>
      <c r="BU144" s="2470"/>
    </row>
    <row r="145" spans="36:73" ht="13.2">
      <c r="AJ145" s="2479"/>
      <c r="AK145" s="2479"/>
      <c r="AL145" s="2439"/>
      <c r="AM145" s="2479"/>
      <c r="AN145" s="2439"/>
      <c r="AO145" s="2479"/>
      <c r="AP145" s="2439"/>
      <c r="AQ145" s="2479"/>
      <c r="AR145" s="2439"/>
      <c r="AS145" s="2479"/>
      <c r="AT145" s="2439"/>
      <c r="AU145" s="2479"/>
      <c r="AV145" s="2439"/>
      <c r="AW145" s="2479"/>
      <c r="AX145" s="2439"/>
      <c r="AY145" s="2479"/>
      <c r="AZ145" s="2439"/>
      <c r="BA145" s="2479"/>
      <c r="BB145" s="2439"/>
      <c r="BC145" s="2479"/>
      <c r="BD145" s="2439"/>
      <c r="BE145" s="2479"/>
      <c r="BF145" s="2439"/>
      <c r="BG145" s="2479"/>
      <c r="BH145" s="2439"/>
      <c r="BI145" s="2479"/>
      <c r="BJ145" s="2439"/>
      <c r="BK145" s="2479"/>
      <c r="BL145" s="2439"/>
      <c r="BM145" s="2479"/>
      <c r="BN145" s="2478" t="s">
        <v>1323</v>
      </c>
      <c r="BO145" s="2470"/>
      <c r="BP145" s="2470"/>
      <c r="BQ145" s="2470"/>
      <c r="BR145" s="2470"/>
      <c r="BS145" s="2470"/>
      <c r="BT145" s="2470"/>
      <c r="BU145" s="2470"/>
    </row>
    <row r="146" spans="36:73" ht="13.2">
      <c r="BN146" s="2439"/>
      <c r="BO146" s="2439"/>
      <c r="BP146" s="2439"/>
      <c r="BQ146" s="2439"/>
      <c r="BR146" s="2439"/>
      <c r="BS146" s="2439"/>
      <c r="BT146" s="2439"/>
      <c r="BU146" s="2439"/>
    </row>
  </sheetData>
  <sheetProtection password="CAEF" sheet="1" formatCells="0" formatRows="0"/>
  <mergeCells count="52">
    <mergeCell ref="S1:X1"/>
    <mergeCell ref="B21:B22"/>
    <mergeCell ref="R22:T22"/>
    <mergeCell ref="O1:P1"/>
    <mergeCell ref="Q1:R1"/>
    <mergeCell ref="B9:H9"/>
    <mergeCell ref="J3:J4"/>
    <mergeCell ref="K4:L4"/>
    <mergeCell ref="M4:N4"/>
    <mergeCell ref="I3:I4"/>
    <mergeCell ref="B7:H7"/>
    <mergeCell ref="B8:H8"/>
    <mergeCell ref="B15:H15"/>
    <mergeCell ref="B16:H16"/>
    <mergeCell ref="B17:H17"/>
    <mergeCell ref="B18:H18"/>
    <mergeCell ref="B19:H19"/>
    <mergeCell ref="B14:H14"/>
    <mergeCell ref="V3:W3"/>
    <mergeCell ref="B13:H13"/>
    <mergeCell ref="O4:Q4"/>
    <mergeCell ref="B5:H5"/>
    <mergeCell ref="B6:H6"/>
    <mergeCell ref="B12:H12"/>
    <mergeCell ref="B11:H11"/>
    <mergeCell ref="S3:U3"/>
    <mergeCell ref="B10:H10"/>
    <mergeCell ref="B4:F4"/>
    <mergeCell ref="B3:F3"/>
    <mergeCell ref="G3:H3"/>
    <mergeCell ref="Z30:Z31"/>
    <mergeCell ref="G35:K35"/>
    <mergeCell ref="V32:X33"/>
    <mergeCell ref="B33:D33"/>
    <mergeCell ref="H33:K33"/>
    <mergeCell ref="B34:D34"/>
    <mergeCell ref="H34:K34"/>
    <mergeCell ref="R34:S35"/>
    <mergeCell ref="T34:T35"/>
    <mergeCell ref="B32:D32"/>
    <mergeCell ref="U34:U35"/>
    <mergeCell ref="V34:X35"/>
    <mergeCell ref="B35:D35"/>
    <mergeCell ref="M32:O33"/>
    <mergeCell ref="P32:P33"/>
    <mergeCell ref="T32:T33"/>
    <mergeCell ref="V22:X22"/>
    <mergeCell ref="H32:K32"/>
    <mergeCell ref="U32:U33"/>
    <mergeCell ref="O22:Q23"/>
    <mergeCell ref="Q32:Q33"/>
    <mergeCell ref="R32:S33"/>
  </mergeCells>
  <phoneticPr fontId="38" type="noConversion"/>
  <conditionalFormatting sqref="E32">
    <cfRule type="cellIs" dxfId="252" priority="18" stopIfTrue="1" operator="greaterThan">
      <formula>0</formula>
    </cfRule>
  </conditionalFormatting>
  <conditionalFormatting sqref="E33">
    <cfRule type="cellIs" dxfId="251" priority="19" stopIfTrue="1" operator="greaterThan">
      <formula>0</formula>
    </cfRule>
  </conditionalFormatting>
  <conditionalFormatting sqref="E34">
    <cfRule type="cellIs" dxfId="250" priority="20" stopIfTrue="1" operator="greaterThan">
      <formula>0</formula>
    </cfRule>
  </conditionalFormatting>
  <conditionalFormatting sqref="G32">
    <cfRule type="cellIs" dxfId="249" priority="21" stopIfTrue="1" operator="greaterThan">
      <formula>0</formula>
    </cfRule>
  </conditionalFormatting>
  <conditionalFormatting sqref="G33">
    <cfRule type="cellIs" dxfId="248" priority="22" stopIfTrue="1" operator="greaterThan">
      <formula>0</formula>
    </cfRule>
  </conditionalFormatting>
  <conditionalFormatting sqref="G34">
    <cfRule type="cellIs" dxfId="247" priority="23" stopIfTrue="1" operator="greaterThan">
      <formula>0</formula>
    </cfRule>
  </conditionalFormatting>
  <conditionalFormatting sqref="H33">
    <cfRule type="cellIs" dxfId="246" priority="26" stopIfTrue="1" operator="equal">
      <formula>"Zuviel Wirtschaftsdünger!"</formula>
    </cfRule>
  </conditionalFormatting>
  <conditionalFormatting sqref="V32">
    <cfRule type="cellIs" dxfId="245" priority="27" stopIfTrue="1" operator="equal">
      <formula>"Bestimmungen eingehalten"</formula>
    </cfRule>
    <cfRule type="cellIs" dxfId="244" priority="28" stopIfTrue="1" operator="equal">
      <formula>"Achtung, für Gülle und Jauche zu gering!"</formula>
    </cfRule>
  </conditionalFormatting>
  <conditionalFormatting sqref="V34">
    <cfRule type="cellIs" dxfId="243" priority="29" stopIfTrue="1" operator="equal">
      <formula>"Bestimmungen eingehalten"</formula>
    </cfRule>
    <cfRule type="cellIs" dxfId="242" priority="30" stopIfTrue="1" operator="equal">
      <formula>"Achtung, Lagerraum für Mist zu gering!"</formula>
    </cfRule>
  </conditionalFormatting>
  <conditionalFormatting sqref="H34">
    <cfRule type="cellIs" dxfId="241" priority="17" stopIfTrue="1" operator="equal">
      <formula>"Wasserrechtsgesetz nicht eingehalten!"</formula>
    </cfRule>
  </conditionalFormatting>
  <conditionalFormatting sqref="G35:K35">
    <cfRule type="expression" dxfId="240" priority="16" stopIfTrue="1">
      <formula>$E$35&gt;0</formula>
    </cfRule>
  </conditionalFormatting>
  <conditionalFormatting sqref="E35">
    <cfRule type="cellIs" dxfId="239" priority="15" stopIfTrue="1" operator="notEqual">
      <formula>0</formula>
    </cfRule>
  </conditionalFormatting>
  <conditionalFormatting sqref="B8:B19">
    <cfRule type="expression" dxfId="238" priority="13">
      <formula>AND($B7&lt;&gt;"",$I7&lt;&gt;"",$B8="")</formula>
    </cfRule>
  </conditionalFormatting>
  <conditionalFormatting sqref="B5:H5">
    <cfRule type="expression" dxfId="237" priority="82">
      <formula>OR($B$5="ZURÜCK ZUR AUSWAHL",$B$5=0,$B$5="",$AF2&lt;&gt;1,$B$5=$BO$1,$B$5=$BP$1,$B$5=$BQ$1,$B$5=$BR$1,$B$5=$BS$1,$B$5=$BT$1,$B$5=$BU$1)</formula>
    </cfRule>
  </conditionalFormatting>
  <conditionalFormatting sqref="B6:B19">
    <cfRule type="expression" dxfId="236" priority="84">
      <formula>AND($B5&lt;&gt;"",$AH2=1,$I5&gt;0,OR($B6="",$B6=0,$AF3&lt;&gt;1))</formula>
    </cfRule>
    <cfRule type="expression" dxfId="235" priority="85">
      <formula>OR($B6=$BO$1,$B6=$BP$1,$B6=$BQ$1,$B6=$BR$1,$B6=$BS$1,$B6=$BT$1,$B6=$BU$1)</formula>
    </cfRule>
  </conditionalFormatting>
  <conditionalFormatting sqref="I5:I19">
    <cfRule type="expression" dxfId="234" priority="86">
      <formula>AND($I5="",$AH2=1)</formula>
    </cfRule>
  </conditionalFormatting>
  <conditionalFormatting sqref="G3:H3">
    <cfRule type="expression" dxfId="233" priority="3">
      <formula>OR($AG$2=1,$AG$3=1,$AG$4=1,$AG$5=1,$AG$6=1,$AG$7=1,$AG$8=1,$AG$9=1,$AG$10=1,$AG$11=1,$AG$12=1,$AG$13=1,$AG$14=1,$AG$15=1)</formula>
    </cfRule>
  </conditionalFormatting>
  <conditionalFormatting sqref="H4">
    <cfRule type="expression" dxfId="232" priority="2">
      <formula>OR($AG$2=1,$AG$3=1,$AG$4=1,$AG$5=1,$AG$6=1,$AG$7=1,$AG$8=1,$AG$9=1,$AG$10=1,$AG$11=1,$AG$12=1,$AG$13=1,$AG$14=1,$AG$15=1)</formula>
    </cfRule>
  </conditionalFormatting>
  <conditionalFormatting sqref="B6:B19">
    <cfRule type="expression" dxfId="231" priority="1">
      <formula>$B6="ZURÜCK ZUR AUSWAHL"</formula>
    </cfRule>
  </conditionalFormatting>
  <dataValidations count="16">
    <dataValidation type="list" operator="equal" allowBlank="1" showErrorMessage="1" sqref="G4">
      <formula1>Liste_ja</formula1>
      <formula2>0</formula2>
    </dataValidation>
    <dataValidation type="list" operator="equal" sqref="B5:H5">
      <formula1>TiereB5</formula1>
    </dataValidation>
    <dataValidation type="list" operator="equal" allowBlank="1" sqref="B6">
      <formula1>TiereB6</formula1>
    </dataValidation>
    <dataValidation type="list" operator="equal" allowBlank="1" sqref="B7">
      <formula1>TiereB7</formula1>
    </dataValidation>
    <dataValidation type="list" operator="equal" allowBlank="1" sqref="B8">
      <formula1>TiereB8</formula1>
    </dataValidation>
    <dataValidation type="list" operator="equal" allowBlank="1" sqref="B9">
      <formula1>TiereB9</formula1>
    </dataValidation>
    <dataValidation type="list" operator="equal" allowBlank="1" sqref="B10">
      <formula1>TiereB10</formula1>
    </dataValidation>
    <dataValidation type="list" operator="equal" allowBlank="1" sqref="B11">
      <formula1>TiereB11</formula1>
    </dataValidation>
    <dataValidation type="list" operator="equal" allowBlank="1" sqref="B12">
      <formula1>TiereB12</formula1>
    </dataValidation>
    <dataValidation type="list" operator="equal" allowBlank="1" sqref="B13">
      <formula1>TiereB13</formula1>
    </dataValidation>
    <dataValidation type="list" operator="equal" allowBlank="1" sqref="B14">
      <formula1>TiereB14</formula1>
    </dataValidation>
    <dataValidation type="list" operator="equal" allowBlank="1" sqref="B15">
      <formula1>TiereB15</formula1>
    </dataValidation>
    <dataValidation type="list" operator="equal" allowBlank="1" sqref="B16">
      <formula1>TiereB16</formula1>
    </dataValidation>
    <dataValidation type="list" operator="equal" allowBlank="1" sqref="B17">
      <formula1>TiereB17</formula1>
    </dataValidation>
    <dataValidation type="list" operator="equal" allowBlank="1" sqref="B18">
      <formula1>TiereB18</formula1>
    </dataValidation>
    <dataValidation type="list" operator="equal" allowBlank="1" sqref="B19">
      <formula1>TiereB19</formula1>
    </dataValidation>
  </dataValidations>
  <hyperlinks>
    <hyperlink ref="O1" location="Betrieb!E10" display="◄"/>
    <hyperlink ref="Q1" location="Organ__Dü!B4" display="  ►"/>
    <hyperlink ref="Z32" r:id="rId1"/>
    <hyperlink ref="O1:P1" location="N_Bedarf!E4" display="◄"/>
    <hyperlink ref="Q1:R1" location="Hofdung!B4" display="  ►"/>
  </hyperlinks>
  <pageMargins left="0.51181102362204722" right="0.31496062992125984" top="0.74803149606299213" bottom="0.43307086614173229" header="0.31496062992125984" footer="0.27559055118110237"/>
  <pageSetup paperSize="9" scale="66" firstPageNumber="0" fitToHeight="0" orientation="landscape" blackAndWhite="1" horizontalDpi="300" verticalDpi="300" r:id="rId2"/>
  <headerFooter alignWithMargins="0">
    <oddHeader>&amp;R&amp;O</oddHeader>
    <oddFooter>&amp;L&amp;F&amp;C&amp;A&amp;R&amp;P von &amp;N</oddFooter>
  </headerFooter>
  <legacyDrawing r:id="rId3"/>
  <legacyDrawingHF r:id="rId4"/>
  <tableParts count="2">
    <tablePart r:id="rId5"/>
    <tablePart r:id="rId6"/>
  </tableParts>
  <extLst>
    <ext xmlns:x14="http://schemas.microsoft.com/office/spreadsheetml/2009/9/main" uri="{78C0D931-6437-407d-A8EE-F0AAD7539E65}">
      <x14:conditionalFormattings>
        <x14:conditionalFormatting xmlns:xm="http://schemas.microsoft.com/office/excel/2006/main">
          <x14:cfRule type="expression" priority="8" id="{F68D472E-1F4E-4DB6-9433-A0000AB037AB}">
            <xm:f>AND(OR(Tabelle1!$DE$23=1,Tabelle1!$DG$23=1),Betrieb!$D$18&gt;0)</xm:f>
            <x14:dxf>
              <font>
                <b/>
                <i val="0"/>
              </font>
              <fill>
                <patternFill>
                  <bgColor rgb="FFFFC000"/>
                </patternFill>
              </fill>
              <border>
                <left style="thin">
                  <color auto="1"/>
                </left>
                <right style="thin">
                  <color auto="1"/>
                </right>
                <top style="thin">
                  <color auto="1"/>
                </top>
                <bottom style="thin">
                  <color auto="1"/>
                </bottom>
                <vertical/>
                <horizontal/>
              </border>
            </x14:dxf>
          </x14:cfRule>
          <xm:sqref>H32:K32</xm:sqref>
        </x14:conditionalFormatting>
      </x14:conditionalFormatting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6">
    <tabColor theme="9" tint="0.39997558519241921"/>
    <pageSetUpPr fitToPage="1"/>
  </sheetPr>
  <dimension ref="A1:AX97"/>
  <sheetViews>
    <sheetView showZeros="0" zoomScaleNormal="100" workbookViewId="0">
      <selection activeCell="F13" sqref="F13"/>
    </sheetView>
  </sheetViews>
  <sheetFormatPr baseColWidth="10" defaultColWidth="7.33203125" defaultRowHeight="13.2"/>
  <cols>
    <col min="1" max="1" width="17" customWidth="1"/>
    <col min="2" max="2" width="19" customWidth="1"/>
    <col min="3" max="5" width="10.44140625" customWidth="1"/>
    <col min="6" max="6" width="9.109375" customWidth="1"/>
    <col min="7" max="7" width="9.33203125" customWidth="1"/>
    <col min="8" max="8" width="9.44140625" customWidth="1"/>
    <col min="9" max="9" width="8.88671875" customWidth="1"/>
    <col min="10" max="10" width="9.33203125" customWidth="1"/>
    <col min="11" max="11" width="6.6640625" customWidth="1"/>
    <col min="12" max="13" width="8" customWidth="1"/>
    <col min="16" max="16" width="7.6640625" customWidth="1"/>
    <col min="17" max="17" width="8.88671875" customWidth="1"/>
    <col min="18" max="18" width="9.33203125" customWidth="1"/>
    <col min="19" max="19" width="9.44140625" customWidth="1"/>
    <col min="20" max="20" width="8" customWidth="1"/>
    <col min="21" max="21" width="6.6640625" customWidth="1"/>
    <col min="22" max="22" width="7.6640625" customWidth="1"/>
    <col min="23" max="23" width="8" customWidth="1"/>
    <col min="24" max="24" width="7.33203125" hidden="1" customWidth="1"/>
    <col min="25" max="25" width="12.5546875" hidden="1" customWidth="1"/>
    <col min="26" max="50" width="7.33203125" hidden="1" customWidth="1"/>
    <col min="51" max="240" width="12.6640625" customWidth="1"/>
    <col min="241" max="241" width="15.88671875" customWidth="1"/>
    <col min="242" max="242" width="19" customWidth="1"/>
    <col min="243" max="245" width="10.44140625" customWidth="1"/>
    <col min="246" max="246" width="9.109375" customWidth="1"/>
    <col min="247" max="247" width="9.33203125" customWidth="1"/>
    <col min="248" max="248" width="9.44140625" customWidth="1"/>
    <col min="249" max="249" width="8.88671875" customWidth="1"/>
    <col min="250" max="251" width="6.6640625" customWidth="1"/>
    <col min="252" max="252" width="8" customWidth="1"/>
    <col min="253" max="253" width="7.44140625" customWidth="1"/>
  </cols>
  <sheetData>
    <row r="1" spans="1:50" ht="27.15" customHeight="1">
      <c r="A1" s="1309" t="s">
        <v>1578</v>
      </c>
      <c r="B1" s="1309"/>
      <c r="C1" s="1309"/>
      <c r="D1" s="1309"/>
      <c r="E1" s="1309"/>
      <c r="F1" s="1309"/>
      <c r="G1" s="1309"/>
      <c r="H1" s="1309"/>
      <c r="I1" s="1309"/>
      <c r="J1" s="1309"/>
      <c r="K1" s="1309"/>
      <c r="L1" s="1309"/>
      <c r="M1" s="2762" t="s">
        <v>1383</v>
      </c>
      <c r="N1" s="2762"/>
      <c r="O1" s="2762" t="s">
        <v>1355</v>
      </c>
      <c r="P1" s="2762"/>
      <c r="Q1" s="216"/>
      <c r="R1" s="1309"/>
      <c r="S1" s="1309"/>
      <c r="T1" s="1309"/>
      <c r="U1" s="1309"/>
      <c r="V1" s="1309"/>
      <c r="W1" s="1309"/>
      <c r="X1" s="203"/>
      <c r="Y1" s="204"/>
      <c r="Z1" s="204"/>
      <c r="AA1" s="204"/>
      <c r="AB1" s="204"/>
      <c r="AC1" s="204"/>
      <c r="AD1" s="204"/>
      <c r="AE1" s="204"/>
      <c r="AF1" s="204"/>
      <c r="AG1" s="204"/>
      <c r="AH1" s="204"/>
      <c r="AI1" s="204"/>
      <c r="AJ1" s="204"/>
      <c r="AK1" s="204"/>
      <c r="AL1" s="204"/>
      <c r="AM1" s="204"/>
      <c r="AN1" s="204"/>
      <c r="AO1" s="204"/>
      <c r="AP1" s="204"/>
      <c r="AQ1" s="204"/>
      <c r="AR1" s="204"/>
      <c r="AS1" s="204"/>
      <c r="AT1" s="204"/>
      <c r="AU1" s="204"/>
      <c r="AV1" s="204"/>
      <c r="AW1" s="204"/>
      <c r="AX1" s="204"/>
    </row>
    <row r="2" spans="1:50" ht="20.25" customHeight="1">
      <c r="A2" s="529" t="s">
        <v>1579</v>
      </c>
      <c r="B2" s="529"/>
      <c r="C2" s="524"/>
      <c r="D2" s="524"/>
      <c r="E2" s="524"/>
      <c r="F2" s="524"/>
      <c r="G2" s="524"/>
      <c r="H2" s="524"/>
      <c r="I2" s="524"/>
      <c r="J2" s="610"/>
      <c r="K2" s="610"/>
      <c r="L2" s="610"/>
      <c r="M2" s="214"/>
      <c r="N2" s="214"/>
      <c r="O2" s="214"/>
      <c r="P2" s="214"/>
      <c r="Q2" s="214"/>
      <c r="R2" s="214"/>
      <c r="S2" s="214"/>
      <c r="T2" s="469"/>
      <c r="U2" s="617"/>
      <c r="V2" s="617"/>
      <c r="W2" s="214"/>
      <c r="X2" s="197"/>
      <c r="Y2" s="204"/>
      <c r="Z2" s="204"/>
      <c r="AA2" s="204"/>
      <c r="AB2" s="204"/>
      <c r="AC2" s="204"/>
      <c r="AD2" s="204"/>
      <c r="AE2" s="204"/>
      <c r="AF2" s="204"/>
      <c r="AG2" s="204"/>
      <c r="AH2" s="204"/>
      <c r="AI2" s="204"/>
      <c r="AJ2" s="204"/>
      <c r="AK2" s="204"/>
      <c r="AL2" s="204"/>
      <c r="AM2" s="204"/>
      <c r="AN2" s="204"/>
      <c r="AO2" s="204"/>
      <c r="AP2" s="204"/>
      <c r="AQ2" s="204"/>
      <c r="AR2" s="204"/>
      <c r="AS2" s="204"/>
      <c r="AT2" s="204"/>
      <c r="AU2" s="204"/>
      <c r="AV2" s="204"/>
      <c r="AW2" s="204"/>
      <c r="AX2" s="204"/>
    </row>
    <row r="3" spans="1:50" ht="31.5" customHeight="1">
      <c r="A3" s="1972" t="s">
        <v>1580</v>
      </c>
      <c r="B3" s="1973"/>
      <c r="C3" s="1974" t="s">
        <v>1581</v>
      </c>
      <c r="D3" s="1974" t="s">
        <v>1582</v>
      </c>
      <c r="E3" s="1974" t="s">
        <v>1583</v>
      </c>
      <c r="F3" s="1829" t="s">
        <v>1584</v>
      </c>
      <c r="G3" s="1829" t="s">
        <v>1161</v>
      </c>
      <c r="H3" s="1829" t="s">
        <v>1165</v>
      </c>
      <c r="I3" s="1829" t="s">
        <v>1167</v>
      </c>
      <c r="J3" s="1829" t="s">
        <v>1171</v>
      </c>
      <c r="K3" s="2750" t="s">
        <v>1585</v>
      </c>
      <c r="L3" s="2750"/>
      <c r="M3" s="2750"/>
      <c r="N3" s="2750"/>
      <c r="O3" s="2763" t="s">
        <v>1586</v>
      </c>
      <c r="P3" s="2763"/>
      <c r="Q3" s="214"/>
      <c r="R3" s="2764" t="s">
        <v>1587</v>
      </c>
      <c r="S3" s="2764"/>
      <c r="T3" s="1975" t="s">
        <v>1588</v>
      </c>
      <c r="U3" s="1976" t="s">
        <v>1589</v>
      </c>
      <c r="V3" s="1799" t="s">
        <v>1590</v>
      </c>
      <c r="W3" s="1977" t="s">
        <v>1591</v>
      </c>
      <c r="X3" s="197"/>
      <c r="Y3" s="205" t="s">
        <v>1592</v>
      </c>
      <c r="Z3" s="204"/>
      <c r="AG3" s="204"/>
      <c r="AH3" s="204"/>
      <c r="AI3" s="204"/>
      <c r="AJ3" s="204"/>
      <c r="AK3" s="204"/>
      <c r="AL3" s="204"/>
      <c r="AM3" s="204"/>
      <c r="AN3" s="204"/>
      <c r="AO3" s="204"/>
      <c r="AP3" s="204"/>
      <c r="AQ3" s="204"/>
      <c r="AR3" s="204"/>
      <c r="AS3" s="204"/>
      <c r="AT3" s="204"/>
      <c r="AU3" s="204"/>
      <c r="AV3" s="204"/>
      <c r="AW3" s="204"/>
      <c r="AX3" s="204"/>
    </row>
    <row r="4" spans="1:50" ht="15.6">
      <c r="A4" s="1522" t="s">
        <v>1502</v>
      </c>
      <c r="B4" s="1523"/>
      <c r="C4" s="1521">
        <f>Tabelle1!AS36</f>
        <v>0</v>
      </c>
      <c r="D4" s="1445">
        <f>Tabelle1!BD30</f>
        <v>0</v>
      </c>
      <c r="E4" s="1445">
        <f>Tabelle1!BJ30</f>
        <v>0</v>
      </c>
      <c r="F4" s="519" t="s">
        <v>1201</v>
      </c>
      <c r="G4" s="1516">
        <f>1-$N4</f>
        <v>1</v>
      </c>
      <c r="H4" s="1517"/>
      <c r="I4" s="1517"/>
      <c r="J4" s="1517"/>
      <c r="K4" s="2751" t="str">
        <f>IF(G4=1,"  in Grube 1",IF(Y4&gt;1,"Zuviel verteilt!","  Ok!"))</f>
        <v xml:space="preserve">  in Grube 1</v>
      </c>
      <c r="L4" s="2751"/>
      <c r="M4" s="2751"/>
      <c r="N4" s="1518">
        <f>H4+I4+J4</f>
        <v>0</v>
      </c>
      <c r="O4" s="2749">
        <f>Tiere!E33</f>
        <v>0</v>
      </c>
      <c r="P4" s="2749"/>
      <c r="Q4" s="214"/>
      <c r="R4" s="1978" t="s">
        <v>1550</v>
      </c>
      <c r="S4" s="1979"/>
      <c r="T4" s="1156">
        <v>0.87</v>
      </c>
      <c r="U4" s="1157">
        <v>0.7</v>
      </c>
      <c r="V4" s="1158">
        <v>0.5</v>
      </c>
      <c r="W4" s="1159" t="s">
        <v>1341</v>
      </c>
      <c r="X4" s="197"/>
      <c r="Y4" s="198">
        <f t="shared" ref="Y4:Y9" si="0">N4</f>
        <v>0</v>
      </c>
      <c r="Z4" s="204"/>
      <c r="AG4" s="204"/>
      <c r="AH4" s="204"/>
      <c r="AI4" s="204"/>
      <c r="AJ4" s="204"/>
      <c r="AK4" s="204"/>
      <c r="AL4" s="204"/>
      <c r="AM4" s="204"/>
      <c r="AN4" s="204"/>
      <c r="AO4" s="204"/>
      <c r="AP4" s="204"/>
      <c r="AQ4" s="204"/>
      <c r="AR4" s="204"/>
      <c r="AS4" s="204"/>
      <c r="AT4" s="204"/>
      <c r="AU4" s="204"/>
      <c r="AV4" s="204"/>
      <c r="AW4" s="204"/>
      <c r="AX4" s="204"/>
    </row>
    <row r="5" spans="1:50" ht="15.6">
      <c r="A5" s="1522" t="s">
        <v>1506</v>
      </c>
      <c r="B5" s="1523"/>
      <c r="C5" s="1445">
        <f>Tabelle1!AT36</f>
        <v>0</v>
      </c>
      <c r="D5" s="1445">
        <f>Tabelle1!BE30</f>
        <v>0</v>
      </c>
      <c r="E5" s="1445">
        <f>Tabelle1!BK30</f>
        <v>0</v>
      </c>
      <c r="F5" s="519" t="s">
        <v>1201</v>
      </c>
      <c r="G5" s="1517"/>
      <c r="H5" s="1516">
        <f>1-$N5</f>
        <v>1</v>
      </c>
      <c r="I5" s="1517"/>
      <c r="J5" s="1517"/>
      <c r="K5" s="2751" t="str">
        <f>IF(H5=1,"  in Grube 2",IF(Y5&gt;1,"Zuviel verteilt!","  Ok!"))</f>
        <v xml:space="preserve">  in Grube 2</v>
      </c>
      <c r="L5" s="2751"/>
      <c r="M5" s="2751"/>
      <c r="N5" s="1519">
        <f>G5+I5+J5</f>
        <v>0</v>
      </c>
      <c r="O5" s="2753" t="s">
        <v>1593</v>
      </c>
      <c r="P5" s="2753"/>
      <c r="Q5" s="214"/>
      <c r="R5" s="1980" t="s">
        <v>1594</v>
      </c>
      <c r="S5" s="1979"/>
      <c r="T5" s="1156">
        <v>0.87</v>
      </c>
      <c r="U5" s="1157">
        <v>0.8</v>
      </c>
      <c r="V5" s="1158">
        <v>0.65</v>
      </c>
      <c r="W5" s="1159" t="s">
        <v>1341</v>
      </c>
      <c r="X5" s="206"/>
      <c r="Y5" s="198">
        <f t="shared" si="0"/>
        <v>0</v>
      </c>
      <c r="Z5" s="204"/>
      <c r="AG5" s="204"/>
      <c r="AH5" s="204"/>
      <c r="AI5" s="204"/>
      <c r="AJ5" s="204"/>
      <c r="AK5" s="204"/>
      <c r="AL5" s="204"/>
      <c r="AM5" s="204"/>
      <c r="AN5" s="204"/>
      <c r="AO5" s="204"/>
      <c r="AP5" s="204"/>
      <c r="AQ5" s="204"/>
      <c r="AR5" s="204"/>
      <c r="AS5" s="204"/>
      <c r="AT5" s="204"/>
      <c r="AU5" s="204"/>
      <c r="AV5" s="204"/>
      <c r="AW5" s="204"/>
      <c r="AX5" s="204"/>
    </row>
    <row r="6" spans="1:50" ht="15.6">
      <c r="A6" s="1522" t="s">
        <v>1595</v>
      </c>
      <c r="B6" s="1523"/>
      <c r="C6" s="1445">
        <f>Tabelle1!AU36</f>
        <v>0</v>
      </c>
      <c r="D6" s="1445">
        <f>Tabelle1!BF30</f>
        <v>0</v>
      </c>
      <c r="E6" s="1445">
        <f>Tabelle1!BL30</f>
        <v>0</v>
      </c>
      <c r="F6" s="519" t="s">
        <v>1201</v>
      </c>
      <c r="G6" s="1517"/>
      <c r="H6" s="1517"/>
      <c r="I6" s="1516">
        <f>1-$N6</f>
        <v>1</v>
      </c>
      <c r="J6" s="1517"/>
      <c r="K6" s="2751" t="str">
        <f>IF(I6=1,"  in Grube 3",IF(Y6&gt;1,"Zuviel verteilt!","  Ok!"))</f>
        <v xml:space="preserve">  in Grube 3</v>
      </c>
      <c r="L6" s="2751"/>
      <c r="M6" s="2751"/>
      <c r="N6" s="1518">
        <f>G6+H6+J6</f>
        <v>0</v>
      </c>
      <c r="O6" s="2754">
        <f>Tiere!G33</f>
        <v>0</v>
      </c>
      <c r="P6" s="2754"/>
      <c r="Q6" s="214"/>
      <c r="R6" s="1978" t="s">
        <v>1552</v>
      </c>
      <c r="S6" s="1979"/>
      <c r="T6" s="1156">
        <v>0.87</v>
      </c>
      <c r="U6" s="1157">
        <v>0.85</v>
      </c>
      <c r="V6" s="1158">
        <v>0.6</v>
      </c>
      <c r="W6" s="1159" t="s">
        <v>1341</v>
      </c>
      <c r="X6" s="197"/>
      <c r="Y6" s="198">
        <f t="shared" si="0"/>
        <v>0</v>
      </c>
      <c r="Z6" s="204"/>
      <c r="AG6" s="204"/>
      <c r="AH6" s="204"/>
      <c r="AI6" s="204"/>
      <c r="AJ6" s="204"/>
      <c r="AK6" s="204"/>
      <c r="AL6" s="204"/>
      <c r="AM6" s="204"/>
      <c r="AN6" s="204"/>
      <c r="AO6" s="204"/>
      <c r="AP6" s="204"/>
      <c r="AQ6" s="204"/>
      <c r="AR6" s="204"/>
      <c r="AS6" s="204"/>
      <c r="AT6" s="204"/>
      <c r="AU6" s="204"/>
      <c r="AV6" s="204"/>
      <c r="AW6" s="204"/>
      <c r="AX6" s="204"/>
    </row>
    <row r="7" spans="1:50" ht="15.6">
      <c r="A7" s="1522" t="s">
        <v>926</v>
      </c>
      <c r="B7" s="1523"/>
      <c r="C7" s="1445">
        <f>Tabelle1!AV36</f>
        <v>0</v>
      </c>
      <c r="D7" s="1445">
        <f>Tabelle1!BG30</f>
        <v>0</v>
      </c>
      <c r="E7" s="1445">
        <f>Tabelle1!BM30</f>
        <v>0</v>
      </c>
      <c r="F7" s="519" t="s">
        <v>1201</v>
      </c>
      <c r="G7" s="1517"/>
      <c r="H7" s="1517"/>
      <c r="I7" s="1517"/>
      <c r="J7" s="1516">
        <f>1-$N7</f>
        <v>1</v>
      </c>
      <c r="K7" s="2751" t="str">
        <f>IF(J7=1,"  in Grube 4",IF(Y7&gt;1,"Zuviel verteilt!","  Ok!"))</f>
        <v xml:space="preserve">  in Grube 4</v>
      </c>
      <c r="L7" s="2751"/>
      <c r="M7" s="2751"/>
      <c r="N7" s="1518">
        <f>G7+H7+I7</f>
        <v>0</v>
      </c>
      <c r="O7" s="214"/>
      <c r="P7" s="214"/>
      <c r="Q7" s="214"/>
      <c r="R7" s="1978" t="s">
        <v>1556</v>
      </c>
      <c r="S7" s="1979"/>
      <c r="T7" s="1156">
        <v>0.87</v>
      </c>
      <c r="U7" s="1157">
        <v>1</v>
      </c>
      <c r="V7" s="1158">
        <v>0.9</v>
      </c>
      <c r="W7" s="1159" t="s">
        <v>1341</v>
      </c>
      <c r="X7" s="197"/>
      <c r="Y7" s="198">
        <f t="shared" si="0"/>
        <v>0</v>
      </c>
      <c r="Z7" s="204"/>
      <c r="AG7" s="204"/>
      <c r="AH7" s="204"/>
      <c r="AI7" s="204"/>
      <c r="AJ7" s="204"/>
      <c r="AK7" s="204"/>
      <c r="AL7" s="204"/>
      <c r="AM7" s="204"/>
      <c r="AN7" s="204"/>
      <c r="AO7" s="204"/>
      <c r="AP7" s="204"/>
      <c r="AQ7" s="204"/>
      <c r="AR7" s="204"/>
      <c r="AS7" s="204"/>
      <c r="AT7" s="204"/>
      <c r="AU7" s="204"/>
      <c r="AV7" s="204"/>
      <c r="AW7" s="204"/>
      <c r="AX7" s="204"/>
    </row>
    <row r="8" spans="1:50" ht="15.6">
      <c r="A8" s="1522" t="s">
        <v>1596</v>
      </c>
      <c r="B8" s="1523"/>
      <c r="C8" s="1445">
        <f>Tabelle1!AW36-C9</f>
        <v>0</v>
      </c>
      <c r="D8" s="1445">
        <f>Tabelle1!BH30-D9</f>
        <v>0</v>
      </c>
      <c r="E8" s="1445">
        <f>Tabelle1!BN30-E9</f>
        <v>0</v>
      </c>
      <c r="F8" s="1507">
        <f>1-N8</f>
        <v>1</v>
      </c>
      <c r="G8" s="1517"/>
      <c r="H8" s="1517"/>
      <c r="I8" s="1517"/>
      <c r="J8" s="1517"/>
      <c r="K8" s="2751" t="str">
        <f>IF(F8=1,"  auf Mistlager",IF(Y8&gt;1,"Zuviel verteilt!","  Ok!"))</f>
        <v xml:space="preserve">  auf Mistlager</v>
      </c>
      <c r="L8" s="2751"/>
      <c r="M8" s="2751"/>
      <c r="N8" s="1518">
        <f>G8+H8+I8+J8</f>
        <v>0</v>
      </c>
      <c r="O8" s="214"/>
      <c r="P8" s="214"/>
      <c r="Q8" s="214"/>
      <c r="R8" s="1978" t="s">
        <v>1558</v>
      </c>
      <c r="S8" s="1979"/>
      <c r="T8" s="1156">
        <v>0.91</v>
      </c>
      <c r="U8" s="1157">
        <v>0.5</v>
      </c>
      <c r="V8" s="1158">
        <v>0.15</v>
      </c>
      <c r="W8" s="1159" t="s">
        <v>1341</v>
      </c>
      <c r="X8" s="197"/>
      <c r="Y8" s="198">
        <f t="shared" si="0"/>
        <v>0</v>
      </c>
      <c r="Z8" s="204"/>
      <c r="AG8" s="204"/>
      <c r="AH8" s="204"/>
      <c r="AI8" s="204"/>
      <c r="AJ8" s="204"/>
      <c r="AK8" s="204"/>
      <c r="AL8" s="204"/>
      <c r="AM8" s="204"/>
      <c r="AN8" s="204"/>
      <c r="AO8" s="204"/>
      <c r="AP8" s="204"/>
      <c r="AQ8" s="204"/>
      <c r="AR8" s="204"/>
      <c r="AS8" s="204"/>
      <c r="AT8" s="204"/>
      <c r="AU8" s="204"/>
      <c r="AV8" s="204"/>
      <c r="AW8" s="204"/>
      <c r="AX8" s="204"/>
    </row>
    <row r="9" spans="1:50" ht="15.6">
      <c r="A9" s="1522" t="s">
        <v>1597</v>
      </c>
      <c r="B9" s="1523"/>
      <c r="C9" s="1520"/>
      <c r="D9" s="1520"/>
      <c r="E9" s="1520"/>
      <c r="F9" s="1507">
        <f>1-N9</f>
        <v>1</v>
      </c>
      <c r="G9" s="1517"/>
      <c r="H9" s="1517"/>
      <c r="I9" s="1517"/>
      <c r="J9" s="1517"/>
      <c r="K9" s="2751" t="str">
        <f>IF(F9=1,"  auf Extralager",IF(Y9&gt;1,"Zuviel verteilt!","  Ok!"))</f>
        <v xml:space="preserve">  auf Extralager</v>
      </c>
      <c r="L9" s="2751"/>
      <c r="M9" s="2751"/>
      <c r="N9" s="1518">
        <f>G9+H9+I9+J9</f>
        <v>0</v>
      </c>
      <c r="O9" s="214"/>
      <c r="P9" s="214"/>
      <c r="Q9" s="214"/>
      <c r="R9" s="1978" t="s">
        <v>1560</v>
      </c>
      <c r="S9" s="1979"/>
      <c r="T9" s="1156">
        <v>0.91</v>
      </c>
      <c r="U9" s="1157">
        <v>0.3</v>
      </c>
      <c r="V9" s="1158">
        <v>0.05</v>
      </c>
      <c r="W9" s="1159" t="s">
        <v>1341</v>
      </c>
      <c r="X9" s="197"/>
      <c r="Y9" s="198">
        <f t="shared" si="0"/>
        <v>0</v>
      </c>
      <c r="Z9" s="204"/>
      <c r="AG9" s="204"/>
      <c r="AH9" s="204"/>
      <c r="AI9" s="204"/>
      <c r="AJ9" s="204"/>
      <c r="AK9" s="204"/>
      <c r="AL9" s="204"/>
      <c r="AM9" s="204"/>
      <c r="AN9" s="204"/>
      <c r="AO9" s="204"/>
      <c r="AP9" s="204"/>
      <c r="AQ9" s="204"/>
      <c r="AR9" s="204"/>
      <c r="AS9" s="204"/>
      <c r="AT9" s="204"/>
      <c r="AU9" s="204"/>
      <c r="AV9" s="204"/>
      <c r="AW9" s="204"/>
      <c r="AX9" s="204"/>
    </row>
    <row r="10" spans="1:50" ht="14.4" thickBot="1">
      <c r="A10" s="613"/>
      <c r="B10" s="613"/>
      <c r="C10" s="614" t="s">
        <v>1598</v>
      </c>
      <c r="D10" s="613"/>
      <c r="E10" s="613"/>
      <c r="F10" s="613"/>
      <c r="G10" s="613"/>
      <c r="H10" s="613"/>
      <c r="I10" s="615"/>
      <c r="J10" s="214"/>
      <c r="K10" s="214"/>
      <c r="L10" s="214"/>
      <c r="M10" s="214"/>
      <c r="N10" s="214"/>
      <c r="O10" s="214"/>
      <c r="P10" s="214"/>
      <c r="Q10" s="214"/>
      <c r="R10" s="1981" t="s">
        <v>1487</v>
      </c>
      <c r="S10" s="1982"/>
      <c r="T10" s="1160">
        <v>0.91</v>
      </c>
      <c r="U10" s="1161">
        <v>0.1</v>
      </c>
      <c r="V10" s="1162">
        <v>0.01</v>
      </c>
      <c r="W10" s="1163" t="s">
        <v>1341</v>
      </c>
      <c r="X10" s="204"/>
      <c r="Y10" s="204"/>
      <c r="Z10" s="204"/>
      <c r="AG10" s="204"/>
      <c r="AH10" s="204"/>
      <c r="AI10" s="204"/>
      <c r="AJ10" s="204"/>
      <c r="AK10" s="204"/>
      <c r="AL10" s="204"/>
      <c r="AM10" s="204"/>
      <c r="AN10" s="204"/>
      <c r="AO10" s="204"/>
      <c r="AP10" s="204"/>
      <c r="AQ10" s="204"/>
      <c r="AR10" s="204"/>
      <c r="AS10" s="204"/>
      <c r="AT10" s="204"/>
      <c r="AU10" s="204"/>
      <c r="AV10" s="204"/>
      <c r="AW10" s="204"/>
      <c r="AX10" s="204"/>
    </row>
    <row r="11" spans="1:50" ht="69.75" customHeight="1" thickBot="1">
      <c r="A11" s="2755" t="str">
        <f>IFERROR(IF(Betrieb!$D$18=0,"Flächenangabe am Tabellenblatt Betrieb nicht angeführt",IF(AND(Ergebnis!$F$11&gt;170,SUM($F$13:$F$18)=0,(Betrieb!$D$18&gt;0))," Zu viel Wirtschaftsdünger am Betrieb - 
jährliche Anfallsmengen sind zu schätzen und Wirtschaftsdünger ist abzugeben !",IF(AND(Ergebnis!$F$11&gt;170,SUM($F$13:$F$18)&gt;0,Betrieb!$D$18&gt;0),CONCATENATE("Wirtschaftsdünger ist abzugeben, es sind noch ",ROUND((Ergebnis!$F$11-170)*Betrieb!$D$18,0)," kg N ab Lager zuviel am Betrieb.
Mindestabgabemenge entspricht ",ROUND((((Tabelle1!$AX$20+Tabelle1!$AX$28-Tabelle1!$AX$30+Tabelle1!$AX$31)/Betrieb!$D$18)-170)*Betrieb!$D$18,0)," kg NaL bzw. ",ROUND(((((((Tabelle1!$AX$20+Tabelle1!$AX$28-Tabelle1!$AX$30+Tabelle1!$AX$31)/Betrieb!$D$18)-170)*Betrieb!$D$18)/SUM($C$13:$C$18))*100),0)," % des anfallenden WD"),IF(AND(SUM($F$13:$F$18)=0,SUM($C$13:$C$18)/Betrieb!$D$18&gt;=100,Betrieb!$D$18&gt;0),"Bitte Schätzung der jährlichen Anfallsmenge vornehmen!",IF(AND(((Tabelle1!$AX$20+Tabelle1!$AX$28-Tabelle1!$AX$30+Tabelle1!$AX$31)/Betrieb!$D$18)&gt;170,Ergebnis!$F$11&lt;170,(170-Ergebnis!$F$11)&gt;=10,SUM($G$13:$G$18)&gt;0,Betrieb!$D$18&gt;0),CONCATENATE("Wirtschaftsdüngerabgabevertrag ist abzuschließen - siehe Tabellenblatt WD-Vertrag!"," 
Es werden ",SUM(Tiere!$I$23:$I$28)," kg NaL (das entspricht ",ROUND((SUM(Tiere!$I$23:$I$28)/SUM($C$13:$C$18))*100,0)," % des anfallenden WD) abgegeben"),IF(AND(((Tabelle1!$AX$20+Tabelle1!$AX$28-Tabelle1!$AX$30+Tabelle1!$AX$31)/Betrieb!$D$18)&gt;170,Ergebnis!$F$11&lt;170,(170-Ergebnis!$F$11)&lt;10,SUM($G$13:$G$18)&gt;0,Betrieb!$D$18&gt;0),CONCATENATE("Wirtschaftsdüngerabgabevertrag ist abzuschließen - siehe Tabellenblatt WD-Vertrag!"," 
Es werden ",ROUND(SUM(Tiere!$I$23:$I$28),0)," kg NaL (das entspricht ",ROUND((SUM(Tiere!$I$23:$I$28)/SUM($C$13:$C$18))*100,0)," % des anfallenden WD) abgegeben"),IF(AND(SUM($G$13:$G$18)&gt;0,((Tabelle1!AX20+Tabelle1!AX28-Tabelle1!AX30+Tabelle1!AX31)/Betrieb!$D$18)&lt;170,Betrieb!$D$18&gt;0,(170-Ergebnis!$F$11)&gt;=10),CONCATENATE("Bei Wirtschaftsdüngerabgabe ist einen Wirtschaftsdüngervertrag abschließen.",
" 
Es werden ",SUM(Tiere!$I$23:$I$28)," kg NaL (das entspricht ",ROUND((SUM(Tiere!$I$23:$I$28)/SUM($C$13:$C$18))*100,0)," % des anfallenden WD) abgegeben"),"Berechnung der Nährstoffkonzentration in Wirtschaftsdüngern und
 Eingabe der Wirtschaftsdüngerabgabe"))))))),"")</f>
        <v>Flächenangabe am Tabellenblatt Betrieb nicht angeführt</v>
      </c>
      <c r="B11" s="2756"/>
      <c r="C11" s="2756"/>
      <c r="D11" s="2756"/>
      <c r="E11" s="2756"/>
      <c r="F11" s="2756"/>
      <c r="G11" s="2756"/>
      <c r="H11" s="2756"/>
      <c r="I11" s="2756"/>
      <c r="J11" s="2756"/>
      <c r="K11" s="2756"/>
      <c r="L11" s="2757"/>
      <c r="M11" s="2758" t="s">
        <v>2317</v>
      </c>
      <c r="N11" s="2759"/>
      <c r="O11" s="2759"/>
      <c r="P11" s="2759"/>
      <c r="Q11" s="2761"/>
      <c r="R11" s="2761"/>
      <c r="S11" s="2761"/>
      <c r="T11" s="214"/>
      <c r="U11" s="214"/>
      <c r="V11" s="214"/>
      <c r="W11" s="214"/>
      <c r="X11" s="204"/>
      <c r="Y11" s="204"/>
      <c r="Z11" s="204"/>
      <c r="AA11" s="204"/>
      <c r="AB11" s="204"/>
      <c r="AC11" s="204"/>
      <c r="AD11" s="204"/>
      <c r="AE11" s="204"/>
      <c r="AF11" s="204"/>
      <c r="AG11" s="204"/>
      <c r="AH11" s="204"/>
      <c r="AI11" s="204"/>
      <c r="AJ11" s="204"/>
      <c r="AK11" s="204"/>
      <c r="AL11" s="204"/>
      <c r="AM11" s="204"/>
      <c r="AN11" s="204"/>
      <c r="AO11" s="204"/>
      <c r="AP11" s="204"/>
      <c r="AQ11" s="204"/>
      <c r="AR11" s="204"/>
      <c r="AS11" s="204"/>
      <c r="AT11" s="204"/>
      <c r="AU11" s="204"/>
      <c r="AV11" s="204"/>
      <c r="AW11" s="204"/>
      <c r="AX11" s="204"/>
    </row>
    <row r="12" spans="1:50" ht="44.25" customHeight="1">
      <c r="A12" s="2737" t="s">
        <v>1599</v>
      </c>
      <c r="B12" s="2737"/>
      <c r="C12" s="2390" t="s">
        <v>1581</v>
      </c>
      <c r="D12" s="2390" t="s">
        <v>1600</v>
      </c>
      <c r="E12" s="2391" t="s">
        <v>1601</v>
      </c>
      <c r="F12" s="2392" t="s">
        <v>1602</v>
      </c>
      <c r="G12" s="2393" t="s">
        <v>1603</v>
      </c>
      <c r="H12" s="2394" t="s">
        <v>1604</v>
      </c>
      <c r="I12" s="2395" t="s">
        <v>1605</v>
      </c>
      <c r="J12" s="2394" t="s">
        <v>1606</v>
      </c>
      <c r="K12" s="2394" t="s">
        <v>1607</v>
      </c>
      <c r="L12" s="2394" t="s">
        <v>1608</v>
      </c>
      <c r="M12" s="1800" t="s">
        <v>1590</v>
      </c>
      <c r="N12" s="1983" t="s">
        <v>1330</v>
      </c>
      <c r="O12" s="1983" t="s">
        <v>1609</v>
      </c>
      <c r="P12" s="1800" t="s">
        <v>1610</v>
      </c>
      <c r="Q12" s="214"/>
      <c r="R12" s="2752" t="s">
        <v>815</v>
      </c>
      <c r="S12" s="2752"/>
      <c r="T12" s="2752"/>
      <c r="U12" s="2752"/>
      <c r="V12" s="2752"/>
      <c r="W12" s="2752"/>
      <c r="X12" s="204"/>
      <c r="Y12" s="204"/>
      <c r="Z12" s="204"/>
      <c r="AA12" s="204"/>
      <c r="AB12" s="204"/>
      <c r="AC12" s="204"/>
      <c r="AD12" s="204"/>
      <c r="AE12" s="204"/>
      <c r="AF12" s="204"/>
      <c r="AG12" s="204"/>
      <c r="AH12" s="204"/>
      <c r="AI12" s="204"/>
      <c r="AJ12" s="204"/>
      <c r="AK12" s="204"/>
      <c r="AL12" s="204"/>
      <c r="AM12" s="204"/>
      <c r="AN12" s="204"/>
      <c r="AO12" s="204"/>
      <c r="AP12" s="204"/>
      <c r="AQ12" s="204"/>
      <c r="AR12" s="204"/>
      <c r="AS12" s="204"/>
      <c r="AT12" s="204"/>
      <c r="AU12" s="204"/>
      <c r="AV12" s="204"/>
      <c r="AW12" s="204"/>
      <c r="AX12" s="204"/>
    </row>
    <row r="13" spans="1:50" ht="18" customHeight="1">
      <c r="A13" s="1510" t="s">
        <v>1161</v>
      </c>
      <c r="B13" s="1511" t="s">
        <v>2014</v>
      </c>
      <c r="C13" s="1512">
        <f>IFERROR(Z22,0)</f>
        <v>0</v>
      </c>
      <c r="D13" s="1512">
        <f>IFERROR(AC22,0)</f>
        <v>0</v>
      </c>
      <c r="E13" s="1512">
        <f>IFERROR(AD22,0)</f>
        <v>0</v>
      </c>
      <c r="F13" s="1513"/>
      <c r="G13" s="2389"/>
      <c r="H13" s="1506">
        <f t="shared" ref="H13:H18" si="1">IF(F13&gt;0,C13/F13,0)</f>
        <v>0</v>
      </c>
      <c r="I13" s="649">
        <f>IF(ISBLANK(F13),0,IF(ISBLANK(AA22),0,AA22/F13))</f>
        <v>0</v>
      </c>
      <c r="J13" s="649">
        <f>IF(ISBLANK(F13),0,IF(ISBLANK(AB22),0,AB22/F13))</f>
        <v>0</v>
      </c>
      <c r="K13" s="1506">
        <f t="shared" ref="K13:K18" si="2">IF($F13=0,0,D13/$F13)</f>
        <v>0</v>
      </c>
      <c r="L13" s="1506">
        <f t="shared" ref="L13:L18" si="3">IF($F13=0,0,E13/$F13)</f>
        <v>0</v>
      </c>
      <c r="M13" s="1507">
        <f>IF(ISERROR(AE29),0,AE29)</f>
        <v>0</v>
      </c>
      <c r="N13" s="1507">
        <v>1</v>
      </c>
      <c r="O13" s="1508" t="s">
        <v>1341</v>
      </c>
      <c r="P13" s="1514">
        <f>IF(ISERROR(AC29),0,AC29/100)</f>
        <v>0</v>
      </c>
      <c r="Q13" s="214"/>
      <c r="R13" s="2752"/>
      <c r="S13" s="2752"/>
      <c r="T13" s="2752"/>
      <c r="U13" s="2752"/>
      <c r="V13" s="2752"/>
      <c r="W13" s="2752"/>
      <c r="X13" s="197"/>
      <c r="Y13" s="210"/>
      <c r="Z13" s="211" t="s">
        <v>1611</v>
      </c>
      <c r="AA13" s="212">
        <v>0</v>
      </c>
      <c r="AB13" s="213"/>
      <c r="AC13" s="213"/>
      <c r="AD13" s="213"/>
      <c r="AE13" s="213"/>
      <c r="AF13" s="213"/>
      <c r="AG13" s="213"/>
      <c r="AH13" s="213"/>
      <c r="AI13" s="214"/>
      <c r="AJ13" s="214"/>
      <c r="AK13" s="214"/>
      <c r="AL13" s="214"/>
      <c r="AM13" s="214"/>
      <c r="AN13" s="214"/>
      <c r="AO13" s="214"/>
      <c r="AP13" s="214"/>
      <c r="AQ13" s="214"/>
      <c r="AR13" s="214"/>
      <c r="AS13" s="214"/>
      <c r="AT13" s="214"/>
      <c r="AU13" s="214"/>
      <c r="AV13" s="214"/>
      <c r="AW13" s="214"/>
      <c r="AX13" s="204"/>
    </row>
    <row r="14" spans="1:50" ht="18" customHeight="1">
      <c r="A14" s="1510" t="s">
        <v>1165</v>
      </c>
      <c r="B14" s="1511" t="s">
        <v>1506</v>
      </c>
      <c r="C14" s="1512">
        <f>IFERROR(AF22,0)</f>
        <v>0</v>
      </c>
      <c r="D14" s="1512">
        <f>IFERROR(AI22,0)</f>
        <v>0</v>
      </c>
      <c r="E14" s="1512">
        <f>IFERROR(AJ22,0)</f>
        <v>0</v>
      </c>
      <c r="F14" s="1513"/>
      <c r="G14" s="2389"/>
      <c r="H14" s="1506">
        <f t="shared" si="1"/>
        <v>0</v>
      </c>
      <c r="I14" s="649">
        <f>IF(ISBLANK(F14),0,IF(ISBLANK(AG22),0,AG22/F14))</f>
        <v>0</v>
      </c>
      <c r="J14" s="649">
        <f>IF(ISBLANK(F14),0,IF(ISBLANK(AH22),0,AH22/F14))</f>
        <v>0</v>
      </c>
      <c r="K14" s="1506">
        <f t="shared" si="2"/>
        <v>0</v>
      </c>
      <c r="L14" s="1506">
        <f t="shared" si="3"/>
        <v>0</v>
      </c>
      <c r="M14" s="1507">
        <f>IF(ISERROR(AK29),0,AK29)</f>
        <v>0</v>
      </c>
      <c r="N14" s="1507">
        <v>1</v>
      </c>
      <c r="O14" s="1508" t="s">
        <v>1341</v>
      </c>
      <c r="P14" s="1514">
        <f>IF(ISERROR(AI29),0,AI29/100)</f>
        <v>0</v>
      </c>
      <c r="Q14" s="214"/>
      <c r="R14" s="2752"/>
      <c r="S14" s="2752"/>
      <c r="T14" s="2752"/>
      <c r="U14" s="2752"/>
      <c r="V14" s="2752"/>
      <c r="W14" s="2752"/>
      <c r="X14" s="197"/>
      <c r="Y14" s="213"/>
      <c r="Z14" s="215" t="s">
        <v>1161</v>
      </c>
      <c r="AA14" s="213"/>
      <c r="AB14" s="213"/>
      <c r="AF14" s="216" t="s">
        <v>1165</v>
      </c>
      <c r="AG14" s="216"/>
      <c r="AH14" s="216"/>
      <c r="AI14" s="216"/>
      <c r="AJ14" s="216"/>
      <c r="AK14" s="216"/>
      <c r="AL14" s="216" t="s">
        <v>1167</v>
      </c>
      <c r="AM14" s="216"/>
      <c r="AN14" s="216"/>
      <c r="AO14" s="216"/>
      <c r="AP14" s="214"/>
      <c r="AQ14" s="214"/>
      <c r="AR14" s="216" t="s">
        <v>1171</v>
      </c>
      <c r="AS14" s="216"/>
      <c r="AT14" s="216"/>
      <c r="AU14" s="216"/>
      <c r="AV14" s="216"/>
      <c r="AW14" s="216"/>
      <c r="AX14" s="204"/>
    </row>
    <row r="15" spans="1:50" ht="18" customHeight="1">
      <c r="A15" s="1510" t="s">
        <v>1167</v>
      </c>
      <c r="B15" s="1511" t="s">
        <v>1595</v>
      </c>
      <c r="C15" s="1512">
        <f>IFERROR(AL22,0)</f>
        <v>0</v>
      </c>
      <c r="D15" s="1512">
        <f>IFERROR(AO22,0)</f>
        <v>0</v>
      </c>
      <c r="E15" s="1512">
        <f>IFERROR(AP22,0)</f>
        <v>0</v>
      </c>
      <c r="F15" s="1513"/>
      <c r="G15" s="2389"/>
      <c r="H15" s="1506">
        <f t="shared" si="1"/>
        <v>0</v>
      </c>
      <c r="I15" s="649">
        <f>IF(ISBLANK(F15),0,IF(ISBLANK(AM22),0,AM22/F15))</f>
        <v>0</v>
      </c>
      <c r="J15" s="649">
        <f>IF(ISBLANK(F15),0,IF(ISBLANK(AN22),0,AN22/F15))</f>
        <v>0</v>
      </c>
      <c r="K15" s="1506">
        <f t="shared" si="2"/>
        <v>0</v>
      </c>
      <c r="L15" s="1506">
        <f t="shared" si="3"/>
        <v>0</v>
      </c>
      <c r="M15" s="1507">
        <f>IF(ISERROR(AQ29),0,AQ29)</f>
        <v>0</v>
      </c>
      <c r="N15" s="1507">
        <v>1</v>
      </c>
      <c r="O15" s="1508" t="s">
        <v>1341</v>
      </c>
      <c r="P15" s="1514">
        <f>IF(ISERROR(AO29),0,AO29/100)</f>
        <v>0</v>
      </c>
      <c r="Q15" s="214"/>
      <c r="R15" s="2752"/>
      <c r="S15" s="2752"/>
      <c r="T15" s="2752"/>
      <c r="U15" s="2752"/>
      <c r="V15" s="2752"/>
      <c r="W15" s="2752"/>
      <c r="X15" s="197"/>
      <c r="Y15" s="213"/>
      <c r="Z15" s="217" t="s">
        <v>1612</v>
      </c>
      <c r="AA15" s="217" t="s">
        <v>1613</v>
      </c>
      <c r="AB15" s="217" t="s">
        <v>1351</v>
      </c>
      <c r="AC15" s="217" t="s">
        <v>1099</v>
      </c>
      <c r="AD15" s="217" t="s">
        <v>1100</v>
      </c>
      <c r="AE15" s="217" t="s">
        <v>1614</v>
      </c>
      <c r="AF15" s="199" t="s">
        <v>1612</v>
      </c>
      <c r="AG15" s="199" t="s">
        <v>1613</v>
      </c>
      <c r="AH15" s="199" t="s">
        <v>1351</v>
      </c>
      <c r="AI15" s="199" t="s">
        <v>1099</v>
      </c>
      <c r="AJ15" s="199" t="s">
        <v>1100</v>
      </c>
      <c r="AK15" s="199" t="s">
        <v>1614</v>
      </c>
      <c r="AL15" s="199" t="s">
        <v>1612</v>
      </c>
      <c r="AM15" s="199" t="s">
        <v>1613</v>
      </c>
      <c r="AN15" s="199" t="s">
        <v>1351</v>
      </c>
      <c r="AO15" s="199" t="s">
        <v>1099</v>
      </c>
      <c r="AP15" s="199" t="s">
        <v>1100</v>
      </c>
      <c r="AQ15" s="199" t="s">
        <v>1614</v>
      </c>
      <c r="AR15" s="199" t="s">
        <v>1612</v>
      </c>
      <c r="AS15" s="199" t="s">
        <v>1613</v>
      </c>
      <c r="AT15" s="199" t="s">
        <v>1351</v>
      </c>
      <c r="AU15" s="199" t="s">
        <v>1099</v>
      </c>
      <c r="AV15" s="199" t="s">
        <v>1100</v>
      </c>
      <c r="AW15" s="199" t="s">
        <v>1614</v>
      </c>
      <c r="AX15" s="204"/>
    </row>
    <row r="16" spans="1:50" ht="18" customHeight="1">
      <c r="A16" s="1510" t="s">
        <v>1171</v>
      </c>
      <c r="B16" s="1511" t="s">
        <v>926</v>
      </c>
      <c r="C16" s="1512">
        <f>IFERROR(AR22,0)</f>
        <v>0</v>
      </c>
      <c r="D16" s="1512">
        <f>IFERROR(AU22,0)</f>
        <v>0</v>
      </c>
      <c r="E16" s="1512">
        <f>IFERROR(AV22,0)</f>
        <v>0</v>
      </c>
      <c r="F16" s="1513"/>
      <c r="G16" s="2389"/>
      <c r="H16" s="1506">
        <f t="shared" si="1"/>
        <v>0</v>
      </c>
      <c r="I16" s="649">
        <f>IF(ISBLANK(F16),0,IF(ISBLANK(AS22),0,AS22/F16))</f>
        <v>0</v>
      </c>
      <c r="J16" s="649">
        <f>IF(ISBLANK(F16),0,IF(ISBLANK(AT22),0,AT22/F16))</f>
        <v>0</v>
      </c>
      <c r="K16" s="1506">
        <f t="shared" si="2"/>
        <v>0</v>
      </c>
      <c r="L16" s="1506">
        <f t="shared" si="3"/>
        <v>0</v>
      </c>
      <c r="M16" s="1507">
        <f>IF(ISERROR(AW29),0,AW29)</f>
        <v>0</v>
      </c>
      <c r="N16" s="1507">
        <v>1</v>
      </c>
      <c r="O16" s="1508" t="s">
        <v>1341</v>
      </c>
      <c r="P16" s="1514">
        <f>IF(ISERROR(AU29),0,AU29/100)</f>
        <v>0</v>
      </c>
      <c r="Q16" s="214"/>
      <c r="R16" s="2752"/>
      <c r="S16" s="2752"/>
      <c r="T16" s="2752"/>
      <c r="U16" s="2752"/>
      <c r="V16" s="2752"/>
      <c r="W16" s="2752"/>
      <c r="X16" s="197"/>
      <c r="Y16" s="218" t="s">
        <v>1615</v>
      </c>
      <c r="Z16" s="219">
        <f t="shared" ref="Z16:Z21" si="4">C4*$G4</f>
        <v>0</v>
      </c>
      <c r="AA16" s="220">
        <f>Z16*0.87</f>
        <v>0</v>
      </c>
      <c r="AB16" s="220">
        <f>AA16*$U$4</f>
        <v>0</v>
      </c>
      <c r="AC16" s="220">
        <f t="shared" ref="AC16:AD21" si="5">D4*$G4</f>
        <v>0</v>
      </c>
      <c r="AD16" s="220">
        <f t="shared" si="5"/>
        <v>0</v>
      </c>
      <c r="AE16" s="221" t="e">
        <f t="shared" ref="AE16:AE21" si="6">Z16/Z$22</f>
        <v>#DIV/0!</v>
      </c>
      <c r="AF16" s="222">
        <f t="shared" ref="AF16:AF21" si="7">C4*$H4</f>
        <v>0</v>
      </c>
      <c r="AG16" s="223">
        <f>AF16*0.87</f>
        <v>0</v>
      </c>
      <c r="AH16" s="223">
        <f>AG16*$U$4</f>
        <v>0</v>
      </c>
      <c r="AI16" s="224">
        <f t="shared" ref="AI16:AJ21" si="8">D4*$H4</f>
        <v>0</v>
      </c>
      <c r="AJ16" s="224">
        <f t="shared" si="8"/>
        <v>0</v>
      </c>
      <c r="AK16" s="207" t="e">
        <f t="shared" ref="AK16:AK21" si="9">AF16/AF$22</f>
        <v>#DIV/0!</v>
      </c>
      <c r="AL16" s="222">
        <f t="shared" ref="AL16:AL21" si="10">C4*$I4</f>
        <v>0</v>
      </c>
      <c r="AM16" s="223">
        <f>AL16*0.87</f>
        <v>0</v>
      </c>
      <c r="AN16" s="223">
        <f>AM16*$U$4</f>
        <v>0</v>
      </c>
      <c r="AO16" s="224">
        <f t="shared" ref="AO16:AP21" si="11">D4*$I4</f>
        <v>0</v>
      </c>
      <c r="AP16" s="224">
        <f t="shared" si="11"/>
        <v>0</v>
      </c>
      <c r="AQ16" s="207" t="e">
        <f t="shared" ref="AQ16:AQ21" si="12">AL16/AL$22</f>
        <v>#DIV/0!</v>
      </c>
      <c r="AR16" s="222">
        <f t="shared" ref="AR16:AR21" si="13">C4*$J4</f>
        <v>0</v>
      </c>
      <c r="AS16" s="223">
        <f>AR16*0.87</f>
        <v>0</v>
      </c>
      <c r="AT16" s="223">
        <f>AS16*$U$4</f>
        <v>0</v>
      </c>
      <c r="AU16" s="224">
        <f t="shared" ref="AU16:AV21" si="14">D4*$J4</f>
        <v>0</v>
      </c>
      <c r="AV16" s="224">
        <f t="shared" si="14"/>
        <v>0</v>
      </c>
      <c r="AW16" s="207" t="e">
        <f t="shared" ref="AW16:AW21" si="15">AR16/AR$22</f>
        <v>#DIV/0!</v>
      </c>
      <c r="AX16" s="204"/>
    </row>
    <row r="17" spans="1:50" ht="18" customHeight="1">
      <c r="A17" s="1510" t="s">
        <v>1616</v>
      </c>
      <c r="B17" s="1511" t="s">
        <v>687</v>
      </c>
      <c r="C17" s="1512">
        <f>IFERROR(Z33,0)</f>
        <v>0</v>
      </c>
      <c r="D17" s="1512">
        <f>IFERROR(AA33,0)</f>
        <v>0</v>
      </c>
      <c r="E17" s="1512">
        <f>IFERROR(AB33,0)</f>
        <v>0</v>
      </c>
      <c r="F17" s="1513"/>
      <c r="G17" s="2389"/>
      <c r="H17" s="1506">
        <f t="shared" si="1"/>
        <v>0</v>
      </c>
      <c r="I17" s="649">
        <f>H17*0.91</f>
        <v>0</v>
      </c>
      <c r="J17" s="649">
        <f>I17*U8</f>
        <v>0</v>
      </c>
      <c r="K17" s="1506">
        <f t="shared" si="2"/>
        <v>0</v>
      </c>
      <c r="L17" s="1506">
        <f t="shared" si="3"/>
        <v>0</v>
      </c>
      <c r="M17" s="1507">
        <v>0.15</v>
      </c>
      <c r="N17" s="1507">
        <v>1</v>
      </c>
      <c r="O17" s="1508" t="s">
        <v>1341</v>
      </c>
      <c r="P17" s="1514">
        <f>U8</f>
        <v>0.5</v>
      </c>
      <c r="Q17" s="214"/>
      <c r="R17" s="2752"/>
      <c r="S17" s="2752"/>
      <c r="T17" s="2752"/>
      <c r="U17" s="2752"/>
      <c r="V17" s="2752"/>
      <c r="W17" s="2752"/>
      <c r="X17" s="197"/>
      <c r="Y17" s="218" t="s">
        <v>1617</v>
      </c>
      <c r="Z17" s="219">
        <f t="shared" si="4"/>
        <v>0</v>
      </c>
      <c r="AA17" s="220">
        <f>Z17*0.87</f>
        <v>0</v>
      </c>
      <c r="AB17" s="220">
        <f>AA17*$U$5</f>
        <v>0</v>
      </c>
      <c r="AC17" s="220">
        <f t="shared" si="5"/>
        <v>0</v>
      </c>
      <c r="AD17" s="220">
        <f t="shared" si="5"/>
        <v>0</v>
      </c>
      <c r="AE17" s="221" t="e">
        <f t="shared" si="6"/>
        <v>#DIV/0!</v>
      </c>
      <c r="AF17" s="222">
        <f t="shared" si="7"/>
        <v>0</v>
      </c>
      <c r="AG17" s="223">
        <f>AF17*0.87</f>
        <v>0</v>
      </c>
      <c r="AH17" s="223">
        <f>AG17*$U$5</f>
        <v>0</v>
      </c>
      <c r="AI17" s="222">
        <f t="shared" si="8"/>
        <v>0</v>
      </c>
      <c r="AJ17" s="222">
        <f t="shared" si="8"/>
        <v>0</v>
      </c>
      <c r="AK17" s="207" t="e">
        <f t="shared" si="9"/>
        <v>#DIV/0!</v>
      </c>
      <c r="AL17" s="222">
        <f t="shared" si="10"/>
        <v>0</v>
      </c>
      <c r="AM17" s="223">
        <f>AL17*0.87</f>
        <v>0</v>
      </c>
      <c r="AN17" s="223">
        <f>AM17*$U$5</f>
        <v>0</v>
      </c>
      <c r="AO17" s="222">
        <f t="shared" si="11"/>
        <v>0</v>
      </c>
      <c r="AP17" s="222">
        <f t="shared" si="11"/>
        <v>0</v>
      </c>
      <c r="AQ17" s="207" t="e">
        <f t="shared" si="12"/>
        <v>#DIV/0!</v>
      </c>
      <c r="AR17" s="222">
        <f t="shared" si="13"/>
        <v>0</v>
      </c>
      <c r="AS17" s="223">
        <f>AR17*0.87</f>
        <v>0</v>
      </c>
      <c r="AT17" s="223">
        <f>AS17*$U$5</f>
        <v>0</v>
      </c>
      <c r="AU17" s="222">
        <f t="shared" si="14"/>
        <v>0</v>
      </c>
      <c r="AV17" s="222">
        <f t="shared" si="14"/>
        <v>0</v>
      </c>
      <c r="AW17" s="207" t="e">
        <f t="shared" si="15"/>
        <v>#DIV/0!</v>
      </c>
      <c r="AX17" s="204"/>
    </row>
    <row r="18" spans="1:50" ht="18" customHeight="1">
      <c r="A18" s="1515" t="s">
        <v>1618</v>
      </c>
      <c r="B18" s="1511" t="s">
        <v>1181</v>
      </c>
      <c r="C18" s="1512">
        <f t="shared" ref="C18:E18" si="16">Z34</f>
        <v>0</v>
      </c>
      <c r="D18" s="1512">
        <f t="shared" si="16"/>
        <v>0</v>
      </c>
      <c r="E18" s="1512">
        <f t="shared" si="16"/>
        <v>0</v>
      </c>
      <c r="F18" s="1513"/>
      <c r="G18" s="2389"/>
      <c r="H18" s="1506">
        <f t="shared" si="1"/>
        <v>0</v>
      </c>
      <c r="I18" s="1506">
        <f>H18*0.91</f>
        <v>0</v>
      </c>
      <c r="J18" s="649">
        <f>I18*U8</f>
        <v>0</v>
      </c>
      <c r="K18" s="1506">
        <f t="shared" si="2"/>
        <v>0</v>
      </c>
      <c r="L18" s="1506">
        <f t="shared" si="3"/>
        <v>0</v>
      </c>
      <c r="M18" s="1507">
        <v>0.15</v>
      </c>
      <c r="N18" s="1507">
        <v>1</v>
      </c>
      <c r="O18" s="1508" t="s">
        <v>1341</v>
      </c>
      <c r="P18" s="1514">
        <f>U8</f>
        <v>0.5</v>
      </c>
      <c r="Q18" s="214"/>
      <c r="R18" s="2752"/>
      <c r="S18" s="2752"/>
      <c r="T18" s="2752"/>
      <c r="U18" s="2752"/>
      <c r="V18" s="2752"/>
      <c r="W18" s="2752"/>
      <c r="X18" s="197"/>
      <c r="Y18" s="218" t="s">
        <v>1619</v>
      </c>
      <c r="Z18" s="219">
        <f t="shared" si="4"/>
        <v>0</v>
      </c>
      <c r="AA18" s="220">
        <f>Z18*0.87</f>
        <v>0</v>
      </c>
      <c r="AB18" s="220">
        <f>AA18*$U$6</f>
        <v>0</v>
      </c>
      <c r="AC18" s="220">
        <f t="shared" si="5"/>
        <v>0</v>
      </c>
      <c r="AD18" s="220">
        <f t="shared" si="5"/>
        <v>0</v>
      </c>
      <c r="AE18" s="225" t="e">
        <f t="shared" si="6"/>
        <v>#DIV/0!</v>
      </c>
      <c r="AF18" s="226">
        <f t="shared" si="7"/>
        <v>0</v>
      </c>
      <c r="AG18" s="223">
        <f>AF18*0.87</f>
        <v>0</v>
      </c>
      <c r="AH18" s="223">
        <f>AG18*$U$6</f>
        <v>0</v>
      </c>
      <c r="AI18" s="226">
        <f t="shared" si="8"/>
        <v>0</v>
      </c>
      <c r="AJ18" s="226">
        <f t="shared" si="8"/>
        <v>0</v>
      </c>
      <c r="AK18" s="227" t="e">
        <f t="shared" si="9"/>
        <v>#DIV/0!</v>
      </c>
      <c r="AL18" s="226">
        <f t="shared" si="10"/>
        <v>0</v>
      </c>
      <c r="AM18" s="223">
        <f>AL18*0.87</f>
        <v>0</v>
      </c>
      <c r="AN18" s="223">
        <f>AM18*$U$6</f>
        <v>0</v>
      </c>
      <c r="AO18" s="226">
        <f t="shared" si="11"/>
        <v>0</v>
      </c>
      <c r="AP18" s="226">
        <f t="shared" si="11"/>
        <v>0</v>
      </c>
      <c r="AQ18" s="227" t="e">
        <f t="shared" si="12"/>
        <v>#DIV/0!</v>
      </c>
      <c r="AR18" s="226">
        <f t="shared" si="13"/>
        <v>0</v>
      </c>
      <c r="AS18" s="223">
        <f>AR18*0.87</f>
        <v>0</v>
      </c>
      <c r="AT18" s="223">
        <f>AS18*$U$6</f>
        <v>0</v>
      </c>
      <c r="AU18" s="226">
        <f t="shared" si="14"/>
        <v>0</v>
      </c>
      <c r="AV18" s="226">
        <f t="shared" si="14"/>
        <v>0</v>
      </c>
      <c r="AW18" s="227" t="e">
        <f t="shared" si="15"/>
        <v>#DIV/0!</v>
      </c>
      <c r="AX18" s="204"/>
    </row>
    <row r="19" spans="1:50" ht="10.5" customHeight="1">
      <c r="A19" s="214"/>
      <c r="B19" s="214"/>
      <c r="C19" s="214"/>
      <c r="D19" s="214"/>
      <c r="E19" s="214"/>
      <c r="F19" s="214"/>
      <c r="G19" s="214"/>
      <c r="H19" s="214"/>
      <c r="I19" s="214"/>
      <c r="J19" s="214"/>
      <c r="K19" s="214"/>
      <c r="L19" s="214"/>
      <c r="M19" s="214"/>
      <c r="N19" s="214"/>
      <c r="O19" s="214"/>
      <c r="P19" s="214"/>
      <c r="Q19" s="214"/>
      <c r="R19" s="2752"/>
      <c r="S19" s="2752"/>
      <c r="T19" s="2752"/>
      <c r="U19" s="2752"/>
      <c r="V19" s="2752"/>
      <c r="W19" s="2752"/>
      <c r="X19" s="197"/>
      <c r="Y19" s="218" t="s">
        <v>1620</v>
      </c>
      <c r="Z19" s="219">
        <f t="shared" si="4"/>
        <v>0</v>
      </c>
      <c r="AA19" s="220">
        <f>Z19*0.87</f>
        <v>0</v>
      </c>
      <c r="AB19" s="220">
        <f>AA19*$U$7</f>
        <v>0</v>
      </c>
      <c r="AC19" s="220">
        <f t="shared" si="5"/>
        <v>0</v>
      </c>
      <c r="AD19" s="220">
        <f t="shared" si="5"/>
        <v>0</v>
      </c>
      <c r="AE19" s="221" t="e">
        <f t="shared" si="6"/>
        <v>#DIV/0!</v>
      </c>
      <c r="AF19" s="222">
        <f t="shared" si="7"/>
        <v>0</v>
      </c>
      <c r="AG19" s="222">
        <f>AF19*0.87</f>
        <v>0</v>
      </c>
      <c r="AH19" s="222">
        <f>AG19*$U$7</f>
        <v>0</v>
      </c>
      <c r="AI19" s="222">
        <f t="shared" si="8"/>
        <v>0</v>
      </c>
      <c r="AJ19" s="222">
        <f t="shared" si="8"/>
        <v>0</v>
      </c>
      <c r="AK19" s="207" t="e">
        <f t="shared" si="9"/>
        <v>#DIV/0!</v>
      </c>
      <c r="AL19" s="222">
        <f t="shared" si="10"/>
        <v>0</v>
      </c>
      <c r="AM19" s="222">
        <f>AL19*0.87</f>
        <v>0</v>
      </c>
      <c r="AN19" s="222">
        <f>AM19*$U$7</f>
        <v>0</v>
      </c>
      <c r="AO19" s="222">
        <f t="shared" si="11"/>
        <v>0</v>
      </c>
      <c r="AP19" s="222">
        <f t="shared" si="11"/>
        <v>0</v>
      </c>
      <c r="AQ19" s="207" t="e">
        <f t="shared" si="12"/>
        <v>#DIV/0!</v>
      </c>
      <c r="AR19" s="222">
        <f t="shared" si="13"/>
        <v>0</v>
      </c>
      <c r="AS19" s="222">
        <f>AR19*0.87</f>
        <v>0</v>
      </c>
      <c r="AT19" s="222">
        <f>AS19*$U$7</f>
        <v>0</v>
      </c>
      <c r="AU19" s="222">
        <f t="shared" si="14"/>
        <v>0</v>
      </c>
      <c r="AV19" s="222">
        <f t="shared" si="14"/>
        <v>0</v>
      </c>
      <c r="AW19" s="207" t="e">
        <f t="shared" si="15"/>
        <v>#DIV/0!</v>
      </c>
      <c r="AX19" s="204"/>
    </row>
    <row r="20" spans="1:50" ht="36.75" customHeight="1">
      <c r="A20" s="2738" t="s">
        <v>1621</v>
      </c>
      <c r="B20" s="2738"/>
      <c r="C20" s="1739" t="s">
        <v>1622</v>
      </c>
      <c r="D20" s="1739" t="s">
        <v>1623</v>
      </c>
      <c r="E20" s="1739" t="s">
        <v>1624</v>
      </c>
      <c r="F20" s="1984" t="s">
        <v>1143</v>
      </c>
      <c r="G20" s="1985"/>
      <c r="H20" s="1983" t="s">
        <v>1625</v>
      </c>
      <c r="I20" s="1983" t="s">
        <v>1626</v>
      </c>
      <c r="J20" s="1983" t="s">
        <v>1627</v>
      </c>
      <c r="K20" s="1983" t="s">
        <v>1628</v>
      </c>
      <c r="L20" s="1983" t="s">
        <v>1629</v>
      </c>
      <c r="M20" s="1800" t="s">
        <v>1329</v>
      </c>
      <c r="N20" s="1983" t="s">
        <v>1330</v>
      </c>
      <c r="O20" s="1983" t="s">
        <v>1609</v>
      </c>
      <c r="P20" s="1800" t="s">
        <v>1630</v>
      </c>
      <c r="Q20" s="214"/>
      <c r="R20" s="2752"/>
      <c r="S20" s="2752"/>
      <c r="T20" s="2752"/>
      <c r="U20" s="2752"/>
      <c r="V20" s="2752"/>
      <c r="W20" s="2752"/>
      <c r="X20" s="197"/>
      <c r="Y20" s="218" t="s">
        <v>1631</v>
      </c>
      <c r="Z20" s="219">
        <f t="shared" si="4"/>
        <v>0</v>
      </c>
      <c r="AA20" s="222">
        <f>Z20*0.91</f>
        <v>0</v>
      </c>
      <c r="AB20" s="222">
        <f>AA20*$U$8</f>
        <v>0</v>
      </c>
      <c r="AC20" s="220">
        <f t="shared" si="5"/>
        <v>0</v>
      </c>
      <c r="AD20" s="220">
        <f t="shared" si="5"/>
        <v>0</v>
      </c>
      <c r="AE20" s="207" t="e">
        <f t="shared" si="6"/>
        <v>#DIV/0!</v>
      </c>
      <c r="AF20" s="222">
        <f t="shared" si="7"/>
        <v>0</v>
      </c>
      <c r="AG20" s="228">
        <f>AF20*0.91</f>
        <v>0</v>
      </c>
      <c r="AH20" s="228">
        <f>AG20*$U$8</f>
        <v>0</v>
      </c>
      <c r="AI20" s="222">
        <f t="shared" si="8"/>
        <v>0</v>
      </c>
      <c r="AJ20" s="222">
        <f t="shared" si="8"/>
        <v>0</v>
      </c>
      <c r="AK20" s="207" t="e">
        <f t="shared" si="9"/>
        <v>#DIV/0!</v>
      </c>
      <c r="AL20" s="222">
        <f t="shared" si="10"/>
        <v>0</v>
      </c>
      <c r="AM20" s="228">
        <f>AL20*0.91</f>
        <v>0</v>
      </c>
      <c r="AN20" s="228">
        <f>AM20*$U$8</f>
        <v>0</v>
      </c>
      <c r="AO20" s="222">
        <f t="shared" si="11"/>
        <v>0</v>
      </c>
      <c r="AP20" s="222">
        <f t="shared" si="11"/>
        <v>0</v>
      </c>
      <c r="AQ20" s="207" t="e">
        <f t="shared" si="12"/>
        <v>#DIV/0!</v>
      </c>
      <c r="AR20" s="222">
        <f t="shared" si="13"/>
        <v>0</v>
      </c>
      <c r="AS20" s="228">
        <f>AR20*0.91</f>
        <v>0</v>
      </c>
      <c r="AT20" s="228">
        <f>AS20*$U$8</f>
        <v>0</v>
      </c>
      <c r="AU20" s="222">
        <f t="shared" si="14"/>
        <v>0</v>
      </c>
      <c r="AV20" s="222">
        <f t="shared" si="14"/>
        <v>0</v>
      </c>
      <c r="AW20" s="207" t="e">
        <f t="shared" si="15"/>
        <v>#DIV/0!</v>
      </c>
      <c r="AX20" s="204"/>
    </row>
    <row r="21" spans="1:50" ht="15.9" customHeight="1" thickBot="1">
      <c r="A21" s="1502" t="s">
        <v>1548</v>
      </c>
      <c r="B21" s="1503" t="str">
        <f>Organ__Dü!B4</f>
        <v>Biogasgülle 1</v>
      </c>
      <c r="C21" s="1504">
        <f>Organ__Dü!J4</f>
        <v>0</v>
      </c>
      <c r="D21" s="1504">
        <f>Organ__Dü!K4</f>
        <v>0</v>
      </c>
      <c r="E21" s="1504">
        <f>Organ__Dü!L4</f>
        <v>0</v>
      </c>
      <c r="F21" s="1505">
        <f>Organ__Dü!I4</f>
        <v>0</v>
      </c>
      <c r="G21" s="1155"/>
      <c r="H21" s="1506">
        <f>Organ__Dü!D4</f>
        <v>0</v>
      </c>
      <c r="I21" s="1506">
        <f>Organ__Dü!U63</f>
        <v>0</v>
      </c>
      <c r="J21" s="1506">
        <f>Organ__Dü!V63</f>
        <v>0</v>
      </c>
      <c r="K21" s="1506">
        <f>Organ__Dü!E4</f>
        <v>0</v>
      </c>
      <c r="L21" s="1506">
        <f>Organ__Dü!F4</f>
        <v>0</v>
      </c>
      <c r="M21" s="1507">
        <f>Organ__Dü!W63</f>
        <v>0</v>
      </c>
      <c r="N21" s="1507">
        <f>Organ__Dü!G4</f>
        <v>0</v>
      </c>
      <c r="O21" s="1508" t="s">
        <v>1341</v>
      </c>
      <c r="P21" s="1509"/>
      <c r="Q21" s="214"/>
      <c r="R21" s="2752"/>
      <c r="S21" s="2752"/>
      <c r="T21" s="2752"/>
      <c r="U21" s="2752"/>
      <c r="V21" s="2752"/>
      <c r="W21" s="2752"/>
      <c r="X21" s="197"/>
      <c r="Y21" s="229" t="s">
        <v>1632</v>
      </c>
      <c r="Z21" s="219">
        <f t="shared" si="4"/>
        <v>0</v>
      </c>
      <c r="AA21" s="226">
        <f>Z21*0.91</f>
        <v>0</v>
      </c>
      <c r="AB21" s="226">
        <f>AA21*$U$8</f>
        <v>0</v>
      </c>
      <c r="AC21" s="220">
        <f t="shared" si="5"/>
        <v>0</v>
      </c>
      <c r="AD21" s="220">
        <f t="shared" si="5"/>
        <v>0</v>
      </c>
      <c r="AE21" s="227" t="e">
        <f t="shared" si="6"/>
        <v>#DIV/0!</v>
      </c>
      <c r="AF21" s="222">
        <f t="shared" si="7"/>
        <v>0</v>
      </c>
      <c r="AG21" s="230">
        <f>AF21*0.91</f>
        <v>0</v>
      </c>
      <c r="AH21" s="230">
        <f>AG21*$U$8</f>
        <v>0</v>
      </c>
      <c r="AI21" s="222">
        <f t="shared" si="8"/>
        <v>0</v>
      </c>
      <c r="AJ21" s="222">
        <f t="shared" si="8"/>
        <v>0</v>
      </c>
      <c r="AK21" s="207" t="e">
        <f t="shared" si="9"/>
        <v>#DIV/0!</v>
      </c>
      <c r="AL21" s="222">
        <f t="shared" si="10"/>
        <v>0</v>
      </c>
      <c r="AM21" s="230">
        <f>AL21*0.91</f>
        <v>0</v>
      </c>
      <c r="AN21" s="230">
        <f>AM21*$U$8</f>
        <v>0</v>
      </c>
      <c r="AO21" s="222">
        <f t="shared" si="11"/>
        <v>0</v>
      </c>
      <c r="AP21" s="222">
        <f t="shared" si="11"/>
        <v>0</v>
      </c>
      <c r="AQ21" s="207" t="e">
        <f t="shared" si="12"/>
        <v>#DIV/0!</v>
      </c>
      <c r="AR21" s="222">
        <f t="shared" si="13"/>
        <v>0</v>
      </c>
      <c r="AS21" s="230">
        <f>AR21*0.91</f>
        <v>0</v>
      </c>
      <c r="AT21" s="230">
        <f>AS21*$U$8</f>
        <v>0</v>
      </c>
      <c r="AU21" s="222">
        <f t="shared" si="14"/>
        <v>0</v>
      </c>
      <c r="AV21" s="222">
        <f t="shared" si="14"/>
        <v>0</v>
      </c>
      <c r="AW21" s="207" t="e">
        <f t="shared" si="15"/>
        <v>#DIV/0!</v>
      </c>
      <c r="AX21" s="204"/>
    </row>
    <row r="22" spans="1:50" ht="15.9" customHeight="1" thickBot="1">
      <c r="A22" s="1502" t="s">
        <v>1562</v>
      </c>
      <c r="B22" s="1503" t="str">
        <f>Organ__Dü!B5</f>
        <v>…</v>
      </c>
      <c r="C22" s="1504">
        <f>Organ__Dü!J5</f>
        <v>0</v>
      </c>
      <c r="D22" s="1504">
        <f>Organ__Dü!K5</f>
        <v>0</v>
      </c>
      <c r="E22" s="1504">
        <f>Organ__Dü!L5</f>
        <v>0</v>
      </c>
      <c r="F22" s="1505">
        <f>Organ__Dü!I5</f>
        <v>0</v>
      </c>
      <c r="G22" s="1155"/>
      <c r="H22" s="1506">
        <f>Organ__Dü!D5</f>
        <v>0</v>
      </c>
      <c r="I22" s="1506">
        <f>Organ__Dü!U69</f>
        <v>0</v>
      </c>
      <c r="J22" s="1506">
        <f>Organ__Dü!V69</f>
        <v>0</v>
      </c>
      <c r="K22" s="1506">
        <f>Organ__Dü!E5</f>
        <v>0</v>
      </c>
      <c r="L22" s="1506">
        <f>Organ__Dü!F5</f>
        <v>0</v>
      </c>
      <c r="M22" s="1507">
        <f>Organ__Dü!W69</f>
        <v>0</v>
      </c>
      <c r="N22" s="1507">
        <f>Organ__Dü!G5</f>
        <v>0</v>
      </c>
      <c r="O22" s="1508" t="s">
        <v>1341</v>
      </c>
      <c r="P22" s="1509"/>
      <c r="Q22" s="214"/>
      <c r="R22" s="2752"/>
      <c r="S22" s="2752"/>
      <c r="T22" s="2752"/>
      <c r="U22" s="2752"/>
      <c r="V22" s="2752"/>
      <c r="W22" s="2752"/>
      <c r="X22" s="197"/>
      <c r="Y22" s="231" t="s">
        <v>1633</v>
      </c>
      <c r="Z22" s="232">
        <f>SUM(Z16:Z21)</f>
        <v>0</v>
      </c>
      <c r="AA22" s="233">
        <f>SUM(AA16:AA21)</f>
        <v>0</v>
      </c>
      <c r="AB22" s="234">
        <f>SUM(AB16:AB21)</f>
        <v>0</v>
      </c>
      <c r="AC22" s="234">
        <f>SUM(AC16:AC21)</f>
        <v>0</v>
      </c>
      <c r="AD22" s="234">
        <f>SUM(AD16:AD21)</f>
        <v>0</v>
      </c>
      <c r="AE22" s="235" t="e">
        <f>SUM(AE16:AE19)</f>
        <v>#DIV/0!</v>
      </c>
      <c r="AF22" s="233">
        <f>SUM(AF16:AF21)</f>
        <v>0</v>
      </c>
      <c r="AG22" s="233">
        <f>SUM(AG16:AG21)</f>
        <v>0</v>
      </c>
      <c r="AH22" s="234">
        <f>SUM(AH16:AH21)</f>
        <v>0</v>
      </c>
      <c r="AI22" s="236">
        <f>SUM(AI16:AI21)</f>
        <v>0</v>
      </c>
      <c r="AJ22" s="232">
        <f>SUM(AJ16:AJ21)</f>
        <v>0</v>
      </c>
      <c r="AK22" s="235" t="e">
        <f>SUM(AK16:AK19)</f>
        <v>#DIV/0!</v>
      </c>
      <c r="AL22" s="233">
        <f>SUM(AL16:AL21)</f>
        <v>0</v>
      </c>
      <c r="AM22" s="233">
        <f>SUM(AM16:AM21)</f>
        <v>0</v>
      </c>
      <c r="AN22" s="234">
        <f>SUM(AN16:AN21)</f>
        <v>0</v>
      </c>
      <c r="AO22" s="236">
        <f>SUM(AO16:AO21)</f>
        <v>0</v>
      </c>
      <c r="AP22" s="232">
        <f>SUM(AP16:AP21)</f>
        <v>0</v>
      </c>
      <c r="AQ22" s="235" t="e">
        <f>SUM(AQ16:AQ19)</f>
        <v>#DIV/0!</v>
      </c>
      <c r="AR22" s="233">
        <f>SUM(AR16:AR21)</f>
        <v>0</v>
      </c>
      <c r="AS22" s="233">
        <f>SUM(AS16:AS21)</f>
        <v>0</v>
      </c>
      <c r="AT22" s="234">
        <f>SUM(AT16:AT21)</f>
        <v>0</v>
      </c>
      <c r="AU22" s="236">
        <f>SUM(AU16:AU21)</f>
        <v>0</v>
      </c>
      <c r="AV22" s="232">
        <f>SUM(AV16:AV21)</f>
        <v>0</v>
      </c>
      <c r="AW22" s="235" t="e">
        <f>SUM(AW16:AW19)</f>
        <v>#DIV/0!</v>
      </c>
      <c r="AX22" s="204"/>
    </row>
    <row r="23" spans="1:50" ht="15.9" customHeight="1">
      <c r="A23" s="1502" t="s">
        <v>1564</v>
      </c>
      <c r="B23" s="1503" t="str">
        <f>Organ__Dü!B6</f>
        <v>…</v>
      </c>
      <c r="C23" s="1504">
        <f>Organ__Dü!J6</f>
        <v>0</v>
      </c>
      <c r="D23" s="1504">
        <f>Organ__Dü!K6</f>
        <v>0</v>
      </c>
      <c r="E23" s="1504">
        <f>Organ__Dü!L6</f>
        <v>0</v>
      </c>
      <c r="F23" s="1505">
        <f>Organ__Dü!I6</f>
        <v>0</v>
      </c>
      <c r="G23" s="1155"/>
      <c r="H23" s="1506">
        <f>Organ__Dü!D6</f>
        <v>0</v>
      </c>
      <c r="I23" s="1506">
        <f>Organ__Dü!U75</f>
        <v>0</v>
      </c>
      <c r="J23" s="1506">
        <f>Organ__Dü!V75</f>
        <v>0</v>
      </c>
      <c r="K23" s="1506">
        <f>Organ__Dü!E6</f>
        <v>0</v>
      </c>
      <c r="L23" s="1506">
        <f>Organ__Dü!F6</f>
        <v>0</v>
      </c>
      <c r="M23" s="1507">
        <f>Organ__Dü!W75</f>
        <v>0</v>
      </c>
      <c r="N23" s="1507">
        <f>Organ__Dü!G6</f>
        <v>0</v>
      </c>
      <c r="O23" s="1508" t="s">
        <v>1341</v>
      </c>
      <c r="P23" s="1509"/>
      <c r="Q23" s="214"/>
      <c r="R23" s="2752"/>
      <c r="S23" s="2752"/>
      <c r="T23" s="2752"/>
      <c r="U23" s="2752"/>
      <c r="V23" s="2752"/>
      <c r="W23" s="2752"/>
      <c r="X23" s="197"/>
      <c r="Y23" s="216" t="s">
        <v>907</v>
      </c>
      <c r="AB23" s="237">
        <f>$U$4</f>
        <v>0.7</v>
      </c>
      <c r="AC23" s="238" t="e">
        <f t="shared" ref="AC23:AC28" si="17">(AE16*AB23)*100</f>
        <v>#DIV/0!</v>
      </c>
      <c r="AD23" s="239">
        <v>0.5</v>
      </c>
      <c r="AE23" s="238" t="e">
        <f t="shared" ref="AE23:AE28" si="18">(AE16*AD23)</f>
        <v>#DIV/0!</v>
      </c>
      <c r="AH23" s="237">
        <f>$U$4</f>
        <v>0.7</v>
      </c>
      <c r="AI23" s="238" t="e">
        <f t="shared" ref="AI23:AI28" si="19">(AK16*AH23)*100</f>
        <v>#DIV/0!</v>
      </c>
      <c r="AJ23" s="239">
        <v>0.5</v>
      </c>
      <c r="AK23" s="238" t="e">
        <f t="shared" ref="AK23:AK28" si="20">(AK16*AJ23)</f>
        <v>#DIV/0!</v>
      </c>
      <c r="AN23" s="237">
        <f>$U$4</f>
        <v>0.7</v>
      </c>
      <c r="AO23" s="238" t="e">
        <f t="shared" ref="AO23:AO28" si="21">(AQ16*AN23)*100</f>
        <v>#DIV/0!</v>
      </c>
      <c r="AP23" s="239">
        <v>0.5</v>
      </c>
      <c r="AQ23" s="238" t="e">
        <f t="shared" ref="AQ23:AQ28" si="22">(AQ16*AP23)</f>
        <v>#DIV/0!</v>
      </c>
      <c r="AT23" s="237">
        <f>$U$4</f>
        <v>0.7</v>
      </c>
      <c r="AU23" s="240" t="e">
        <f t="shared" ref="AU23:AU28" si="23">(AW16*AT23)*100</f>
        <v>#DIV/0!</v>
      </c>
      <c r="AV23" s="241">
        <v>0.5</v>
      </c>
      <c r="AW23" s="240" t="e">
        <f t="shared" ref="AW23:AW28" si="24">(AW16*AV23)</f>
        <v>#DIV/0!</v>
      </c>
      <c r="AX23" s="204"/>
    </row>
    <row r="24" spans="1:50" ht="15.9" customHeight="1">
      <c r="A24" s="1502" t="s">
        <v>1565</v>
      </c>
      <c r="B24" s="1503" t="str">
        <f>Organ__Dü!B7</f>
        <v>…</v>
      </c>
      <c r="C24" s="1504">
        <f>Organ__Dü!J7</f>
        <v>0</v>
      </c>
      <c r="D24" s="1504">
        <f>Organ__Dü!K7</f>
        <v>0</v>
      </c>
      <c r="E24" s="1504">
        <f>Organ__Dü!L7</f>
        <v>0</v>
      </c>
      <c r="F24" s="1505">
        <f>Organ__Dü!I7</f>
        <v>0</v>
      </c>
      <c r="G24" s="1155"/>
      <c r="H24" s="1506">
        <f>Organ__Dü!D7</f>
        <v>0</v>
      </c>
      <c r="I24" s="1506">
        <f>Organ__Dü!U81</f>
        <v>0</v>
      </c>
      <c r="J24" s="1506">
        <f>Organ__Dü!V81</f>
        <v>0</v>
      </c>
      <c r="K24" s="1506">
        <f>Organ__Dü!E7</f>
        <v>0</v>
      </c>
      <c r="L24" s="1506">
        <f>Organ__Dü!F7</f>
        <v>0</v>
      </c>
      <c r="M24" s="1507">
        <f>Organ__Dü!W81</f>
        <v>0</v>
      </c>
      <c r="N24" s="1507">
        <f>Organ__Dü!G7</f>
        <v>0</v>
      </c>
      <c r="O24" s="1508" t="s">
        <v>1341</v>
      </c>
      <c r="P24" s="1509"/>
      <c r="Q24" s="214"/>
      <c r="R24" s="2752"/>
      <c r="S24" s="2752"/>
      <c r="T24" s="2752"/>
      <c r="U24" s="2752"/>
      <c r="V24" s="2752"/>
      <c r="W24" s="2752"/>
      <c r="X24" s="197"/>
      <c r="Y24" s="216" t="s">
        <v>1634</v>
      </c>
      <c r="AB24" s="209">
        <f>$U$5</f>
        <v>0.8</v>
      </c>
      <c r="AC24" s="242" t="e">
        <f t="shared" si="17"/>
        <v>#DIV/0!</v>
      </c>
      <c r="AD24" s="243">
        <v>0.65</v>
      </c>
      <c r="AE24" s="238" t="e">
        <f t="shared" si="18"/>
        <v>#DIV/0!</v>
      </c>
      <c r="AH24" s="209">
        <f>$U$5</f>
        <v>0.8</v>
      </c>
      <c r="AI24" s="242" t="e">
        <f t="shared" si="19"/>
        <v>#DIV/0!</v>
      </c>
      <c r="AJ24" s="243">
        <v>0.65</v>
      </c>
      <c r="AK24" s="242" t="e">
        <f t="shared" si="20"/>
        <v>#DIV/0!</v>
      </c>
      <c r="AN24" s="209">
        <f>$U$5</f>
        <v>0.8</v>
      </c>
      <c r="AO24" s="242" t="e">
        <f t="shared" si="21"/>
        <v>#DIV/0!</v>
      </c>
      <c r="AP24" s="243">
        <v>0.65</v>
      </c>
      <c r="AQ24" s="242" t="e">
        <f t="shared" si="22"/>
        <v>#DIV/0!</v>
      </c>
      <c r="AT24" s="209">
        <f>$U$5</f>
        <v>0.8</v>
      </c>
      <c r="AU24" s="244" t="e">
        <f t="shared" si="23"/>
        <v>#DIV/0!</v>
      </c>
      <c r="AV24" s="245">
        <v>0.65</v>
      </c>
      <c r="AW24" s="244" t="e">
        <f t="shared" si="24"/>
        <v>#DIV/0!</v>
      </c>
      <c r="AX24" s="204"/>
    </row>
    <row r="25" spans="1:50" ht="15.9" customHeight="1">
      <c r="A25" s="1502" t="s">
        <v>1635</v>
      </c>
      <c r="B25" s="1503" t="str">
        <f>Organ__Dü!B9</f>
        <v>Feststoff 1</v>
      </c>
      <c r="C25" s="1504">
        <f>Organ__Dü!J9</f>
        <v>0</v>
      </c>
      <c r="D25" s="1504">
        <f>Organ__Dü!K9</f>
        <v>0</v>
      </c>
      <c r="E25" s="1504">
        <f>Organ__Dü!L9</f>
        <v>0</v>
      </c>
      <c r="F25" s="1505">
        <f>Organ__Dü!I9</f>
        <v>0</v>
      </c>
      <c r="G25" s="1155"/>
      <c r="H25" s="1506">
        <f>Organ__Dü!D9</f>
        <v>0</v>
      </c>
      <c r="I25" s="1506">
        <f>Organ__Dü!U85</f>
        <v>0</v>
      </c>
      <c r="J25" s="1506">
        <f>Organ__Dü!V85</f>
        <v>0</v>
      </c>
      <c r="K25" s="1506">
        <f>Organ__Dü!E9</f>
        <v>0</v>
      </c>
      <c r="L25" s="1506">
        <f>Organ__Dü!F9</f>
        <v>0</v>
      </c>
      <c r="M25" s="1507">
        <f>Organ__Dü!W85</f>
        <v>0</v>
      </c>
      <c r="N25" s="1507">
        <f>Organ__Dü!G9</f>
        <v>0</v>
      </c>
      <c r="O25" s="1508" t="s">
        <v>1341</v>
      </c>
      <c r="P25" s="1509"/>
      <c r="Q25" s="214"/>
      <c r="R25" s="214"/>
      <c r="S25" s="214"/>
      <c r="T25" s="214"/>
      <c r="U25" s="214"/>
      <c r="V25" s="214"/>
      <c r="W25" s="214"/>
      <c r="X25" s="197"/>
      <c r="Y25" s="216" t="s">
        <v>1233</v>
      </c>
      <c r="AB25" s="209">
        <f>$U$6</f>
        <v>0.85</v>
      </c>
      <c r="AC25" s="242" t="e">
        <f t="shared" si="17"/>
        <v>#DIV/0!</v>
      </c>
      <c r="AD25" s="243">
        <v>0.6</v>
      </c>
      <c r="AE25" s="242" t="e">
        <f t="shared" si="18"/>
        <v>#DIV/0!</v>
      </c>
      <c r="AH25" s="209">
        <f>$U$6</f>
        <v>0.85</v>
      </c>
      <c r="AI25" s="242" t="e">
        <f t="shared" si="19"/>
        <v>#DIV/0!</v>
      </c>
      <c r="AJ25" s="243">
        <v>0.6</v>
      </c>
      <c r="AK25" s="242" t="e">
        <f t="shared" si="20"/>
        <v>#DIV/0!</v>
      </c>
      <c r="AN25" s="209">
        <f>$U$6</f>
        <v>0.85</v>
      </c>
      <c r="AO25" s="242" t="e">
        <f t="shared" si="21"/>
        <v>#DIV/0!</v>
      </c>
      <c r="AP25" s="243">
        <v>0.6</v>
      </c>
      <c r="AQ25" s="242" t="e">
        <f t="shared" si="22"/>
        <v>#DIV/0!</v>
      </c>
      <c r="AT25" s="209">
        <f>$U$6</f>
        <v>0.85</v>
      </c>
      <c r="AU25" s="242" t="e">
        <f t="shared" si="23"/>
        <v>#DIV/0!</v>
      </c>
      <c r="AV25" s="243">
        <v>0.6</v>
      </c>
      <c r="AW25" s="238" t="e">
        <f t="shared" si="24"/>
        <v>#DIV/0!</v>
      </c>
      <c r="AX25" s="204"/>
    </row>
    <row r="26" spans="1:50" ht="15.9" customHeight="1">
      <c r="A26" s="1502" t="s">
        <v>1636</v>
      </c>
      <c r="B26" s="1503" t="str">
        <f>Organ__Dü!B10</f>
        <v>……</v>
      </c>
      <c r="C26" s="1504">
        <f>Organ__Dü!J10</f>
        <v>0</v>
      </c>
      <c r="D26" s="1504">
        <f>Organ__Dü!K10</f>
        <v>0</v>
      </c>
      <c r="E26" s="1504">
        <f>Organ__Dü!L10</f>
        <v>0</v>
      </c>
      <c r="F26" s="1505">
        <f>Organ__Dü!I10</f>
        <v>0</v>
      </c>
      <c r="G26" s="1155"/>
      <c r="H26" s="1506">
        <f>Organ__Dü!D10</f>
        <v>0</v>
      </c>
      <c r="I26" s="1506">
        <f>Organ__Dü!U89</f>
        <v>0</v>
      </c>
      <c r="J26" s="1506">
        <f>Organ__Dü!V89</f>
        <v>0</v>
      </c>
      <c r="K26" s="1506">
        <f>Organ__Dü!E10</f>
        <v>0</v>
      </c>
      <c r="L26" s="1506">
        <f>Organ__Dü!F10</f>
        <v>0</v>
      </c>
      <c r="M26" s="1507">
        <f>Organ__Dü!W89</f>
        <v>0</v>
      </c>
      <c r="N26" s="1507">
        <f>Organ__Dü!G10</f>
        <v>0</v>
      </c>
      <c r="O26" s="1508" t="s">
        <v>1341</v>
      </c>
      <c r="P26" s="1509"/>
      <c r="Q26" s="214"/>
      <c r="R26" s="214"/>
      <c r="S26" s="214"/>
      <c r="T26" s="214"/>
      <c r="U26" s="214"/>
      <c r="V26" s="214"/>
      <c r="W26" s="214"/>
      <c r="X26" s="197"/>
      <c r="Y26" s="216" t="s">
        <v>926</v>
      </c>
      <c r="AB26" s="209">
        <f>$U$7</f>
        <v>1</v>
      </c>
      <c r="AC26" s="242" t="e">
        <f t="shared" si="17"/>
        <v>#DIV/0!</v>
      </c>
      <c r="AD26" s="243">
        <v>0.9</v>
      </c>
      <c r="AE26" s="242" t="e">
        <f t="shared" si="18"/>
        <v>#DIV/0!</v>
      </c>
      <c r="AH26" s="209">
        <f>$U$7</f>
        <v>1</v>
      </c>
      <c r="AI26" s="242" t="e">
        <f t="shared" si="19"/>
        <v>#DIV/0!</v>
      </c>
      <c r="AJ26" s="243">
        <v>0.9</v>
      </c>
      <c r="AK26" s="242" t="e">
        <f t="shared" si="20"/>
        <v>#DIV/0!</v>
      </c>
      <c r="AN26" s="209">
        <f>$U$7</f>
        <v>1</v>
      </c>
      <c r="AO26" s="242" t="e">
        <f t="shared" si="21"/>
        <v>#DIV/0!</v>
      </c>
      <c r="AP26" s="243">
        <v>0.9</v>
      </c>
      <c r="AQ26" s="242" t="e">
        <f t="shared" si="22"/>
        <v>#DIV/0!</v>
      </c>
      <c r="AT26" s="209">
        <f>$U$7</f>
        <v>1</v>
      </c>
      <c r="AU26" s="244" t="e">
        <f t="shared" si="23"/>
        <v>#DIV/0!</v>
      </c>
      <c r="AV26" s="245">
        <v>0.9</v>
      </c>
      <c r="AW26" s="240" t="e">
        <f t="shared" si="24"/>
        <v>#DIV/0!</v>
      </c>
      <c r="AX26" s="204"/>
    </row>
    <row r="27" spans="1:50" ht="15.6">
      <c r="A27" s="1502" t="s">
        <v>1637</v>
      </c>
      <c r="B27" s="1503" t="str">
        <f>Organ__Dü!B11</f>
        <v>……</v>
      </c>
      <c r="C27" s="1504">
        <f>Organ__Dü!J11</f>
        <v>0</v>
      </c>
      <c r="D27" s="1504">
        <f>Organ__Dü!K11</f>
        <v>0</v>
      </c>
      <c r="E27" s="1504">
        <f>Organ__Dü!L11</f>
        <v>0</v>
      </c>
      <c r="F27" s="1505">
        <f>Organ__Dü!I11</f>
        <v>0</v>
      </c>
      <c r="G27" s="1155"/>
      <c r="H27" s="1506">
        <f>Organ__Dü!D11</f>
        <v>0</v>
      </c>
      <c r="I27" s="1506">
        <f>Organ__Dü!U93</f>
        <v>0</v>
      </c>
      <c r="J27" s="1506">
        <f>Organ__Dü!V93</f>
        <v>0</v>
      </c>
      <c r="K27" s="1506">
        <f>Organ__Dü!E11</f>
        <v>0</v>
      </c>
      <c r="L27" s="1506">
        <f>Organ__Dü!F11</f>
        <v>0</v>
      </c>
      <c r="M27" s="1507">
        <f>Organ__Dü!W93</f>
        <v>0</v>
      </c>
      <c r="N27" s="1507">
        <f>Organ__Dü!G11</f>
        <v>0</v>
      </c>
      <c r="O27" s="1508" t="s">
        <v>1341</v>
      </c>
      <c r="P27" s="1509"/>
      <c r="Q27" s="214"/>
      <c r="R27" s="2760" t="str">
        <f>IFERROR(IF(AND(Ergebnis!$F$11&gt;170,SUM($F$13:$F$18)=0,SUM($C$13:$C$18)&gt;0,(Betrieb!$D$18&gt;0)),"Wirtschaftsdüngermengen sind abzuschätzen und Wirtschaftsdünger ist abzugeben !",IF(AND(Ergebnis!$F$11&gt;170,SUM($C$13:$C$18)&gt;0,SUM($F$13:$F$18)&gt;0,Betrieb!$D$18&gt;0),CONCATENATE("Wirtschaftsdünger ist abzugeben, es sind ",ROUND((Ergebnis!$F$11-170)*Betrieb!$D$18,1)," kg N ab Lager zuviel am Betrieb"),IF(AND(SUM($F$13:$F$18)=0,SUM($C$13:$C$18)&gt;0,Betrieb!$D$18=0),"Mengenabschätzung - bitte unbedingt vornehmen!",IF(AND(((Tabelle1!$AX$20+Tabelle1!$AX$28-Tabelle1!$AX$30+Tabelle1!$AX$31)/Betrieb!$D$18)&gt;170,Ergebnis!$F$11&lt;170,SUM($G$13:$G$18)&gt;0,Betrieb!$D$18&gt;0),"Wirtschaftsdüngerabgabevertrag ist abzuschließen - siehe Tabellenbaltt WD-Vertrag!",IF(AND(SUM($G$13:$G$18)&gt;0,((Tabelle1!AX20+Tabelle1!AX28-Tabelle1!AX30+Tabelle1!AX31)/Betrieb!$D$18)&lt;170,Betrieb!$D$18&gt;0),"Bei Wirtschaftsdüngerabgabe bitte einen Wirtschaftsdüngervertrag abschließen",IF(AND(Betrieb!$D$18=0,SUM($C$13:$C$18)&gt;0,SUM($F$13:$F$18)&gt;0),"Flächenangabe am Tabellenblatt Betrieb ist noch einzugeben","Mengenabschätzung für die am Betrieb anfallenden Wirtschaftdünger")))))),"")</f>
        <v/>
      </c>
      <c r="S27" s="2760"/>
      <c r="T27" s="2760"/>
      <c r="U27" s="2760"/>
      <c r="V27" s="2760"/>
      <c r="W27" s="2760"/>
      <c r="X27" s="197"/>
      <c r="Y27" s="216" t="s">
        <v>927</v>
      </c>
      <c r="Z27" s="1542"/>
      <c r="AA27" s="1542"/>
      <c r="AB27" s="209">
        <f>$U$8</f>
        <v>0.5</v>
      </c>
      <c r="AC27" s="242" t="e">
        <f t="shared" si="17"/>
        <v>#DIV/0!</v>
      </c>
      <c r="AD27" s="243">
        <v>0.15</v>
      </c>
      <c r="AE27" s="242" t="e">
        <f t="shared" si="18"/>
        <v>#DIV/0!</v>
      </c>
      <c r="AF27" s="1542"/>
      <c r="AG27" s="1542"/>
      <c r="AH27" s="209">
        <f>$U$8</f>
        <v>0.5</v>
      </c>
      <c r="AI27" s="242" t="e">
        <f t="shared" si="19"/>
        <v>#DIV/0!</v>
      </c>
      <c r="AJ27" s="243">
        <v>0.15</v>
      </c>
      <c r="AK27" s="242" t="e">
        <f t="shared" si="20"/>
        <v>#DIV/0!</v>
      </c>
      <c r="AL27" s="1542"/>
      <c r="AM27" s="1542"/>
      <c r="AN27" s="209">
        <f>$U$8</f>
        <v>0.5</v>
      </c>
      <c r="AO27" s="242" t="e">
        <f t="shared" si="21"/>
        <v>#DIV/0!</v>
      </c>
      <c r="AP27" s="243">
        <v>0.15</v>
      </c>
      <c r="AQ27" s="242" t="e">
        <f t="shared" si="22"/>
        <v>#DIV/0!</v>
      </c>
      <c r="AR27" s="1542"/>
      <c r="AS27" s="1542"/>
      <c r="AT27" s="209">
        <f>$U$8</f>
        <v>0.5</v>
      </c>
      <c r="AU27" s="242" t="e">
        <f t="shared" si="23"/>
        <v>#DIV/0!</v>
      </c>
      <c r="AV27" s="243">
        <v>0.15</v>
      </c>
      <c r="AW27" s="238" t="e">
        <f t="shared" si="24"/>
        <v>#DIV/0!</v>
      </c>
      <c r="AX27" s="204"/>
    </row>
    <row r="28" spans="1:50" ht="16.2" thickBot="1">
      <c r="A28" s="1502" t="s">
        <v>1638</v>
      </c>
      <c r="B28" s="1503" t="str">
        <f>Organ__Dü!B13</f>
        <v>…..</v>
      </c>
      <c r="C28" s="1504">
        <f>Organ__Dü!J13</f>
        <v>0</v>
      </c>
      <c r="D28" s="1504">
        <f>Organ__Dü!K13</f>
        <v>0</v>
      </c>
      <c r="E28" s="1504">
        <f>Organ__Dü!L13</f>
        <v>0</v>
      </c>
      <c r="F28" s="1505">
        <f>Organ__Dü!I13</f>
        <v>0</v>
      </c>
      <c r="G28" s="1155"/>
      <c r="H28" s="1506">
        <f>Organ__Dü!D13</f>
        <v>0</v>
      </c>
      <c r="I28" s="1506">
        <f>Organ__Dü!U102</f>
        <v>0</v>
      </c>
      <c r="J28" s="1506">
        <f>Organ__Dü!V102</f>
        <v>0</v>
      </c>
      <c r="K28" s="1506">
        <f>Organ__Dü!E13</f>
        <v>0</v>
      </c>
      <c r="L28" s="1506">
        <f>Organ__Dü!F13</f>
        <v>0</v>
      </c>
      <c r="M28" s="1507">
        <f>Organ__Dü!W102</f>
        <v>0</v>
      </c>
      <c r="N28" s="1507">
        <f>Organ__Dü!G13</f>
        <v>0</v>
      </c>
      <c r="O28" s="1508" t="s">
        <v>1341</v>
      </c>
      <c r="P28" s="1509"/>
      <c r="Q28" s="214"/>
      <c r="R28" s="2760"/>
      <c r="S28" s="2760"/>
      <c r="T28" s="2760"/>
      <c r="U28" s="2760"/>
      <c r="V28" s="2760"/>
      <c r="W28" s="2760"/>
      <c r="X28" s="197"/>
      <c r="Y28" s="216" t="s">
        <v>927</v>
      </c>
      <c r="AB28" s="209">
        <f>$U$8</f>
        <v>0.5</v>
      </c>
      <c r="AC28" s="246" t="e">
        <f t="shared" si="17"/>
        <v>#DIV/0!</v>
      </c>
      <c r="AD28" s="243">
        <v>0.15</v>
      </c>
      <c r="AE28" s="242" t="e">
        <f t="shared" si="18"/>
        <v>#DIV/0!</v>
      </c>
      <c r="AH28" s="209">
        <f>$U$8</f>
        <v>0.5</v>
      </c>
      <c r="AI28" s="242" t="e">
        <f t="shared" si="19"/>
        <v>#DIV/0!</v>
      </c>
      <c r="AJ28" s="243">
        <v>0.15</v>
      </c>
      <c r="AK28" s="242" t="e">
        <f t="shared" si="20"/>
        <v>#DIV/0!</v>
      </c>
      <c r="AN28" s="209">
        <f>$U$8</f>
        <v>0.5</v>
      </c>
      <c r="AO28" s="242" t="e">
        <f t="shared" si="21"/>
        <v>#DIV/0!</v>
      </c>
      <c r="AP28" s="243">
        <v>0.15</v>
      </c>
      <c r="AQ28" s="242" t="e">
        <f t="shared" si="22"/>
        <v>#DIV/0!</v>
      </c>
      <c r="AT28" s="209">
        <f>$U$8</f>
        <v>0.5</v>
      </c>
      <c r="AU28" s="242" t="e">
        <f t="shared" si="23"/>
        <v>#DIV/0!</v>
      </c>
      <c r="AV28" s="243">
        <v>0.15</v>
      </c>
      <c r="AW28" s="242" t="e">
        <f t="shared" si="24"/>
        <v>#DIV/0!</v>
      </c>
      <c r="AX28" s="204"/>
    </row>
    <row r="29" spans="1:50" ht="15.9" customHeight="1">
      <c r="A29" s="1502" t="s">
        <v>1639</v>
      </c>
      <c r="B29" s="1503" t="str">
        <f>Organ__Dü!B14</f>
        <v>…..</v>
      </c>
      <c r="C29" s="1504">
        <f>Organ__Dü!J14</f>
        <v>0</v>
      </c>
      <c r="D29" s="1504">
        <f>Organ__Dü!K14</f>
        <v>0</v>
      </c>
      <c r="E29" s="1504">
        <f>Organ__Dü!L14</f>
        <v>0</v>
      </c>
      <c r="F29" s="1505">
        <f>Organ__Dü!I14</f>
        <v>0</v>
      </c>
      <c r="G29" s="1155"/>
      <c r="H29" s="1506">
        <f>Organ__Dü!D14</f>
        <v>0</v>
      </c>
      <c r="I29" s="1506">
        <f>Organ__Dü!U111</f>
        <v>0</v>
      </c>
      <c r="J29" s="1506">
        <f>Organ__Dü!V111</f>
        <v>0</v>
      </c>
      <c r="K29" s="1506">
        <f>Organ__Dü!E14</f>
        <v>0</v>
      </c>
      <c r="L29" s="1506">
        <f>Organ__Dü!F14</f>
        <v>0</v>
      </c>
      <c r="M29" s="1507">
        <f>Organ__Dü!W111</f>
        <v>0</v>
      </c>
      <c r="N29" s="1507">
        <f>Organ__Dü!G14</f>
        <v>0</v>
      </c>
      <c r="O29" s="1508" t="s">
        <v>1341</v>
      </c>
      <c r="P29" s="1509"/>
      <c r="Q29" s="214"/>
      <c r="R29" s="214"/>
      <c r="S29" s="214"/>
      <c r="T29" s="214"/>
      <c r="U29" s="214"/>
      <c r="V29" s="214"/>
      <c r="W29" s="214"/>
      <c r="X29" s="197"/>
      <c r="Y29" s="214"/>
      <c r="AB29" s="209" t="s">
        <v>1640</v>
      </c>
      <c r="AC29" s="242" t="e">
        <f>SUM(AC23:AC28)</f>
        <v>#DIV/0!</v>
      </c>
      <c r="AD29" s="243" t="s">
        <v>1641</v>
      </c>
      <c r="AE29" s="247" t="e">
        <f>SUM(AE23:AE28)</f>
        <v>#DIV/0!</v>
      </c>
      <c r="AH29" s="248" t="s">
        <v>1640</v>
      </c>
      <c r="AI29" s="249" t="e">
        <f>SUM(AI23:AI28)</f>
        <v>#DIV/0!</v>
      </c>
      <c r="AJ29" s="249" t="s">
        <v>1641</v>
      </c>
      <c r="AK29" s="247" t="e">
        <f>SUM(AK23:AK28)</f>
        <v>#DIV/0!</v>
      </c>
      <c r="AN29" s="248" t="s">
        <v>1640</v>
      </c>
      <c r="AO29" s="249" t="e">
        <f>SUM(AO23:AO28)</f>
        <v>#DIV/0!</v>
      </c>
      <c r="AP29" s="249" t="s">
        <v>1641</v>
      </c>
      <c r="AQ29" s="247" t="e">
        <f>SUM(AQ23:AQ28)</f>
        <v>#DIV/0!</v>
      </c>
      <c r="AT29" s="248" t="s">
        <v>1640</v>
      </c>
      <c r="AU29" s="249" t="e">
        <f>SUM(AU23:AU28)</f>
        <v>#DIV/0!</v>
      </c>
      <c r="AV29" s="249" t="s">
        <v>1641</v>
      </c>
      <c r="AW29" s="247" t="e">
        <f>SUM(AW23:AW28)</f>
        <v>#DIV/0!</v>
      </c>
      <c r="AX29" s="204"/>
    </row>
    <row r="30" spans="1:50" ht="15.6">
      <c r="A30" s="1502" t="s">
        <v>1642</v>
      </c>
      <c r="B30" s="1503" t="str">
        <f>Organ__Dü!B15</f>
        <v>….</v>
      </c>
      <c r="C30" s="1504">
        <f>Organ__Dü!J15</f>
        <v>0</v>
      </c>
      <c r="D30" s="1504">
        <f>Organ__Dü!K15</f>
        <v>0</v>
      </c>
      <c r="E30" s="1504">
        <f>Organ__Dü!L15</f>
        <v>0</v>
      </c>
      <c r="F30" s="1505">
        <f>Organ__Dü!I15</f>
        <v>0</v>
      </c>
      <c r="G30" s="1155"/>
      <c r="H30" s="1506">
        <f>Organ__Dü!D15</f>
        <v>0</v>
      </c>
      <c r="I30" s="1506">
        <f>Organ__Dü!U120</f>
        <v>0</v>
      </c>
      <c r="J30" s="1506">
        <f>Organ__Dü!V120</f>
        <v>0</v>
      </c>
      <c r="K30" s="1506">
        <f>Organ__Dü!E15</f>
        <v>0</v>
      </c>
      <c r="L30" s="1506">
        <f>Organ__Dü!F15</f>
        <v>0</v>
      </c>
      <c r="M30" s="1507">
        <f>Organ__Dü!W120</f>
        <v>0</v>
      </c>
      <c r="N30" s="1507">
        <f>Organ__Dü!G15</f>
        <v>0</v>
      </c>
      <c r="O30" s="1508" t="s">
        <v>1341</v>
      </c>
      <c r="P30" s="1509"/>
      <c r="Q30" s="214"/>
      <c r="R30" s="214"/>
      <c r="S30" s="214"/>
      <c r="T30" s="214"/>
      <c r="U30" s="214"/>
      <c r="V30" s="214"/>
      <c r="W30" s="214"/>
      <c r="X30" s="203"/>
      <c r="Y30" s="214"/>
      <c r="AX30" s="204"/>
    </row>
    <row r="31" spans="1:50" ht="13.5" customHeight="1">
      <c r="A31" s="2743" t="s">
        <v>1643</v>
      </c>
      <c r="B31" s="1503" t="str">
        <f>Organ__Dü!B18</f>
        <v>…..</v>
      </c>
      <c r="C31" s="1504">
        <f>Organ__Dü!J18</f>
        <v>0</v>
      </c>
      <c r="D31" s="1504">
        <f>Organ__Dü!K18</f>
        <v>0</v>
      </c>
      <c r="E31" s="1504">
        <f>Organ__Dü!L18</f>
        <v>0</v>
      </c>
      <c r="F31" s="1505">
        <f>Organ__Dü!I18</f>
        <v>0</v>
      </c>
      <c r="G31" s="1155"/>
      <c r="H31" s="1506">
        <f>Organ__Dü!D18</f>
        <v>0</v>
      </c>
      <c r="I31" s="1506">
        <f>H31*0.87</f>
        <v>0</v>
      </c>
      <c r="J31" s="1506">
        <f>I31*U4</f>
        <v>0</v>
      </c>
      <c r="K31" s="1506">
        <f>Organ__Dü!E18</f>
        <v>0</v>
      </c>
      <c r="L31" s="1506">
        <f>Organ__Dü!F18</f>
        <v>0</v>
      </c>
      <c r="M31" s="1507">
        <v>0.5</v>
      </c>
      <c r="N31" s="1507">
        <v>0</v>
      </c>
      <c r="O31" s="1508" t="s">
        <v>1341</v>
      </c>
      <c r="P31" s="1509"/>
      <c r="Q31" s="214"/>
      <c r="R31" s="214"/>
      <c r="S31" s="214"/>
      <c r="T31" s="214"/>
      <c r="U31" s="214"/>
      <c r="V31" s="214"/>
      <c r="W31" s="214"/>
      <c r="X31" s="203"/>
      <c r="Y31" s="214"/>
      <c r="AX31" s="204"/>
    </row>
    <row r="32" spans="1:50" ht="13.5" customHeight="1">
      <c r="A32" s="2743"/>
      <c r="B32" s="1503" t="str">
        <f>Organ__Dü!B19</f>
        <v>…..</v>
      </c>
      <c r="C32" s="1504">
        <f>Organ__Dü!J19</f>
        <v>0</v>
      </c>
      <c r="D32" s="1504">
        <f>Organ__Dü!K19</f>
        <v>0</v>
      </c>
      <c r="E32" s="1504">
        <f>Organ__Dü!L19</f>
        <v>0</v>
      </c>
      <c r="F32" s="1505">
        <f>Organ__Dü!I19</f>
        <v>0</v>
      </c>
      <c r="G32" s="1155"/>
      <c r="H32" s="1506">
        <f>Organ__Dü!D19</f>
        <v>0</v>
      </c>
      <c r="I32" s="1506">
        <f>H32*0.91</f>
        <v>0</v>
      </c>
      <c r="J32" s="1506">
        <f>I32*U8</f>
        <v>0</v>
      </c>
      <c r="K32" s="1506">
        <f>Organ__Dü!E19</f>
        <v>0</v>
      </c>
      <c r="L32" s="1506">
        <f>Organ__Dü!F19</f>
        <v>0</v>
      </c>
      <c r="M32" s="1507">
        <v>0.15</v>
      </c>
      <c r="N32" s="1507">
        <v>0</v>
      </c>
      <c r="O32" s="1508" t="s">
        <v>1341</v>
      </c>
      <c r="P32" s="1509"/>
      <c r="Q32" s="214"/>
      <c r="R32" s="214"/>
      <c r="S32" s="214"/>
      <c r="T32" s="214"/>
      <c r="U32" s="214"/>
      <c r="V32" s="214"/>
      <c r="W32" s="214"/>
      <c r="X32" s="197"/>
      <c r="Y32" s="214"/>
      <c r="Z32" s="157" t="s">
        <v>1155</v>
      </c>
      <c r="AA32" s="245" t="s">
        <v>1099</v>
      </c>
      <c r="AB32" s="245" t="s">
        <v>1100</v>
      </c>
      <c r="AX32" s="204"/>
    </row>
    <row r="33" spans="1:50" ht="13.5" customHeight="1">
      <c r="A33" s="2743"/>
      <c r="B33" s="1503" t="str">
        <f>Organ__Dü!B20</f>
        <v>…..</v>
      </c>
      <c r="C33" s="1504">
        <f>Organ__Dü!J20</f>
        <v>0</v>
      </c>
      <c r="D33" s="1504">
        <f>Organ__Dü!K20</f>
        <v>0</v>
      </c>
      <c r="E33" s="1504">
        <f>Organ__Dü!L20</f>
        <v>0</v>
      </c>
      <c r="F33" s="1505">
        <f>Organ__Dü!I20</f>
        <v>0</v>
      </c>
      <c r="G33" s="1155"/>
      <c r="H33" s="1506">
        <f>Organ__Dü!D20</f>
        <v>0</v>
      </c>
      <c r="I33" s="1506">
        <f>H33*0.91</f>
        <v>0</v>
      </c>
      <c r="J33" s="1506">
        <f>I33*U8</f>
        <v>0</v>
      </c>
      <c r="K33" s="1506">
        <f>Organ__Dü!E20</f>
        <v>0</v>
      </c>
      <c r="L33" s="1506">
        <f>Organ__Dü!F20</f>
        <v>0</v>
      </c>
      <c r="M33" s="1507">
        <v>0.15</v>
      </c>
      <c r="N33" s="1507">
        <v>0</v>
      </c>
      <c r="O33" s="1508" t="s">
        <v>1341</v>
      </c>
      <c r="P33" s="1509"/>
      <c r="Q33" s="214"/>
      <c r="R33" s="214"/>
      <c r="S33" s="214"/>
      <c r="T33" s="214"/>
      <c r="U33" s="214"/>
      <c r="V33" s="214"/>
      <c r="W33" s="214"/>
      <c r="X33" s="197"/>
      <c r="Y33" s="250" t="s">
        <v>1644</v>
      </c>
      <c r="Z33" s="251">
        <f t="shared" ref="Z33:AB34" si="25">C8*$F8</f>
        <v>0</v>
      </c>
      <c r="AA33" s="251">
        <f t="shared" si="25"/>
        <v>0</v>
      </c>
      <c r="AB33" s="251">
        <f t="shared" si="25"/>
        <v>0</v>
      </c>
      <c r="AX33" s="204"/>
    </row>
    <row r="34" spans="1:50" ht="13.5" customHeight="1">
      <c r="A34" s="2743"/>
      <c r="B34" s="1503" t="str">
        <f>Organ__Dü!B21</f>
        <v>…..</v>
      </c>
      <c r="C34" s="1504">
        <f>Organ__Dü!J21</f>
        <v>0</v>
      </c>
      <c r="D34" s="1504">
        <f>Organ__Dü!K21</f>
        <v>0</v>
      </c>
      <c r="E34" s="1504">
        <f>Organ__Dü!L21</f>
        <v>0</v>
      </c>
      <c r="F34" s="1505">
        <f>Organ__Dü!I21</f>
        <v>0</v>
      </c>
      <c r="G34" s="1155"/>
      <c r="H34" s="1506">
        <f>Organ__Dü!D21</f>
        <v>0</v>
      </c>
      <c r="I34" s="1506">
        <f>H34*0.91</f>
        <v>0</v>
      </c>
      <c r="J34" s="1506">
        <f>I34*U10</f>
        <v>0</v>
      </c>
      <c r="K34" s="1506">
        <f>Organ__Dü!E21</f>
        <v>0</v>
      </c>
      <c r="L34" s="1506">
        <f>Organ__Dü!F21</f>
        <v>0</v>
      </c>
      <c r="M34" s="1507">
        <v>0.01</v>
      </c>
      <c r="N34" s="1507">
        <v>0</v>
      </c>
      <c r="O34" s="1508" t="s">
        <v>1341</v>
      </c>
      <c r="P34" s="1509"/>
      <c r="Q34" s="214"/>
      <c r="R34" s="214"/>
      <c r="S34" s="213"/>
      <c r="T34" s="214"/>
      <c r="U34" s="214"/>
      <c r="V34" s="214"/>
      <c r="W34" s="214"/>
      <c r="X34" s="197"/>
      <c r="Y34" s="250" t="s">
        <v>1645</v>
      </c>
      <c r="Z34" s="251">
        <f t="shared" si="25"/>
        <v>0</v>
      </c>
      <c r="AA34" s="251">
        <f t="shared" si="25"/>
        <v>0</v>
      </c>
      <c r="AB34" s="251">
        <f t="shared" si="25"/>
        <v>0</v>
      </c>
      <c r="AX34" s="204"/>
    </row>
    <row r="35" spans="1:50" ht="22.5" customHeight="1">
      <c r="A35" s="213"/>
      <c r="B35" s="213"/>
      <c r="C35" s="213"/>
      <c r="D35" s="213"/>
      <c r="E35" s="213"/>
      <c r="F35" s="213"/>
      <c r="G35" s="213"/>
      <c r="H35" s="213"/>
      <c r="I35" s="213"/>
      <c r="J35" s="213"/>
      <c r="K35" s="213"/>
      <c r="L35" s="213"/>
      <c r="M35" s="213"/>
      <c r="N35" s="213"/>
      <c r="O35" s="213"/>
      <c r="P35" s="213"/>
      <c r="Q35" s="213"/>
      <c r="R35" s="213"/>
      <c r="S35" s="213"/>
      <c r="T35" s="214"/>
      <c r="U35" s="214"/>
      <c r="V35" s="214"/>
      <c r="W35" s="214"/>
      <c r="X35" s="197"/>
      <c r="Y35" s="214"/>
      <c r="AX35" s="204"/>
    </row>
    <row r="36" spans="1:50" ht="22.5" customHeight="1">
      <c r="A36" s="213"/>
      <c r="B36" s="213"/>
      <c r="C36" s="213"/>
      <c r="D36" s="213"/>
      <c r="E36" s="213"/>
      <c r="F36" s="213"/>
      <c r="G36" s="213"/>
      <c r="H36" s="213"/>
      <c r="I36" s="213"/>
      <c r="J36" s="213"/>
      <c r="K36" s="213"/>
      <c r="L36" s="213"/>
      <c r="M36" s="213"/>
      <c r="N36" s="213"/>
      <c r="O36" s="213"/>
      <c r="P36" s="213"/>
      <c r="Q36" s="213"/>
      <c r="R36" s="213"/>
      <c r="S36" s="213"/>
      <c r="T36" s="214"/>
      <c r="U36" s="214"/>
      <c r="V36" s="214"/>
      <c r="W36" s="214"/>
      <c r="X36" s="197"/>
      <c r="AX36" s="204"/>
    </row>
    <row r="37" spans="1:50">
      <c r="A37" s="213"/>
      <c r="B37" s="213"/>
      <c r="C37" s="213"/>
      <c r="D37" s="213"/>
      <c r="E37" s="213"/>
      <c r="F37" s="213"/>
      <c r="G37" s="213"/>
      <c r="H37" s="213"/>
      <c r="I37" s="213"/>
      <c r="J37" s="213"/>
      <c r="K37" s="213"/>
      <c r="L37" s="213"/>
      <c r="M37" s="213"/>
      <c r="N37" s="213"/>
      <c r="O37" s="213"/>
      <c r="P37" s="213"/>
      <c r="Q37" s="213"/>
      <c r="R37" s="213"/>
      <c r="S37" s="213"/>
      <c r="T37" s="214"/>
      <c r="U37" s="214"/>
      <c r="V37" s="213"/>
      <c r="W37" s="213"/>
      <c r="X37" s="204"/>
      <c r="Y37" s="204"/>
      <c r="Z37" s="204"/>
      <c r="AA37" s="204"/>
      <c r="AB37" s="204"/>
      <c r="AC37" s="204"/>
      <c r="AD37" s="204"/>
      <c r="AE37" s="204"/>
      <c r="AF37" s="204"/>
      <c r="AG37" s="204"/>
      <c r="AH37" s="204"/>
      <c r="AI37" s="204"/>
      <c r="AJ37" s="204"/>
      <c r="AK37" s="204"/>
      <c r="AL37" s="204"/>
      <c r="AM37" s="204"/>
      <c r="AN37" s="204"/>
      <c r="AO37" s="204"/>
      <c r="AP37" s="204"/>
      <c r="AQ37" s="204"/>
      <c r="AR37" s="204"/>
      <c r="AS37" s="204"/>
      <c r="AT37" s="204"/>
      <c r="AU37" s="204"/>
      <c r="AV37" s="204"/>
      <c r="AW37" s="204"/>
      <c r="AX37" s="204"/>
    </row>
    <row r="38" spans="1:50" ht="18" customHeight="1">
      <c r="A38" s="2745" t="s">
        <v>1646</v>
      </c>
      <c r="B38" s="2745"/>
      <c r="C38" s="2746" t="s">
        <v>1647</v>
      </c>
      <c r="D38" s="2747" t="s">
        <v>1400</v>
      </c>
      <c r="E38" s="2748" t="s">
        <v>933</v>
      </c>
      <c r="F38" s="2748"/>
      <c r="G38" s="2748"/>
      <c r="H38" s="2748"/>
      <c r="I38" s="2748"/>
      <c r="J38" s="2748" t="s">
        <v>937</v>
      </c>
      <c r="K38" s="2748"/>
      <c r="L38" s="2748"/>
      <c r="M38" s="2748"/>
      <c r="N38" s="2748"/>
      <c r="O38" s="2748" t="s">
        <v>938</v>
      </c>
      <c r="P38" s="2748"/>
      <c r="Q38" s="2748"/>
      <c r="R38" s="2748"/>
      <c r="S38" s="2748"/>
      <c r="T38" s="214"/>
      <c r="U38" s="214"/>
      <c r="V38" s="213"/>
      <c r="W38" s="213"/>
      <c r="X38" s="204"/>
      <c r="Y38" s="204"/>
      <c r="Z38" s="204"/>
      <c r="AA38" s="204"/>
      <c r="AB38" s="204"/>
      <c r="AC38" s="204"/>
      <c r="AD38" s="204"/>
      <c r="AE38" s="204"/>
      <c r="AF38" s="204"/>
      <c r="AG38" s="204"/>
      <c r="AH38" s="204"/>
      <c r="AI38" s="204"/>
      <c r="AJ38" s="204"/>
      <c r="AK38" s="204"/>
      <c r="AL38" s="204"/>
      <c r="AM38" s="204"/>
      <c r="AN38" s="204"/>
      <c r="AO38" s="204"/>
      <c r="AP38" s="204"/>
      <c r="AQ38" s="204"/>
      <c r="AR38" s="204"/>
      <c r="AS38" s="204"/>
      <c r="AT38" s="204"/>
      <c r="AU38" s="204"/>
      <c r="AV38" s="204"/>
      <c r="AW38" s="204"/>
      <c r="AX38" s="204"/>
    </row>
    <row r="39" spans="1:50" ht="18" customHeight="1">
      <c r="A39" s="2745"/>
      <c r="B39" s="2745"/>
      <c r="C39" s="2746"/>
      <c r="D39" s="2747"/>
      <c r="E39" s="1435" t="s">
        <v>923</v>
      </c>
      <c r="F39" s="1435" t="s">
        <v>924</v>
      </c>
      <c r="G39" s="1435" t="s">
        <v>925</v>
      </c>
      <c r="H39" s="1435" t="s">
        <v>926</v>
      </c>
      <c r="I39" s="1435" t="s">
        <v>927</v>
      </c>
      <c r="J39" s="1435" t="s">
        <v>923</v>
      </c>
      <c r="K39" s="1435" t="s">
        <v>924</v>
      </c>
      <c r="L39" s="1435" t="s">
        <v>925</v>
      </c>
      <c r="M39" s="1435" t="s">
        <v>926</v>
      </c>
      <c r="N39" s="1435" t="s">
        <v>927</v>
      </c>
      <c r="O39" s="1435" t="s">
        <v>923</v>
      </c>
      <c r="P39" s="1435" t="s">
        <v>924</v>
      </c>
      <c r="Q39" s="1435" t="s">
        <v>925</v>
      </c>
      <c r="R39" s="1435" t="s">
        <v>926</v>
      </c>
      <c r="S39" s="1435" t="s">
        <v>927</v>
      </c>
      <c r="T39" s="214"/>
      <c r="U39" s="214"/>
      <c r="V39" s="213"/>
      <c r="W39" s="213"/>
      <c r="X39" s="204"/>
      <c r="Y39" s="204"/>
      <c r="Z39" s="204"/>
      <c r="AA39" s="204"/>
      <c r="AB39" s="204"/>
      <c r="AC39" s="204"/>
      <c r="AD39" s="204"/>
      <c r="AE39" s="204"/>
      <c r="AF39" s="204"/>
      <c r="AG39" s="204"/>
      <c r="AH39" s="204"/>
      <c r="AI39" s="204"/>
      <c r="AJ39" s="204"/>
      <c r="AK39" s="204"/>
      <c r="AL39" s="204"/>
      <c r="AM39" s="204"/>
      <c r="AN39" s="204"/>
      <c r="AO39" s="204"/>
      <c r="AP39" s="204"/>
      <c r="AQ39" s="204"/>
      <c r="AR39" s="204"/>
      <c r="AS39" s="204"/>
      <c r="AT39" s="204"/>
      <c r="AU39" s="204"/>
      <c r="AV39" s="204"/>
      <c r="AW39" s="204"/>
      <c r="AX39" s="204"/>
    </row>
    <row r="40" spans="1:50" s="214" customFormat="1" ht="16.5" customHeight="1">
      <c r="A40" s="2739">
        <f>Tiere!B5</f>
        <v>0</v>
      </c>
      <c r="B40" s="2739"/>
      <c r="C40" s="1164">
        <f>Tabelle1!AQ5</f>
        <v>0</v>
      </c>
      <c r="D40" s="1164">
        <f>Tabelle1!AR5</f>
        <v>0</v>
      </c>
      <c r="E40" s="1164">
        <f>Tabelle1!AS5</f>
        <v>0</v>
      </c>
      <c r="F40" s="1164">
        <f>Tabelle1!AT5</f>
        <v>0</v>
      </c>
      <c r="G40" s="1164">
        <f>Tabelle1!AU5</f>
        <v>0</v>
      </c>
      <c r="H40" s="1164">
        <f>Tabelle1!AV5</f>
        <v>0</v>
      </c>
      <c r="I40" s="1164">
        <f>Tabelle1!AW5</f>
        <v>0</v>
      </c>
      <c r="J40" s="1164">
        <f>Tabelle1!BD5</f>
        <v>0</v>
      </c>
      <c r="K40" s="1164">
        <f>Tabelle1!BE5</f>
        <v>0</v>
      </c>
      <c r="L40" s="1164">
        <f>Tabelle1!BF5</f>
        <v>0</v>
      </c>
      <c r="M40" s="1164">
        <f>Tabelle1!BG5</f>
        <v>0</v>
      </c>
      <c r="N40" s="1164">
        <f>Tabelle1!BH5</f>
        <v>0</v>
      </c>
      <c r="O40" s="1164">
        <f>Tabelle1!BJ5</f>
        <v>0</v>
      </c>
      <c r="P40" s="1164">
        <f>Tabelle1!BK5</f>
        <v>0</v>
      </c>
      <c r="Q40" s="1164">
        <f>Tabelle1!BL5</f>
        <v>0</v>
      </c>
      <c r="R40" s="1164">
        <f>Tabelle1!BM5</f>
        <v>0</v>
      </c>
      <c r="S40" s="1164">
        <f>Tabelle1!BN5</f>
        <v>0</v>
      </c>
      <c r="V40" s="213"/>
      <c r="W40" s="213"/>
      <c r="X40" s="204"/>
      <c r="Y40" s="204"/>
      <c r="Z40" s="204"/>
      <c r="AA40" s="204"/>
      <c r="AB40" s="204"/>
      <c r="AC40" s="204"/>
      <c r="AD40" s="204"/>
      <c r="AE40" s="204"/>
      <c r="AF40" s="204"/>
      <c r="AG40" s="204"/>
      <c r="AH40" s="204"/>
      <c r="AI40" s="204"/>
      <c r="AJ40" s="204"/>
      <c r="AK40" s="204"/>
      <c r="AL40" s="204"/>
      <c r="AM40" s="204"/>
      <c r="AN40" s="204"/>
      <c r="AO40" s="204"/>
      <c r="AP40" s="204"/>
      <c r="AQ40" s="204"/>
      <c r="AR40" s="204"/>
      <c r="AS40" s="204"/>
      <c r="AT40" s="204"/>
      <c r="AU40" s="204"/>
      <c r="AV40" s="204"/>
      <c r="AW40" s="204"/>
      <c r="AX40" s="204"/>
    </row>
    <row r="41" spans="1:50" ht="16.5" customHeight="1">
      <c r="A41" s="2739">
        <f>Tiere!B6</f>
        <v>0</v>
      </c>
      <c r="B41" s="2739"/>
      <c r="C41" s="1164">
        <f>Tabelle1!AQ6</f>
        <v>0</v>
      </c>
      <c r="D41" s="1164">
        <f>Tabelle1!AR6</f>
        <v>0</v>
      </c>
      <c r="E41" s="1164">
        <f>Tabelle1!AS6</f>
        <v>0</v>
      </c>
      <c r="F41" s="1164">
        <f>Tabelle1!AT6</f>
        <v>0</v>
      </c>
      <c r="G41" s="1164">
        <f>Tabelle1!AU6</f>
        <v>0</v>
      </c>
      <c r="H41" s="1164">
        <f>Tabelle1!AV6</f>
        <v>0</v>
      </c>
      <c r="I41" s="1164">
        <f>Tabelle1!AW6</f>
        <v>0</v>
      </c>
      <c r="J41" s="1164">
        <f>Tabelle1!BD6</f>
        <v>0</v>
      </c>
      <c r="K41" s="1164">
        <f>Tabelle1!BE6</f>
        <v>0</v>
      </c>
      <c r="L41" s="1164">
        <f>Tabelle1!BF6</f>
        <v>0</v>
      </c>
      <c r="M41" s="1164">
        <f>Tabelle1!BG6</f>
        <v>0</v>
      </c>
      <c r="N41" s="1164">
        <f>Tabelle1!BH6</f>
        <v>0</v>
      </c>
      <c r="O41" s="1164">
        <f>Tabelle1!BJ6</f>
        <v>0</v>
      </c>
      <c r="P41" s="1164">
        <f>Tabelle1!BK6</f>
        <v>0</v>
      </c>
      <c r="Q41" s="1164">
        <f>Tabelle1!BL6</f>
        <v>0</v>
      </c>
      <c r="R41" s="1164">
        <f>Tabelle1!BM6</f>
        <v>0</v>
      </c>
      <c r="S41" s="1164">
        <f>Tabelle1!BN6</f>
        <v>0</v>
      </c>
      <c r="T41" s="214"/>
      <c r="U41" s="214"/>
      <c r="V41" s="213"/>
      <c r="W41" s="213"/>
      <c r="X41" s="204"/>
      <c r="Y41" s="204"/>
      <c r="Z41" s="204"/>
      <c r="AA41" s="204"/>
      <c r="AB41" s="204"/>
      <c r="AC41" s="204"/>
      <c r="AD41" s="204"/>
      <c r="AE41" s="204"/>
      <c r="AF41" s="204"/>
      <c r="AG41" s="204"/>
      <c r="AH41" s="204"/>
      <c r="AI41" s="204"/>
      <c r="AJ41" s="204"/>
      <c r="AK41" s="204"/>
      <c r="AL41" s="204"/>
      <c r="AM41" s="204"/>
      <c r="AN41" s="204"/>
      <c r="AO41" s="204"/>
      <c r="AP41" s="204"/>
      <c r="AQ41" s="204"/>
      <c r="AR41" s="204"/>
      <c r="AS41" s="204"/>
      <c r="AT41" s="204"/>
      <c r="AU41" s="204"/>
      <c r="AV41" s="204"/>
      <c r="AW41" s="204"/>
      <c r="AX41" s="204"/>
    </row>
    <row r="42" spans="1:50" ht="16.5" customHeight="1">
      <c r="A42" s="2739">
        <f>Tiere!B7</f>
        <v>0</v>
      </c>
      <c r="B42" s="2739"/>
      <c r="C42" s="1164">
        <f>Tabelle1!AQ7</f>
        <v>0</v>
      </c>
      <c r="D42" s="1164">
        <f>Tabelle1!AR7</f>
        <v>0</v>
      </c>
      <c r="E42" s="1164">
        <f>Tabelle1!AS7</f>
        <v>0</v>
      </c>
      <c r="F42" s="1164">
        <f>Tabelle1!AT7</f>
        <v>0</v>
      </c>
      <c r="G42" s="1164">
        <f>Tabelle1!AU7</f>
        <v>0</v>
      </c>
      <c r="H42" s="1164">
        <f>Tabelle1!AV7</f>
        <v>0</v>
      </c>
      <c r="I42" s="1164">
        <f>Tabelle1!AW7</f>
        <v>0</v>
      </c>
      <c r="J42" s="1164">
        <f>Tabelle1!BD7</f>
        <v>0</v>
      </c>
      <c r="K42" s="1164">
        <f>Tabelle1!BE7</f>
        <v>0</v>
      </c>
      <c r="L42" s="1164">
        <f>Tabelle1!BF7</f>
        <v>0</v>
      </c>
      <c r="M42" s="1164">
        <f>Tabelle1!BG7</f>
        <v>0</v>
      </c>
      <c r="N42" s="1164">
        <f>Tabelle1!BH7</f>
        <v>0</v>
      </c>
      <c r="O42" s="1164">
        <f>Tabelle1!BJ7</f>
        <v>0</v>
      </c>
      <c r="P42" s="1164">
        <f>Tabelle1!BK7</f>
        <v>0</v>
      </c>
      <c r="Q42" s="1164">
        <f>Tabelle1!BL7</f>
        <v>0</v>
      </c>
      <c r="R42" s="1164">
        <f>Tabelle1!BM7</f>
        <v>0</v>
      </c>
      <c r="S42" s="1164">
        <f>Tabelle1!BN7</f>
        <v>0</v>
      </c>
      <c r="T42" s="214"/>
      <c r="U42" s="214"/>
      <c r="V42" s="213"/>
      <c r="W42" s="213"/>
      <c r="X42" s="204"/>
      <c r="Y42" s="204"/>
      <c r="Z42" s="204"/>
      <c r="AA42" s="204"/>
      <c r="AB42" s="204"/>
      <c r="AC42" s="204"/>
      <c r="AD42" s="204"/>
      <c r="AE42" s="204"/>
      <c r="AF42" s="204"/>
      <c r="AG42" s="204"/>
      <c r="AH42" s="204"/>
      <c r="AI42" s="204"/>
      <c r="AJ42" s="204"/>
      <c r="AK42" s="204"/>
      <c r="AL42" s="204"/>
      <c r="AM42" s="204"/>
      <c r="AN42" s="204"/>
      <c r="AO42" s="204"/>
      <c r="AP42" s="204"/>
      <c r="AQ42" s="204"/>
      <c r="AR42" s="204"/>
      <c r="AS42" s="204"/>
      <c r="AT42" s="204"/>
      <c r="AU42" s="204"/>
      <c r="AV42" s="204"/>
      <c r="AW42" s="204"/>
      <c r="AX42" s="204"/>
    </row>
    <row r="43" spans="1:50" ht="16.5" customHeight="1">
      <c r="A43" s="2739">
        <f>Tiere!B8</f>
        <v>0</v>
      </c>
      <c r="B43" s="2739"/>
      <c r="C43" s="1164">
        <f>Tabelle1!AQ8</f>
        <v>0</v>
      </c>
      <c r="D43" s="1164">
        <f>Tabelle1!AR8</f>
        <v>0</v>
      </c>
      <c r="E43" s="1164">
        <f>Tabelle1!AS8</f>
        <v>0</v>
      </c>
      <c r="F43" s="1164">
        <f>Tabelle1!AT8</f>
        <v>0</v>
      </c>
      <c r="G43" s="1164">
        <f>Tabelle1!AU8</f>
        <v>0</v>
      </c>
      <c r="H43" s="1164">
        <f>Tabelle1!AV8</f>
        <v>0</v>
      </c>
      <c r="I43" s="1164">
        <f>Tabelle1!AW8</f>
        <v>0</v>
      </c>
      <c r="J43" s="1164">
        <f>Tabelle1!BD8</f>
        <v>0</v>
      </c>
      <c r="K43" s="1164">
        <f>Tabelle1!BE8</f>
        <v>0</v>
      </c>
      <c r="L43" s="1164">
        <f>Tabelle1!BF8</f>
        <v>0</v>
      </c>
      <c r="M43" s="1164">
        <f>Tabelle1!BG8</f>
        <v>0</v>
      </c>
      <c r="N43" s="1164">
        <f>Tabelle1!BH8</f>
        <v>0</v>
      </c>
      <c r="O43" s="1164">
        <f>Tabelle1!BJ8</f>
        <v>0</v>
      </c>
      <c r="P43" s="1164">
        <f>Tabelle1!BK8</f>
        <v>0</v>
      </c>
      <c r="Q43" s="1164">
        <f>Tabelle1!BL8</f>
        <v>0</v>
      </c>
      <c r="R43" s="1164">
        <f>Tabelle1!BM8</f>
        <v>0</v>
      </c>
      <c r="S43" s="1164">
        <f>Tabelle1!BN8</f>
        <v>0</v>
      </c>
      <c r="T43" s="214"/>
      <c r="U43" s="214"/>
      <c r="V43" s="213"/>
      <c r="W43" s="213"/>
      <c r="X43" s="204"/>
      <c r="Y43" s="204"/>
      <c r="Z43" s="204"/>
      <c r="AA43" s="204"/>
      <c r="AB43" s="204"/>
      <c r="AC43" s="204"/>
      <c r="AD43" s="204"/>
      <c r="AE43" s="204"/>
      <c r="AF43" s="204"/>
      <c r="AG43" s="204"/>
      <c r="AH43" s="204"/>
      <c r="AI43" s="204"/>
      <c r="AJ43" s="204"/>
      <c r="AK43" s="204"/>
      <c r="AL43" s="204"/>
      <c r="AM43" s="204"/>
      <c r="AN43" s="204"/>
      <c r="AO43" s="204"/>
      <c r="AP43" s="204"/>
      <c r="AQ43" s="204"/>
      <c r="AR43" s="204"/>
      <c r="AS43" s="204"/>
      <c r="AT43" s="204"/>
      <c r="AU43" s="204"/>
      <c r="AV43" s="204"/>
      <c r="AW43" s="204"/>
      <c r="AX43" s="204"/>
    </row>
    <row r="44" spans="1:50" ht="16.5" customHeight="1">
      <c r="A44" s="2739">
        <f>Tiere!B9</f>
        <v>0</v>
      </c>
      <c r="B44" s="2739"/>
      <c r="C44" s="1164">
        <f>Tabelle1!AQ9</f>
        <v>0</v>
      </c>
      <c r="D44" s="1164">
        <f>Tabelle1!AR9</f>
        <v>0</v>
      </c>
      <c r="E44" s="1164">
        <f>Tabelle1!AS9</f>
        <v>0</v>
      </c>
      <c r="F44" s="1164">
        <f>Tabelle1!AT9</f>
        <v>0</v>
      </c>
      <c r="G44" s="1164">
        <f>Tabelle1!AU9</f>
        <v>0</v>
      </c>
      <c r="H44" s="1164">
        <f>Tabelle1!AV9</f>
        <v>0</v>
      </c>
      <c r="I44" s="1164">
        <f>Tabelle1!AW9</f>
        <v>0</v>
      </c>
      <c r="J44" s="1164">
        <f>Tabelle1!BD9</f>
        <v>0</v>
      </c>
      <c r="K44" s="1164">
        <f>Tabelle1!BE9</f>
        <v>0</v>
      </c>
      <c r="L44" s="1164">
        <f>Tabelle1!BF9</f>
        <v>0</v>
      </c>
      <c r="M44" s="1164">
        <f>Tabelle1!BG9</f>
        <v>0</v>
      </c>
      <c r="N44" s="1164">
        <f>Tabelle1!BH9</f>
        <v>0</v>
      </c>
      <c r="O44" s="1164">
        <f>Tabelle1!BJ9</f>
        <v>0</v>
      </c>
      <c r="P44" s="1164">
        <f>Tabelle1!BK9</f>
        <v>0</v>
      </c>
      <c r="Q44" s="1164">
        <f>Tabelle1!BL9</f>
        <v>0</v>
      </c>
      <c r="R44" s="1164">
        <f>Tabelle1!BM9</f>
        <v>0</v>
      </c>
      <c r="S44" s="1164">
        <f>Tabelle1!BN9</f>
        <v>0</v>
      </c>
      <c r="T44" s="214"/>
      <c r="U44" s="214"/>
      <c r="V44" s="213"/>
      <c r="W44" s="213"/>
      <c r="X44" s="204"/>
      <c r="Y44" s="204"/>
      <c r="Z44" s="204"/>
      <c r="AA44" s="204"/>
      <c r="AB44" s="204"/>
      <c r="AC44" s="204"/>
      <c r="AD44" s="204"/>
      <c r="AE44" s="204"/>
      <c r="AF44" s="204"/>
      <c r="AG44" s="204"/>
      <c r="AH44" s="204"/>
      <c r="AI44" s="204"/>
      <c r="AJ44" s="204"/>
      <c r="AK44" s="204"/>
      <c r="AL44" s="204"/>
      <c r="AM44" s="204"/>
      <c r="AN44" s="204"/>
      <c r="AO44" s="204"/>
      <c r="AP44" s="204"/>
      <c r="AQ44" s="204"/>
      <c r="AR44" s="204"/>
      <c r="AS44" s="204"/>
      <c r="AT44" s="204"/>
      <c r="AU44" s="204"/>
      <c r="AV44" s="204"/>
      <c r="AW44" s="204"/>
      <c r="AX44" s="204"/>
    </row>
    <row r="45" spans="1:50" ht="16.5" customHeight="1">
      <c r="A45" s="2739">
        <f>Tiere!B10</f>
        <v>0</v>
      </c>
      <c r="B45" s="2739"/>
      <c r="C45" s="1164">
        <f>Tabelle1!AQ10</f>
        <v>0</v>
      </c>
      <c r="D45" s="1164">
        <f>Tabelle1!AR10</f>
        <v>0</v>
      </c>
      <c r="E45" s="1164">
        <f>Tabelle1!AS10</f>
        <v>0</v>
      </c>
      <c r="F45" s="1164">
        <f>Tabelle1!AT10</f>
        <v>0</v>
      </c>
      <c r="G45" s="1164">
        <f>Tabelle1!AU10</f>
        <v>0</v>
      </c>
      <c r="H45" s="1164">
        <f>Tabelle1!AV10</f>
        <v>0</v>
      </c>
      <c r="I45" s="1164">
        <f>Tabelle1!AW10</f>
        <v>0</v>
      </c>
      <c r="J45" s="1164">
        <f>Tabelle1!BD10</f>
        <v>0</v>
      </c>
      <c r="K45" s="1164">
        <f>Tabelle1!BE10</f>
        <v>0</v>
      </c>
      <c r="L45" s="1164">
        <f>Tabelle1!BF10</f>
        <v>0</v>
      </c>
      <c r="M45" s="1164">
        <f>Tabelle1!BG10</f>
        <v>0</v>
      </c>
      <c r="N45" s="1164">
        <f>Tabelle1!BH10</f>
        <v>0</v>
      </c>
      <c r="O45" s="1164">
        <f>Tabelle1!BJ10</f>
        <v>0</v>
      </c>
      <c r="P45" s="1164">
        <f>Tabelle1!BK10</f>
        <v>0</v>
      </c>
      <c r="Q45" s="1164">
        <f>Tabelle1!BL10</f>
        <v>0</v>
      </c>
      <c r="R45" s="1164">
        <f>Tabelle1!BM10</f>
        <v>0</v>
      </c>
      <c r="S45" s="1164">
        <f>Tabelle1!BN10</f>
        <v>0</v>
      </c>
      <c r="T45" s="214"/>
      <c r="U45" s="214"/>
      <c r="V45" s="213"/>
      <c r="W45" s="213"/>
      <c r="X45" s="204"/>
      <c r="Y45" s="204"/>
      <c r="Z45" s="204"/>
      <c r="AA45" s="204"/>
      <c r="AB45" s="204"/>
      <c r="AC45" s="204"/>
      <c r="AD45" s="204"/>
      <c r="AE45" s="204"/>
      <c r="AF45" s="204"/>
      <c r="AG45" s="204"/>
      <c r="AH45" s="204"/>
      <c r="AI45" s="204"/>
      <c r="AJ45" s="204"/>
      <c r="AK45" s="204"/>
      <c r="AL45" s="204"/>
      <c r="AM45" s="204"/>
      <c r="AN45" s="204"/>
      <c r="AO45" s="204"/>
      <c r="AP45" s="204"/>
      <c r="AQ45" s="204"/>
      <c r="AR45" s="204"/>
      <c r="AS45" s="204"/>
      <c r="AT45" s="204"/>
      <c r="AU45" s="204"/>
      <c r="AV45" s="204"/>
      <c r="AW45" s="204"/>
      <c r="AX45" s="204"/>
    </row>
    <row r="46" spans="1:50" ht="16.5" customHeight="1">
      <c r="A46" s="2739">
        <f>Tiere!B11</f>
        <v>0</v>
      </c>
      <c r="B46" s="2739"/>
      <c r="C46" s="1164">
        <f>Tabelle1!AQ11</f>
        <v>0</v>
      </c>
      <c r="D46" s="1164">
        <f>Tabelle1!AR11</f>
        <v>0</v>
      </c>
      <c r="E46" s="1164">
        <f>Tabelle1!AS11</f>
        <v>0</v>
      </c>
      <c r="F46" s="1164">
        <f>Tabelle1!AT11</f>
        <v>0</v>
      </c>
      <c r="G46" s="1164">
        <f>Tabelle1!AU11</f>
        <v>0</v>
      </c>
      <c r="H46" s="1164">
        <f>Tabelle1!AV11</f>
        <v>0</v>
      </c>
      <c r="I46" s="1164">
        <f>Tabelle1!AW11</f>
        <v>0</v>
      </c>
      <c r="J46" s="1164">
        <f>Tabelle1!BD11</f>
        <v>0</v>
      </c>
      <c r="K46" s="1164">
        <f>Tabelle1!BE11</f>
        <v>0</v>
      </c>
      <c r="L46" s="1164">
        <f>Tabelle1!BF11</f>
        <v>0</v>
      </c>
      <c r="M46" s="1164">
        <f>Tabelle1!BG11</f>
        <v>0</v>
      </c>
      <c r="N46" s="1164">
        <f>Tabelle1!BH11</f>
        <v>0</v>
      </c>
      <c r="O46" s="1164">
        <f>Tabelle1!BJ11</f>
        <v>0</v>
      </c>
      <c r="P46" s="1164">
        <f>Tabelle1!BK11</f>
        <v>0</v>
      </c>
      <c r="Q46" s="1164">
        <f>Tabelle1!BL11</f>
        <v>0</v>
      </c>
      <c r="R46" s="1164">
        <f>Tabelle1!BM11</f>
        <v>0</v>
      </c>
      <c r="S46" s="1164">
        <f>Tabelle1!BN11</f>
        <v>0</v>
      </c>
      <c r="T46" s="214"/>
      <c r="U46" s="214"/>
      <c r="V46" s="213"/>
      <c r="W46" s="213"/>
      <c r="X46" s="204"/>
      <c r="Y46" s="204"/>
      <c r="Z46" s="204"/>
      <c r="AA46" s="204"/>
      <c r="AB46" s="204"/>
      <c r="AC46" s="204"/>
      <c r="AD46" s="204"/>
      <c r="AE46" s="204"/>
      <c r="AF46" s="204"/>
      <c r="AG46" s="204"/>
      <c r="AH46" s="204"/>
      <c r="AI46" s="204"/>
      <c r="AJ46" s="204"/>
      <c r="AK46" s="204"/>
      <c r="AL46" s="204"/>
      <c r="AM46" s="204"/>
      <c r="AN46" s="204"/>
      <c r="AO46" s="204"/>
      <c r="AP46" s="204"/>
      <c r="AQ46" s="204"/>
      <c r="AR46" s="204"/>
      <c r="AS46" s="204"/>
      <c r="AT46" s="204"/>
      <c r="AU46" s="204"/>
      <c r="AV46" s="204"/>
      <c r="AW46" s="204"/>
      <c r="AX46" s="204"/>
    </row>
    <row r="47" spans="1:50" ht="16.5" customHeight="1">
      <c r="A47" s="2739">
        <f>Tiere!B12</f>
        <v>0</v>
      </c>
      <c r="B47" s="2739"/>
      <c r="C47" s="1164">
        <f>Tabelle1!AQ12</f>
        <v>0</v>
      </c>
      <c r="D47" s="1164">
        <f>Tabelle1!AR12</f>
        <v>0</v>
      </c>
      <c r="E47" s="1164">
        <f>Tabelle1!AS12</f>
        <v>0</v>
      </c>
      <c r="F47" s="1164">
        <f>Tabelle1!AT12</f>
        <v>0</v>
      </c>
      <c r="G47" s="1164">
        <f>Tabelle1!AU12</f>
        <v>0</v>
      </c>
      <c r="H47" s="1164">
        <f>Tabelle1!AV12</f>
        <v>0</v>
      </c>
      <c r="I47" s="1164">
        <f>Tabelle1!AW12</f>
        <v>0</v>
      </c>
      <c r="J47" s="1164">
        <f>Tabelle1!BD12</f>
        <v>0</v>
      </c>
      <c r="K47" s="1164">
        <f>Tabelle1!BE12</f>
        <v>0</v>
      </c>
      <c r="L47" s="1164">
        <f>Tabelle1!BF12</f>
        <v>0</v>
      </c>
      <c r="M47" s="1164">
        <f>Tabelle1!BG12</f>
        <v>0</v>
      </c>
      <c r="N47" s="1164">
        <f>Tabelle1!BH12</f>
        <v>0</v>
      </c>
      <c r="O47" s="1164">
        <f>Tabelle1!BJ12</f>
        <v>0</v>
      </c>
      <c r="P47" s="1164">
        <f>Tabelle1!BK12</f>
        <v>0</v>
      </c>
      <c r="Q47" s="1164">
        <f>Tabelle1!BL12</f>
        <v>0</v>
      </c>
      <c r="R47" s="1164">
        <f>Tabelle1!BM12</f>
        <v>0</v>
      </c>
      <c r="S47" s="1164">
        <f>Tabelle1!BN12</f>
        <v>0</v>
      </c>
      <c r="T47" s="214"/>
      <c r="U47" s="214"/>
      <c r="V47" s="213"/>
      <c r="W47" s="213"/>
      <c r="X47" s="204"/>
      <c r="Y47" s="204"/>
      <c r="Z47" s="204"/>
      <c r="AA47" s="204"/>
      <c r="AB47" s="204"/>
      <c r="AC47" s="204"/>
      <c r="AD47" s="204"/>
      <c r="AE47" s="204"/>
      <c r="AF47" s="204"/>
      <c r="AG47" s="204"/>
      <c r="AH47" s="204"/>
      <c r="AI47" s="204"/>
      <c r="AJ47" s="204"/>
      <c r="AK47" s="204"/>
      <c r="AL47" s="204"/>
      <c r="AM47" s="204"/>
      <c r="AN47" s="204"/>
      <c r="AO47" s="204"/>
      <c r="AP47" s="204"/>
      <c r="AQ47" s="204"/>
      <c r="AR47" s="204"/>
      <c r="AS47" s="204"/>
      <c r="AT47" s="204"/>
      <c r="AU47" s="204"/>
      <c r="AV47" s="204"/>
      <c r="AW47" s="204"/>
      <c r="AX47" s="204"/>
    </row>
    <row r="48" spans="1:50" ht="16.5" customHeight="1">
      <c r="A48" s="2739">
        <f>Tiere!B13</f>
        <v>0</v>
      </c>
      <c r="B48" s="2739"/>
      <c r="C48" s="1164">
        <f>Tabelle1!AQ13</f>
        <v>0</v>
      </c>
      <c r="D48" s="1164">
        <f>Tabelle1!AR13</f>
        <v>0</v>
      </c>
      <c r="E48" s="1164">
        <f>Tabelle1!AS13</f>
        <v>0</v>
      </c>
      <c r="F48" s="1164">
        <f>Tabelle1!AT13</f>
        <v>0</v>
      </c>
      <c r="G48" s="1164">
        <f>Tabelle1!AU13</f>
        <v>0</v>
      </c>
      <c r="H48" s="1164">
        <f>Tabelle1!AV13</f>
        <v>0</v>
      </c>
      <c r="I48" s="1164">
        <f>Tabelle1!AW13</f>
        <v>0</v>
      </c>
      <c r="J48" s="1164">
        <f>Tabelle1!BD13</f>
        <v>0</v>
      </c>
      <c r="K48" s="1164">
        <f>Tabelle1!BE13</f>
        <v>0</v>
      </c>
      <c r="L48" s="1164">
        <f>Tabelle1!BF13</f>
        <v>0</v>
      </c>
      <c r="M48" s="1164">
        <f>Tabelle1!BG13</f>
        <v>0</v>
      </c>
      <c r="N48" s="1164">
        <f>Tabelle1!BH13</f>
        <v>0</v>
      </c>
      <c r="O48" s="1164">
        <f>Tabelle1!BJ13</f>
        <v>0</v>
      </c>
      <c r="P48" s="1164">
        <f>Tabelle1!BK13</f>
        <v>0</v>
      </c>
      <c r="Q48" s="1164">
        <f>Tabelle1!BL13</f>
        <v>0</v>
      </c>
      <c r="R48" s="1164">
        <f>Tabelle1!BM13</f>
        <v>0</v>
      </c>
      <c r="S48" s="1164">
        <f>Tabelle1!BN13</f>
        <v>0</v>
      </c>
      <c r="T48" s="214"/>
      <c r="U48" s="214"/>
      <c r="V48" s="213"/>
      <c r="W48" s="213"/>
      <c r="X48" s="204"/>
      <c r="Y48" s="204"/>
      <c r="Z48" s="204"/>
      <c r="AA48" s="204"/>
      <c r="AB48" s="204"/>
      <c r="AC48" s="204"/>
      <c r="AD48" s="204"/>
      <c r="AE48" s="204"/>
      <c r="AF48" s="204"/>
      <c r="AG48" s="204"/>
      <c r="AH48" s="204"/>
      <c r="AI48" s="204"/>
      <c r="AJ48" s="204"/>
      <c r="AK48" s="204"/>
      <c r="AL48" s="204"/>
      <c r="AM48" s="204"/>
      <c r="AN48" s="204"/>
      <c r="AO48" s="204"/>
      <c r="AP48" s="204"/>
      <c r="AQ48" s="204"/>
      <c r="AR48" s="204"/>
      <c r="AS48" s="204"/>
      <c r="AT48" s="204"/>
      <c r="AU48" s="204"/>
      <c r="AV48" s="204"/>
      <c r="AW48" s="204"/>
      <c r="AX48" s="204"/>
    </row>
    <row r="49" spans="1:50" ht="16.5" customHeight="1">
      <c r="A49" s="2739">
        <f>Tiere!B14</f>
        <v>0</v>
      </c>
      <c r="B49" s="2739"/>
      <c r="C49" s="1164">
        <f>Tabelle1!AQ14</f>
        <v>0</v>
      </c>
      <c r="D49" s="1164">
        <f>Tabelle1!AR14</f>
        <v>0</v>
      </c>
      <c r="E49" s="1164">
        <f>Tabelle1!AS14</f>
        <v>0</v>
      </c>
      <c r="F49" s="1164">
        <f>Tabelle1!AT14</f>
        <v>0</v>
      </c>
      <c r="G49" s="1164">
        <f>Tabelle1!AU14</f>
        <v>0</v>
      </c>
      <c r="H49" s="1164">
        <f>Tabelle1!AV14</f>
        <v>0</v>
      </c>
      <c r="I49" s="1164">
        <f>Tabelle1!AW14</f>
        <v>0</v>
      </c>
      <c r="J49" s="1164">
        <f>Tabelle1!BD14</f>
        <v>0</v>
      </c>
      <c r="K49" s="1164">
        <f>Tabelle1!BE14</f>
        <v>0</v>
      </c>
      <c r="L49" s="1164">
        <f>Tabelle1!BF14</f>
        <v>0</v>
      </c>
      <c r="M49" s="1164">
        <f>Tabelle1!BG14</f>
        <v>0</v>
      </c>
      <c r="N49" s="1164">
        <f>Tabelle1!BH14</f>
        <v>0</v>
      </c>
      <c r="O49" s="1164">
        <f>Tabelle1!BJ14</f>
        <v>0</v>
      </c>
      <c r="P49" s="1164">
        <f>Tabelle1!BK14</f>
        <v>0</v>
      </c>
      <c r="Q49" s="1164">
        <f>Tabelle1!BL14</f>
        <v>0</v>
      </c>
      <c r="R49" s="1164">
        <f>Tabelle1!BM14</f>
        <v>0</v>
      </c>
      <c r="S49" s="1164">
        <f>Tabelle1!BN14</f>
        <v>0</v>
      </c>
      <c r="T49" s="214"/>
      <c r="U49" s="214"/>
      <c r="V49" s="213"/>
      <c r="W49" s="213"/>
      <c r="X49" s="204"/>
      <c r="Y49" s="204"/>
      <c r="Z49" s="204"/>
      <c r="AA49" s="204"/>
      <c r="AB49" s="204"/>
      <c r="AC49" s="204"/>
      <c r="AD49" s="204"/>
      <c r="AE49" s="204"/>
      <c r="AF49" s="204"/>
      <c r="AG49" s="204"/>
      <c r="AH49" s="204"/>
      <c r="AI49" s="204"/>
      <c r="AJ49" s="204"/>
      <c r="AK49" s="204"/>
      <c r="AL49" s="204"/>
      <c r="AM49" s="204"/>
      <c r="AN49" s="204"/>
      <c r="AO49" s="204"/>
      <c r="AP49" s="204"/>
      <c r="AQ49" s="204"/>
      <c r="AR49" s="204"/>
      <c r="AS49" s="204"/>
      <c r="AT49" s="204"/>
      <c r="AU49" s="204"/>
      <c r="AV49" s="204"/>
      <c r="AW49" s="204"/>
      <c r="AX49" s="204"/>
    </row>
    <row r="50" spans="1:50" ht="16.5" customHeight="1">
      <c r="A50" s="2739">
        <f>Tiere!B15</f>
        <v>0</v>
      </c>
      <c r="B50" s="2739"/>
      <c r="C50" s="1164">
        <f>Tabelle1!AQ15</f>
        <v>0</v>
      </c>
      <c r="D50" s="1164">
        <f>Tabelle1!AR15</f>
        <v>0</v>
      </c>
      <c r="E50" s="1164">
        <f>Tabelle1!AS15</f>
        <v>0</v>
      </c>
      <c r="F50" s="1164">
        <f>Tabelle1!AT15</f>
        <v>0</v>
      </c>
      <c r="G50" s="1164">
        <f>Tabelle1!AU15</f>
        <v>0</v>
      </c>
      <c r="H50" s="1164">
        <f>Tabelle1!AV15</f>
        <v>0</v>
      </c>
      <c r="I50" s="1164">
        <f>Tabelle1!AW15</f>
        <v>0</v>
      </c>
      <c r="J50" s="1164">
        <f>Tabelle1!BD15</f>
        <v>0</v>
      </c>
      <c r="K50" s="1164">
        <f>Tabelle1!BE15</f>
        <v>0</v>
      </c>
      <c r="L50" s="1164">
        <f>Tabelle1!BF15</f>
        <v>0</v>
      </c>
      <c r="M50" s="1164">
        <f>Tabelle1!BG15</f>
        <v>0</v>
      </c>
      <c r="N50" s="1164">
        <f>Tabelle1!BH15</f>
        <v>0</v>
      </c>
      <c r="O50" s="1164">
        <f>Tabelle1!BJ15</f>
        <v>0</v>
      </c>
      <c r="P50" s="1164">
        <f>Tabelle1!BK15</f>
        <v>0</v>
      </c>
      <c r="Q50" s="1164">
        <f>Tabelle1!BL15</f>
        <v>0</v>
      </c>
      <c r="R50" s="1164">
        <f>Tabelle1!BM15</f>
        <v>0</v>
      </c>
      <c r="S50" s="1164">
        <f>Tabelle1!BN15</f>
        <v>0</v>
      </c>
      <c r="T50" s="214"/>
      <c r="U50" s="214"/>
      <c r="V50" s="213"/>
      <c r="W50" s="213"/>
      <c r="X50" s="204"/>
      <c r="Y50" s="204"/>
      <c r="Z50" s="204"/>
      <c r="AA50" s="204"/>
      <c r="AB50" s="204"/>
      <c r="AC50" s="204"/>
      <c r="AD50" s="204"/>
      <c r="AE50" s="204"/>
      <c r="AF50" s="204"/>
      <c r="AG50" s="204"/>
      <c r="AH50" s="204"/>
      <c r="AI50" s="204"/>
      <c r="AJ50" s="204"/>
      <c r="AK50" s="204"/>
      <c r="AL50" s="204"/>
      <c r="AM50" s="204"/>
      <c r="AN50" s="204"/>
      <c r="AO50" s="204"/>
      <c r="AP50" s="204"/>
      <c r="AQ50" s="204"/>
      <c r="AR50" s="204"/>
      <c r="AS50" s="204"/>
      <c r="AT50" s="204"/>
      <c r="AU50" s="204"/>
      <c r="AV50" s="204"/>
      <c r="AW50" s="204"/>
      <c r="AX50" s="204"/>
    </row>
    <row r="51" spans="1:50" ht="16.5" customHeight="1">
      <c r="A51" s="2739">
        <f>Tiere!B16</f>
        <v>0</v>
      </c>
      <c r="B51" s="2739"/>
      <c r="C51" s="1164">
        <f>Tabelle1!AQ16</f>
        <v>0</v>
      </c>
      <c r="D51" s="1164">
        <f>Tabelle1!AR16</f>
        <v>0</v>
      </c>
      <c r="E51" s="1164">
        <f>Tabelle1!AS16</f>
        <v>0</v>
      </c>
      <c r="F51" s="1164">
        <f>Tabelle1!AT16</f>
        <v>0</v>
      </c>
      <c r="G51" s="1164">
        <f>Tabelle1!AU16</f>
        <v>0</v>
      </c>
      <c r="H51" s="1164">
        <f>Tabelle1!AV16</f>
        <v>0</v>
      </c>
      <c r="I51" s="1164">
        <f>Tabelle1!AW16</f>
        <v>0</v>
      </c>
      <c r="J51" s="1164">
        <f>Tabelle1!BD16</f>
        <v>0</v>
      </c>
      <c r="K51" s="1164">
        <f>Tabelle1!BE16</f>
        <v>0</v>
      </c>
      <c r="L51" s="1164">
        <f>Tabelle1!BF16</f>
        <v>0</v>
      </c>
      <c r="M51" s="1164">
        <f>Tabelle1!BG16</f>
        <v>0</v>
      </c>
      <c r="N51" s="1164">
        <f>Tabelle1!BH16</f>
        <v>0</v>
      </c>
      <c r="O51" s="1164">
        <f>Tabelle1!BJ16</f>
        <v>0</v>
      </c>
      <c r="P51" s="1164">
        <f>Tabelle1!BK16</f>
        <v>0</v>
      </c>
      <c r="Q51" s="1164">
        <f>Tabelle1!BL16</f>
        <v>0</v>
      </c>
      <c r="R51" s="1164">
        <f>Tabelle1!BM16</f>
        <v>0</v>
      </c>
      <c r="S51" s="1164">
        <f>Tabelle1!BN16</f>
        <v>0</v>
      </c>
      <c r="T51" s="214"/>
      <c r="U51" s="214"/>
      <c r="V51" s="213"/>
      <c r="W51" s="213"/>
      <c r="X51" s="204"/>
      <c r="Y51" s="204"/>
      <c r="Z51" s="204"/>
      <c r="AA51" s="204"/>
      <c r="AB51" s="204"/>
      <c r="AC51" s="204"/>
      <c r="AD51" s="204"/>
      <c r="AE51" s="204"/>
      <c r="AF51" s="204"/>
      <c r="AG51" s="204"/>
      <c r="AH51" s="204"/>
      <c r="AI51" s="204"/>
      <c r="AJ51" s="204"/>
      <c r="AK51" s="204"/>
      <c r="AL51" s="204"/>
      <c r="AM51" s="204"/>
      <c r="AN51" s="204"/>
      <c r="AO51" s="204"/>
      <c r="AP51" s="204"/>
      <c r="AQ51" s="204"/>
      <c r="AR51" s="204"/>
      <c r="AS51" s="204"/>
      <c r="AT51" s="204"/>
      <c r="AU51" s="204"/>
      <c r="AV51" s="204"/>
      <c r="AW51" s="204"/>
      <c r="AX51" s="204"/>
    </row>
    <row r="52" spans="1:50" ht="16.5" customHeight="1">
      <c r="A52" s="2739">
        <f>Tiere!B17</f>
        <v>0</v>
      </c>
      <c r="B52" s="2739"/>
      <c r="C52" s="1164">
        <f>Tabelle1!AQ17</f>
        <v>0</v>
      </c>
      <c r="D52" s="1164">
        <f>Tabelle1!AR17</f>
        <v>0</v>
      </c>
      <c r="E52" s="1164">
        <f>Tabelle1!AS17</f>
        <v>0</v>
      </c>
      <c r="F52" s="1164">
        <f>Tabelle1!AT17</f>
        <v>0</v>
      </c>
      <c r="G52" s="1164">
        <f>Tabelle1!AU17</f>
        <v>0</v>
      </c>
      <c r="H52" s="1164">
        <f>Tabelle1!AV17</f>
        <v>0</v>
      </c>
      <c r="I52" s="1164">
        <f>Tabelle1!AW17</f>
        <v>0</v>
      </c>
      <c r="J52" s="1164">
        <f>Tabelle1!BD17</f>
        <v>0</v>
      </c>
      <c r="K52" s="1164">
        <f>Tabelle1!BE17</f>
        <v>0</v>
      </c>
      <c r="L52" s="1164">
        <f>Tabelle1!BF17</f>
        <v>0</v>
      </c>
      <c r="M52" s="1164">
        <f>Tabelle1!BG17</f>
        <v>0</v>
      </c>
      <c r="N52" s="1164">
        <f>Tabelle1!BH17</f>
        <v>0</v>
      </c>
      <c r="O52" s="1164">
        <f>Tabelle1!BJ17</f>
        <v>0</v>
      </c>
      <c r="P52" s="1164">
        <f>Tabelle1!BK17</f>
        <v>0</v>
      </c>
      <c r="Q52" s="1164">
        <f>Tabelle1!BL17</f>
        <v>0</v>
      </c>
      <c r="R52" s="1164">
        <f>Tabelle1!BM17</f>
        <v>0</v>
      </c>
      <c r="S52" s="1164">
        <f>Tabelle1!BN17</f>
        <v>0</v>
      </c>
      <c r="T52" s="214"/>
      <c r="U52" s="214"/>
      <c r="V52" s="213"/>
      <c r="W52" s="213"/>
      <c r="X52" s="204"/>
      <c r="Y52" s="204"/>
      <c r="Z52" s="204"/>
      <c r="AA52" s="204"/>
      <c r="AB52" s="204"/>
      <c r="AC52" s="204"/>
      <c r="AD52" s="204"/>
      <c r="AE52" s="204"/>
      <c r="AF52" s="204"/>
      <c r="AG52" s="204"/>
      <c r="AH52" s="204"/>
      <c r="AI52" s="204"/>
      <c r="AJ52" s="204"/>
      <c r="AK52" s="204"/>
      <c r="AL52" s="204"/>
      <c r="AM52" s="204"/>
      <c r="AN52" s="204"/>
      <c r="AO52" s="204"/>
      <c r="AP52" s="204"/>
      <c r="AQ52" s="204"/>
      <c r="AR52" s="204"/>
      <c r="AS52" s="204"/>
      <c r="AT52" s="204"/>
      <c r="AU52" s="204"/>
      <c r="AV52" s="204"/>
      <c r="AW52" s="204"/>
      <c r="AX52" s="204"/>
    </row>
    <row r="53" spans="1:50" ht="16.5" customHeight="1">
      <c r="A53" s="2739">
        <f>Tiere!B18</f>
        <v>0</v>
      </c>
      <c r="B53" s="2739"/>
      <c r="C53" s="1164">
        <f>Tabelle1!AQ18</f>
        <v>0</v>
      </c>
      <c r="D53" s="1164">
        <f>Tabelle1!AR18</f>
        <v>0</v>
      </c>
      <c r="E53" s="1164">
        <f>Tabelle1!AS18</f>
        <v>0</v>
      </c>
      <c r="F53" s="1164">
        <f>Tabelle1!AT18</f>
        <v>0</v>
      </c>
      <c r="G53" s="1164">
        <f>Tabelle1!AU18</f>
        <v>0</v>
      </c>
      <c r="H53" s="1164">
        <f>Tabelle1!AV18</f>
        <v>0</v>
      </c>
      <c r="I53" s="1164">
        <f>Tabelle1!AW18</f>
        <v>0</v>
      </c>
      <c r="J53" s="1164">
        <f>Tabelle1!BD18</f>
        <v>0</v>
      </c>
      <c r="K53" s="1164">
        <f>Tabelle1!BE18</f>
        <v>0</v>
      </c>
      <c r="L53" s="1164">
        <f>Tabelle1!BF18</f>
        <v>0</v>
      </c>
      <c r="M53" s="1164">
        <f>Tabelle1!BG18</f>
        <v>0</v>
      </c>
      <c r="N53" s="1164">
        <f>Tabelle1!BH18</f>
        <v>0</v>
      </c>
      <c r="O53" s="1164">
        <f>Tabelle1!BJ18</f>
        <v>0</v>
      </c>
      <c r="P53" s="1164">
        <f>Tabelle1!BK18</f>
        <v>0</v>
      </c>
      <c r="Q53" s="1164">
        <f>Tabelle1!BL18</f>
        <v>0</v>
      </c>
      <c r="R53" s="1164">
        <f>Tabelle1!BM18</f>
        <v>0</v>
      </c>
      <c r="S53" s="1164">
        <f>Tabelle1!BN18</f>
        <v>0</v>
      </c>
      <c r="T53" s="214"/>
      <c r="U53" s="214"/>
      <c r="V53" s="213"/>
      <c r="W53" s="213"/>
      <c r="X53" s="204"/>
      <c r="Y53" s="204"/>
      <c r="Z53" s="204"/>
      <c r="AA53" s="204"/>
      <c r="AB53" s="204"/>
      <c r="AC53" s="204"/>
      <c r="AD53" s="204"/>
      <c r="AE53" s="204"/>
      <c r="AF53" s="204"/>
      <c r="AG53" s="204"/>
      <c r="AH53" s="204"/>
      <c r="AI53" s="204"/>
      <c r="AJ53" s="204"/>
      <c r="AK53" s="204"/>
      <c r="AL53" s="204"/>
      <c r="AM53" s="204"/>
      <c r="AN53" s="204"/>
      <c r="AO53" s="204"/>
      <c r="AP53" s="204"/>
      <c r="AQ53" s="204"/>
      <c r="AR53" s="204"/>
      <c r="AS53" s="204"/>
      <c r="AT53" s="204"/>
      <c r="AU53" s="204"/>
      <c r="AV53" s="204"/>
      <c r="AW53" s="204"/>
      <c r="AX53" s="204"/>
    </row>
    <row r="54" spans="1:50" ht="16.5" customHeight="1">
      <c r="A54" s="2739">
        <f>Tiere!B19</f>
        <v>0</v>
      </c>
      <c r="B54" s="2739"/>
      <c r="C54" s="1164">
        <f>Tabelle1!AQ19</f>
        <v>0</v>
      </c>
      <c r="D54" s="1164">
        <f>Tabelle1!AR19</f>
        <v>0</v>
      </c>
      <c r="E54" s="1164">
        <f>Tabelle1!AS19</f>
        <v>0</v>
      </c>
      <c r="F54" s="1164">
        <f>Tabelle1!AT19</f>
        <v>0</v>
      </c>
      <c r="G54" s="1164">
        <f>Tabelle1!AU19</f>
        <v>0</v>
      </c>
      <c r="H54" s="1164">
        <f>Tabelle1!AV19</f>
        <v>0</v>
      </c>
      <c r="I54" s="1164">
        <f>Tabelle1!AW19</f>
        <v>0</v>
      </c>
      <c r="J54" s="1164">
        <f>Tabelle1!BD19</f>
        <v>0</v>
      </c>
      <c r="K54" s="1164">
        <f>Tabelle1!BE19</f>
        <v>0</v>
      </c>
      <c r="L54" s="1164">
        <f>Tabelle1!BF19</f>
        <v>0</v>
      </c>
      <c r="M54" s="1164">
        <f>Tabelle1!BG19</f>
        <v>0</v>
      </c>
      <c r="N54" s="1164">
        <f>Tabelle1!BH19</f>
        <v>0</v>
      </c>
      <c r="O54" s="1164">
        <f>Tabelle1!BJ19</f>
        <v>0</v>
      </c>
      <c r="P54" s="1164">
        <f>Tabelle1!BK19</f>
        <v>0</v>
      </c>
      <c r="Q54" s="1164">
        <f>Tabelle1!BL19</f>
        <v>0</v>
      </c>
      <c r="R54" s="1164">
        <f>Tabelle1!BM19</f>
        <v>0</v>
      </c>
      <c r="S54" s="1164">
        <f>Tabelle1!BN19</f>
        <v>0</v>
      </c>
      <c r="T54" s="214"/>
      <c r="U54" s="214"/>
      <c r="V54" s="213"/>
      <c r="W54" s="213"/>
      <c r="X54" s="204"/>
      <c r="Y54" s="204"/>
      <c r="Z54" s="204"/>
      <c r="AA54" s="204"/>
      <c r="AB54" s="204"/>
      <c r="AC54" s="204"/>
      <c r="AD54" s="204"/>
      <c r="AE54" s="204"/>
      <c r="AF54" s="204"/>
      <c r="AG54" s="204"/>
      <c r="AH54" s="204"/>
      <c r="AI54" s="204"/>
      <c r="AJ54" s="204"/>
      <c r="AK54" s="204"/>
      <c r="AL54" s="204"/>
      <c r="AM54" s="204"/>
      <c r="AN54" s="204"/>
      <c r="AO54" s="204"/>
      <c r="AP54" s="204"/>
      <c r="AQ54" s="204"/>
      <c r="AR54" s="204"/>
      <c r="AS54" s="204"/>
      <c r="AT54" s="204"/>
      <c r="AU54" s="204"/>
      <c r="AV54" s="204"/>
      <c r="AW54" s="204"/>
      <c r="AX54" s="204"/>
    </row>
    <row r="55" spans="1:50" ht="19.5" customHeight="1">
      <c r="A55" s="1438"/>
      <c r="B55" s="1439" t="s">
        <v>1648</v>
      </c>
      <c r="C55" s="1438"/>
      <c r="D55" s="1438"/>
      <c r="E55" s="1436">
        <f t="shared" ref="E55:S55" si="26">SUM(E40:E54)</f>
        <v>0</v>
      </c>
      <c r="F55" s="1436">
        <f t="shared" si="26"/>
        <v>0</v>
      </c>
      <c r="G55" s="1436">
        <f t="shared" si="26"/>
        <v>0</v>
      </c>
      <c r="H55" s="1436">
        <f t="shared" si="26"/>
        <v>0</v>
      </c>
      <c r="I55" s="1436">
        <f t="shared" si="26"/>
        <v>0</v>
      </c>
      <c r="J55" s="1436">
        <f t="shared" si="26"/>
        <v>0</v>
      </c>
      <c r="K55" s="1436">
        <f t="shared" si="26"/>
        <v>0</v>
      </c>
      <c r="L55" s="1436">
        <f t="shared" si="26"/>
        <v>0</v>
      </c>
      <c r="M55" s="1436">
        <f t="shared" si="26"/>
        <v>0</v>
      </c>
      <c r="N55" s="1436">
        <f t="shared" si="26"/>
        <v>0</v>
      </c>
      <c r="O55" s="1436">
        <f t="shared" si="26"/>
        <v>0</v>
      </c>
      <c r="P55" s="1436">
        <f t="shared" si="26"/>
        <v>0</v>
      </c>
      <c r="Q55" s="1436">
        <f t="shared" si="26"/>
        <v>0</v>
      </c>
      <c r="R55" s="1436">
        <f t="shared" si="26"/>
        <v>0</v>
      </c>
      <c r="S55" s="1436">
        <f t="shared" si="26"/>
        <v>0</v>
      </c>
      <c r="T55" s="214"/>
      <c r="U55" s="214"/>
      <c r="V55" s="213"/>
      <c r="W55" s="213"/>
      <c r="X55" s="204"/>
      <c r="Y55" s="204"/>
      <c r="Z55" s="204"/>
      <c r="AA55" s="204"/>
      <c r="AB55" s="204"/>
      <c r="AC55" s="204"/>
      <c r="AD55" s="204"/>
      <c r="AE55" s="204"/>
      <c r="AF55" s="204"/>
      <c r="AG55" s="204"/>
      <c r="AH55" s="204"/>
      <c r="AI55" s="204"/>
      <c r="AJ55" s="204"/>
      <c r="AK55" s="204"/>
      <c r="AL55" s="204"/>
      <c r="AM55" s="204"/>
      <c r="AN55" s="204"/>
      <c r="AO55" s="204"/>
      <c r="AP55" s="204"/>
      <c r="AQ55" s="204"/>
      <c r="AR55" s="204"/>
      <c r="AS55" s="204"/>
      <c r="AT55" s="204"/>
      <c r="AU55" s="204"/>
      <c r="AV55" s="204"/>
      <c r="AW55" s="204"/>
      <c r="AX55" s="204"/>
    </row>
    <row r="56" spans="1:50" ht="15.6" customHeight="1">
      <c r="A56" s="1165"/>
      <c r="B56" s="1165"/>
      <c r="C56" s="1165"/>
      <c r="D56" s="1166" t="s">
        <v>877</v>
      </c>
      <c r="E56" s="1437">
        <f>Tabelle1!AS35</f>
        <v>0</v>
      </c>
      <c r="F56" s="1437">
        <f>Tabelle1!AT35</f>
        <v>0</v>
      </c>
      <c r="G56" s="1437">
        <f>Tabelle1!AU35</f>
        <v>0</v>
      </c>
      <c r="H56" s="1437">
        <f>Tabelle1!AV35</f>
        <v>0</v>
      </c>
      <c r="I56" s="1437">
        <f>Tabelle1!AW35</f>
        <v>0</v>
      </c>
      <c r="J56" s="1437">
        <f>Tabelle1!BD29</f>
        <v>0</v>
      </c>
      <c r="K56" s="1437">
        <f>Tabelle1!BE29</f>
        <v>0</v>
      </c>
      <c r="L56" s="1437">
        <f>Tabelle1!BF29</f>
        <v>0</v>
      </c>
      <c r="M56" s="1437">
        <f>Tabelle1!BG29</f>
        <v>0</v>
      </c>
      <c r="N56" s="1437">
        <f>Tabelle1!BH29</f>
        <v>0</v>
      </c>
      <c r="O56" s="1437">
        <f>Tabelle1!BJ29</f>
        <v>0</v>
      </c>
      <c r="P56" s="1437">
        <f>Tabelle1!BK29</f>
        <v>0</v>
      </c>
      <c r="Q56" s="1437">
        <f>Tabelle1!BL29</f>
        <v>0</v>
      </c>
      <c r="R56" s="1437">
        <f>Tabelle1!BM29</f>
        <v>0</v>
      </c>
      <c r="S56" s="1437">
        <f>Tabelle1!BN29</f>
        <v>0</v>
      </c>
      <c r="T56" s="214"/>
      <c r="U56" s="214"/>
      <c r="V56" s="213"/>
      <c r="W56" s="213"/>
      <c r="X56" s="204"/>
      <c r="Y56" s="204"/>
      <c r="Z56" s="204"/>
      <c r="AA56" s="204"/>
      <c r="AB56" s="204"/>
      <c r="AC56" s="204"/>
      <c r="AD56" s="204"/>
      <c r="AE56" s="204"/>
      <c r="AF56" s="204"/>
      <c r="AG56" s="204"/>
      <c r="AH56" s="204"/>
      <c r="AI56" s="204"/>
      <c r="AJ56" s="204"/>
      <c r="AK56" s="204"/>
      <c r="AL56" s="204"/>
      <c r="AM56" s="204"/>
      <c r="AN56" s="204"/>
      <c r="AO56" s="204"/>
      <c r="AP56" s="204"/>
      <c r="AQ56" s="204"/>
      <c r="AR56" s="204"/>
      <c r="AS56" s="204"/>
      <c r="AT56" s="204"/>
      <c r="AU56" s="204"/>
      <c r="AV56" s="204"/>
      <c r="AW56" s="204"/>
      <c r="AX56" s="204"/>
    </row>
    <row r="57" spans="1:50" ht="17.850000000000001" customHeight="1">
      <c r="A57" s="214"/>
      <c r="B57" s="214"/>
      <c r="C57" s="214"/>
      <c r="D57" s="214"/>
      <c r="E57" s="214"/>
      <c r="F57" s="214"/>
      <c r="G57" s="214"/>
      <c r="H57" s="214"/>
      <c r="I57" s="214"/>
      <c r="J57" s="214"/>
      <c r="K57" s="214"/>
      <c r="L57" s="214"/>
      <c r="M57" s="214"/>
      <c r="N57" s="214"/>
      <c r="O57" s="214"/>
      <c r="P57" s="214"/>
      <c r="Q57" s="214"/>
      <c r="R57" s="214"/>
      <c r="S57" s="214"/>
      <c r="T57" s="214"/>
      <c r="U57" s="214"/>
      <c r="V57" s="213"/>
      <c r="W57" s="213"/>
      <c r="X57" s="204"/>
      <c r="Y57" s="204"/>
      <c r="Z57" s="204"/>
      <c r="AA57" s="204"/>
      <c r="AB57" s="204"/>
      <c r="AC57" s="204"/>
      <c r="AD57" s="204"/>
      <c r="AE57" s="204"/>
      <c r="AF57" s="204"/>
      <c r="AG57" s="204"/>
      <c r="AH57" s="204"/>
      <c r="AI57" s="204"/>
      <c r="AJ57" s="204"/>
      <c r="AK57" s="204"/>
      <c r="AL57" s="204"/>
      <c r="AM57" s="204"/>
      <c r="AN57" s="204"/>
      <c r="AO57" s="204"/>
      <c r="AP57" s="204"/>
      <c r="AQ57" s="204"/>
      <c r="AR57" s="204"/>
      <c r="AS57" s="204"/>
      <c r="AT57" s="204"/>
      <c r="AU57" s="204"/>
      <c r="AV57" s="204"/>
      <c r="AW57" s="204"/>
      <c r="AX57" s="204"/>
    </row>
    <row r="58" spans="1:50" ht="30.75" customHeight="1">
      <c r="A58" s="2744" t="s">
        <v>1649</v>
      </c>
      <c r="B58" s="2744"/>
      <c r="C58" s="2744"/>
      <c r="D58" s="2744"/>
      <c r="E58" s="2744"/>
      <c r="F58" s="2744"/>
      <c r="G58" s="2744"/>
      <c r="H58" s="2744"/>
      <c r="U58" s="252"/>
      <c r="Y58" s="252"/>
      <c r="Z58" s="252"/>
      <c r="AA58" s="252"/>
      <c r="AB58" s="252"/>
      <c r="AC58" s="252"/>
      <c r="AD58" s="252"/>
      <c r="AE58" s="252"/>
      <c r="AF58" s="252"/>
      <c r="AG58" s="252"/>
      <c r="AH58" s="252"/>
      <c r="AI58" s="252"/>
      <c r="AJ58" s="252"/>
      <c r="AK58" s="252"/>
      <c r="AL58" s="252"/>
      <c r="AM58" s="252"/>
      <c r="AN58" s="252"/>
      <c r="AO58" s="252"/>
      <c r="AP58" s="252"/>
      <c r="AQ58" s="252"/>
      <c r="AR58" s="252"/>
      <c r="AS58" s="252"/>
      <c r="AT58" s="252"/>
    </row>
    <row r="59" spans="1:50" ht="15.9" customHeight="1">
      <c r="A59" s="2741" t="s">
        <v>1650</v>
      </c>
      <c r="B59" s="2741"/>
      <c r="C59" s="2741"/>
      <c r="D59" s="2741"/>
      <c r="E59" s="2741"/>
      <c r="F59" s="2741"/>
      <c r="G59" s="2741"/>
      <c r="H59" s="2741"/>
      <c r="T59" s="253"/>
      <c r="U59" s="252"/>
      <c r="Y59" s="252"/>
      <c r="Z59" s="252"/>
      <c r="AA59" s="252"/>
      <c r="AB59" s="252"/>
      <c r="AC59" s="252"/>
      <c r="AD59" s="252"/>
      <c r="AE59" s="252"/>
      <c r="AF59" s="252"/>
      <c r="AG59" s="252"/>
      <c r="AH59" s="252"/>
      <c r="AI59" s="252"/>
      <c r="AJ59" s="252"/>
      <c r="AK59" s="252"/>
      <c r="AL59" s="252"/>
      <c r="AM59" s="252"/>
      <c r="AN59" s="252"/>
      <c r="AO59" s="252"/>
      <c r="AP59" s="252"/>
      <c r="AQ59" s="252"/>
      <c r="AR59" s="252"/>
      <c r="AS59" s="252"/>
      <c r="AT59" s="252"/>
    </row>
    <row r="60" spans="1:50" ht="23.25" customHeight="1">
      <c r="A60" s="2741"/>
      <c r="B60" s="2741"/>
      <c r="C60" s="2741"/>
      <c r="D60" s="2741"/>
      <c r="E60" s="2741"/>
      <c r="F60" s="2741"/>
      <c r="G60" s="2741"/>
      <c r="H60" s="2741"/>
      <c r="Y60" s="252"/>
      <c r="Z60" s="252"/>
      <c r="AA60" s="252"/>
      <c r="AB60" s="252"/>
      <c r="AC60" s="252"/>
      <c r="AD60" s="252"/>
      <c r="AE60" s="252"/>
      <c r="AF60" s="252"/>
      <c r="AG60" s="252"/>
      <c r="AH60" s="252"/>
      <c r="AI60" s="252"/>
      <c r="AJ60" s="252"/>
      <c r="AK60" s="252"/>
      <c r="AL60" s="252"/>
      <c r="AM60" s="252"/>
      <c r="AN60" s="252"/>
      <c r="AO60" s="252"/>
      <c r="AP60" s="252"/>
      <c r="AQ60" s="252"/>
      <c r="AR60" s="252"/>
      <c r="AS60" s="252"/>
      <c r="AT60" s="252"/>
    </row>
    <row r="61" spans="1:50" ht="15" customHeight="1">
      <c r="A61" s="2741"/>
      <c r="B61" s="2741"/>
      <c r="C61" s="2741"/>
      <c r="D61" s="2741"/>
      <c r="E61" s="2741"/>
      <c r="F61" s="2741"/>
      <c r="G61" s="2741"/>
      <c r="H61" s="2741"/>
      <c r="I61" s="252"/>
      <c r="J61" s="252"/>
      <c r="K61" s="252"/>
      <c r="L61" s="252"/>
      <c r="M61" s="252"/>
      <c r="N61" s="252"/>
      <c r="O61" s="252"/>
      <c r="P61" s="252"/>
      <c r="Q61" s="252"/>
      <c r="R61" s="252"/>
      <c r="S61" s="252"/>
      <c r="T61" s="252"/>
      <c r="U61" s="252"/>
      <c r="V61" s="252"/>
      <c r="W61" s="252"/>
      <c r="X61" s="252"/>
      <c r="Y61" s="252"/>
      <c r="Z61" s="252"/>
      <c r="AA61" s="252"/>
      <c r="AB61" s="252"/>
      <c r="AC61" s="252"/>
      <c r="AD61" s="252"/>
      <c r="AE61" s="252"/>
      <c r="AF61" s="252"/>
      <c r="AG61" s="252"/>
      <c r="AH61" s="252"/>
      <c r="AI61" s="252"/>
      <c r="AJ61" s="252"/>
      <c r="AK61" s="252"/>
      <c r="AL61" s="252"/>
      <c r="AM61" s="252"/>
      <c r="AN61" s="252"/>
      <c r="AO61" s="252"/>
      <c r="AP61" s="252"/>
      <c r="AQ61" s="252"/>
      <c r="AR61" s="252"/>
      <c r="AS61" s="252"/>
      <c r="AT61" s="252"/>
    </row>
    <row r="62" spans="1:50" ht="28.5" customHeight="1">
      <c r="A62" s="2740" t="s">
        <v>1651</v>
      </c>
      <c r="B62" s="2740"/>
      <c r="C62" s="2740" t="s">
        <v>1652</v>
      </c>
      <c r="D62" s="1440" t="s">
        <v>1653</v>
      </c>
      <c r="E62" s="1440" t="s">
        <v>1654</v>
      </c>
      <c r="F62" s="1440" t="s">
        <v>1655</v>
      </c>
      <c r="G62" s="1440" t="s">
        <v>1656</v>
      </c>
      <c r="H62" s="1440" t="s">
        <v>1657</v>
      </c>
      <c r="I62" s="252"/>
      <c r="J62" s="252"/>
      <c r="K62" s="252"/>
      <c r="L62" s="252"/>
      <c r="M62" s="252"/>
      <c r="N62" s="252"/>
      <c r="O62" s="252"/>
      <c r="P62" s="252"/>
      <c r="Q62" s="252"/>
      <c r="R62" s="252"/>
      <c r="S62" s="252"/>
      <c r="T62" s="252"/>
      <c r="U62" s="252"/>
      <c r="V62" s="252"/>
      <c r="W62" s="252"/>
      <c r="X62" s="252"/>
      <c r="Y62" s="252"/>
      <c r="Z62" s="252"/>
      <c r="AA62" s="252"/>
      <c r="AB62" s="252"/>
      <c r="AC62" s="252"/>
      <c r="AD62" s="252"/>
      <c r="AE62" s="252"/>
      <c r="AF62" s="252"/>
      <c r="AG62" s="252"/>
      <c r="AH62" s="252"/>
      <c r="AI62" s="252"/>
      <c r="AJ62" s="252"/>
      <c r="AK62" s="252"/>
      <c r="AL62" s="252"/>
      <c r="AM62" s="252"/>
      <c r="AN62" s="252"/>
      <c r="AO62" s="252"/>
      <c r="AP62" s="252"/>
      <c r="AQ62" s="252"/>
      <c r="AR62" s="252"/>
      <c r="AS62" s="252"/>
      <c r="AT62" s="252"/>
    </row>
    <row r="63" spans="1:50" ht="15.9" customHeight="1">
      <c r="A63" s="2740"/>
      <c r="B63" s="2740"/>
      <c r="C63" s="2740"/>
      <c r="D63" s="2742" t="s">
        <v>1658</v>
      </c>
      <c r="E63" s="2742"/>
      <c r="F63" s="2742"/>
      <c r="G63" s="2742"/>
      <c r="H63" s="2742"/>
      <c r="I63" s="252"/>
      <c r="J63" s="252"/>
      <c r="K63" s="252"/>
      <c r="L63" s="252"/>
      <c r="M63" s="252"/>
      <c r="N63" s="252"/>
      <c r="O63" s="252"/>
      <c r="P63" s="252"/>
      <c r="Q63" s="252"/>
      <c r="R63" s="252"/>
      <c r="S63" s="252"/>
      <c r="T63" s="252"/>
      <c r="U63" s="252"/>
      <c r="V63" s="252"/>
      <c r="W63" s="252"/>
      <c r="X63" s="252"/>
      <c r="Y63" s="252"/>
      <c r="Z63" s="252"/>
      <c r="AA63" s="252"/>
      <c r="AB63" s="252"/>
      <c r="AC63" s="252"/>
      <c r="AD63" s="252"/>
      <c r="AE63" s="252"/>
      <c r="AF63" s="252"/>
      <c r="AG63" s="252"/>
      <c r="AH63" s="252"/>
      <c r="AI63" s="252"/>
      <c r="AJ63" s="252"/>
      <c r="AK63" s="252"/>
      <c r="AL63" s="252"/>
      <c r="AM63" s="252"/>
      <c r="AN63" s="252"/>
      <c r="AO63" s="252"/>
      <c r="AP63" s="252"/>
      <c r="AQ63" s="252"/>
      <c r="AR63" s="252"/>
      <c r="AS63" s="252"/>
      <c r="AT63" s="252"/>
    </row>
    <row r="64" spans="1:50" ht="15" customHeight="1">
      <c r="A64" s="2734" t="s">
        <v>907</v>
      </c>
      <c r="B64" s="2734"/>
      <c r="C64" s="2734"/>
      <c r="D64" s="2734"/>
      <c r="E64" s="2734"/>
      <c r="F64" s="2734"/>
      <c r="G64" s="2734"/>
      <c r="H64" s="2734"/>
      <c r="I64" s="252"/>
      <c r="J64" s="252"/>
      <c r="K64" s="252"/>
      <c r="L64" s="252"/>
      <c r="M64" s="252"/>
      <c r="N64" s="252"/>
      <c r="O64" s="252"/>
      <c r="P64" s="252"/>
      <c r="Q64" s="252"/>
      <c r="R64" s="252"/>
      <c r="S64" s="252"/>
      <c r="T64" s="252"/>
      <c r="U64" s="252"/>
      <c r="V64" s="252"/>
      <c r="W64" s="252"/>
      <c r="X64" s="252"/>
      <c r="Y64" s="252"/>
      <c r="Z64" s="252"/>
      <c r="AA64" s="252"/>
      <c r="AB64" s="252"/>
      <c r="AC64" s="252"/>
      <c r="AD64" s="252"/>
      <c r="AE64" s="252"/>
      <c r="AF64" s="252"/>
      <c r="AG64" s="252"/>
      <c r="AH64" s="252"/>
      <c r="AI64" s="252"/>
      <c r="AJ64" s="252"/>
      <c r="AK64" s="252"/>
      <c r="AL64" s="252"/>
      <c r="AM64" s="252"/>
      <c r="AN64" s="252"/>
      <c r="AO64" s="252"/>
      <c r="AP64" s="252"/>
      <c r="AQ64" s="252"/>
      <c r="AR64" s="252"/>
      <c r="AS64" s="252"/>
      <c r="AT64" s="252"/>
    </row>
    <row r="65" spans="1:46" ht="15" customHeight="1">
      <c r="A65" s="2735" t="s">
        <v>1659</v>
      </c>
      <c r="B65" s="2735"/>
      <c r="C65" s="2735"/>
      <c r="D65" s="2735"/>
      <c r="E65" s="2735"/>
      <c r="F65" s="2735"/>
      <c r="G65" s="2735"/>
      <c r="H65" s="2735"/>
      <c r="I65" s="252"/>
      <c r="J65" s="252"/>
      <c r="K65" s="252"/>
      <c r="L65" s="252"/>
      <c r="M65" s="252"/>
      <c r="N65" s="252"/>
      <c r="O65" s="252"/>
      <c r="P65" s="252"/>
      <c r="Q65" s="252"/>
      <c r="R65" s="252"/>
      <c r="S65" s="252"/>
      <c r="T65" s="252"/>
      <c r="U65" s="252"/>
      <c r="V65" s="252"/>
      <c r="W65" s="252"/>
      <c r="X65" s="252"/>
      <c r="Y65" s="252"/>
      <c r="Z65" s="252"/>
      <c r="AA65" s="252"/>
      <c r="AB65" s="252"/>
      <c r="AC65" s="252"/>
      <c r="AD65" s="252"/>
      <c r="AE65" s="252"/>
      <c r="AF65" s="252"/>
      <c r="AG65" s="252"/>
      <c r="AH65" s="252"/>
      <c r="AI65" s="252"/>
      <c r="AJ65" s="252"/>
      <c r="AK65" s="252"/>
      <c r="AL65" s="252"/>
      <c r="AM65" s="252"/>
      <c r="AN65" s="252"/>
      <c r="AO65" s="252"/>
      <c r="AP65" s="252"/>
      <c r="AQ65" s="252"/>
      <c r="AR65" s="252"/>
      <c r="AS65" s="252"/>
      <c r="AT65" s="252"/>
    </row>
    <row r="66" spans="1:46" ht="15.6" customHeight="1">
      <c r="A66" s="2732" t="s">
        <v>1660</v>
      </c>
      <c r="B66" s="2732"/>
      <c r="C66" s="598" t="s">
        <v>1661</v>
      </c>
      <c r="D66" s="254">
        <v>4.4000000000000004</v>
      </c>
      <c r="E66" s="254">
        <v>4</v>
      </c>
      <c r="F66" s="254">
        <v>4.2</v>
      </c>
      <c r="G66" s="254">
        <v>9.1</v>
      </c>
      <c r="H66" s="598">
        <v>129</v>
      </c>
      <c r="I66" s="252"/>
      <c r="J66" s="252"/>
      <c r="K66" s="252"/>
      <c r="L66" s="252"/>
      <c r="M66" s="252"/>
      <c r="N66" s="252"/>
      <c r="O66" s="252"/>
      <c r="P66" s="252"/>
      <c r="Q66" s="252"/>
      <c r="R66" s="252"/>
      <c r="S66" s="252"/>
      <c r="T66" s="252"/>
      <c r="U66" s="252"/>
      <c r="V66" s="252"/>
      <c r="W66" s="252"/>
      <c r="X66" s="252"/>
      <c r="Y66" s="252"/>
      <c r="Z66" s="252"/>
      <c r="AA66" s="252"/>
      <c r="AB66" s="252"/>
      <c r="AC66" s="252"/>
      <c r="AD66" s="252"/>
      <c r="AE66" s="252"/>
      <c r="AF66" s="252"/>
      <c r="AG66" s="252"/>
      <c r="AH66" s="252"/>
      <c r="AI66" s="252"/>
      <c r="AJ66" s="252"/>
      <c r="AK66" s="252"/>
      <c r="AL66" s="252"/>
      <c r="AM66" s="252"/>
      <c r="AN66" s="252"/>
      <c r="AO66" s="252"/>
      <c r="AP66" s="252"/>
      <c r="AQ66" s="252"/>
      <c r="AR66" s="252"/>
      <c r="AS66" s="252"/>
      <c r="AT66" s="252"/>
    </row>
    <row r="67" spans="1:46">
      <c r="A67" s="2732" t="s">
        <v>1519</v>
      </c>
      <c r="B67" s="2732"/>
      <c r="C67" s="598" t="s">
        <v>1662</v>
      </c>
      <c r="D67" s="254">
        <v>2.1</v>
      </c>
      <c r="E67" s="254">
        <v>1.9</v>
      </c>
      <c r="F67" s="254">
        <v>2</v>
      </c>
      <c r="G67" s="254">
        <v>4.4000000000000004</v>
      </c>
      <c r="H67" s="598">
        <v>62</v>
      </c>
      <c r="I67" s="252"/>
      <c r="J67" s="252"/>
      <c r="K67" s="252"/>
      <c r="L67" s="252"/>
      <c r="M67" s="252"/>
      <c r="N67" s="252"/>
      <c r="O67" s="252"/>
      <c r="P67" s="252"/>
      <c r="Q67" s="252"/>
      <c r="R67" s="252"/>
      <c r="S67" s="252"/>
      <c r="T67" s="252"/>
      <c r="U67" s="252"/>
      <c r="V67" s="252"/>
      <c r="W67" s="252"/>
      <c r="X67" s="252"/>
      <c r="Y67" s="252"/>
      <c r="Z67" s="252"/>
      <c r="AA67" s="252"/>
      <c r="AB67" s="252"/>
      <c r="AC67" s="252"/>
      <c r="AD67" s="252"/>
      <c r="AE67" s="252"/>
      <c r="AF67" s="252"/>
      <c r="AG67" s="252"/>
      <c r="AH67" s="252"/>
      <c r="AI67" s="252"/>
      <c r="AJ67" s="252"/>
      <c r="AK67" s="252"/>
      <c r="AL67" s="252"/>
      <c r="AM67" s="252"/>
      <c r="AN67" s="252"/>
      <c r="AO67" s="252"/>
      <c r="AP67" s="252"/>
      <c r="AQ67" s="252"/>
      <c r="AR67" s="252"/>
      <c r="AS67" s="252"/>
      <c r="AT67" s="252"/>
    </row>
    <row r="68" spans="1:46" ht="15.9" customHeight="1">
      <c r="A68" s="2732" t="s">
        <v>1663</v>
      </c>
      <c r="B68" s="2732"/>
      <c r="C68" s="599" t="s">
        <v>1664</v>
      </c>
      <c r="D68" s="255">
        <v>3.2</v>
      </c>
      <c r="E68" s="255">
        <v>2.9</v>
      </c>
      <c r="F68" s="255">
        <v>2.5</v>
      </c>
      <c r="G68" s="255">
        <v>4.2</v>
      </c>
      <c r="H68" s="599">
        <v>145</v>
      </c>
      <c r="I68" s="252"/>
      <c r="J68" s="252"/>
      <c r="K68" s="252"/>
      <c r="L68" s="252"/>
      <c r="M68" s="252"/>
      <c r="N68" s="252"/>
      <c r="O68" s="252"/>
      <c r="P68" s="252"/>
      <c r="Q68" s="252"/>
      <c r="R68" s="252"/>
      <c r="S68" s="252"/>
      <c r="T68" s="252"/>
      <c r="U68" s="252"/>
      <c r="V68" s="252"/>
      <c r="W68" s="252"/>
      <c r="X68" s="252"/>
      <c r="Y68" s="252"/>
      <c r="Z68" s="252"/>
      <c r="AA68" s="252"/>
      <c r="AB68" s="252"/>
      <c r="AC68" s="252"/>
      <c r="AD68" s="252"/>
      <c r="AE68" s="252"/>
      <c r="AF68" s="252"/>
      <c r="AG68" s="252"/>
      <c r="AH68" s="252"/>
      <c r="AI68" s="252"/>
      <c r="AJ68" s="252"/>
      <c r="AK68" s="252"/>
      <c r="AL68" s="252"/>
      <c r="AM68" s="252"/>
      <c r="AN68" s="252"/>
      <c r="AO68" s="252"/>
      <c r="AP68" s="252"/>
      <c r="AQ68" s="252"/>
      <c r="AR68" s="252"/>
      <c r="AS68" s="252"/>
      <c r="AT68" s="252"/>
    </row>
    <row r="69" spans="1:46" ht="15" customHeight="1">
      <c r="A69" s="2732" t="s">
        <v>1665</v>
      </c>
      <c r="B69" s="2732"/>
      <c r="C69" s="600">
        <v>3</v>
      </c>
      <c r="D69" s="256">
        <v>3.3959999999999999</v>
      </c>
      <c r="E69" s="256">
        <v>3</v>
      </c>
      <c r="F69" s="256">
        <v>0.2</v>
      </c>
      <c r="G69" s="256">
        <v>9.5</v>
      </c>
      <c r="H69" s="600">
        <v>13</v>
      </c>
      <c r="I69" s="252"/>
      <c r="J69" s="252"/>
      <c r="K69" s="252"/>
      <c r="L69" s="252"/>
      <c r="M69" s="252"/>
      <c r="N69" s="252"/>
      <c r="O69" s="252"/>
      <c r="P69" s="252"/>
      <c r="Q69" s="252"/>
      <c r="R69" s="252"/>
      <c r="S69" s="252"/>
      <c r="T69" s="252"/>
      <c r="U69" s="252"/>
      <c r="V69" s="252"/>
      <c r="W69" s="252"/>
      <c r="X69" s="252"/>
      <c r="Y69" s="252"/>
      <c r="Z69" s="252"/>
      <c r="AA69" s="252"/>
      <c r="AB69" s="252"/>
      <c r="AC69" s="252"/>
      <c r="AD69" s="252"/>
      <c r="AE69" s="252"/>
      <c r="AF69" s="252"/>
      <c r="AG69" s="252"/>
      <c r="AH69" s="252"/>
      <c r="AI69" s="252"/>
      <c r="AJ69" s="252"/>
      <c r="AK69" s="252"/>
      <c r="AL69" s="252"/>
      <c r="AM69" s="252"/>
      <c r="AN69" s="252"/>
      <c r="AO69" s="252"/>
      <c r="AP69" s="252"/>
      <c r="AQ69" s="252"/>
      <c r="AR69" s="252"/>
      <c r="AS69" s="252"/>
      <c r="AT69" s="252"/>
    </row>
    <row r="70" spans="1:46" ht="17.850000000000001" customHeight="1">
      <c r="A70" s="2732" t="s">
        <v>1666</v>
      </c>
      <c r="B70" s="2732"/>
      <c r="C70" s="598">
        <v>5</v>
      </c>
      <c r="D70" s="254">
        <v>2</v>
      </c>
      <c r="E70" s="254">
        <v>1.7</v>
      </c>
      <c r="F70" s="254">
        <v>1</v>
      </c>
      <c r="G70" s="254">
        <v>3.3</v>
      </c>
      <c r="H70" s="598">
        <v>38</v>
      </c>
      <c r="I70" s="252"/>
      <c r="J70" s="252"/>
      <c r="K70" s="252"/>
      <c r="L70" s="252"/>
      <c r="M70" s="252"/>
      <c r="N70" s="252"/>
      <c r="O70" s="252"/>
      <c r="P70" s="252"/>
      <c r="Q70" s="252"/>
      <c r="R70" s="252"/>
      <c r="S70" s="252"/>
      <c r="T70" s="252"/>
      <c r="U70" s="252"/>
      <c r="V70" s="252"/>
      <c r="W70" s="252"/>
      <c r="X70" s="252"/>
      <c r="Y70" s="252"/>
      <c r="Z70" s="252"/>
      <c r="AA70" s="252"/>
      <c r="AB70" s="252"/>
      <c r="AC70" s="252"/>
      <c r="AD70" s="252"/>
      <c r="AE70" s="252"/>
      <c r="AF70" s="252"/>
      <c r="AG70" s="252"/>
      <c r="AH70" s="252"/>
      <c r="AI70" s="252"/>
      <c r="AJ70" s="252"/>
      <c r="AK70" s="252"/>
      <c r="AL70" s="252"/>
      <c r="AM70" s="252"/>
      <c r="AN70" s="252"/>
      <c r="AO70" s="252"/>
      <c r="AP70" s="252"/>
      <c r="AQ70" s="252"/>
      <c r="AR70" s="252"/>
      <c r="AS70" s="252"/>
      <c r="AT70" s="252"/>
    </row>
    <row r="71" spans="1:46" ht="15.9" customHeight="1">
      <c r="A71" s="2732" t="s">
        <v>1667</v>
      </c>
      <c r="B71" s="2732"/>
      <c r="C71" s="598">
        <v>10</v>
      </c>
      <c r="D71" s="254">
        <v>3.9</v>
      </c>
      <c r="E71" s="254">
        <v>3.4</v>
      </c>
      <c r="F71" s="254">
        <v>2</v>
      </c>
      <c r="G71" s="254">
        <v>6.5</v>
      </c>
      <c r="H71" s="598">
        <v>76</v>
      </c>
      <c r="I71" s="252"/>
      <c r="J71" s="252"/>
      <c r="K71" s="252"/>
      <c r="L71" s="252"/>
      <c r="M71" s="252"/>
      <c r="N71" s="252"/>
      <c r="O71" s="252"/>
      <c r="P71" s="252"/>
      <c r="Q71" s="252"/>
      <c r="R71" s="252"/>
      <c r="S71" s="252"/>
      <c r="T71" s="252"/>
      <c r="U71" s="252"/>
      <c r="V71" s="252"/>
      <c r="W71" s="252"/>
      <c r="X71" s="252"/>
      <c r="Y71" s="252"/>
      <c r="Z71" s="252"/>
      <c r="AA71" s="252"/>
      <c r="AB71" s="252"/>
      <c r="AC71" s="252"/>
      <c r="AD71" s="252"/>
      <c r="AE71" s="252"/>
      <c r="AF71" s="252"/>
      <c r="AG71" s="252"/>
      <c r="AH71" s="252"/>
      <c r="AI71" s="252"/>
      <c r="AJ71" s="252"/>
      <c r="AK71" s="252"/>
      <c r="AL71" s="252"/>
      <c r="AM71" s="252"/>
      <c r="AN71" s="252"/>
      <c r="AO71" s="252"/>
      <c r="AP71" s="252"/>
      <c r="AQ71" s="252"/>
      <c r="AR71" s="252"/>
      <c r="AS71" s="252"/>
      <c r="AT71" s="252"/>
    </row>
    <row r="72" spans="1:46" ht="14.25" customHeight="1">
      <c r="A72" s="2736" t="s">
        <v>1668</v>
      </c>
      <c r="B72" s="2736"/>
      <c r="C72" s="2736"/>
      <c r="D72" s="2736"/>
      <c r="E72" s="2736"/>
      <c r="F72" s="2736"/>
      <c r="G72" s="2736"/>
      <c r="H72" s="2736"/>
      <c r="I72" s="252"/>
      <c r="J72" s="252"/>
      <c r="K72" s="252"/>
      <c r="L72" s="252"/>
      <c r="M72" s="252"/>
      <c r="N72" s="252"/>
      <c r="O72" s="252"/>
      <c r="P72" s="252"/>
      <c r="Q72" s="252"/>
      <c r="R72" s="252"/>
      <c r="S72" s="252"/>
      <c r="T72" s="252"/>
      <c r="U72" s="252"/>
      <c r="V72" s="252"/>
      <c r="W72" s="252"/>
      <c r="X72" s="252"/>
      <c r="Y72" s="252"/>
      <c r="Z72" s="252"/>
      <c r="AA72" s="252"/>
      <c r="AB72" s="252"/>
      <c r="AC72" s="252"/>
      <c r="AD72" s="252"/>
      <c r="AE72" s="252"/>
      <c r="AF72" s="252"/>
      <c r="AG72" s="252"/>
      <c r="AH72" s="252"/>
      <c r="AI72" s="252"/>
      <c r="AJ72" s="252"/>
      <c r="AK72" s="252"/>
      <c r="AL72" s="252"/>
      <c r="AM72" s="252"/>
      <c r="AN72" s="252"/>
      <c r="AO72" s="252"/>
      <c r="AP72" s="252"/>
      <c r="AQ72" s="252"/>
      <c r="AR72" s="252"/>
      <c r="AS72" s="252"/>
      <c r="AT72" s="252"/>
    </row>
    <row r="73" spans="1:46">
      <c r="A73" s="2732" t="s">
        <v>1667</v>
      </c>
      <c r="B73" s="2732"/>
      <c r="C73" s="598">
        <v>10</v>
      </c>
      <c r="D73" s="254">
        <v>5.2</v>
      </c>
      <c r="E73" s="254">
        <v>4.5</v>
      </c>
      <c r="F73" s="254">
        <v>2.5</v>
      </c>
      <c r="G73" s="254">
        <v>5</v>
      </c>
      <c r="H73" s="598">
        <v>75</v>
      </c>
      <c r="I73" s="252"/>
      <c r="J73" s="252"/>
      <c r="K73" s="252"/>
      <c r="L73" s="252"/>
      <c r="M73" s="252"/>
      <c r="N73" s="252"/>
      <c r="O73" s="252"/>
      <c r="P73" s="252"/>
      <c r="Q73" s="252"/>
      <c r="R73" s="252"/>
      <c r="S73" s="252"/>
      <c r="T73" s="252"/>
      <c r="U73" s="252"/>
      <c r="V73" s="252"/>
      <c r="W73" s="252"/>
      <c r="X73" s="252"/>
      <c r="Y73" s="252"/>
      <c r="Z73" s="252"/>
      <c r="AA73" s="252"/>
      <c r="AB73" s="252"/>
      <c r="AC73" s="252"/>
      <c r="AD73" s="252"/>
      <c r="AE73" s="252"/>
      <c r="AF73" s="252"/>
      <c r="AG73" s="252"/>
      <c r="AH73" s="252"/>
      <c r="AI73" s="252"/>
      <c r="AJ73" s="252"/>
      <c r="AK73" s="252"/>
      <c r="AL73" s="252"/>
      <c r="AM73" s="252"/>
      <c r="AN73" s="252"/>
      <c r="AO73" s="252"/>
      <c r="AP73" s="252"/>
      <c r="AQ73" s="252"/>
      <c r="AR73" s="252"/>
      <c r="AS73" s="252"/>
      <c r="AT73" s="252"/>
    </row>
    <row r="74" spans="1:46" ht="14.25" customHeight="1">
      <c r="A74" s="2736" t="s">
        <v>1669</v>
      </c>
      <c r="B74" s="2736"/>
      <c r="C74" s="2736"/>
      <c r="D74" s="2736"/>
      <c r="E74" s="2736"/>
      <c r="F74" s="2736"/>
      <c r="G74" s="2736"/>
      <c r="H74" s="2736"/>
      <c r="I74" s="252"/>
      <c r="J74" s="252"/>
      <c r="K74" s="252"/>
      <c r="L74" s="252"/>
      <c r="M74" s="252"/>
      <c r="N74" s="252"/>
      <c r="O74" s="252"/>
      <c r="P74" s="252"/>
      <c r="Q74" s="252"/>
      <c r="R74" s="252"/>
      <c r="S74" s="252"/>
      <c r="T74" s="252"/>
      <c r="U74" s="252"/>
      <c r="V74" s="252"/>
      <c r="W74" s="252"/>
      <c r="X74" s="252"/>
      <c r="Y74" s="252"/>
      <c r="Z74" s="252"/>
      <c r="AA74" s="252"/>
      <c r="AB74" s="252"/>
      <c r="AC74" s="252"/>
      <c r="AD74" s="252"/>
      <c r="AE74" s="252"/>
      <c r="AF74" s="252"/>
      <c r="AG74" s="252"/>
      <c r="AH74" s="252"/>
      <c r="AI74" s="252"/>
      <c r="AJ74" s="252"/>
      <c r="AK74" s="252"/>
      <c r="AL74" s="252"/>
      <c r="AM74" s="252"/>
      <c r="AN74" s="252"/>
      <c r="AO74" s="252"/>
      <c r="AP74" s="252"/>
      <c r="AQ74" s="252"/>
      <c r="AR74" s="252"/>
      <c r="AS74" s="252"/>
      <c r="AT74" s="252"/>
    </row>
    <row r="75" spans="1:46">
      <c r="A75" s="2732" t="s">
        <v>1667</v>
      </c>
      <c r="B75" s="2732"/>
      <c r="C75" s="598">
        <v>5</v>
      </c>
      <c r="D75" s="254">
        <v>6.1</v>
      </c>
      <c r="E75" s="254">
        <v>5.3</v>
      </c>
      <c r="F75" s="254">
        <v>2.5</v>
      </c>
      <c r="G75" s="254">
        <v>4</v>
      </c>
      <c r="H75" s="598">
        <v>35</v>
      </c>
      <c r="I75" s="252"/>
      <c r="J75" s="252"/>
      <c r="K75" s="252"/>
      <c r="L75" s="252"/>
      <c r="M75" s="252"/>
      <c r="N75" s="252"/>
      <c r="O75" s="252"/>
      <c r="P75" s="252"/>
      <c r="Q75" s="252"/>
      <c r="R75" s="252"/>
      <c r="S75" s="252"/>
      <c r="T75" s="252"/>
      <c r="U75" s="252"/>
      <c r="V75" s="252"/>
      <c r="W75" s="252"/>
      <c r="X75" s="252"/>
      <c r="Y75" s="252"/>
      <c r="Z75" s="252"/>
      <c r="AA75" s="252"/>
      <c r="AB75" s="252"/>
      <c r="AC75" s="252"/>
      <c r="AD75" s="252"/>
      <c r="AE75" s="252"/>
      <c r="AF75" s="252"/>
      <c r="AG75" s="252"/>
      <c r="AH75" s="252"/>
      <c r="AI75" s="252"/>
      <c r="AJ75" s="252"/>
      <c r="AK75" s="252"/>
      <c r="AL75" s="252"/>
      <c r="AM75" s="252"/>
      <c r="AN75" s="252"/>
      <c r="AO75" s="252"/>
      <c r="AP75" s="252"/>
      <c r="AQ75" s="252"/>
      <c r="AR75" s="252"/>
      <c r="AS75" s="252"/>
      <c r="AT75" s="252"/>
    </row>
    <row r="76" spans="1:46" ht="15.6" customHeight="1">
      <c r="A76" s="2733" t="s">
        <v>1670</v>
      </c>
      <c r="B76" s="2733"/>
      <c r="C76" s="2733"/>
      <c r="D76" s="2733"/>
      <c r="E76" s="2733"/>
      <c r="F76" s="2733"/>
      <c r="G76" s="2733"/>
      <c r="H76" s="2733"/>
      <c r="I76" s="252"/>
      <c r="J76" s="252"/>
      <c r="K76" s="252"/>
      <c r="L76" s="252"/>
      <c r="M76" s="252"/>
      <c r="N76" s="252"/>
      <c r="O76" s="252"/>
      <c r="P76" s="252"/>
      <c r="Q76" s="252"/>
      <c r="R76" s="252"/>
      <c r="S76" s="252"/>
      <c r="T76" s="252"/>
      <c r="U76" s="252"/>
      <c r="V76" s="252"/>
      <c r="W76" s="252"/>
      <c r="X76" s="252"/>
      <c r="Y76" s="252"/>
      <c r="Z76" s="252"/>
      <c r="AA76" s="252"/>
      <c r="AB76" s="252"/>
      <c r="AC76" s="252"/>
      <c r="AD76" s="252"/>
      <c r="AE76" s="252"/>
      <c r="AF76" s="252"/>
      <c r="AG76" s="252"/>
      <c r="AH76" s="252"/>
      <c r="AI76" s="252"/>
      <c r="AJ76" s="252"/>
      <c r="AK76" s="252"/>
      <c r="AL76" s="252"/>
      <c r="AM76" s="252"/>
      <c r="AN76" s="252"/>
      <c r="AO76" s="252"/>
      <c r="AP76" s="252"/>
      <c r="AQ76" s="252"/>
      <c r="AR76" s="252"/>
      <c r="AS76" s="252"/>
      <c r="AT76" s="252"/>
    </row>
    <row r="77" spans="1:46">
      <c r="A77" s="2732" t="s">
        <v>1671</v>
      </c>
      <c r="B77" s="2732"/>
      <c r="C77" s="259" t="s">
        <v>1672</v>
      </c>
      <c r="D77" s="254">
        <v>4.3</v>
      </c>
      <c r="E77" s="257">
        <v>3.9</v>
      </c>
      <c r="F77" s="257">
        <v>2.1</v>
      </c>
      <c r="G77" s="257">
        <v>4.9000000000000004</v>
      </c>
      <c r="H77" s="601">
        <v>140</v>
      </c>
    </row>
    <row r="78" spans="1:46" ht="14.25" customHeight="1">
      <c r="A78" s="2733" t="s">
        <v>1673</v>
      </c>
      <c r="B78" s="2733"/>
      <c r="C78" s="2733"/>
      <c r="D78" s="2733"/>
      <c r="E78" s="2733"/>
      <c r="F78" s="2733"/>
      <c r="G78" s="2733"/>
      <c r="H78" s="2733"/>
    </row>
    <row r="79" spans="1:46">
      <c r="A79" s="2732" t="s">
        <v>1510</v>
      </c>
      <c r="B79" s="2732"/>
      <c r="C79" s="602" t="s">
        <v>1672</v>
      </c>
      <c r="D79" s="254">
        <v>2.2999999999999998</v>
      </c>
      <c r="E79" s="257">
        <v>2.1</v>
      </c>
      <c r="F79" s="257">
        <v>1.5</v>
      </c>
      <c r="G79" s="257">
        <v>3</v>
      </c>
      <c r="H79" s="603">
        <v>113</v>
      </c>
    </row>
    <row r="80" spans="1:46" ht="31.5" customHeight="1">
      <c r="A80" s="2734" t="s">
        <v>1674</v>
      </c>
      <c r="B80" s="2734"/>
      <c r="C80" s="2734"/>
      <c r="D80" s="2734"/>
      <c r="E80" s="2734"/>
      <c r="F80" s="2734"/>
      <c r="G80" s="2734"/>
      <c r="H80" s="2734"/>
    </row>
    <row r="81" spans="1:8" ht="14.25" customHeight="1">
      <c r="A81" s="2735" t="s">
        <v>1675</v>
      </c>
      <c r="B81" s="2735"/>
      <c r="C81" s="2735"/>
      <c r="D81" s="2735"/>
      <c r="E81" s="2735"/>
      <c r="F81" s="2735"/>
      <c r="G81" s="2735"/>
      <c r="H81" s="2735"/>
    </row>
    <row r="82" spans="1:8">
      <c r="A82" s="2732" t="s">
        <v>1510</v>
      </c>
      <c r="B82" s="2732"/>
      <c r="C82" s="599">
        <v>25</v>
      </c>
      <c r="D82" s="255">
        <v>4.2</v>
      </c>
      <c r="E82" s="255">
        <v>3.8</v>
      </c>
      <c r="F82" s="604">
        <v>5.5</v>
      </c>
      <c r="G82" s="604">
        <v>3.6</v>
      </c>
      <c r="H82" s="599">
        <v>182</v>
      </c>
    </row>
    <row r="83" spans="1:8">
      <c r="A83" s="2732" t="s">
        <v>926</v>
      </c>
      <c r="B83" s="2732"/>
      <c r="C83" s="600">
        <v>2</v>
      </c>
      <c r="D83" s="256">
        <v>3.9</v>
      </c>
      <c r="E83" s="256">
        <v>3.4</v>
      </c>
      <c r="F83" s="605">
        <v>1</v>
      </c>
      <c r="G83" s="605">
        <v>3</v>
      </c>
      <c r="H83" s="600">
        <v>8</v>
      </c>
    </row>
    <row r="84" spans="1:8">
      <c r="A84" s="2732" t="s">
        <v>1666</v>
      </c>
      <c r="B84" s="2732"/>
      <c r="C84" s="598">
        <v>5</v>
      </c>
      <c r="D84" s="254">
        <v>3.2</v>
      </c>
      <c r="E84" s="254">
        <v>2.8</v>
      </c>
      <c r="F84" s="606">
        <v>2.2000000000000002</v>
      </c>
      <c r="G84" s="607">
        <v>2</v>
      </c>
      <c r="H84" s="598">
        <v>38</v>
      </c>
    </row>
    <row r="85" spans="1:8">
      <c r="A85" s="2732" t="s">
        <v>1667</v>
      </c>
      <c r="B85" s="2732"/>
      <c r="C85" s="259">
        <v>10</v>
      </c>
      <c r="D85" s="254">
        <v>6.4</v>
      </c>
      <c r="E85" s="258">
        <v>5.6</v>
      </c>
      <c r="F85" s="608">
        <v>4.4000000000000004</v>
      </c>
      <c r="G85" s="609">
        <v>4</v>
      </c>
      <c r="H85" s="259">
        <v>76</v>
      </c>
    </row>
    <row r="86" spans="1:8" ht="14.25" customHeight="1">
      <c r="A86" s="2735" t="s">
        <v>1676</v>
      </c>
      <c r="B86" s="2735"/>
      <c r="C86" s="2735"/>
      <c r="D86" s="2735"/>
      <c r="E86" s="2735"/>
      <c r="F86" s="2735"/>
      <c r="G86" s="2735"/>
      <c r="H86" s="2735"/>
    </row>
    <row r="87" spans="1:8">
      <c r="A87" s="2732" t="s">
        <v>1677</v>
      </c>
      <c r="B87" s="2732"/>
      <c r="C87" s="598">
        <v>5</v>
      </c>
      <c r="D87" s="254">
        <v>5.2</v>
      </c>
      <c r="E87" s="254">
        <v>4.5</v>
      </c>
      <c r="F87" s="254">
        <v>3.5</v>
      </c>
      <c r="G87" s="254">
        <v>3.5</v>
      </c>
      <c r="H87" s="598">
        <v>35</v>
      </c>
    </row>
    <row r="88" spans="1:8">
      <c r="A88" s="2732" t="s">
        <v>1678</v>
      </c>
      <c r="B88" s="2732"/>
      <c r="C88" s="598">
        <v>10</v>
      </c>
      <c r="D88" s="254">
        <v>6.9</v>
      </c>
      <c r="E88" s="254">
        <v>6</v>
      </c>
      <c r="F88" s="254">
        <v>5</v>
      </c>
      <c r="G88" s="254">
        <v>4</v>
      </c>
      <c r="H88" s="598">
        <v>75</v>
      </c>
    </row>
    <row r="89" spans="1:8">
      <c r="A89" s="2732" t="s">
        <v>1671</v>
      </c>
      <c r="B89" s="2732"/>
      <c r="C89" s="259">
        <v>30</v>
      </c>
      <c r="D89" s="254">
        <v>7.4</v>
      </c>
      <c r="E89" s="258">
        <v>6.7</v>
      </c>
      <c r="F89" s="258">
        <v>4.5999999999999996</v>
      </c>
      <c r="G89" s="258">
        <v>7.3</v>
      </c>
      <c r="H89" s="258" t="s">
        <v>1201</v>
      </c>
    </row>
    <row r="90" spans="1:8" ht="14.25" customHeight="1">
      <c r="A90" s="2734" t="s">
        <v>1233</v>
      </c>
      <c r="B90" s="2734"/>
      <c r="C90" s="2734"/>
      <c r="D90" s="2734"/>
      <c r="E90" s="2734"/>
      <c r="F90" s="2734"/>
      <c r="G90" s="2734"/>
      <c r="H90" s="2734"/>
    </row>
    <row r="91" spans="1:8" ht="14.25" customHeight="1">
      <c r="A91" s="2735" t="s">
        <v>1679</v>
      </c>
      <c r="B91" s="2735"/>
      <c r="C91" s="2735"/>
      <c r="D91" s="2735"/>
      <c r="E91" s="2735"/>
      <c r="F91" s="2735"/>
      <c r="G91" s="2735"/>
      <c r="H91" s="2735"/>
    </row>
    <row r="92" spans="1:8">
      <c r="A92" s="2732" t="s">
        <v>1680</v>
      </c>
      <c r="B92" s="2732"/>
      <c r="C92" s="598">
        <v>10</v>
      </c>
      <c r="D92" s="254">
        <v>2.6</v>
      </c>
      <c r="E92" s="254">
        <v>2.2999999999999998</v>
      </c>
      <c r="F92" s="598">
        <v>2.5</v>
      </c>
      <c r="G92" s="598">
        <v>1.5</v>
      </c>
      <c r="H92" s="598">
        <v>38</v>
      </c>
    </row>
    <row r="93" spans="1:8">
      <c r="A93" s="2732" t="s">
        <v>1681</v>
      </c>
      <c r="B93" s="2732"/>
      <c r="C93" s="598">
        <v>50</v>
      </c>
      <c r="D93" s="254">
        <v>8.5</v>
      </c>
      <c r="E93" s="254">
        <v>7.7</v>
      </c>
      <c r="F93" s="607">
        <v>12</v>
      </c>
      <c r="G93" s="607">
        <v>7</v>
      </c>
      <c r="H93" s="598">
        <v>180</v>
      </c>
    </row>
    <row r="94" spans="1:8" ht="14.25" customHeight="1">
      <c r="A94" s="2735" t="s">
        <v>1682</v>
      </c>
      <c r="B94" s="2735"/>
      <c r="C94" s="2735"/>
      <c r="D94" s="2735"/>
      <c r="E94" s="2735"/>
      <c r="F94" s="2735"/>
      <c r="G94" s="2735"/>
      <c r="H94" s="2735"/>
    </row>
    <row r="95" spans="1:8">
      <c r="A95" s="2732" t="s">
        <v>1683</v>
      </c>
      <c r="B95" s="2732"/>
      <c r="C95" s="598">
        <v>60</v>
      </c>
      <c r="D95" s="254">
        <v>9.1999999999999993</v>
      </c>
      <c r="E95" s="254">
        <v>8.4</v>
      </c>
      <c r="F95" s="254">
        <v>10</v>
      </c>
      <c r="G95" s="254">
        <v>8</v>
      </c>
      <c r="H95" s="598">
        <v>250</v>
      </c>
    </row>
    <row r="96" spans="1:8" ht="14.25" customHeight="1">
      <c r="A96" s="2735" t="s">
        <v>1684</v>
      </c>
      <c r="B96" s="2735"/>
      <c r="C96" s="2735"/>
      <c r="D96" s="2735"/>
      <c r="E96" s="2735"/>
      <c r="F96" s="2735"/>
      <c r="G96" s="2735"/>
      <c r="H96" s="2735"/>
    </row>
    <row r="97" spans="1:8">
      <c r="A97" s="2732" t="s">
        <v>1683</v>
      </c>
      <c r="B97" s="2732"/>
      <c r="C97" s="598">
        <v>50</v>
      </c>
      <c r="D97" s="254">
        <v>7.7</v>
      </c>
      <c r="E97" s="254">
        <v>7</v>
      </c>
      <c r="F97" s="254">
        <v>10</v>
      </c>
      <c r="G97" s="254">
        <v>8</v>
      </c>
      <c r="H97" s="598">
        <v>190</v>
      </c>
    </row>
  </sheetData>
  <sheetProtection password="CAEF" sheet="1" formatCells="0" formatRows="0"/>
  <mergeCells count="82">
    <mergeCell ref="M1:N1"/>
    <mergeCell ref="O1:P1"/>
    <mergeCell ref="O3:P3"/>
    <mergeCell ref="K9:M9"/>
    <mergeCell ref="R3:S3"/>
    <mergeCell ref="J38:N38"/>
    <mergeCell ref="O4:P4"/>
    <mergeCell ref="K3:N3"/>
    <mergeCell ref="K8:M8"/>
    <mergeCell ref="K7:M7"/>
    <mergeCell ref="K6:M6"/>
    <mergeCell ref="O38:S38"/>
    <mergeCell ref="R12:W24"/>
    <mergeCell ref="K5:M5"/>
    <mergeCell ref="K4:M4"/>
    <mergeCell ref="O5:P5"/>
    <mergeCell ref="O6:P6"/>
    <mergeCell ref="A11:L11"/>
    <mergeCell ref="M11:P11"/>
    <mergeCell ref="R27:W28"/>
    <mergeCell ref="Q11:S11"/>
    <mergeCell ref="A58:H58"/>
    <mergeCell ref="A38:B39"/>
    <mergeCell ref="A50:B50"/>
    <mergeCell ref="A51:B51"/>
    <mergeCell ref="A52:B52"/>
    <mergeCell ref="A47:B47"/>
    <mergeCell ref="A53:B53"/>
    <mergeCell ref="A42:B42"/>
    <mergeCell ref="A43:B43"/>
    <mergeCell ref="A44:B44"/>
    <mergeCell ref="A45:B45"/>
    <mergeCell ref="A46:B46"/>
    <mergeCell ref="C38:C39"/>
    <mergeCell ref="D38:D39"/>
    <mergeCell ref="E38:I38"/>
    <mergeCell ref="A64:H64"/>
    <mergeCell ref="A66:B66"/>
    <mergeCell ref="A65:H65"/>
    <mergeCell ref="A74:H74"/>
    <mergeCell ref="A12:B12"/>
    <mergeCell ref="A20:B20"/>
    <mergeCell ref="A54:B54"/>
    <mergeCell ref="A62:B63"/>
    <mergeCell ref="C62:C63"/>
    <mergeCell ref="A59:H61"/>
    <mergeCell ref="D63:H63"/>
    <mergeCell ref="A48:B48"/>
    <mergeCell ref="A49:B49"/>
    <mergeCell ref="A40:B40"/>
    <mergeCell ref="A41:B41"/>
    <mergeCell ref="A31:A34"/>
    <mergeCell ref="A77:B77"/>
    <mergeCell ref="A67:B67"/>
    <mergeCell ref="A68:B68"/>
    <mergeCell ref="A69:B69"/>
    <mergeCell ref="A70:B70"/>
    <mergeCell ref="A71:B71"/>
    <mergeCell ref="A72:H72"/>
    <mergeCell ref="A73:B73"/>
    <mergeCell ref="A75:B75"/>
    <mergeCell ref="A76:H76"/>
    <mergeCell ref="A97:B97"/>
    <mergeCell ref="A90:H90"/>
    <mergeCell ref="A91:H91"/>
    <mergeCell ref="A92:B92"/>
    <mergeCell ref="A93:B93"/>
    <mergeCell ref="A94:H94"/>
    <mergeCell ref="A95:B95"/>
    <mergeCell ref="A96:H96"/>
    <mergeCell ref="A89:B89"/>
    <mergeCell ref="A78:H78"/>
    <mergeCell ref="A79:B79"/>
    <mergeCell ref="A80:H80"/>
    <mergeCell ref="A81:H81"/>
    <mergeCell ref="A82:B82"/>
    <mergeCell ref="A83:B83"/>
    <mergeCell ref="A84:B84"/>
    <mergeCell ref="A85:B85"/>
    <mergeCell ref="A86:H86"/>
    <mergeCell ref="A87:B87"/>
    <mergeCell ref="A88:B88"/>
  </mergeCells>
  <phoneticPr fontId="38" type="noConversion"/>
  <conditionalFormatting sqref="O6:P6">
    <cfRule type="expression" dxfId="186" priority="4">
      <formula>$O$6&gt;170</formula>
    </cfRule>
  </conditionalFormatting>
  <dataValidations count="2">
    <dataValidation operator="equal" allowBlank="1" showErrorMessage="1" promptTitle="Hinweis" prompt="Schätzen Sie den Jahresanfall ab und tragen ihn hier ein." sqref="F13:F18 IL13:IL18">
      <formula1>0</formula1>
      <formula2>0</formula2>
    </dataValidation>
    <dataValidation operator="equal" allowBlank="1" showErrorMessage="1" sqref="IH13:IH18">
      <formula1>0</formula1>
      <formula2>0</formula2>
    </dataValidation>
  </dataValidations>
  <hyperlinks>
    <hyperlink ref="M1" location="Organ__Dü!B4" display="◄"/>
    <hyperlink ref="O1" location="Mineral!B3" display="  ►"/>
    <hyperlink ref="M1:N1" location="Tiere!B4" display="◄"/>
    <hyperlink ref="O1:P1" location="Organ__Dü!B4" display="  ►"/>
    <hyperlink ref="M11:P11" location="'WD-Vertrag'!A1" display="'WD-Vertrag'!A1"/>
  </hyperlinks>
  <pageMargins left="0.43307086614173229" right="0.43307086614173229" top="0.27559055118110237" bottom="0.35433070866141736" header="0.31496062992125984" footer="0.15748031496062992"/>
  <pageSetup paperSize="9" scale="84" firstPageNumber="0" orientation="landscape" blackAndWhite="1" horizontalDpi="300" verticalDpi="300" r:id="rId1"/>
  <headerFooter alignWithMargins="0">
    <oddFooter>&amp;L&amp;11&amp;F&amp;C&amp;A&amp;R&amp;P von &amp;N</oddFooter>
  </headerFooter>
  <legacyDrawing r:id="rId2"/>
  <extLst>
    <ext xmlns:x14="http://schemas.microsoft.com/office/spreadsheetml/2009/9/main" uri="{78C0D931-6437-407d-A8EE-F0AAD7539E65}">
      <x14:conditionalFormattings>
        <x14:conditionalFormatting xmlns:xm="http://schemas.microsoft.com/office/excel/2006/main">
          <x14:cfRule type="expression" priority="33" id="{ED8E81B2-A3C6-4573-9D7D-1B6254E31E66}">
            <xm:f>AND($C13&gt;0,$F13="",Betrieb!$D$18&gt;0)</xm:f>
            <x14:dxf>
              <fill>
                <patternFill>
                  <bgColor rgb="FFFFC000"/>
                </patternFill>
              </fill>
            </x14:dxf>
          </x14:cfRule>
          <xm:sqref>F13:F18</xm:sqref>
        </x14:conditionalFormatting>
        <x14:conditionalFormatting xmlns:xm="http://schemas.microsoft.com/office/excel/2006/main">
          <x14:cfRule type="expression" priority="28" id="{D2589CCF-72F7-45E3-B443-8D7930A65178}">
            <xm:f>AND((SUM($C$13:$C$18)/Betrieb!$D$18)&gt;=100,SUM($C$13:$E$18)&gt;0,SUM($F$13:$F$18)=0)</xm:f>
            <x14:dxf>
              <fill>
                <patternFill>
                  <bgColor rgb="FFFFC000"/>
                </patternFill>
              </fill>
            </x14:dxf>
          </x14:cfRule>
          <xm:sqref>A11:L11</xm:sqref>
        </x14:conditionalFormatting>
        <x14:conditionalFormatting xmlns:xm="http://schemas.microsoft.com/office/excel/2006/main">
          <x14:cfRule type="expression" priority="6" id="{756E9461-69CA-4B36-B95C-8DDCDCEC4972}">
            <xm:f>Betrieb!$D$18=0</xm:f>
            <x14:dxf>
              <font>
                <b/>
                <i val="0"/>
                <color auto="1"/>
              </font>
              <fill>
                <patternFill>
                  <bgColor rgb="FFFFC000"/>
                </patternFill>
              </fill>
            </x14:dxf>
          </x14:cfRule>
          <xm:sqref>A11:L11</xm:sqref>
        </x14:conditionalFormatting>
        <x14:conditionalFormatting xmlns:xm="http://schemas.microsoft.com/office/excel/2006/main">
          <x14:cfRule type="expression" priority="7" id="{B529DED3-78ED-485E-A76C-D7AFC194392A}">
            <xm:f>AND((SUM($G$13:$G$18)&gt;0),((Tabelle1!$AX$20+Tabelle1!$AX$28-Tabelle1!$AX$30+Tabelle1!$AX$31)/Betrieb!$D$18)&lt;170)</xm:f>
            <x14:dxf>
              <font>
                <b/>
                <i val="0"/>
                <color theme="0"/>
              </font>
              <fill>
                <patternFill>
                  <bgColor rgb="FF0066FF"/>
                </patternFill>
              </fill>
              <border>
                <left style="thin">
                  <color auto="1"/>
                </left>
                <right/>
                <top style="thin">
                  <color auto="1"/>
                </top>
                <bottom style="thin">
                  <color auto="1"/>
                </bottom>
              </border>
            </x14:dxf>
          </x14:cfRule>
          <x14:cfRule type="expression" priority="16" id="{5F13CF4A-4BC4-47F4-9063-3C053E687A0E}">
            <xm:f>AND((SUM($G$13:$G$18)&gt;0),(((Tabelle1!$AX$20+Tabelle1!$AX$28-Tabelle1!$AX$30+Tabelle1!$AX$31)/Betrieb!$D$18)&gt;170),(Ergebnis!$F$11&lt;=170))</xm:f>
            <x14:dxf>
              <font>
                <b/>
                <i val="0"/>
              </font>
              <fill>
                <patternFill>
                  <bgColor rgb="FFFFC000"/>
                </patternFill>
              </fill>
            </x14:dxf>
          </x14:cfRule>
          <xm:sqref>A11:L11</xm:sqref>
        </x14:conditionalFormatting>
        <x14:conditionalFormatting xmlns:xm="http://schemas.microsoft.com/office/excel/2006/main">
          <x14:cfRule type="expression" priority="25" id="{DEBACBCE-308D-4D3B-B8FC-5F56E944F777}">
            <xm:f>AND(((Tabelle1!$AX$20+Tabelle1!$AX$28-Tabelle1!$AX$30+Tabelle1!$AX$31)/Betrieb!$D$18)&gt;170,SUM($F$13:$F$18)&gt;0,SUM($G$13:$G$18)&gt;0,Ergebnis!$F$11&lt;=170)</xm:f>
            <x14:dxf>
              <font>
                <b/>
                <i val="0"/>
                <color auto="1"/>
              </font>
              <fill>
                <patternFill>
                  <bgColor rgb="FFFF6600"/>
                </patternFill>
              </fill>
              <border>
                <left style="thin">
                  <color auto="1"/>
                </left>
                <right style="thin">
                  <color auto="1"/>
                </right>
                <top style="thin">
                  <color auto="1"/>
                </top>
                <bottom style="thin">
                  <color auto="1"/>
                </bottom>
              </border>
            </x14:dxf>
          </x14:cfRule>
          <x14:cfRule type="expression" priority="26" id="{F03CADCF-5263-463A-8360-649799699FD4}">
            <xm:f>AND(SUM($F$13:$F$18)&gt;0,SUM($G$13:$G$18)&gt;0,((Tabelle1!$AX$20+Tabelle1!$AX$28-Tabelle1!$AX$30+Tabelle1!$AX$31)/Betrieb!$D$18)&lt;170)</xm:f>
            <x14:dxf>
              <font>
                <b/>
                <i val="0"/>
                <color theme="0"/>
              </font>
              <fill>
                <patternFill>
                  <bgColor rgb="FF0066FF"/>
                </patternFill>
              </fill>
              <border>
                <left style="thin">
                  <color auto="1"/>
                </left>
                <right style="thin">
                  <color auto="1"/>
                </right>
                <top style="thin">
                  <color auto="1"/>
                </top>
                <bottom style="thin">
                  <color auto="1"/>
                </bottom>
              </border>
            </x14:dxf>
          </x14:cfRule>
          <xm:sqref>M11:P11</xm:sqref>
        </x14:conditionalFormatting>
        <x14:conditionalFormatting xmlns:xm="http://schemas.microsoft.com/office/excel/2006/main">
          <x14:cfRule type="expression" priority="31" id="{210987BE-5EB8-40A1-A1FA-763B9DDB06D8}">
            <xm:f>AND($C13&gt;0,$F13="",Ergebnis!$F$11&gt;170,Betrieb!$D$18&gt;0)</xm:f>
            <x14:dxf>
              <fill>
                <patternFill>
                  <bgColor theme="9" tint="-0.24994659260841701"/>
                </patternFill>
              </fill>
            </x14:dxf>
          </x14:cfRule>
          <xm:sqref>F13:F18</xm:sqref>
        </x14:conditionalFormatting>
        <x14:conditionalFormatting xmlns:xm="http://schemas.microsoft.com/office/excel/2006/main">
          <x14:cfRule type="expression" priority="32" id="{527EDD4A-9742-4129-B4B0-B0C490F3B1D0}">
            <xm:f>AND($F13="",Ergebnis!$F$11&lt;=170,$C13&gt;0,Betrieb!$D$18&gt;0)</xm:f>
            <x14:dxf>
              <fill>
                <patternFill>
                  <bgColor rgb="FFFFC000"/>
                </patternFill>
              </fill>
            </x14:dxf>
          </x14:cfRule>
          <xm:sqref>F13:F18</xm:sqref>
        </x14:conditionalFormatting>
        <x14:conditionalFormatting xmlns:xm="http://schemas.microsoft.com/office/excel/2006/main">
          <x14:cfRule type="expression" priority="29" id="{A64018C6-0C67-4457-87C4-2CF78798F138}">
            <xm:f>AND($C13&gt;0,Ergebnis!$F$11&gt;170,$G13&lt;&gt;$F13)</xm:f>
            <x14:dxf>
              <fill>
                <patternFill>
                  <bgColor rgb="FFFF0000"/>
                </patternFill>
              </fill>
            </x14:dxf>
          </x14:cfRule>
          <x14:cfRule type="expression" priority="30" id="{D0BD7E2B-DBAC-489B-B3BF-D3B32A2F253F}">
            <xm:f>Ergebnis!$F$11&lt;170</xm:f>
            <x14:dxf>
              <font>
                <b/>
                <i val="0"/>
                <color rgb="FFFF0000"/>
              </font>
              <fill>
                <patternFill>
                  <bgColor rgb="FFFFFFCC"/>
                </patternFill>
              </fill>
            </x14:dxf>
          </x14:cfRule>
          <xm:sqref>G13:G18</xm:sqref>
        </x14:conditionalFormatting>
        <x14:conditionalFormatting xmlns:xm="http://schemas.microsoft.com/office/excel/2006/main">
          <x14:cfRule type="expression" priority="27" id="{EE735B7E-8C13-4638-BC50-37B5AECD2951}">
            <xm:f>AND(Ergebnis!$F$11&gt;170,Betrieb!$D$18&gt;0)</xm:f>
            <x14:dxf>
              <font>
                <b/>
                <i val="0"/>
                <color rgb="FFFF0000"/>
              </font>
              <fill>
                <patternFill>
                  <bgColor rgb="FFFFC000"/>
                </patternFill>
              </fill>
            </x14:dxf>
          </x14:cfRule>
          <xm:sqref>A11:L11</xm:sqref>
        </x14:conditionalFormatting>
        <x14:conditionalFormatting xmlns:xm="http://schemas.microsoft.com/office/excel/2006/main">
          <x14:cfRule type="expression" priority="1" id="{B7C78D38-CA1D-4689-A721-9C866E8E9EF6}">
            <xm:f>AND($O$6&lt;165,SUM($G$13:$G$18)&gt;0,(SUM($C$13:$C$18)/Betrieb!$D$18)&gt;170)</xm:f>
            <x14:dxf>
              <font>
                <color theme="0"/>
              </font>
              <fill>
                <patternFill>
                  <bgColor rgb="FF0070C0"/>
                </patternFill>
              </fill>
            </x14:dxf>
          </x14:cfRule>
          <x14:cfRule type="expression" priority="2" id="{E4127420-EEF5-4F78-8461-22270527D211}">
            <xm:f>AND($O$6&lt;=170,SUM($G$13:$G$18)&gt;0,(SUM($C$13:$C$18)/Betrieb!$D$18)&lt;=170)</xm:f>
            <x14:dxf>
              <font>
                <color theme="0"/>
              </font>
              <fill>
                <patternFill>
                  <bgColor rgb="FF0070C0"/>
                </patternFill>
              </fill>
            </x14:dxf>
          </x14:cfRule>
          <x14:cfRule type="expression" priority="3" id="{3B7D03D9-1209-454A-9333-F72CE0ADC09D}">
            <xm:f>AND($O$6&lt;=170,$O$6&gt;=165,SUM($G$13:$G$18)&gt;0,(SUM($C$13:$C$18)/Betrieb!$D$18)&gt;170)</xm:f>
            <x14:dxf>
              <fill>
                <patternFill>
                  <bgColor rgb="FFFFC000"/>
                </patternFill>
              </fill>
            </x14:dxf>
          </x14:cfRule>
          <xm:sqref>O6:P6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7"/>
  <dimension ref="A1:DH226"/>
  <sheetViews>
    <sheetView workbookViewId="0">
      <selection activeCell="E30" sqref="E30"/>
    </sheetView>
  </sheetViews>
  <sheetFormatPr baseColWidth="10" defaultColWidth="5.88671875" defaultRowHeight="13.2"/>
  <cols>
    <col min="1" max="1" width="4.88671875" style="1" customWidth="1"/>
    <col min="2" max="2" width="9.88671875" customWidth="1"/>
    <col min="3" max="3" width="26.44140625" customWidth="1"/>
    <col min="4" max="8" width="7.6640625" style="1" customWidth="1"/>
    <col min="9" max="10" width="8.44140625" style="1" customWidth="1"/>
    <col min="11" max="11" width="10.44140625" style="1" customWidth="1"/>
    <col min="12" max="14" width="8.44140625" style="1" customWidth="1"/>
    <col min="15" max="15" width="8.88671875" style="1" customWidth="1"/>
    <col min="16" max="19" width="8.44140625" style="1" customWidth="1"/>
    <col min="20" max="20" width="9.88671875" style="1" customWidth="1"/>
    <col min="21" max="31" width="8.44140625" style="1" customWidth="1"/>
    <col min="32" max="32" width="9.33203125" style="1" customWidth="1"/>
    <col min="33" max="33" width="8.88671875" style="1" customWidth="1"/>
    <col min="34" max="34" width="8.44140625" style="1" customWidth="1"/>
    <col min="35" max="35" width="43.88671875" style="1" customWidth="1"/>
    <col min="36" max="36" width="8" style="2" customWidth="1"/>
    <col min="37" max="38" width="8" style="1" customWidth="1"/>
    <col min="39" max="39" width="13.44140625" style="1" customWidth="1"/>
    <col min="40" max="40" width="19.44140625" style="1" customWidth="1"/>
    <col min="41" max="41" width="7.6640625" customWidth="1"/>
    <col min="42" max="42" width="45.6640625" customWidth="1"/>
    <col min="43" max="44" width="10.44140625" customWidth="1"/>
    <col min="45" max="49" width="9.44140625" style="1" customWidth="1"/>
    <col min="50" max="50" width="10.109375" style="1" customWidth="1"/>
    <col min="51" max="51" width="8.88671875" style="1" customWidth="1"/>
    <col min="52" max="52" width="10.109375" style="1" customWidth="1"/>
    <col min="53" max="53" width="8.88671875" style="1" customWidth="1"/>
    <col min="54" max="54" width="12" style="1" customWidth="1"/>
    <col min="55" max="55" width="11.33203125" style="1" customWidth="1"/>
    <col min="56" max="56" width="9.88671875" style="1" customWidth="1"/>
    <col min="57" max="67" width="8.88671875" style="1" customWidth="1"/>
    <col min="68" max="71" width="7" style="1" customWidth="1"/>
    <col min="72" max="72" width="8.88671875" style="1" customWidth="1"/>
    <col min="73" max="73" width="7.44140625" style="1" customWidth="1"/>
    <col min="74" max="78" width="7.6640625" style="1" customWidth="1"/>
    <col min="79" max="79" width="8.88671875" style="1" customWidth="1"/>
    <col min="80" max="80" width="8.6640625" customWidth="1"/>
    <col min="81" max="84" width="8.109375" customWidth="1"/>
    <col min="85" max="85" width="7.6640625" customWidth="1"/>
    <col min="86" max="95" width="8.109375" customWidth="1"/>
    <col min="106" max="107" width="8" customWidth="1"/>
    <col min="108" max="108" width="25.88671875" customWidth="1"/>
    <col min="109" max="109" width="6.88671875" customWidth="1"/>
    <col min="110" max="110" width="7.44140625" customWidth="1"/>
    <col min="111" max="111" width="7.109375" customWidth="1"/>
    <col min="112" max="112" width="52.6640625" customWidth="1"/>
  </cols>
  <sheetData>
    <row r="1" spans="1:112" ht="21.75" customHeight="1" thickBot="1">
      <c r="A1"/>
      <c r="B1" s="812" t="s">
        <v>785</v>
      </c>
      <c r="C1" s="809"/>
      <c r="D1" s="810"/>
      <c r="E1" s="810"/>
      <c r="F1" s="810"/>
      <c r="G1" s="810"/>
      <c r="H1" s="810"/>
      <c r="I1" s="811"/>
      <c r="J1" s="811"/>
      <c r="K1" s="811"/>
      <c r="L1" s="811"/>
      <c r="M1" s="811"/>
      <c r="N1" s="808"/>
      <c r="O1" s="808"/>
      <c r="P1" s="808"/>
      <c r="Q1" s="808"/>
      <c r="R1" s="808"/>
      <c r="S1" s="808"/>
      <c r="T1" s="808"/>
      <c r="U1" s="808"/>
      <c r="V1" s="808"/>
      <c r="W1" s="808"/>
      <c r="X1" s="808"/>
      <c r="Y1" s="808"/>
      <c r="Z1" s="808"/>
      <c r="AA1" s="808"/>
      <c r="AB1" s="808"/>
      <c r="AC1" s="808"/>
      <c r="AD1" s="808"/>
      <c r="AE1" s="808"/>
      <c r="AF1" s="808"/>
      <c r="AG1" s="808"/>
      <c r="AH1" s="808"/>
      <c r="AI1" s="910"/>
      <c r="AJ1" s="910" t="s">
        <v>905</v>
      </c>
      <c r="AK1" s="808"/>
      <c r="AL1"/>
      <c r="AM1"/>
      <c r="AN1"/>
      <c r="AP1" s="3"/>
      <c r="AQ1" s="3"/>
      <c r="AR1" s="3"/>
      <c r="AS1"/>
      <c r="AT1"/>
      <c r="AU1"/>
      <c r="AV1"/>
      <c r="AW1"/>
      <c r="AX1"/>
      <c r="AY1"/>
      <c r="AZ1"/>
      <c r="BA1"/>
      <c r="BB1" s="3" t="s">
        <v>906</v>
      </c>
      <c r="BC1"/>
      <c r="BD1"/>
      <c r="BE1"/>
      <c r="BF1"/>
      <c r="BG1"/>
      <c r="BH1"/>
      <c r="BI1"/>
      <c r="BJ1"/>
      <c r="BK1"/>
      <c r="BL1"/>
      <c r="BM1"/>
      <c r="BN1"/>
      <c r="BO1"/>
      <c r="BP1"/>
      <c r="BQ1"/>
      <c r="BR1"/>
      <c r="BS1"/>
      <c r="BT1"/>
      <c r="BU1"/>
      <c r="BV1"/>
      <c r="BW1"/>
      <c r="BX1"/>
      <c r="BY1"/>
      <c r="BZ1"/>
      <c r="CA1"/>
    </row>
    <row r="2" spans="1:112" ht="16.5" customHeight="1" thickBot="1">
      <c r="A2"/>
      <c r="B2" s="1622"/>
      <c r="C2" s="1623" t="s">
        <v>907</v>
      </c>
      <c r="D2" s="2781" t="s">
        <v>908</v>
      </c>
      <c r="E2" s="2781"/>
      <c r="F2" s="2781"/>
      <c r="G2" s="2781"/>
      <c r="H2" s="2781"/>
      <c r="I2" s="2782" t="s">
        <v>909</v>
      </c>
      <c r="J2" s="2782"/>
      <c r="K2" s="2782"/>
      <c r="L2" s="1624"/>
      <c r="M2" s="1625" t="s">
        <v>910</v>
      </c>
      <c r="N2" s="1626" t="s">
        <v>911</v>
      </c>
      <c r="O2" s="1627"/>
      <c r="P2" s="1628"/>
      <c r="Q2" s="1629"/>
      <c r="R2" s="1630"/>
      <c r="S2" s="1631" t="s">
        <v>912</v>
      </c>
      <c r="T2" s="1632"/>
      <c r="U2" s="1633"/>
      <c r="V2" s="1629"/>
      <c r="W2" s="1629"/>
      <c r="X2" s="1634" t="s">
        <v>913</v>
      </c>
      <c r="Y2" s="1635"/>
      <c r="Z2" s="1635"/>
      <c r="AA2" s="1636"/>
      <c r="AB2" s="1637" t="s">
        <v>914</v>
      </c>
      <c r="AC2" s="1635"/>
      <c r="AD2" s="1635"/>
      <c r="AE2" s="1636"/>
      <c r="AF2" s="1638" t="s">
        <v>915</v>
      </c>
      <c r="AG2" s="1635"/>
      <c r="AH2" s="1636"/>
      <c r="AI2" s="1639" t="s">
        <v>907</v>
      </c>
      <c r="AJ2" s="2783" t="s">
        <v>916</v>
      </c>
      <c r="AK2" s="2784" t="s">
        <v>917</v>
      </c>
      <c r="AL2" s="4" t="s">
        <v>918</v>
      </c>
      <c r="AM2" s="907"/>
      <c r="AN2"/>
      <c r="AP2" s="764"/>
      <c r="AQ2" s="764" t="s">
        <v>919</v>
      </c>
      <c r="AR2" s="765">
        <v>15</v>
      </c>
      <c r="AS2" s="766">
        <v>3</v>
      </c>
      <c r="AT2" s="767">
        <v>4</v>
      </c>
      <c r="AU2" s="767">
        <v>5</v>
      </c>
      <c r="AV2" s="767">
        <v>6</v>
      </c>
      <c r="AW2" s="768">
        <v>7</v>
      </c>
      <c r="AX2" s="769"/>
      <c r="AY2" s="770">
        <v>8</v>
      </c>
      <c r="AZ2" s="767">
        <v>9</v>
      </c>
      <c r="BA2" s="768">
        <v>10</v>
      </c>
      <c r="BB2" s="769">
        <v>11</v>
      </c>
      <c r="BC2" s="769">
        <v>12</v>
      </c>
      <c r="BD2" s="770">
        <v>13</v>
      </c>
      <c r="BE2" s="767">
        <v>14</v>
      </c>
      <c r="BF2" s="767">
        <v>15</v>
      </c>
      <c r="BG2" s="767">
        <v>16</v>
      </c>
      <c r="BH2" s="768">
        <v>17</v>
      </c>
      <c r="BI2" s="769"/>
      <c r="BJ2" s="770">
        <v>18</v>
      </c>
      <c r="BK2" s="767">
        <v>19</v>
      </c>
      <c r="BL2" s="767">
        <v>20</v>
      </c>
      <c r="BM2" s="767">
        <v>21</v>
      </c>
      <c r="BN2" s="768">
        <v>22</v>
      </c>
      <c r="BO2" s="771"/>
      <c r="BP2" s="772" t="s">
        <v>920</v>
      </c>
      <c r="BQ2" s="773"/>
      <c r="BR2" s="773"/>
      <c r="BS2" s="773"/>
      <c r="BT2" s="774"/>
      <c r="BU2" s="774"/>
      <c r="BV2" s="417"/>
      <c r="BW2" s="417"/>
      <c r="BX2" s="417"/>
      <c r="BY2" s="417"/>
      <c r="BZ2" s="417"/>
      <c r="CA2" s="417"/>
      <c r="CB2" s="417"/>
      <c r="CC2" s="417"/>
      <c r="CD2" s="417"/>
      <c r="CE2" s="417"/>
      <c r="CF2" s="417"/>
      <c r="CG2" s="417"/>
      <c r="CH2" s="775" t="s">
        <v>921</v>
      </c>
      <c r="CI2" s="776"/>
      <c r="CJ2" s="776"/>
      <c r="CK2" s="776"/>
      <c r="CL2" s="776"/>
      <c r="CM2" s="776"/>
      <c r="CN2" s="776"/>
      <c r="CO2" s="776"/>
      <c r="CP2" s="776"/>
      <c r="CQ2" s="777"/>
      <c r="CR2" s="775" t="s">
        <v>922</v>
      </c>
      <c r="CS2" s="778"/>
      <c r="CT2" s="778"/>
      <c r="CU2" s="778"/>
      <c r="CV2" s="778"/>
      <c r="CW2" s="778"/>
      <c r="CX2" s="778"/>
      <c r="CY2" s="778"/>
      <c r="CZ2" s="778"/>
      <c r="DA2" s="779"/>
      <c r="DB2" s="417"/>
      <c r="DC2" s="417"/>
      <c r="DD2" s="417"/>
      <c r="DE2" s="417"/>
      <c r="DF2" s="417"/>
      <c r="DG2" s="417"/>
    </row>
    <row r="3" spans="1:112" ht="15.9" customHeight="1" thickBot="1">
      <c r="A3"/>
      <c r="B3" s="1622"/>
      <c r="C3" s="1623"/>
      <c r="D3" s="1640" t="s">
        <v>923</v>
      </c>
      <c r="E3" s="1641" t="s">
        <v>924</v>
      </c>
      <c r="F3" s="1641" t="s">
        <v>925</v>
      </c>
      <c r="G3" s="1641" t="s">
        <v>926</v>
      </c>
      <c r="H3" s="1642" t="s">
        <v>927</v>
      </c>
      <c r="I3" s="1643" t="s">
        <v>928</v>
      </c>
      <c r="J3" s="1644" t="s">
        <v>926</v>
      </c>
      <c r="K3" s="1645" t="s">
        <v>927</v>
      </c>
      <c r="L3" s="1646" t="s">
        <v>929</v>
      </c>
      <c r="M3" s="1647" t="s">
        <v>930</v>
      </c>
      <c r="N3" s="1648" t="s">
        <v>923</v>
      </c>
      <c r="O3" s="1649" t="s">
        <v>924</v>
      </c>
      <c r="P3" s="1649" t="s">
        <v>925</v>
      </c>
      <c r="Q3" s="1650" t="s">
        <v>926</v>
      </c>
      <c r="R3" s="1651" t="s">
        <v>927</v>
      </c>
      <c r="S3" s="1652" t="s">
        <v>923</v>
      </c>
      <c r="T3" s="1653" t="s">
        <v>924</v>
      </c>
      <c r="U3" s="1653" t="s">
        <v>925</v>
      </c>
      <c r="V3" s="1654" t="s">
        <v>926</v>
      </c>
      <c r="W3" s="1655" t="s">
        <v>927</v>
      </c>
      <c r="X3" s="1656" t="s">
        <v>924</v>
      </c>
      <c r="Y3" s="1650" t="s">
        <v>925</v>
      </c>
      <c r="Z3" s="1650" t="s">
        <v>926</v>
      </c>
      <c r="AA3" s="1651" t="s">
        <v>927</v>
      </c>
      <c r="AB3" s="1656" t="s">
        <v>924</v>
      </c>
      <c r="AC3" s="1650" t="s">
        <v>925</v>
      </c>
      <c r="AD3" s="1650" t="s">
        <v>926</v>
      </c>
      <c r="AE3" s="1651" t="s">
        <v>927</v>
      </c>
      <c r="AF3" s="1657" t="s">
        <v>928</v>
      </c>
      <c r="AG3" s="1650" t="s">
        <v>926</v>
      </c>
      <c r="AH3" s="1651" t="s">
        <v>927</v>
      </c>
      <c r="AI3" s="1639"/>
      <c r="AJ3" s="2783"/>
      <c r="AK3" s="2784"/>
      <c r="AL3" s="4" t="s">
        <v>931</v>
      </c>
      <c r="AM3" s="907"/>
      <c r="AN3"/>
      <c r="AP3" s="764"/>
      <c r="AQ3" s="764"/>
      <c r="AR3" s="2785" t="s">
        <v>932</v>
      </c>
      <c r="AS3" s="2779" t="s">
        <v>933</v>
      </c>
      <c r="AT3" s="2779"/>
      <c r="AU3" s="2779"/>
      <c r="AV3" s="2779"/>
      <c r="AW3" s="2779"/>
      <c r="AX3" s="780" t="s">
        <v>934</v>
      </c>
      <c r="AY3" s="2769" t="s">
        <v>935</v>
      </c>
      <c r="AZ3" s="2769"/>
      <c r="BA3" s="2769"/>
      <c r="BB3" s="781" t="s">
        <v>936</v>
      </c>
      <c r="BC3" s="2770" t="s">
        <v>932</v>
      </c>
      <c r="BD3" s="2771" t="s">
        <v>937</v>
      </c>
      <c r="BE3" s="2771"/>
      <c r="BF3" s="2771"/>
      <c r="BG3" s="2771"/>
      <c r="BH3" s="2771"/>
      <c r="BI3" s="780" t="s">
        <v>913</v>
      </c>
      <c r="BJ3" s="2771" t="s">
        <v>938</v>
      </c>
      <c r="BK3" s="2771"/>
      <c r="BL3" s="2771"/>
      <c r="BM3" s="2771"/>
      <c r="BN3" s="2771"/>
      <c r="BO3" s="782" t="s">
        <v>939</v>
      </c>
      <c r="BP3" s="2776" t="s">
        <v>940</v>
      </c>
      <c r="BQ3" s="2780" t="s">
        <v>941</v>
      </c>
      <c r="BR3" s="2776" t="s">
        <v>940</v>
      </c>
      <c r="BS3" s="2777" t="s">
        <v>942</v>
      </c>
      <c r="BT3" s="2778" t="s">
        <v>943</v>
      </c>
      <c r="BU3" s="2778"/>
      <c r="BV3" s="2775" t="s">
        <v>944</v>
      </c>
      <c r="BW3" s="2775"/>
      <c r="BX3" s="2775"/>
      <c r="BY3" s="2775"/>
      <c r="BZ3" s="2775"/>
      <c r="CA3" s="780" t="s">
        <v>945</v>
      </c>
      <c r="CB3" s="2775" t="s">
        <v>946</v>
      </c>
      <c r="CC3" s="2775"/>
      <c r="CD3" s="2775"/>
      <c r="CE3" s="2775"/>
      <c r="CF3" s="2775"/>
      <c r="CG3" s="780" t="s">
        <v>945</v>
      </c>
      <c r="CH3" s="2775" t="s">
        <v>947</v>
      </c>
      <c r="CI3" s="2775"/>
      <c r="CJ3" s="2775"/>
      <c r="CK3" s="2775"/>
      <c r="CL3" s="2775"/>
      <c r="CM3" s="2775" t="s">
        <v>948</v>
      </c>
      <c r="CN3" s="2775"/>
      <c r="CO3" s="2775"/>
      <c r="CP3" s="2775"/>
      <c r="CQ3" s="2775"/>
      <c r="CR3" s="2775" t="s">
        <v>949</v>
      </c>
      <c r="CS3" s="2775"/>
      <c r="CT3" s="2775"/>
      <c r="CU3" s="2775"/>
      <c r="CV3" s="2775"/>
      <c r="CW3" s="2775" t="s">
        <v>948</v>
      </c>
      <c r="CX3" s="2775"/>
      <c r="CY3" s="2775"/>
      <c r="CZ3" s="2775"/>
      <c r="DA3" s="2775"/>
      <c r="DB3" s="783" t="s">
        <v>950</v>
      </c>
      <c r="DC3" s="2773" t="s">
        <v>951</v>
      </c>
      <c r="DD3" s="784" t="s">
        <v>952</v>
      </c>
      <c r="DE3" s="785"/>
      <c r="DF3" s="786" t="s">
        <v>953</v>
      </c>
      <c r="DG3" s="787"/>
    </row>
    <row r="4" spans="1:112" ht="28.2" thickBot="1">
      <c r="B4" s="1658">
        <v>0</v>
      </c>
      <c r="C4" s="1659">
        <v>0</v>
      </c>
      <c r="D4" s="1660">
        <v>0</v>
      </c>
      <c r="E4" s="1661">
        <v>0</v>
      </c>
      <c r="F4" s="1661">
        <v>0</v>
      </c>
      <c r="G4" s="1661">
        <v>0</v>
      </c>
      <c r="H4" s="1661">
        <v>0</v>
      </c>
      <c r="I4" s="1661">
        <v>0</v>
      </c>
      <c r="J4" s="1661">
        <v>0</v>
      </c>
      <c r="K4" s="1661">
        <v>0</v>
      </c>
      <c r="L4" s="1661">
        <v>0</v>
      </c>
      <c r="M4" s="1661">
        <v>0</v>
      </c>
      <c r="N4" s="1662">
        <v>0</v>
      </c>
      <c r="O4" s="1662">
        <v>0</v>
      </c>
      <c r="P4" s="1662">
        <v>0</v>
      </c>
      <c r="Q4" s="1662">
        <v>0</v>
      </c>
      <c r="R4" s="1662">
        <v>0</v>
      </c>
      <c r="S4" s="1661">
        <v>0</v>
      </c>
      <c r="T4" s="1661">
        <v>0</v>
      </c>
      <c r="U4" s="1661">
        <v>0</v>
      </c>
      <c r="V4" s="1661">
        <v>0</v>
      </c>
      <c r="W4" s="1661">
        <v>0</v>
      </c>
      <c r="X4" s="1663"/>
      <c r="Y4" s="1664"/>
      <c r="Z4" s="1664"/>
      <c r="AA4" s="1664"/>
      <c r="AB4" s="1664"/>
      <c r="AC4" s="1664"/>
      <c r="AD4" s="1664"/>
      <c r="AE4" s="1665"/>
      <c r="AF4" s="1661">
        <v>0</v>
      </c>
      <c r="AG4" s="1661">
        <v>0</v>
      </c>
      <c r="AH4" s="1661">
        <v>0</v>
      </c>
      <c r="AI4" s="1666" t="s">
        <v>907</v>
      </c>
      <c r="AJ4" s="2774"/>
      <c r="AK4" s="2774"/>
      <c r="AL4" s="4"/>
      <c r="AM4" s="907"/>
      <c r="AN4" s="17" t="s">
        <v>954</v>
      </c>
      <c r="AP4" s="764"/>
      <c r="AQ4" s="764" t="s">
        <v>955</v>
      </c>
      <c r="AR4" s="2785"/>
      <c r="AS4" s="788" t="s">
        <v>923</v>
      </c>
      <c r="AT4" s="764" t="s">
        <v>924</v>
      </c>
      <c r="AU4" s="764" t="s">
        <v>925</v>
      </c>
      <c r="AV4" s="764" t="s">
        <v>926</v>
      </c>
      <c r="AW4" s="789" t="s">
        <v>927</v>
      </c>
      <c r="AX4" s="790" t="s">
        <v>956</v>
      </c>
      <c r="AY4" s="791" t="s">
        <v>928</v>
      </c>
      <c r="AZ4" s="764" t="s">
        <v>926</v>
      </c>
      <c r="BA4" s="789" t="s">
        <v>927</v>
      </c>
      <c r="BB4" s="792" t="s">
        <v>929</v>
      </c>
      <c r="BC4" s="2770"/>
      <c r="BD4" s="791" t="s">
        <v>923</v>
      </c>
      <c r="BE4" s="764" t="s">
        <v>924</v>
      </c>
      <c r="BF4" s="764" t="s">
        <v>925</v>
      </c>
      <c r="BG4" s="764" t="s">
        <v>926</v>
      </c>
      <c r="BH4" s="789" t="s">
        <v>927</v>
      </c>
      <c r="BI4" s="790" t="s">
        <v>956</v>
      </c>
      <c r="BJ4" s="791" t="s">
        <v>923</v>
      </c>
      <c r="BK4" s="764" t="s">
        <v>924</v>
      </c>
      <c r="BL4" s="764" t="s">
        <v>925</v>
      </c>
      <c r="BM4" s="764" t="s">
        <v>926</v>
      </c>
      <c r="BN4" s="789" t="s">
        <v>927</v>
      </c>
      <c r="BO4" s="793" t="s">
        <v>956</v>
      </c>
      <c r="BP4" s="2776"/>
      <c r="BQ4" s="2780"/>
      <c r="BR4" s="2776"/>
      <c r="BS4" s="2777"/>
      <c r="BT4" s="1023" t="s">
        <v>957</v>
      </c>
      <c r="BU4" s="1024" t="s">
        <v>958</v>
      </c>
      <c r="BV4" s="791" t="s">
        <v>923</v>
      </c>
      <c r="BW4" s="764" t="s">
        <v>924</v>
      </c>
      <c r="BX4" s="764" t="s">
        <v>925</v>
      </c>
      <c r="BY4" s="764" t="s">
        <v>926</v>
      </c>
      <c r="BZ4" s="794" t="s">
        <v>927</v>
      </c>
      <c r="CA4" s="790" t="s">
        <v>959</v>
      </c>
      <c r="CB4" s="788" t="s">
        <v>923</v>
      </c>
      <c r="CC4" s="764" t="s">
        <v>924</v>
      </c>
      <c r="CD4" s="764" t="s">
        <v>925</v>
      </c>
      <c r="CE4" s="764" t="s">
        <v>926</v>
      </c>
      <c r="CF4" s="794" t="s">
        <v>927</v>
      </c>
      <c r="CG4" s="790" t="s">
        <v>960</v>
      </c>
      <c r="CH4" s="795" t="s">
        <v>923</v>
      </c>
      <c r="CI4" s="796" t="s">
        <v>924</v>
      </c>
      <c r="CJ4" s="796" t="s">
        <v>925</v>
      </c>
      <c r="CK4" s="796" t="s">
        <v>926</v>
      </c>
      <c r="CL4" s="797" t="s">
        <v>927</v>
      </c>
      <c r="CM4" s="795" t="s">
        <v>923</v>
      </c>
      <c r="CN4" s="796" t="s">
        <v>924</v>
      </c>
      <c r="CO4" s="796" t="s">
        <v>925</v>
      </c>
      <c r="CP4" s="796" t="s">
        <v>926</v>
      </c>
      <c r="CQ4" s="797" t="s">
        <v>927</v>
      </c>
      <c r="CR4" s="795" t="s">
        <v>923</v>
      </c>
      <c r="CS4" s="796" t="s">
        <v>924</v>
      </c>
      <c r="CT4" s="796" t="s">
        <v>925</v>
      </c>
      <c r="CU4" s="796" t="s">
        <v>926</v>
      </c>
      <c r="CV4" s="797" t="s">
        <v>927</v>
      </c>
      <c r="CW4" s="795" t="s">
        <v>923</v>
      </c>
      <c r="CX4" s="796" t="s">
        <v>924</v>
      </c>
      <c r="CY4" s="796" t="s">
        <v>925</v>
      </c>
      <c r="CZ4" s="796" t="s">
        <v>926</v>
      </c>
      <c r="DA4" s="797" t="s">
        <v>927</v>
      </c>
      <c r="DB4" s="798" t="s">
        <v>961</v>
      </c>
      <c r="DC4" s="2773"/>
      <c r="DD4" s="799" t="s">
        <v>962</v>
      </c>
      <c r="DE4" s="800" t="s">
        <v>963</v>
      </c>
      <c r="DF4" s="801" t="s">
        <v>962</v>
      </c>
      <c r="DG4" s="802" t="s">
        <v>963</v>
      </c>
    </row>
    <row r="5" spans="1:112" ht="13.8" thickBot="1">
      <c r="B5" s="1658" t="s">
        <v>907</v>
      </c>
      <c r="C5" s="1659" t="s">
        <v>907</v>
      </c>
      <c r="D5" s="1660">
        <v>3</v>
      </c>
      <c r="E5" s="1661">
        <v>4</v>
      </c>
      <c r="F5" s="1661">
        <v>5</v>
      </c>
      <c r="G5" s="1661">
        <v>6</v>
      </c>
      <c r="H5" s="1667">
        <v>7</v>
      </c>
      <c r="I5" s="1668">
        <v>8</v>
      </c>
      <c r="J5" s="1669">
        <v>9</v>
      </c>
      <c r="K5" s="1670">
        <v>10</v>
      </c>
      <c r="L5" s="1668">
        <v>11</v>
      </c>
      <c r="M5" s="1670">
        <v>12</v>
      </c>
      <c r="N5" s="1668">
        <v>13</v>
      </c>
      <c r="O5" s="1670">
        <v>14</v>
      </c>
      <c r="P5" s="1668">
        <v>15</v>
      </c>
      <c r="Q5" s="1670">
        <v>16</v>
      </c>
      <c r="R5" s="1668">
        <v>17</v>
      </c>
      <c r="S5" s="1670">
        <v>18</v>
      </c>
      <c r="T5" s="1668">
        <v>19</v>
      </c>
      <c r="U5" s="1670">
        <v>20</v>
      </c>
      <c r="V5" s="1668">
        <v>21</v>
      </c>
      <c r="W5" s="1670">
        <v>22</v>
      </c>
      <c r="X5" s="1668">
        <v>23</v>
      </c>
      <c r="Y5" s="1670">
        <v>24</v>
      </c>
      <c r="Z5" s="1668">
        <v>25</v>
      </c>
      <c r="AA5" s="1670">
        <v>26</v>
      </c>
      <c r="AB5" s="1668">
        <v>27</v>
      </c>
      <c r="AC5" s="1670">
        <v>28</v>
      </c>
      <c r="AD5" s="1668">
        <v>29</v>
      </c>
      <c r="AE5" s="1670">
        <v>30</v>
      </c>
      <c r="AF5" s="1668">
        <v>31</v>
      </c>
      <c r="AG5" s="1670">
        <v>32</v>
      </c>
      <c r="AH5" s="1668">
        <v>33</v>
      </c>
      <c r="AI5" s="1666" t="s">
        <v>907</v>
      </c>
      <c r="AJ5" s="1671">
        <v>35</v>
      </c>
      <c r="AK5" s="1672">
        <v>36</v>
      </c>
      <c r="AL5" s="4">
        <v>37</v>
      </c>
      <c r="AM5" s="907"/>
      <c r="AN5" s="4" t="s">
        <v>964</v>
      </c>
      <c r="AP5" s="21">
        <f>Tiere!B5</f>
        <v>0</v>
      </c>
      <c r="AQ5" s="22">
        <f>IF(AP5=0,0,Tiere!I5)</f>
        <v>0</v>
      </c>
      <c r="AR5" s="23">
        <f>IFERROR(VLOOKUP($AP5,Tabelle1!$B$4:$AE$153,12,0)*$AQ5,0)</f>
        <v>0</v>
      </c>
      <c r="AS5" s="24">
        <f>IFERROR(VLOOKUP($AP5,Tabelle1!$B$4:$W$153,3,0)*$AR5,0)</f>
        <v>0</v>
      </c>
      <c r="AT5" s="25">
        <f>IFERROR(VLOOKUP($AP5,Tabelle1!$B$4:$W$153,4,0)*$AR5,0)</f>
        <v>0</v>
      </c>
      <c r="AU5" s="26">
        <f>IFERROR(VLOOKUP($AP5,Tabelle1!$B$4:$W$153,5,0)*$AR5,0)</f>
        <v>0</v>
      </c>
      <c r="AV5" s="26">
        <f>IFERROR(VLOOKUP($AP5,Tabelle1!$B$4:$W$153,6,0)*$AR5,0)</f>
        <v>0</v>
      </c>
      <c r="AW5" s="27">
        <f>IFERROR(VLOOKUP($AP5,Tabelle1!$B$4:$W$153,7,0)*$AR5,0)</f>
        <v>0</v>
      </c>
      <c r="AX5" s="28">
        <f t="shared" ref="AX5:AX20" si="0">SUM(AS5:AW5)</f>
        <v>0</v>
      </c>
      <c r="AY5" s="29">
        <f>IFERROR(VLOOKUP($AP5,Tabelle1!$B$4:$W$153,8,0)*$AQ5,0)</f>
        <v>0</v>
      </c>
      <c r="AZ5" s="30">
        <f>IFERROR(VLOOKUP($AP5,Tabelle1!$B$4:$W$153,9,0)*$AQ5,0)</f>
        <v>0</v>
      </c>
      <c r="BA5" s="31">
        <f>IFERROR(VLOOKUP($AP5,Tabelle1!$B$4:$W$153,10,0)*$AQ5,0)</f>
        <v>0</v>
      </c>
      <c r="BB5" s="32">
        <f>IFERROR(VLOOKUP($AP5,Tabelle1!$B$4:$W$153,11,0)*$AQ5,0)</f>
        <v>0</v>
      </c>
      <c r="BC5" s="56">
        <f>IFERROR(VLOOKUP($AP5,Tabelle1!$B$4:$W$144,12,0)*$AQ5,0)</f>
        <v>0</v>
      </c>
      <c r="BD5" s="25">
        <f>IFERROR(VLOOKUP($AP5,Tabelle1!$B$4:$W$153,13,0)*$AR5,0)</f>
        <v>0</v>
      </c>
      <c r="BE5" s="26">
        <f>IFERROR(VLOOKUP($AP5,Tabelle1!$B$4:$W$153,14,0)*$AR5,0)</f>
        <v>0</v>
      </c>
      <c r="BF5" s="26">
        <f>IFERROR(VLOOKUP($AP5,Tabelle1!$B$4:$W$153,15,0)*$AR5,0)</f>
        <v>0</v>
      </c>
      <c r="BG5" s="26">
        <f>IFERROR(VLOOKUP($AP5,Tabelle1!$B$4:$W$153,16,0)*$AR5,0)</f>
        <v>0</v>
      </c>
      <c r="BH5" s="27">
        <f>IFERROR(VLOOKUP($AP5,Tabelle1!$B$4:$W$153,17,0)*$AR5,0)</f>
        <v>0</v>
      </c>
      <c r="BI5" s="33">
        <f t="shared" ref="BI5:BI20" si="1">SUM(BD5:BH5)</f>
        <v>0</v>
      </c>
      <c r="BJ5" s="34">
        <f>IFERROR(VLOOKUP($AP5,Tabelle1!$B$4:$W$153,18,0)*$AR5,0)</f>
        <v>0</v>
      </c>
      <c r="BK5" s="4">
        <f>IFERROR(VLOOKUP($AP5,Tabelle1!$B$4:$W$153,19,0)*$AR5,0)</f>
        <v>0</v>
      </c>
      <c r="BL5" s="4">
        <f>IFERROR(VLOOKUP($AP5,Tabelle1!$B$4:$W$153,20,0)*$AR5,0)</f>
        <v>0</v>
      </c>
      <c r="BM5" s="4">
        <f>IFERROR(VLOOKUP($AP5,Tabelle1!$B$4:$W$153,21,0)*$AR5,0)</f>
        <v>0</v>
      </c>
      <c r="BN5" s="35">
        <f>IFERROR(VLOOKUP($AP5,Tabelle1!$B$4:$W$153,22,0)*$AR5,0)</f>
        <v>0</v>
      </c>
      <c r="BO5" s="36">
        <f t="shared" ref="BO5:BO19" si="2">SUM(BJ5:BN5)</f>
        <v>0</v>
      </c>
      <c r="BP5" s="37">
        <f>Tiere!K5</f>
        <v>0</v>
      </c>
      <c r="BQ5" s="38">
        <f>Tiere!L5</f>
        <v>0</v>
      </c>
      <c r="BR5" s="37">
        <f>Tiere!M5</f>
        <v>0</v>
      </c>
      <c r="BS5" s="23">
        <f>Tiere!N5</f>
        <v>0</v>
      </c>
      <c r="BT5" s="1025">
        <f>IF($AR5=0,0,BP5/$AR5)*(BQ5/365)</f>
        <v>0</v>
      </c>
      <c r="BU5" s="1026">
        <f>IF($AR5=0,0,BR5/$AR5)*(BS5/365)</f>
        <v>0</v>
      </c>
      <c r="BV5" s="25">
        <f t="shared" ref="BV5:BV19" si="3">AS5*$BT5</f>
        <v>0</v>
      </c>
      <c r="BW5" s="25">
        <f t="shared" ref="BW5:BW19" si="4">AT5*$BT5</f>
        <v>0</v>
      </c>
      <c r="BX5" s="26">
        <f t="shared" ref="BX5:BX19" si="5">AU5*$BT5</f>
        <v>0</v>
      </c>
      <c r="BY5" s="26">
        <f t="shared" ref="BY5:BY19" si="6">AV5*$BT5</f>
        <v>0</v>
      </c>
      <c r="BZ5" s="39">
        <f t="shared" ref="BZ5:BZ19" si="7">AW5*$BT5</f>
        <v>0</v>
      </c>
      <c r="CA5" s="28">
        <f t="shared" ref="CA5:CA19" si="8">SUM(BV5:BZ5)</f>
        <v>0</v>
      </c>
      <c r="CB5" s="32">
        <f t="shared" ref="CB5:CB19" si="9">AS5*$BU5</f>
        <v>0</v>
      </c>
      <c r="CC5" s="32">
        <f t="shared" ref="CC5:CC19" si="10">AT5*$BU5</f>
        <v>0</v>
      </c>
      <c r="CD5" s="32">
        <f t="shared" ref="CD5:CD19" si="11">AU5*$BU5</f>
        <v>0</v>
      </c>
      <c r="CE5" s="32">
        <f t="shared" ref="CE5:CE19" si="12">AV5*$BU5</f>
        <v>0</v>
      </c>
      <c r="CF5" s="40">
        <f t="shared" ref="CF5:CF19" si="13">AW5*$BU5</f>
        <v>0</v>
      </c>
      <c r="CG5" s="28">
        <f t="shared" ref="CG5:CG19" si="14">SUM(CB5:CF5)</f>
        <v>0</v>
      </c>
      <c r="CH5" s="24">
        <f>IFERROR(BD5*$BT5,0)</f>
        <v>0</v>
      </c>
      <c r="CI5" s="25">
        <f>IFERROR(BE5*$BT5,0)</f>
        <v>0</v>
      </c>
      <c r="CJ5" s="26">
        <f>IFERROR(BF5*$BT5,0)</f>
        <v>0</v>
      </c>
      <c r="CK5" s="26">
        <f>IFERROR(BG5*$BT5,0)</f>
        <v>0</v>
      </c>
      <c r="CL5" s="39">
        <f>IFERROR(BH5*$BT5,0)</f>
        <v>0</v>
      </c>
      <c r="CM5" s="24">
        <f>IFERROR(BJ5*$BT5,0)</f>
        <v>0</v>
      </c>
      <c r="CN5" s="25">
        <f>IFERROR(BK5*$BT5,0)</f>
        <v>0</v>
      </c>
      <c r="CO5" s="26">
        <f>IFERROR(BL5*$BT5,0)</f>
        <v>0</v>
      </c>
      <c r="CP5" s="26">
        <f>IFERROR(BM5*$BT5,0)</f>
        <v>0</v>
      </c>
      <c r="CQ5" s="39">
        <f>IFERROR(BN5*$BT5,0)</f>
        <v>0</v>
      </c>
      <c r="CR5" s="24">
        <f>IFERROR(BD5*$BU5,0)</f>
        <v>0</v>
      </c>
      <c r="CS5" s="25">
        <f>IFERROR(BE5*$BU5,0)</f>
        <v>0</v>
      </c>
      <c r="CT5" s="26">
        <f>IFERROR(BF5*$BU5,0)</f>
        <v>0</v>
      </c>
      <c r="CU5" s="26">
        <f>IFERROR(BG5*$BU5,0)</f>
        <v>0</v>
      </c>
      <c r="CV5" s="39">
        <f>IFERROR(BH5*$BU5,0)</f>
        <v>0</v>
      </c>
      <c r="CW5" s="24">
        <f>IFERROR(BJ5*$BU5,0)</f>
        <v>0</v>
      </c>
      <c r="CX5" s="25">
        <f>IFERROR(BK5*$BU5,0)</f>
        <v>0</v>
      </c>
      <c r="CY5" s="26">
        <f>IFERROR(BL5*$BU5,0)</f>
        <v>0</v>
      </c>
      <c r="CZ5" s="26">
        <f>IFERROR(BM5*$BU5,0)</f>
        <v>0</v>
      </c>
      <c r="DA5" s="39">
        <f>IFERROR(BN5*$BU5,0)</f>
        <v>0</v>
      </c>
      <c r="DB5" s="41">
        <f>IFERROR(VLOOKUP($AP5,Tabelle1!$B$4:$W$153,11,0)*$BR5,0)</f>
        <v>0</v>
      </c>
      <c r="DC5" s="42">
        <f t="shared" ref="DC5:DC19" si="15">AR5</f>
        <v>0</v>
      </c>
      <c r="DD5" s="43">
        <f>IFERROR(VLOOKUP($AP5,Tabelle1!$B$4:$AJ$153,35,0),0)</f>
        <v>0</v>
      </c>
      <c r="DE5" s="44">
        <f>IFERROR(IF(DD5&gt;0,(DD5*DC5)/170,AX5/170),0)</f>
        <v>0</v>
      </c>
      <c r="DF5" s="45">
        <f>IFERROR(VLOOKUP($AP5,Tabelle1!$B$4:$AK$153,36,0),0)</f>
        <v>0</v>
      </c>
      <c r="DG5" s="46">
        <f>IFERROR(IF(DF5&gt;0,(DF5*DC5)/170,AX5/170),0)</f>
        <v>0</v>
      </c>
      <c r="DH5">
        <f t="shared" ref="DH5:DH19" si="16">AP5</f>
        <v>0</v>
      </c>
    </row>
    <row r="6" spans="1:112">
      <c r="A6" s="1">
        <v>1</v>
      </c>
      <c r="B6" s="47" t="str">
        <f>C6</f>
        <v>andere Kälber und Jungrinder unter 1/2 Jahr - Gülle</v>
      </c>
      <c r="C6" s="48" t="s">
        <v>965</v>
      </c>
      <c r="D6" s="1037">
        <v>12.7</v>
      </c>
      <c r="E6" s="1038"/>
      <c r="F6" s="1038"/>
      <c r="G6" s="1038"/>
      <c r="H6" s="1039"/>
      <c r="I6" s="1040">
        <v>1.3</v>
      </c>
      <c r="J6" s="1041"/>
      <c r="K6" s="1042"/>
      <c r="L6" s="1040">
        <v>0.4</v>
      </c>
      <c r="M6" s="1042">
        <v>1</v>
      </c>
      <c r="N6" s="1040">
        <v>7.1</v>
      </c>
      <c r="O6" s="1041"/>
      <c r="P6" s="1041"/>
      <c r="Q6" s="1043"/>
      <c r="R6" s="1044"/>
      <c r="S6" s="1045">
        <v>10.9</v>
      </c>
      <c r="T6" s="1043"/>
      <c r="U6" s="1043"/>
      <c r="V6" s="1043"/>
      <c r="W6" s="1044"/>
      <c r="X6" s="1613"/>
      <c r="Y6" s="1614"/>
      <c r="Z6" s="1614"/>
      <c r="AA6" s="1615"/>
      <c r="AB6" s="1614"/>
      <c r="AC6" s="1614"/>
      <c r="AD6" s="1614"/>
      <c r="AE6" s="1615"/>
      <c r="AF6" s="1040">
        <v>11</v>
      </c>
      <c r="AG6" s="1041"/>
      <c r="AH6" s="1042"/>
      <c r="AI6" s="53" t="s">
        <v>965</v>
      </c>
      <c r="AJ6" s="54">
        <v>34</v>
      </c>
      <c r="AK6" s="55">
        <v>12.8</v>
      </c>
      <c r="AL6" s="45">
        <f t="shared" ref="AL6:AL44" si="17">170/AK6</f>
        <v>13.28125</v>
      </c>
      <c r="AM6" s="907"/>
      <c r="AN6" s="4" t="s">
        <v>966</v>
      </c>
      <c r="AP6" s="21">
        <f>Tiere!B6</f>
        <v>0</v>
      </c>
      <c r="AQ6" s="22">
        <f>IF(AP6=0,0,Tiere!I6)</f>
        <v>0</v>
      </c>
      <c r="AR6" s="23">
        <f>IFERROR(VLOOKUP($AP6,Tabelle1!$B$4:$AE$153,12,0)*$AQ6,0)</f>
        <v>0</v>
      </c>
      <c r="AS6" s="24">
        <f>IFERROR(VLOOKUP($AP6,Tabelle1!$B$4:$W$153,3,0)*$AR6,0)</f>
        <v>0</v>
      </c>
      <c r="AT6" s="25">
        <f>IFERROR(VLOOKUP($AP6,Tabelle1!$B$4:$W$153,4,0)*$AR6,0)</f>
        <v>0</v>
      </c>
      <c r="AU6" s="26">
        <f>IFERROR(VLOOKUP($AP6,Tabelle1!$B$4:$W$153,5,0)*$AR6,0)</f>
        <v>0</v>
      </c>
      <c r="AV6" s="26">
        <f>IFERROR(VLOOKUP($AP6,Tabelle1!$B$4:$W$153,6,0)*$AR6,0)</f>
        <v>0</v>
      </c>
      <c r="AW6" s="27">
        <f>IFERROR(VLOOKUP($AP6,Tabelle1!$B$4:$W$153,7,0)*$AR6,0)</f>
        <v>0</v>
      </c>
      <c r="AX6" s="33">
        <f t="shared" si="0"/>
        <v>0</v>
      </c>
      <c r="AY6" s="29">
        <f>IFERROR(VLOOKUP($AP6,Tabelle1!$B$4:$W$153,8,0)*$AQ6,0)</f>
        <v>0</v>
      </c>
      <c r="AZ6" s="30">
        <f>IFERROR(VLOOKUP($AP6,Tabelle1!$B$4:$W$153,9,0)*$AQ6,0)</f>
        <v>0</v>
      </c>
      <c r="BA6" s="31">
        <f>IFERROR(VLOOKUP($AP6,Tabelle1!$B$4:$W$153,10,0)*$AQ6,0)</f>
        <v>0</v>
      </c>
      <c r="BB6" s="32">
        <f>IFERROR(VLOOKUP($AP6,Tabelle1!$B$4:$W$153,11,0)*$AQ6,0)</f>
        <v>0</v>
      </c>
      <c r="BC6" s="56">
        <f>IFERROR(VLOOKUP($AP6,Tabelle1!$B$4:$W$144,12,0)*$AQ6,0)</f>
        <v>0</v>
      </c>
      <c r="BD6" s="25">
        <f>IFERROR(VLOOKUP($AP6,Tabelle1!$B$4:$W$153,13,0)*$AR6,0)</f>
        <v>0</v>
      </c>
      <c r="BE6" s="26">
        <f>IFERROR(VLOOKUP($AP6,Tabelle1!$B$4:$W$153,14,0)*$AR6,0)</f>
        <v>0</v>
      </c>
      <c r="BF6" s="26">
        <f>IFERROR(VLOOKUP($AP6,Tabelle1!$B$4:$W$153,15,0)*$AR6,0)</f>
        <v>0</v>
      </c>
      <c r="BG6" s="26">
        <f>IFERROR(VLOOKUP($AP6,Tabelle1!$B$4:$W$153,16,0)*$AR6,0)</f>
        <v>0</v>
      </c>
      <c r="BH6" s="27">
        <f>IFERROR(VLOOKUP($AP6,Tabelle1!$B$4:$W$153,17,0)*$AR6,0)</f>
        <v>0</v>
      </c>
      <c r="BI6" s="33">
        <f t="shared" si="1"/>
        <v>0</v>
      </c>
      <c r="BJ6" s="34">
        <f>IFERROR(VLOOKUP($AP6,Tabelle1!$B$4:$W$153,18,0)*$AR6,0)</f>
        <v>0</v>
      </c>
      <c r="BK6" s="4">
        <f>IFERROR(VLOOKUP($AP6,Tabelle1!$B$4:$W$153,19,0)*$AR6,0)</f>
        <v>0</v>
      </c>
      <c r="BL6" s="4">
        <f>IFERROR(VLOOKUP($AP6,Tabelle1!$B$4:$W$153,20,0)*$AR6,0)</f>
        <v>0</v>
      </c>
      <c r="BM6" s="4">
        <f>IFERROR(VLOOKUP($AP6,Tabelle1!$B$4:$W$153,21,0)*$AR6,0)</f>
        <v>0</v>
      </c>
      <c r="BN6" s="35">
        <f>IFERROR(VLOOKUP($AP6,Tabelle1!$B$4:$W$153,22,0)*$AR6,0)</f>
        <v>0</v>
      </c>
      <c r="BO6" s="36">
        <f t="shared" si="2"/>
        <v>0</v>
      </c>
      <c r="BP6" s="37">
        <f>Tiere!K6</f>
        <v>0</v>
      </c>
      <c r="BQ6" s="38">
        <f>Tiere!L6</f>
        <v>0</v>
      </c>
      <c r="BR6" s="37">
        <f>Tiere!M6</f>
        <v>0</v>
      </c>
      <c r="BS6" s="23">
        <f>Tiere!N6</f>
        <v>0</v>
      </c>
      <c r="BT6" s="1025">
        <f t="shared" ref="BT6:BT19" si="18">IF($AR6=0,0,BP6/$AR6)*(BQ6/365)</f>
        <v>0</v>
      </c>
      <c r="BU6" s="1026">
        <f t="shared" ref="BU6:BU19" si="19">IF($AR6=0,0,BR6/$AR6)*(BS6/365)</f>
        <v>0</v>
      </c>
      <c r="BV6" s="25">
        <f t="shared" si="3"/>
        <v>0</v>
      </c>
      <c r="BW6" s="25">
        <f t="shared" si="4"/>
        <v>0</v>
      </c>
      <c r="BX6" s="26">
        <f t="shared" si="5"/>
        <v>0</v>
      </c>
      <c r="BY6" s="26">
        <f t="shared" si="6"/>
        <v>0</v>
      </c>
      <c r="BZ6" s="39">
        <f t="shared" si="7"/>
        <v>0</v>
      </c>
      <c r="CA6" s="33">
        <f t="shared" si="8"/>
        <v>0</v>
      </c>
      <c r="CB6" s="32">
        <f t="shared" si="9"/>
        <v>0</v>
      </c>
      <c r="CC6" s="32">
        <f t="shared" si="10"/>
        <v>0</v>
      </c>
      <c r="CD6" s="32">
        <f t="shared" si="11"/>
        <v>0</v>
      </c>
      <c r="CE6" s="32">
        <f t="shared" si="12"/>
        <v>0</v>
      </c>
      <c r="CF6" s="40">
        <f t="shared" si="13"/>
        <v>0</v>
      </c>
      <c r="CG6" s="33">
        <f t="shared" si="14"/>
        <v>0</v>
      </c>
      <c r="CH6" s="24">
        <f t="shared" ref="CH6:CH19" si="20">IFERROR(BD6*$BT6,0)</f>
        <v>0</v>
      </c>
      <c r="CI6" s="25">
        <f t="shared" ref="CI6:CI19" si="21">IFERROR(BE6*$BT6,0)</f>
        <v>0</v>
      </c>
      <c r="CJ6" s="26">
        <f t="shared" ref="CJ6:CJ19" si="22">IFERROR(BF6*$BT6,0)</f>
        <v>0</v>
      </c>
      <c r="CK6" s="26">
        <f t="shared" ref="CK6:CK19" si="23">IFERROR(BG6*$BT6,0)</f>
        <v>0</v>
      </c>
      <c r="CL6" s="39">
        <f t="shared" ref="CL6:CL19" si="24">IFERROR(BH6*$BT6,0)</f>
        <v>0</v>
      </c>
      <c r="CM6" s="24">
        <f t="shared" ref="CM6:CM19" si="25">IFERROR(BJ6*$BT6,0)</f>
        <v>0</v>
      </c>
      <c r="CN6" s="25">
        <f t="shared" ref="CN6:CN19" si="26">IFERROR(BK6*$BT6,0)</f>
        <v>0</v>
      </c>
      <c r="CO6" s="26">
        <f t="shared" ref="CO6:CO19" si="27">IFERROR(BL6*$BT6,0)</f>
        <v>0</v>
      </c>
      <c r="CP6" s="26">
        <f t="shared" ref="CP6:CP19" si="28">IFERROR(BM6*$BT6,0)</f>
        <v>0</v>
      </c>
      <c r="CQ6" s="39">
        <f t="shared" ref="CQ6:CQ19" si="29">IFERROR(BN6*$BT6,0)</f>
        <v>0</v>
      </c>
      <c r="CR6" s="24">
        <f t="shared" ref="CR6:CR19" si="30">IFERROR(BD6*$BU6,0)</f>
        <v>0</v>
      </c>
      <c r="CS6" s="25">
        <f t="shared" ref="CS6:CS19" si="31">IFERROR(BE6*$BU6,0)</f>
        <v>0</v>
      </c>
      <c r="CT6" s="26">
        <f t="shared" ref="CT6:CT19" si="32">IFERROR(BF6*$BU6,0)</f>
        <v>0</v>
      </c>
      <c r="CU6" s="26">
        <f t="shared" ref="CU6:CU19" si="33">IFERROR(BG6*$BU6,0)</f>
        <v>0</v>
      </c>
      <c r="CV6" s="39">
        <f t="shared" ref="CV6:CV19" si="34">IFERROR(BH6*$BU6,0)</f>
        <v>0</v>
      </c>
      <c r="CW6" s="24">
        <f t="shared" ref="CW6:CW19" si="35">IFERROR(BJ6*$BU6,0)</f>
        <v>0</v>
      </c>
      <c r="CX6" s="25">
        <f t="shared" ref="CX6:CX19" si="36">IFERROR(BK6*$BU6,0)</f>
        <v>0</v>
      </c>
      <c r="CY6" s="26">
        <f t="shared" ref="CY6:CY19" si="37">IFERROR(BL6*$BU6,0)</f>
        <v>0</v>
      </c>
      <c r="CZ6" s="26">
        <f t="shared" ref="CZ6:CZ19" si="38">IFERROR(BM6*$BU6,0)</f>
        <v>0</v>
      </c>
      <c r="DA6" s="39">
        <f t="shared" ref="DA6:DA19" si="39">IFERROR(BN6*$BU6,0)</f>
        <v>0</v>
      </c>
      <c r="DB6" s="41">
        <f>IFERROR(VLOOKUP($AP6,Tabelle1!$B$4:$W$153,11,0)*$BR6,0)</f>
        <v>0</v>
      </c>
      <c r="DC6" s="42">
        <f t="shared" si="15"/>
        <v>0</v>
      </c>
      <c r="DD6" s="43">
        <f>IFERROR(VLOOKUP($AP6,Tabelle1!$B$4:$AJ$153,35,0),0)</f>
        <v>0</v>
      </c>
      <c r="DE6" s="44">
        <f t="shared" ref="DE6:DE19" si="40">IFERROR(IF(DD6&gt;0,(DD6*DC6)/170,AX6/170),0)</f>
        <v>0</v>
      </c>
      <c r="DF6" s="45">
        <f>IFERROR(VLOOKUP($AP6,Tabelle1!$B$4:$AK$153,36,0),0)</f>
        <v>0</v>
      </c>
      <c r="DG6" s="46">
        <f t="shared" ref="DG6:DG19" si="41">IFERROR(IF(DF6&gt;0,(DF6*DC6)/170,AX6/170),0)</f>
        <v>0</v>
      </c>
      <c r="DH6">
        <f t="shared" si="16"/>
        <v>0</v>
      </c>
    </row>
    <row r="7" spans="1:112" ht="15" customHeight="1">
      <c r="A7" s="1">
        <v>2</v>
      </c>
      <c r="B7" s="47" t="str">
        <f t="shared" ref="B7:B44" si="42">C7</f>
        <v>andere Kälber und Jungrinder unter 1/2 Jahr - Mist/Jauche</v>
      </c>
      <c r="C7" s="48" t="s">
        <v>967</v>
      </c>
      <c r="D7" s="1037"/>
      <c r="E7" s="1038"/>
      <c r="F7" s="1038"/>
      <c r="G7" s="1038">
        <v>5.2</v>
      </c>
      <c r="H7" s="1039">
        <v>5.2</v>
      </c>
      <c r="I7" s="1040"/>
      <c r="J7" s="1041">
        <v>0.7</v>
      </c>
      <c r="K7" s="1042">
        <v>0.8</v>
      </c>
      <c r="L7" s="1040">
        <v>0.4</v>
      </c>
      <c r="M7" s="1042">
        <v>1</v>
      </c>
      <c r="N7" s="1040"/>
      <c r="O7" s="1041"/>
      <c r="P7" s="1041"/>
      <c r="Q7" s="1043">
        <v>0.35499999999999998</v>
      </c>
      <c r="R7" s="1044">
        <v>6.7450000000000001</v>
      </c>
      <c r="S7" s="1045"/>
      <c r="T7" s="1043"/>
      <c r="U7" s="1043"/>
      <c r="V7" s="1043">
        <v>3.597</v>
      </c>
      <c r="W7" s="1044">
        <v>7.3029999999999999</v>
      </c>
      <c r="X7" s="1616"/>
      <c r="Y7" s="1617"/>
      <c r="Z7" s="1617"/>
      <c r="AA7" s="1618"/>
      <c r="AB7" s="1617"/>
      <c r="AC7" s="1617"/>
      <c r="AD7" s="1617"/>
      <c r="AE7" s="1618"/>
      <c r="AF7" s="1040"/>
      <c r="AG7" s="1041">
        <v>4.5</v>
      </c>
      <c r="AH7" s="1042">
        <v>4.7</v>
      </c>
      <c r="AI7" s="53" t="s">
        <v>967</v>
      </c>
      <c r="AJ7" s="54">
        <v>34</v>
      </c>
      <c r="AK7" s="55">
        <v>12.8</v>
      </c>
      <c r="AL7" s="45">
        <f t="shared" si="17"/>
        <v>13.28125</v>
      </c>
      <c r="AM7" s="907"/>
      <c r="AN7"/>
      <c r="AP7" s="21">
        <f>Tiere!B7</f>
        <v>0</v>
      </c>
      <c r="AQ7" s="22">
        <f>IF(AP7=0,0,Tiere!I7)</f>
        <v>0</v>
      </c>
      <c r="AR7" s="23">
        <f>IFERROR(VLOOKUP($AP7,Tabelle1!$B$4:$AE$153,12,0)*$AQ7,0)</f>
        <v>0</v>
      </c>
      <c r="AS7" s="24">
        <f>IFERROR(VLOOKUP($AP7,Tabelle1!$B$4:$W$153,3,0)*$AR7,0)</f>
        <v>0</v>
      </c>
      <c r="AT7" s="25">
        <f>IFERROR(VLOOKUP($AP7,Tabelle1!$B$4:$W$153,4,0)*$AR7,0)</f>
        <v>0</v>
      </c>
      <c r="AU7" s="26">
        <f>IFERROR(VLOOKUP($AP7,Tabelle1!$B$4:$W$153,5,0)*$AR7,0)</f>
        <v>0</v>
      </c>
      <c r="AV7" s="26">
        <f>IFERROR(VLOOKUP($AP7,Tabelle1!$B$4:$W$153,6,0)*$AR7,0)</f>
        <v>0</v>
      </c>
      <c r="AW7" s="27">
        <f>IFERROR(VLOOKUP($AP7,Tabelle1!$B$4:$W$153,7,0)*$AR7,0)</f>
        <v>0</v>
      </c>
      <c r="AX7" s="33">
        <f t="shared" si="0"/>
        <v>0</v>
      </c>
      <c r="AY7" s="29">
        <f>IFERROR(VLOOKUP($AP7,Tabelle1!$B$4:$W$153,8,0)*$AQ7,0)</f>
        <v>0</v>
      </c>
      <c r="AZ7" s="30">
        <f>IFERROR(VLOOKUP($AP7,Tabelle1!$B$4:$W$153,9,0)*$AQ7,0)</f>
        <v>0</v>
      </c>
      <c r="BA7" s="31">
        <f>IFERROR(VLOOKUP($AP7,Tabelle1!$B$4:$W$153,10,0)*$AQ7,0)</f>
        <v>0</v>
      </c>
      <c r="BB7" s="32">
        <f>IFERROR(VLOOKUP($AP7,Tabelle1!$B$4:$W$153,11,0)*$AQ7,0)</f>
        <v>0</v>
      </c>
      <c r="BC7" s="56">
        <f>IFERROR(VLOOKUP($AP7,Tabelle1!$B$4:$W$144,12,0)*$AQ7,0)</f>
        <v>0</v>
      </c>
      <c r="BD7" s="25">
        <f>IFERROR(VLOOKUP($AP7,Tabelle1!$B$4:$W$153,13,0)*$AR7,0)</f>
        <v>0</v>
      </c>
      <c r="BE7" s="26">
        <f>IFERROR(VLOOKUP($AP7,Tabelle1!$B$4:$W$153,14,0)*$AR7,0)</f>
        <v>0</v>
      </c>
      <c r="BF7" s="26">
        <f>IFERROR(VLOOKUP($AP7,Tabelle1!$B$4:$W$153,15,0)*$AR7,0)</f>
        <v>0</v>
      </c>
      <c r="BG7" s="26">
        <f>IFERROR(VLOOKUP($AP7,Tabelle1!$B$4:$W$153,16,0)*$AR7,0)</f>
        <v>0</v>
      </c>
      <c r="BH7" s="27">
        <f>IFERROR(VLOOKUP($AP7,Tabelle1!$B$4:$W$153,17,0)*$AR7,0)</f>
        <v>0</v>
      </c>
      <c r="BI7" s="33">
        <f t="shared" si="1"/>
        <v>0</v>
      </c>
      <c r="BJ7" s="34">
        <f>IFERROR(VLOOKUP($AP7,Tabelle1!$B$4:$W$153,18,0)*$AR7,0)</f>
        <v>0</v>
      </c>
      <c r="BK7" s="4">
        <f>IFERROR(VLOOKUP($AP7,Tabelle1!$B$4:$W$153,19,0)*$AR7,0)</f>
        <v>0</v>
      </c>
      <c r="BL7" s="4">
        <f>IFERROR(VLOOKUP($AP7,Tabelle1!$B$4:$W$153,20,0)*$AR7,0)</f>
        <v>0</v>
      </c>
      <c r="BM7" s="4">
        <f>IFERROR(VLOOKUP($AP7,Tabelle1!$B$4:$W$153,21,0)*$AR7,0)</f>
        <v>0</v>
      </c>
      <c r="BN7" s="35">
        <f>IFERROR(VLOOKUP($AP7,Tabelle1!$B$4:$W$153,22,0)*$AR7,0)</f>
        <v>0</v>
      </c>
      <c r="BO7" s="36">
        <f t="shared" si="2"/>
        <v>0</v>
      </c>
      <c r="BP7" s="37">
        <f>Tiere!K7</f>
        <v>0</v>
      </c>
      <c r="BQ7" s="38">
        <f>Tiere!L7</f>
        <v>0</v>
      </c>
      <c r="BR7" s="37">
        <f>Tiere!M7</f>
        <v>0</v>
      </c>
      <c r="BS7" s="23">
        <f>Tiere!N7</f>
        <v>0</v>
      </c>
      <c r="BT7" s="1025">
        <f t="shared" si="18"/>
        <v>0</v>
      </c>
      <c r="BU7" s="1026">
        <f t="shared" si="19"/>
        <v>0</v>
      </c>
      <c r="BV7" s="25">
        <f t="shared" si="3"/>
        <v>0</v>
      </c>
      <c r="BW7" s="25">
        <f t="shared" si="4"/>
        <v>0</v>
      </c>
      <c r="BX7" s="26">
        <f t="shared" si="5"/>
        <v>0</v>
      </c>
      <c r="BY7" s="26">
        <f t="shared" si="6"/>
        <v>0</v>
      </c>
      <c r="BZ7" s="39">
        <f t="shared" si="7"/>
        <v>0</v>
      </c>
      <c r="CA7" s="33">
        <f t="shared" si="8"/>
        <v>0</v>
      </c>
      <c r="CB7" s="32">
        <f t="shared" si="9"/>
        <v>0</v>
      </c>
      <c r="CC7" s="32">
        <f t="shared" si="10"/>
        <v>0</v>
      </c>
      <c r="CD7" s="32">
        <f t="shared" si="11"/>
        <v>0</v>
      </c>
      <c r="CE7" s="32">
        <f t="shared" si="12"/>
        <v>0</v>
      </c>
      <c r="CF7" s="40">
        <f t="shared" si="13"/>
        <v>0</v>
      </c>
      <c r="CG7" s="33">
        <f t="shared" si="14"/>
        <v>0</v>
      </c>
      <c r="CH7" s="24">
        <f t="shared" si="20"/>
        <v>0</v>
      </c>
      <c r="CI7" s="25">
        <f t="shared" si="21"/>
        <v>0</v>
      </c>
      <c r="CJ7" s="26">
        <f t="shared" si="22"/>
        <v>0</v>
      </c>
      <c r="CK7" s="26">
        <f t="shared" si="23"/>
        <v>0</v>
      </c>
      <c r="CL7" s="39">
        <f t="shared" si="24"/>
        <v>0</v>
      </c>
      <c r="CM7" s="24">
        <f t="shared" si="25"/>
        <v>0</v>
      </c>
      <c r="CN7" s="25">
        <f t="shared" si="26"/>
        <v>0</v>
      </c>
      <c r="CO7" s="26">
        <f t="shared" si="27"/>
        <v>0</v>
      </c>
      <c r="CP7" s="26">
        <f t="shared" si="28"/>
        <v>0</v>
      </c>
      <c r="CQ7" s="39">
        <f t="shared" si="29"/>
        <v>0</v>
      </c>
      <c r="CR7" s="24">
        <f t="shared" si="30"/>
        <v>0</v>
      </c>
      <c r="CS7" s="25">
        <f t="shared" si="31"/>
        <v>0</v>
      </c>
      <c r="CT7" s="26">
        <f t="shared" si="32"/>
        <v>0</v>
      </c>
      <c r="CU7" s="26">
        <f t="shared" si="33"/>
        <v>0</v>
      </c>
      <c r="CV7" s="39">
        <f t="shared" si="34"/>
        <v>0</v>
      </c>
      <c r="CW7" s="24">
        <f t="shared" si="35"/>
        <v>0</v>
      </c>
      <c r="CX7" s="25">
        <f t="shared" si="36"/>
        <v>0</v>
      </c>
      <c r="CY7" s="26">
        <f t="shared" si="37"/>
        <v>0</v>
      </c>
      <c r="CZ7" s="26">
        <f t="shared" si="38"/>
        <v>0</v>
      </c>
      <c r="DA7" s="39">
        <f t="shared" si="39"/>
        <v>0</v>
      </c>
      <c r="DB7" s="41">
        <f>IFERROR(VLOOKUP($AP7,Tabelle1!$B$4:$W$153,11,0)*$BR7,0)</f>
        <v>0</v>
      </c>
      <c r="DC7" s="42">
        <f t="shared" si="15"/>
        <v>0</v>
      </c>
      <c r="DD7" s="43">
        <f>IFERROR(VLOOKUP($AP7,Tabelle1!$B$4:$AJ$153,35,0),0)</f>
        <v>0</v>
      </c>
      <c r="DE7" s="44">
        <f t="shared" si="40"/>
        <v>0</v>
      </c>
      <c r="DF7" s="45">
        <f>IFERROR(VLOOKUP($AP7,Tabelle1!$B$4:$AK$153,36,0),0)</f>
        <v>0</v>
      </c>
      <c r="DG7" s="46">
        <f t="shared" si="41"/>
        <v>0</v>
      </c>
      <c r="DH7">
        <f t="shared" si="16"/>
        <v>0</v>
      </c>
    </row>
    <row r="8" spans="1:112" ht="13.8">
      <c r="A8" s="1">
        <v>3</v>
      </c>
      <c r="B8" s="47" t="str">
        <f t="shared" si="42"/>
        <v>andere Kälber und Jungrinder unter 1/2 Jahr - Tiefstallmist</v>
      </c>
      <c r="C8" s="48" t="s">
        <v>968</v>
      </c>
      <c r="D8" s="1037"/>
      <c r="E8" s="1038"/>
      <c r="F8" s="1038"/>
      <c r="G8" s="1038"/>
      <c r="H8" s="1039">
        <v>10.4</v>
      </c>
      <c r="I8" s="1040"/>
      <c r="J8" s="1041"/>
      <c r="K8" s="1042">
        <v>1.7</v>
      </c>
      <c r="L8" s="1040">
        <v>0.4</v>
      </c>
      <c r="M8" s="1042">
        <v>1</v>
      </c>
      <c r="N8" s="1040"/>
      <c r="O8" s="1041"/>
      <c r="P8" s="1041"/>
      <c r="Q8" s="1043"/>
      <c r="R8" s="1044">
        <v>7.1</v>
      </c>
      <c r="S8" s="1045"/>
      <c r="T8" s="1043"/>
      <c r="U8" s="1043"/>
      <c r="V8" s="1043"/>
      <c r="W8" s="1044">
        <v>10.9</v>
      </c>
      <c r="X8" s="1616"/>
      <c r="Y8" s="1617"/>
      <c r="Z8" s="1617"/>
      <c r="AA8" s="1618"/>
      <c r="AB8" s="1617"/>
      <c r="AC8" s="1617"/>
      <c r="AD8" s="1617"/>
      <c r="AE8" s="1618"/>
      <c r="AF8" s="1040"/>
      <c r="AG8" s="1041"/>
      <c r="AH8" s="1042">
        <v>9.5</v>
      </c>
      <c r="AI8" s="53" t="s">
        <v>968</v>
      </c>
      <c r="AJ8" s="54">
        <v>34</v>
      </c>
      <c r="AK8" s="55">
        <v>12.8</v>
      </c>
      <c r="AL8" s="45">
        <f t="shared" si="17"/>
        <v>13.28125</v>
      </c>
      <c r="AM8" s="908" t="s">
        <v>969</v>
      </c>
      <c r="AN8" s="57" t="s">
        <v>970</v>
      </c>
      <c r="AO8" s="47"/>
      <c r="AP8" s="21">
        <f>Tiere!B8</f>
        <v>0</v>
      </c>
      <c r="AQ8" s="22">
        <f>IF(AP8=0,0,Tiere!I8)</f>
        <v>0</v>
      </c>
      <c r="AR8" s="23">
        <f>IFERROR(VLOOKUP($AP8,Tabelle1!$B$4:$AE$153,12,0)*$AQ8,0)</f>
        <v>0</v>
      </c>
      <c r="AS8" s="24">
        <f>IFERROR(VLOOKUP($AP8,Tabelle1!$B$4:$W$153,3,0)*$AR8,0)</f>
        <v>0</v>
      </c>
      <c r="AT8" s="25">
        <f>IFERROR(VLOOKUP($AP8,Tabelle1!$B$4:$W$153,4,0)*$AR8,0)</f>
        <v>0</v>
      </c>
      <c r="AU8" s="26">
        <f>IFERROR(VLOOKUP($AP8,Tabelle1!$B$4:$W$153,5,0)*$AR8,0)</f>
        <v>0</v>
      </c>
      <c r="AV8" s="26">
        <f>IFERROR(VLOOKUP($AP8,Tabelle1!$B$4:$W$153,6,0)*$AR8,0)</f>
        <v>0</v>
      </c>
      <c r="AW8" s="27">
        <f>IFERROR(VLOOKUP($AP8,Tabelle1!$B$4:$W$153,7,0)*$AR8,0)</f>
        <v>0</v>
      </c>
      <c r="AX8" s="33">
        <f t="shared" si="0"/>
        <v>0</v>
      </c>
      <c r="AY8" s="29">
        <f>IFERROR(VLOOKUP($AP8,Tabelle1!$B$4:$W$153,8,0)*$AQ8,0)</f>
        <v>0</v>
      </c>
      <c r="AZ8" s="30">
        <f>IFERROR(VLOOKUP($AP8,Tabelle1!$B$4:$W$153,9,0)*$AQ8,0)</f>
        <v>0</v>
      </c>
      <c r="BA8" s="31">
        <f>IFERROR(VLOOKUP($AP8,Tabelle1!$B$4:$W$153,10,0)*$AQ8,0)</f>
        <v>0</v>
      </c>
      <c r="BB8" s="32">
        <f>IFERROR(VLOOKUP($AP8,Tabelle1!$B$4:$W$153,11,0)*$AQ8,0)</f>
        <v>0</v>
      </c>
      <c r="BC8" s="56">
        <f>IFERROR(VLOOKUP($AP8,Tabelle1!$B$4:$W$144,12,0)*$AQ8,0)</f>
        <v>0</v>
      </c>
      <c r="BD8" s="25">
        <f>IFERROR(VLOOKUP($AP8,Tabelle1!$B$4:$W$153,13,0)*$AR8,0)</f>
        <v>0</v>
      </c>
      <c r="BE8" s="26">
        <f>IFERROR(VLOOKUP($AP8,Tabelle1!$B$4:$W$153,14,0)*$AR8,0)</f>
        <v>0</v>
      </c>
      <c r="BF8" s="26">
        <f>IFERROR(VLOOKUP($AP8,Tabelle1!$B$4:$W$153,15,0)*$AR8,0)</f>
        <v>0</v>
      </c>
      <c r="BG8" s="26">
        <f>IFERROR(VLOOKUP($AP8,Tabelle1!$B$4:$W$153,16,0)*$AR8,0)</f>
        <v>0</v>
      </c>
      <c r="BH8" s="27">
        <f>IFERROR(VLOOKUP($AP8,Tabelle1!$B$4:$W$153,17,0)*$AR8,0)</f>
        <v>0</v>
      </c>
      <c r="BI8" s="33">
        <f t="shared" si="1"/>
        <v>0</v>
      </c>
      <c r="BJ8" s="34">
        <f>IFERROR(VLOOKUP($AP8,Tabelle1!$B$4:$W$153,18,0)*$AR8,0)</f>
        <v>0</v>
      </c>
      <c r="BK8" s="4">
        <f>IFERROR(VLOOKUP($AP8,Tabelle1!$B$4:$W$153,19,0)*$AR8,0)</f>
        <v>0</v>
      </c>
      <c r="BL8" s="4">
        <f>IFERROR(VLOOKUP($AP8,Tabelle1!$B$4:$W$153,20,0)*$AR8,0)</f>
        <v>0</v>
      </c>
      <c r="BM8" s="4">
        <f>IFERROR(VLOOKUP($AP8,Tabelle1!$B$4:$W$153,21,0)*$AR8,0)</f>
        <v>0</v>
      </c>
      <c r="BN8" s="35">
        <f>IFERROR(VLOOKUP($AP8,Tabelle1!$B$4:$W$153,22,0)*$AR8,0)</f>
        <v>0</v>
      </c>
      <c r="BO8" s="36">
        <f t="shared" si="2"/>
        <v>0</v>
      </c>
      <c r="BP8" s="37">
        <f>Tiere!K8</f>
        <v>0</v>
      </c>
      <c r="BQ8" s="38">
        <f>Tiere!L8</f>
        <v>0</v>
      </c>
      <c r="BR8" s="37">
        <f>Tiere!M8</f>
        <v>0</v>
      </c>
      <c r="BS8" s="23">
        <f>Tiere!N8</f>
        <v>0</v>
      </c>
      <c r="BT8" s="1025">
        <f t="shared" si="18"/>
        <v>0</v>
      </c>
      <c r="BU8" s="1026">
        <f t="shared" si="19"/>
        <v>0</v>
      </c>
      <c r="BV8" s="25">
        <f t="shared" si="3"/>
        <v>0</v>
      </c>
      <c r="BW8" s="25">
        <f t="shared" si="4"/>
        <v>0</v>
      </c>
      <c r="BX8" s="26">
        <f t="shared" si="5"/>
        <v>0</v>
      </c>
      <c r="BY8" s="26">
        <f t="shared" si="6"/>
        <v>0</v>
      </c>
      <c r="BZ8" s="39">
        <f t="shared" si="7"/>
        <v>0</v>
      </c>
      <c r="CA8" s="33">
        <f t="shared" si="8"/>
        <v>0</v>
      </c>
      <c r="CB8" s="32">
        <f t="shared" si="9"/>
        <v>0</v>
      </c>
      <c r="CC8" s="32">
        <f t="shared" si="10"/>
        <v>0</v>
      </c>
      <c r="CD8" s="32">
        <f t="shared" si="11"/>
        <v>0</v>
      </c>
      <c r="CE8" s="32">
        <f t="shared" si="12"/>
        <v>0</v>
      </c>
      <c r="CF8" s="40">
        <f t="shared" si="13"/>
        <v>0</v>
      </c>
      <c r="CG8" s="33">
        <f t="shared" si="14"/>
        <v>0</v>
      </c>
      <c r="CH8" s="24">
        <f t="shared" si="20"/>
        <v>0</v>
      </c>
      <c r="CI8" s="25">
        <f t="shared" si="21"/>
        <v>0</v>
      </c>
      <c r="CJ8" s="26">
        <f t="shared" si="22"/>
        <v>0</v>
      </c>
      <c r="CK8" s="26">
        <f t="shared" si="23"/>
        <v>0</v>
      </c>
      <c r="CL8" s="39">
        <f t="shared" si="24"/>
        <v>0</v>
      </c>
      <c r="CM8" s="24">
        <f t="shared" si="25"/>
        <v>0</v>
      </c>
      <c r="CN8" s="25">
        <f t="shared" si="26"/>
        <v>0</v>
      </c>
      <c r="CO8" s="26">
        <f t="shared" si="27"/>
        <v>0</v>
      </c>
      <c r="CP8" s="26">
        <f t="shared" si="28"/>
        <v>0</v>
      </c>
      <c r="CQ8" s="39">
        <f t="shared" si="29"/>
        <v>0</v>
      </c>
      <c r="CR8" s="24">
        <f t="shared" si="30"/>
        <v>0</v>
      </c>
      <c r="CS8" s="25">
        <f t="shared" si="31"/>
        <v>0</v>
      </c>
      <c r="CT8" s="26">
        <f t="shared" si="32"/>
        <v>0</v>
      </c>
      <c r="CU8" s="26">
        <f t="shared" si="33"/>
        <v>0</v>
      </c>
      <c r="CV8" s="39">
        <f t="shared" si="34"/>
        <v>0</v>
      </c>
      <c r="CW8" s="24">
        <f t="shared" si="35"/>
        <v>0</v>
      </c>
      <c r="CX8" s="25">
        <f t="shared" si="36"/>
        <v>0</v>
      </c>
      <c r="CY8" s="26">
        <f t="shared" si="37"/>
        <v>0</v>
      </c>
      <c r="CZ8" s="26">
        <f t="shared" si="38"/>
        <v>0</v>
      </c>
      <c r="DA8" s="39">
        <f t="shared" si="39"/>
        <v>0</v>
      </c>
      <c r="DB8" s="41">
        <f>IFERROR(VLOOKUP($AP8,Tabelle1!$B$4:$W$153,11,0)*$BR8,0)</f>
        <v>0</v>
      </c>
      <c r="DC8" s="42">
        <f t="shared" si="15"/>
        <v>0</v>
      </c>
      <c r="DD8" s="43">
        <f>IFERROR(VLOOKUP($AP8,Tabelle1!$B$4:$AJ$153,35,0),0)</f>
        <v>0</v>
      </c>
      <c r="DE8" s="44">
        <f t="shared" si="40"/>
        <v>0</v>
      </c>
      <c r="DF8" s="45">
        <f>IFERROR(VLOOKUP($AP8,Tabelle1!$B$4:$AK$153,36,0),0)</f>
        <v>0</v>
      </c>
      <c r="DG8" s="46">
        <f t="shared" si="41"/>
        <v>0</v>
      </c>
      <c r="DH8">
        <f t="shared" si="16"/>
        <v>0</v>
      </c>
    </row>
    <row r="9" spans="1:112" ht="13.8">
      <c r="A9" s="1">
        <v>4</v>
      </c>
      <c r="B9" s="47" t="str">
        <f t="shared" si="42"/>
        <v>Jungvieh 1/2 bis 1 Jahr - Gülle</v>
      </c>
      <c r="C9" s="48" t="s">
        <v>971</v>
      </c>
      <c r="D9" s="1037">
        <v>34.4</v>
      </c>
      <c r="E9" s="1038"/>
      <c r="F9" s="1038"/>
      <c r="G9" s="1038"/>
      <c r="H9" s="1039"/>
      <c r="I9" s="1040">
        <v>3.4</v>
      </c>
      <c r="J9" s="1041"/>
      <c r="K9" s="1042"/>
      <c r="L9" s="1040">
        <v>0.6</v>
      </c>
      <c r="M9" s="1042">
        <v>1</v>
      </c>
      <c r="N9" s="1040">
        <v>13.5</v>
      </c>
      <c r="O9" s="1041"/>
      <c r="P9" s="1041"/>
      <c r="Q9" s="1043"/>
      <c r="R9" s="1044"/>
      <c r="S9" s="1045">
        <v>43.1</v>
      </c>
      <c r="T9" s="1043"/>
      <c r="U9" s="1043"/>
      <c r="V9" s="1043"/>
      <c r="W9" s="1044"/>
      <c r="X9" s="1616"/>
      <c r="Y9" s="1617"/>
      <c r="Z9" s="1617"/>
      <c r="AA9" s="1618"/>
      <c r="AB9" s="1617"/>
      <c r="AC9" s="1617"/>
      <c r="AD9" s="1617"/>
      <c r="AE9" s="1618"/>
      <c r="AF9" s="1040">
        <v>29.9</v>
      </c>
      <c r="AG9" s="1041"/>
      <c r="AH9" s="1042"/>
      <c r="AI9" s="53" t="s">
        <v>971</v>
      </c>
      <c r="AJ9" s="54">
        <v>34</v>
      </c>
      <c r="AK9" s="55">
        <v>42.5</v>
      </c>
      <c r="AL9" s="45">
        <f t="shared" si="17"/>
        <v>4</v>
      </c>
      <c r="AM9" s="908" t="s">
        <v>972</v>
      </c>
      <c r="AN9" s="58"/>
      <c r="AO9" s="59"/>
      <c r="AP9" s="21">
        <f>Tiere!B9</f>
        <v>0</v>
      </c>
      <c r="AQ9" s="22">
        <f>IF(AP9=0,0,Tiere!I9)</f>
        <v>0</v>
      </c>
      <c r="AR9" s="23">
        <f>IFERROR(VLOOKUP($AP9,Tabelle1!$B$4:$AE$153,12,0)*$AQ9,0)</f>
        <v>0</v>
      </c>
      <c r="AS9" s="24">
        <f>IFERROR(VLOOKUP($AP9,Tabelle1!$B$4:$W$153,3,0)*$AR9,0)</f>
        <v>0</v>
      </c>
      <c r="AT9" s="25">
        <f>IFERROR(VLOOKUP($AP9,Tabelle1!$B$4:$W$153,4,0)*$AR9,0)</f>
        <v>0</v>
      </c>
      <c r="AU9" s="26">
        <f>IFERROR(VLOOKUP($AP9,Tabelle1!$B$4:$W$153,5,0)*$AR9,0)</f>
        <v>0</v>
      </c>
      <c r="AV9" s="26">
        <f>IFERROR(VLOOKUP($AP9,Tabelle1!$B$4:$W$153,6,0)*$AR9,0)</f>
        <v>0</v>
      </c>
      <c r="AW9" s="27">
        <f>IFERROR(VLOOKUP($AP9,Tabelle1!$B$4:$W$153,7,0)*$AR9,0)</f>
        <v>0</v>
      </c>
      <c r="AX9" s="33">
        <f t="shared" si="0"/>
        <v>0</v>
      </c>
      <c r="AY9" s="29">
        <f>IFERROR(VLOOKUP($AP9,Tabelle1!$B$4:$W$153,8,0)*$AQ9,0)</f>
        <v>0</v>
      </c>
      <c r="AZ9" s="30">
        <f>IFERROR(VLOOKUP($AP9,Tabelle1!$B$4:$W$153,9,0)*$AQ9,0)</f>
        <v>0</v>
      </c>
      <c r="BA9" s="31">
        <f>IFERROR(VLOOKUP($AP9,Tabelle1!$B$4:$W$153,10,0)*$AQ9,0)</f>
        <v>0</v>
      </c>
      <c r="BB9" s="32">
        <f>IFERROR(VLOOKUP($AP9,Tabelle1!$B$4:$W$153,11,0)*$AQ9,0)</f>
        <v>0</v>
      </c>
      <c r="BC9" s="56">
        <f>IFERROR(VLOOKUP($AP9,Tabelle1!$B$4:$W$144,12,0)*$AQ9,0)</f>
        <v>0</v>
      </c>
      <c r="BD9" s="25">
        <f>IFERROR(VLOOKUP($AP9,Tabelle1!$B$4:$W$153,13,0)*$AR9,0)</f>
        <v>0</v>
      </c>
      <c r="BE9" s="26">
        <f>IFERROR(VLOOKUP($AP9,Tabelle1!$B$4:$W$153,14,0)*$AR9,0)</f>
        <v>0</v>
      </c>
      <c r="BF9" s="26">
        <f>IFERROR(VLOOKUP($AP9,Tabelle1!$B$4:$W$153,15,0)*$AR9,0)</f>
        <v>0</v>
      </c>
      <c r="BG9" s="26">
        <f>IFERROR(VLOOKUP($AP9,Tabelle1!$B$4:$W$153,16,0)*$AR9,0)</f>
        <v>0</v>
      </c>
      <c r="BH9" s="27">
        <f>IFERROR(VLOOKUP($AP9,Tabelle1!$B$4:$W$153,17,0)*$AR9,0)</f>
        <v>0</v>
      </c>
      <c r="BI9" s="33">
        <f t="shared" si="1"/>
        <v>0</v>
      </c>
      <c r="BJ9" s="34">
        <f>IFERROR(VLOOKUP($AP9,Tabelle1!$B$4:$W$153,18,0)*$AR9,0)</f>
        <v>0</v>
      </c>
      <c r="BK9" s="4">
        <f>IFERROR(VLOOKUP($AP9,Tabelle1!$B$4:$W$153,19,0)*$AR9,0)</f>
        <v>0</v>
      </c>
      <c r="BL9" s="4">
        <f>IFERROR(VLOOKUP($AP9,Tabelle1!$B$4:$W$153,20,0)*$AR9,0)</f>
        <v>0</v>
      </c>
      <c r="BM9" s="4">
        <f>IFERROR(VLOOKUP($AP9,Tabelle1!$B$4:$W$153,21,0)*$AR9,0)</f>
        <v>0</v>
      </c>
      <c r="BN9" s="35">
        <f>IFERROR(VLOOKUP($AP9,Tabelle1!$B$4:$W$153,22,0)*$AR9,0)</f>
        <v>0</v>
      </c>
      <c r="BO9" s="36">
        <f t="shared" si="2"/>
        <v>0</v>
      </c>
      <c r="BP9" s="37">
        <f>Tiere!K9</f>
        <v>0</v>
      </c>
      <c r="BQ9" s="38">
        <f>Tiere!L9</f>
        <v>0</v>
      </c>
      <c r="BR9" s="37">
        <f>Tiere!M9</f>
        <v>0</v>
      </c>
      <c r="BS9" s="23">
        <f>Tiere!N9</f>
        <v>0</v>
      </c>
      <c r="BT9" s="1025">
        <f t="shared" si="18"/>
        <v>0</v>
      </c>
      <c r="BU9" s="1026">
        <f t="shared" si="19"/>
        <v>0</v>
      </c>
      <c r="BV9" s="25">
        <f t="shared" si="3"/>
        <v>0</v>
      </c>
      <c r="BW9" s="25">
        <f t="shared" si="4"/>
        <v>0</v>
      </c>
      <c r="BX9" s="26">
        <f t="shared" si="5"/>
        <v>0</v>
      </c>
      <c r="BY9" s="26">
        <f t="shared" si="6"/>
        <v>0</v>
      </c>
      <c r="BZ9" s="39">
        <f t="shared" si="7"/>
        <v>0</v>
      </c>
      <c r="CA9" s="33">
        <f t="shared" si="8"/>
        <v>0</v>
      </c>
      <c r="CB9" s="32">
        <f t="shared" si="9"/>
        <v>0</v>
      </c>
      <c r="CC9" s="32">
        <f t="shared" si="10"/>
        <v>0</v>
      </c>
      <c r="CD9" s="32">
        <f t="shared" si="11"/>
        <v>0</v>
      </c>
      <c r="CE9" s="32">
        <f t="shared" si="12"/>
        <v>0</v>
      </c>
      <c r="CF9" s="40">
        <f t="shared" si="13"/>
        <v>0</v>
      </c>
      <c r="CG9" s="33">
        <f t="shared" si="14"/>
        <v>0</v>
      </c>
      <c r="CH9" s="24">
        <f t="shared" si="20"/>
        <v>0</v>
      </c>
      <c r="CI9" s="25">
        <f t="shared" si="21"/>
        <v>0</v>
      </c>
      <c r="CJ9" s="26">
        <f t="shared" si="22"/>
        <v>0</v>
      </c>
      <c r="CK9" s="26">
        <f t="shared" si="23"/>
        <v>0</v>
      </c>
      <c r="CL9" s="39">
        <f t="shared" si="24"/>
        <v>0</v>
      </c>
      <c r="CM9" s="24">
        <f t="shared" si="25"/>
        <v>0</v>
      </c>
      <c r="CN9" s="25">
        <f t="shared" si="26"/>
        <v>0</v>
      </c>
      <c r="CO9" s="26">
        <f t="shared" si="27"/>
        <v>0</v>
      </c>
      <c r="CP9" s="26">
        <f t="shared" si="28"/>
        <v>0</v>
      </c>
      <c r="CQ9" s="39">
        <f t="shared" si="29"/>
        <v>0</v>
      </c>
      <c r="CR9" s="24">
        <f t="shared" si="30"/>
        <v>0</v>
      </c>
      <c r="CS9" s="25">
        <f t="shared" si="31"/>
        <v>0</v>
      </c>
      <c r="CT9" s="26">
        <f t="shared" si="32"/>
        <v>0</v>
      </c>
      <c r="CU9" s="26">
        <f t="shared" si="33"/>
        <v>0</v>
      </c>
      <c r="CV9" s="39">
        <f t="shared" si="34"/>
        <v>0</v>
      </c>
      <c r="CW9" s="24">
        <f t="shared" si="35"/>
        <v>0</v>
      </c>
      <c r="CX9" s="25">
        <f t="shared" si="36"/>
        <v>0</v>
      </c>
      <c r="CY9" s="26">
        <f t="shared" si="37"/>
        <v>0</v>
      </c>
      <c r="CZ9" s="26">
        <f t="shared" si="38"/>
        <v>0</v>
      </c>
      <c r="DA9" s="39">
        <f t="shared" si="39"/>
        <v>0</v>
      </c>
      <c r="DB9" s="41">
        <f>IFERROR(VLOOKUP($AP9,Tabelle1!$B$4:$W$153,11,0)*$BR9,0)</f>
        <v>0</v>
      </c>
      <c r="DC9" s="42">
        <f t="shared" si="15"/>
        <v>0</v>
      </c>
      <c r="DD9" s="43">
        <f>IFERROR(VLOOKUP($AP9,Tabelle1!$B$4:$AJ$153,35,0),0)</f>
        <v>0</v>
      </c>
      <c r="DE9" s="44">
        <f t="shared" si="40"/>
        <v>0</v>
      </c>
      <c r="DF9" s="45">
        <f>IFERROR(VLOOKUP($AP9,Tabelle1!$B$4:$AK$153,36,0),0)</f>
        <v>0</v>
      </c>
      <c r="DG9" s="46">
        <f t="shared" si="41"/>
        <v>0</v>
      </c>
      <c r="DH9">
        <f t="shared" si="16"/>
        <v>0</v>
      </c>
    </row>
    <row r="10" spans="1:112" ht="13.8">
      <c r="A10" s="1">
        <v>5</v>
      </c>
      <c r="B10" s="47" t="str">
        <f t="shared" si="42"/>
        <v>Jungvieh 1/2 bis 1 Jahr - Mist/Jauche</v>
      </c>
      <c r="C10" s="48" t="s">
        <v>973</v>
      </c>
      <c r="D10" s="1037"/>
      <c r="E10" s="1038"/>
      <c r="F10" s="1038"/>
      <c r="G10" s="1038">
        <v>14.2</v>
      </c>
      <c r="H10" s="1039">
        <v>14.2</v>
      </c>
      <c r="I10" s="1040"/>
      <c r="J10" s="1041">
        <v>1.7</v>
      </c>
      <c r="K10" s="1042">
        <v>1.8</v>
      </c>
      <c r="L10" s="1040">
        <v>0.6</v>
      </c>
      <c r="M10" s="1042">
        <v>1</v>
      </c>
      <c r="N10" s="1040"/>
      <c r="O10" s="1041"/>
      <c r="P10" s="1041"/>
      <c r="Q10" s="1043">
        <v>0.67500000000000004</v>
      </c>
      <c r="R10" s="1044">
        <v>12.824999999999999</v>
      </c>
      <c r="S10" s="1045"/>
      <c r="T10" s="1043"/>
      <c r="U10" s="1043"/>
      <c r="V10" s="1043">
        <v>14.223000000000001</v>
      </c>
      <c r="W10" s="1044">
        <v>28.876999999999999</v>
      </c>
      <c r="X10" s="1616"/>
      <c r="Y10" s="1617"/>
      <c r="Z10" s="1617"/>
      <c r="AA10" s="1618"/>
      <c r="AB10" s="1617"/>
      <c r="AC10" s="1617"/>
      <c r="AD10" s="1617"/>
      <c r="AE10" s="1618"/>
      <c r="AF10" s="1040"/>
      <c r="AG10" s="1041">
        <v>12.4</v>
      </c>
      <c r="AH10" s="1042">
        <v>12.9</v>
      </c>
      <c r="AI10" s="53" t="s">
        <v>973</v>
      </c>
      <c r="AJ10" s="54">
        <v>34</v>
      </c>
      <c r="AK10" s="55">
        <v>42.5</v>
      </c>
      <c r="AL10" s="45">
        <f t="shared" si="17"/>
        <v>4</v>
      </c>
      <c r="AM10" s="908" t="s">
        <v>974</v>
      </c>
      <c r="AN10" s="60"/>
      <c r="AO10" s="59"/>
      <c r="AP10" s="61">
        <f>Tiere!B10</f>
        <v>0</v>
      </c>
      <c r="AQ10" s="22">
        <f>IF(AP10=0,0,Tiere!I10)</f>
        <v>0</v>
      </c>
      <c r="AR10" s="23">
        <f>IFERROR(VLOOKUP($AP10,Tabelle1!$B$4:$AE$153,12,0)*$AQ10,0)</f>
        <v>0</v>
      </c>
      <c r="AS10" s="24">
        <f>IFERROR(VLOOKUP($AP10,Tabelle1!$B$4:$W$153,3,0)*$AR10,0)</f>
        <v>0</v>
      </c>
      <c r="AT10" s="25">
        <f>IFERROR(VLOOKUP($AP10,Tabelle1!$B$4:$W$153,4,0)*$AR10,0)</f>
        <v>0</v>
      </c>
      <c r="AU10" s="26">
        <f>IFERROR(VLOOKUP($AP10,Tabelle1!$B$4:$W$153,5,0)*$AR10,0)</f>
        <v>0</v>
      </c>
      <c r="AV10" s="26">
        <f>IFERROR(VLOOKUP($AP10,Tabelle1!$B$4:$W$153,6,0)*$AR10,0)</f>
        <v>0</v>
      </c>
      <c r="AW10" s="27">
        <f>IFERROR(VLOOKUP($AP10,Tabelle1!$B$4:$W$153,7,0)*$AR10,0)</f>
        <v>0</v>
      </c>
      <c r="AX10" s="33">
        <f t="shared" si="0"/>
        <v>0</v>
      </c>
      <c r="AY10" s="29">
        <f>IFERROR(VLOOKUP($AP10,Tabelle1!$B$4:$W$153,8,0)*$AQ10,0)</f>
        <v>0</v>
      </c>
      <c r="AZ10" s="30">
        <f>IFERROR(VLOOKUP($AP10,Tabelle1!$B$4:$W$153,9,0)*$AQ10,0)</f>
        <v>0</v>
      </c>
      <c r="BA10" s="31">
        <f>IFERROR(VLOOKUP($AP10,Tabelle1!$B$4:$W$153,10,0)*$AQ10,0)</f>
        <v>0</v>
      </c>
      <c r="BB10" s="32">
        <f>IFERROR(VLOOKUP($AP10,Tabelle1!$B$4:$W$153,11,0)*$AQ10,0)</f>
        <v>0</v>
      </c>
      <c r="BC10" s="56">
        <f>IFERROR(VLOOKUP($AP10,Tabelle1!$B$4:$W$144,12,0)*$AQ10,0)</f>
        <v>0</v>
      </c>
      <c r="BD10" s="25">
        <f>IFERROR(VLOOKUP($AP10,Tabelle1!$B$4:$W$153,13,0)*$AR10,0)</f>
        <v>0</v>
      </c>
      <c r="BE10" s="26">
        <f>IFERROR(VLOOKUP($AP10,Tabelle1!$B$4:$W$153,14,0)*$AR10,0)</f>
        <v>0</v>
      </c>
      <c r="BF10" s="26">
        <f>IFERROR(VLOOKUP($AP10,Tabelle1!$B$4:$W$153,15,0)*$AR10,0)</f>
        <v>0</v>
      </c>
      <c r="BG10" s="26">
        <f>IFERROR(VLOOKUP($AP10,Tabelle1!$B$4:$W$153,16,0)*$AR10,0)</f>
        <v>0</v>
      </c>
      <c r="BH10" s="27">
        <f>IFERROR(VLOOKUP($AP10,Tabelle1!$B$4:$W$153,17,0)*$AR10,0)</f>
        <v>0</v>
      </c>
      <c r="BI10" s="33">
        <f t="shared" si="1"/>
        <v>0</v>
      </c>
      <c r="BJ10" s="34">
        <f>IFERROR(VLOOKUP($AP10,Tabelle1!$B$4:$W$153,18,0)*$AR10,0)</f>
        <v>0</v>
      </c>
      <c r="BK10" s="4">
        <f>IFERROR(VLOOKUP($AP10,Tabelle1!$B$4:$W$153,19,0)*$AR10,0)</f>
        <v>0</v>
      </c>
      <c r="BL10" s="4">
        <f>IFERROR(VLOOKUP($AP10,Tabelle1!$B$4:$W$153,20,0)*$AR10,0)</f>
        <v>0</v>
      </c>
      <c r="BM10" s="4">
        <f>IFERROR(VLOOKUP($AP10,Tabelle1!$B$4:$W$153,21,0)*$AR10,0)</f>
        <v>0</v>
      </c>
      <c r="BN10" s="35">
        <f>IFERROR(VLOOKUP($AP10,Tabelle1!$B$4:$W$153,22,0)*$AR10,0)</f>
        <v>0</v>
      </c>
      <c r="BO10" s="36">
        <f t="shared" si="2"/>
        <v>0</v>
      </c>
      <c r="BP10" s="37">
        <f>Tiere!K10</f>
        <v>0</v>
      </c>
      <c r="BQ10" s="38">
        <f>Tiere!L10</f>
        <v>0</v>
      </c>
      <c r="BR10" s="37">
        <f>Tiere!M10</f>
        <v>0</v>
      </c>
      <c r="BS10" s="23">
        <f>Tiere!N10</f>
        <v>0</v>
      </c>
      <c r="BT10" s="1025">
        <f t="shared" si="18"/>
        <v>0</v>
      </c>
      <c r="BU10" s="1026">
        <f t="shared" si="19"/>
        <v>0</v>
      </c>
      <c r="BV10" s="25">
        <f t="shared" si="3"/>
        <v>0</v>
      </c>
      <c r="BW10" s="25">
        <f t="shared" si="4"/>
        <v>0</v>
      </c>
      <c r="BX10" s="26">
        <f t="shared" si="5"/>
        <v>0</v>
      </c>
      <c r="BY10" s="26">
        <f t="shared" si="6"/>
        <v>0</v>
      </c>
      <c r="BZ10" s="39">
        <f t="shared" si="7"/>
        <v>0</v>
      </c>
      <c r="CA10" s="33">
        <f t="shared" si="8"/>
        <v>0</v>
      </c>
      <c r="CB10" s="32">
        <f t="shared" si="9"/>
        <v>0</v>
      </c>
      <c r="CC10" s="32">
        <f t="shared" si="10"/>
        <v>0</v>
      </c>
      <c r="CD10" s="32">
        <f t="shared" si="11"/>
        <v>0</v>
      </c>
      <c r="CE10" s="32">
        <f t="shared" si="12"/>
        <v>0</v>
      </c>
      <c r="CF10" s="40">
        <f t="shared" si="13"/>
        <v>0</v>
      </c>
      <c r="CG10" s="33">
        <f t="shared" si="14"/>
        <v>0</v>
      </c>
      <c r="CH10" s="24">
        <f t="shared" si="20"/>
        <v>0</v>
      </c>
      <c r="CI10" s="25">
        <f t="shared" si="21"/>
        <v>0</v>
      </c>
      <c r="CJ10" s="26">
        <f t="shared" si="22"/>
        <v>0</v>
      </c>
      <c r="CK10" s="26">
        <f t="shared" si="23"/>
        <v>0</v>
      </c>
      <c r="CL10" s="39">
        <f t="shared" si="24"/>
        <v>0</v>
      </c>
      <c r="CM10" s="24">
        <f t="shared" si="25"/>
        <v>0</v>
      </c>
      <c r="CN10" s="25">
        <f t="shared" si="26"/>
        <v>0</v>
      </c>
      <c r="CO10" s="26">
        <f t="shared" si="27"/>
        <v>0</v>
      </c>
      <c r="CP10" s="26">
        <f t="shared" si="28"/>
        <v>0</v>
      </c>
      <c r="CQ10" s="39">
        <f t="shared" si="29"/>
        <v>0</v>
      </c>
      <c r="CR10" s="24">
        <f t="shared" si="30"/>
        <v>0</v>
      </c>
      <c r="CS10" s="25">
        <f t="shared" si="31"/>
        <v>0</v>
      </c>
      <c r="CT10" s="26">
        <f t="shared" si="32"/>
        <v>0</v>
      </c>
      <c r="CU10" s="26">
        <f t="shared" si="33"/>
        <v>0</v>
      </c>
      <c r="CV10" s="39">
        <f t="shared" si="34"/>
        <v>0</v>
      </c>
      <c r="CW10" s="24">
        <f t="shared" si="35"/>
        <v>0</v>
      </c>
      <c r="CX10" s="25">
        <f t="shared" si="36"/>
        <v>0</v>
      </c>
      <c r="CY10" s="26">
        <f t="shared" si="37"/>
        <v>0</v>
      </c>
      <c r="CZ10" s="26">
        <f t="shared" si="38"/>
        <v>0</v>
      </c>
      <c r="DA10" s="39">
        <f t="shared" si="39"/>
        <v>0</v>
      </c>
      <c r="DB10" s="41">
        <f>IFERROR(VLOOKUP($AP10,Tabelle1!$B$4:$W$153,11,0)*$BR10,0)</f>
        <v>0</v>
      </c>
      <c r="DC10" s="42">
        <f t="shared" si="15"/>
        <v>0</v>
      </c>
      <c r="DD10" s="43">
        <f>IFERROR(VLOOKUP($AP10,Tabelle1!$B$4:$AJ$153,35,0),0)</f>
        <v>0</v>
      </c>
      <c r="DE10" s="44">
        <f t="shared" si="40"/>
        <v>0</v>
      </c>
      <c r="DF10" s="45">
        <f>IFERROR(VLOOKUP($AP10,Tabelle1!$B$4:$AK$153,36,0),0)</f>
        <v>0</v>
      </c>
      <c r="DG10" s="46">
        <f t="shared" si="41"/>
        <v>0</v>
      </c>
      <c r="DH10">
        <f t="shared" si="16"/>
        <v>0</v>
      </c>
    </row>
    <row r="11" spans="1:112" ht="13.8">
      <c r="A11" s="1">
        <v>6</v>
      </c>
      <c r="B11" s="47" t="str">
        <f t="shared" si="42"/>
        <v>Jungvieh 1/2 bis 1 Jahr - Tiefstallmist</v>
      </c>
      <c r="C11" s="48" t="s">
        <v>975</v>
      </c>
      <c r="D11" s="1037"/>
      <c r="E11" s="1038"/>
      <c r="F11" s="1038"/>
      <c r="G11" s="1038"/>
      <c r="H11" s="1039">
        <v>28.4</v>
      </c>
      <c r="I11" s="1040"/>
      <c r="J11" s="1041"/>
      <c r="K11" s="1042">
        <v>3.9</v>
      </c>
      <c r="L11" s="1040">
        <v>0.6</v>
      </c>
      <c r="M11" s="1042">
        <v>1</v>
      </c>
      <c r="N11" s="1040"/>
      <c r="O11" s="1041"/>
      <c r="P11" s="1041"/>
      <c r="Q11" s="1043"/>
      <c r="R11" s="1044">
        <v>13.5</v>
      </c>
      <c r="S11" s="1045"/>
      <c r="T11" s="1043"/>
      <c r="U11" s="1043"/>
      <c r="V11" s="1043"/>
      <c r="W11" s="1044">
        <v>43.1</v>
      </c>
      <c r="X11" s="1616"/>
      <c r="Y11" s="1617"/>
      <c r="Z11" s="1617"/>
      <c r="AA11" s="1618"/>
      <c r="AB11" s="1617"/>
      <c r="AC11" s="1617"/>
      <c r="AD11" s="1617"/>
      <c r="AE11" s="1618"/>
      <c r="AF11" s="1040"/>
      <c r="AG11" s="1041"/>
      <c r="AH11" s="1042">
        <v>25.8</v>
      </c>
      <c r="AI11" s="53" t="s">
        <v>975</v>
      </c>
      <c r="AJ11" s="54">
        <v>34</v>
      </c>
      <c r="AK11" s="55">
        <v>42.5</v>
      </c>
      <c r="AL11" s="45">
        <f t="shared" si="17"/>
        <v>4</v>
      </c>
      <c r="AM11" s="908" t="s">
        <v>976</v>
      </c>
      <c r="AN11" s="4" t="s">
        <v>977</v>
      </c>
      <c r="AO11" s="62">
        <f>N_Bedarf!M27-N_Bedarf!M26</f>
        <v>0</v>
      </c>
      <c r="AP11" s="21">
        <f>Tiere!B11</f>
        <v>0</v>
      </c>
      <c r="AQ11" s="22">
        <f>IF(AP11=0,0,Tiere!I11)</f>
        <v>0</v>
      </c>
      <c r="AR11" s="23">
        <f>IFERROR(VLOOKUP($AP11,Tabelle1!$B$4:$AE$153,12,0)*$AQ11,0)</f>
        <v>0</v>
      </c>
      <c r="AS11" s="24">
        <f>IFERROR(VLOOKUP($AP11,Tabelle1!$B$4:$W$153,3,0)*$AR11,0)</f>
        <v>0</v>
      </c>
      <c r="AT11" s="25">
        <f>IFERROR(VLOOKUP($AP11,Tabelle1!$B$4:$W$153,4,0)*$AR11,0)</f>
        <v>0</v>
      </c>
      <c r="AU11" s="26">
        <f>IFERROR(VLOOKUP($AP11,Tabelle1!$B$4:$W$153,5,0)*$AR11,0)</f>
        <v>0</v>
      </c>
      <c r="AV11" s="26">
        <f>IFERROR(VLOOKUP($AP11,Tabelle1!$B$4:$W$153,6,0)*$AR11,0)</f>
        <v>0</v>
      </c>
      <c r="AW11" s="27">
        <f>IFERROR(VLOOKUP($AP11,Tabelle1!$B$4:$W$153,7,0)*$AR11,0)</f>
        <v>0</v>
      </c>
      <c r="AX11" s="33">
        <f t="shared" si="0"/>
        <v>0</v>
      </c>
      <c r="AY11" s="29">
        <f>IFERROR(VLOOKUP($AP11,Tabelle1!$B$4:$W$153,8,0)*$AQ11,0)</f>
        <v>0</v>
      </c>
      <c r="AZ11" s="30">
        <f>IFERROR(VLOOKUP($AP11,Tabelle1!$B$4:$W$153,9,0)*$AQ11,0)</f>
        <v>0</v>
      </c>
      <c r="BA11" s="31">
        <f>IFERROR(VLOOKUP($AP11,Tabelle1!$B$4:$W$153,10,0)*$AQ11,0)</f>
        <v>0</v>
      </c>
      <c r="BB11" s="32">
        <f>IFERROR(VLOOKUP($AP11,Tabelle1!$B$4:$W$153,11,0)*$AQ11,0)</f>
        <v>0</v>
      </c>
      <c r="BC11" s="56">
        <f>IFERROR(VLOOKUP($AP11,Tabelle1!$B$4:$W$144,12,0)*$AQ11,0)</f>
        <v>0</v>
      </c>
      <c r="BD11" s="25">
        <f>IFERROR(VLOOKUP($AP11,Tabelle1!$B$4:$W$153,13,0)*$AR11,0)</f>
        <v>0</v>
      </c>
      <c r="BE11" s="26">
        <f>IFERROR(VLOOKUP($AP11,Tabelle1!$B$4:$W$153,14,0)*$AR11,0)</f>
        <v>0</v>
      </c>
      <c r="BF11" s="26">
        <f>IFERROR(VLOOKUP($AP11,Tabelle1!$B$4:$W$153,15,0)*$AR11,0)</f>
        <v>0</v>
      </c>
      <c r="BG11" s="26">
        <f>IFERROR(VLOOKUP($AP11,Tabelle1!$B$4:$W$153,16,0)*$AR11,0)</f>
        <v>0</v>
      </c>
      <c r="BH11" s="27">
        <f>IFERROR(VLOOKUP($AP11,Tabelle1!$B$4:$W$153,17,0)*$AR11,0)</f>
        <v>0</v>
      </c>
      <c r="BI11" s="33">
        <f t="shared" si="1"/>
        <v>0</v>
      </c>
      <c r="BJ11" s="34">
        <f>IFERROR(VLOOKUP($AP11,Tabelle1!$B$4:$W$153,18,0)*$AR11,0)</f>
        <v>0</v>
      </c>
      <c r="BK11" s="4">
        <f>IFERROR(VLOOKUP($AP11,Tabelle1!$B$4:$W$153,19,0)*$AR11,0)</f>
        <v>0</v>
      </c>
      <c r="BL11" s="4">
        <f>IFERROR(VLOOKUP($AP11,Tabelle1!$B$4:$W$153,20,0)*$AR11,0)</f>
        <v>0</v>
      </c>
      <c r="BM11" s="4">
        <f>IFERROR(VLOOKUP($AP11,Tabelle1!$B$4:$W$153,21,0)*$AR11,0)</f>
        <v>0</v>
      </c>
      <c r="BN11" s="35">
        <f>IFERROR(VLOOKUP($AP11,Tabelle1!$B$4:$W$153,22,0)*$AR11,0)</f>
        <v>0</v>
      </c>
      <c r="BO11" s="36">
        <f t="shared" si="2"/>
        <v>0</v>
      </c>
      <c r="BP11" s="37">
        <f>Tiere!K11</f>
        <v>0</v>
      </c>
      <c r="BQ11" s="38">
        <f>Tiere!L11</f>
        <v>0</v>
      </c>
      <c r="BR11" s="37">
        <f>Tiere!M11</f>
        <v>0</v>
      </c>
      <c r="BS11" s="23">
        <f>Tiere!N11</f>
        <v>0</v>
      </c>
      <c r="BT11" s="1025">
        <f t="shared" si="18"/>
        <v>0</v>
      </c>
      <c r="BU11" s="1026">
        <f t="shared" si="19"/>
        <v>0</v>
      </c>
      <c r="BV11" s="25">
        <f t="shared" si="3"/>
        <v>0</v>
      </c>
      <c r="BW11" s="25">
        <f t="shared" si="4"/>
        <v>0</v>
      </c>
      <c r="BX11" s="26">
        <f t="shared" si="5"/>
        <v>0</v>
      </c>
      <c r="BY11" s="26">
        <f t="shared" si="6"/>
        <v>0</v>
      </c>
      <c r="BZ11" s="39">
        <f t="shared" si="7"/>
        <v>0</v>
      </c>
      <c r="CA11" s="33">
        <f t="shared" si="8"/>
        <v>0</v>
      </c>
      <c r="CB11" s="32">
        <f t="shared" si="9"/>
        <v>0</v>
      </c>
      <c r="CC11" s="32">
        <f t="shared" si="10"/>
        <v>0</v>
      </c>
      <c r="CD11" s="32">
        <f t="shared" si="11"/>
        <v>0</v>
      </c>
      <c r="CE11" s="32">
        <f t="shared" si="12"/>
        <v>0</v>
      </c>
      <c r="CF11" s="40">
        <f t="shared" si="13"/>
        <v>0</v>
      </c>
      <c r="CG11" s="33">
        <f t="shared" si="14"/>
        <v>0</v>
      </c>
      <c r="CH11" s="24">
        <f t="shared" si="20"/>
        <v>0</v>
      </c>
      <c r="CI11" s="25">
        <f t="shared" si="21"/>
        <v>0</v>
      </c>
      <c r="CJ11" s="26">
        <f t="shared" si="22"/>
        <v>0</v>
      </c>
      <c r="CK11" s="26">
        <f t="shared" si="23"/>
        <v>0</v>
      </c>
      <c r="CL11" s="39">
        <f t="shared" si="24"/>
        <v>0</v>
      </c>
      <c r="CM11" s="24">
        <f t="shared" si="25"/>
        <v>0</v>
      </c>
      <c r="CN11" s="25">
        <f t="shared" si="26"/>
        <v>0</v>
      </c>
      <c r="CO11" s="26">
        <f t="shared" si="27"/>
        <v>0</v>
      </c>
      <c r="CP11" s="26">
        <f t="shared" si="28"/>
        <v>0</v>
      </c>
      <c r="CQ11" s="39">
        <f t="shared" si="29"/>
        <v>0</v>
      </c>
      <c r="CR11" s="24">
        <f t="shared" si="30"/>
        <v>0</v>
      </c>
      <c r="CS11" s="25">
        <f t="shared" si="31"/>
        <v>0</v>
      </c>
      <c r="CT11" s="26">
        <f t="shared" si="32"/>
        <v>0</v>
      </c>
      <c r="CU11" s="26">
        <f t="shared" si="33"/>
        <v>0</v>
      </c>
      <c r="CV11" s="39">
        <f t="shared" si="34"/>
        <v>0</v>
      </c>
      <c r="CW11" s="24">
        <f t="shared" si="35"/>
        <v>0</v>
      </c>
      <c r="CX11" s="25">
        <f t="shared" si="36"/>
        <v>0</v>
      </c>
      <c r="CY11" s="26">
        <f t="shared" si="37"/>
        <v>0</v>
      </c>
      <c r="CZ11" s="26">
        <f t="shared" si="38"/>
        <v>0</v>
      </c>
      <c r="DA11" s="39">
        <f t="shared" si="39"/>
        <v>0</v>
      </c>
      <c r="DB11" s="41">
        <f>IFERROR(VLOOKUP($AP11,Tabelle1!$B$4:$W$153,11,0)*$BR11,0)</f>
        <v>0</v>
      </c>
      <c r="DC11" s="42">
        <f t="shared" si="15"/>
        <v>0</v>
      </c>
      <c r="DD11" s="43">
        <f>IFERROR(VLOOKUP($AP11,Tabelle1!$B$4:$AJ$153,35,0),0)</f>
        <v>0</v>
      </c>
      <c r="DE11" s="44">
        <f t="shared" si="40"/>
        <v>0</v>
      </c>
      <c r="DF11" s="45">
        <f>IFERROR(VLOOKUP($AP11,Tabelle1!$B$4:$AK$153,36,0),0)</f>
        <v>0</v>
      </c>
      <c r="DG11" s="46">
        <f t="shared" si="41"/>
        <v>0</v>
      </c>
      <c r="DH11">
        <f t="shared" si="16"/>
        <v>0</v>
      </c>
    </row>
    <row r="12" spans="1:112" ht="13.8">
      <c r="A12" s="1">
        <v>7</v>
      </c>
      <c r="B12" s="47" t="str">
        <f t="shared" si="42"/>
        <v>Jungvieh 1 bis 2 Jahr - Gülle</v>
      </c>
      <c r="C12" s="48" t="s">
        <v>978</v>
      </c>
      <c r="D12" s="1037">
        <v>45.6</v>
      </c>
      <c r="E12" s="1038"/>
      <c r="F12" s="1038"/>
      <c r="G12" s="1038"/>
      <c r="H12" s="1039"/>
      <c r="I12" s="1040">
        <v>5.8</v>
      </c>
      <c r="J12" s="1041"/>
      <c r="K12" s="1042"/>
      <c r="L12" s="1040">
        <v>0.6</v>
      </c>
      <c r="M12" s="1042">
        <v>1</v>
      </c>
      <c r="N12" s="1040">
        <v>19.600000000000001</v>
      </c>
      <c r="O12" s="1041"/>
      <c r="P12" s="1041"/>
      <c r="Q12" s="1043"/>
      <c r="R12" s="1044"/>
      <c r="S12" s="1045">
        <v>74.8</v>
      </c>
      <c r="T12" s="1043"/>
      <c r="U12" s="1043"/>
      <c r="V12" s="1043"/>
      <c r="W12" s="1044"/>
      <c r="X12" s="1616"/>
      <c r="Y12" s="1617"/>
      <c r="Z12" s="1617"/>
      <c r="AA12" s="1618"/>
      <c r="AB12" s="1617"/>
      <c r="AC12" s="1617"/>
      <c r="AD12" s="1617"/>
      <c r="AE12" s="1618"/>
      <c r="AF12" s="1040">
        <v>39.700000000000003</v>
      </c>
      <c r="AG12" s="1041"/>
      <c r="AH12" s="1042"/>
      <c r="AI12" s="53" t="s">
        <v>978</v>
      </c>
      <c r="AJ12" s="54">
        <v>51.52</v>
      </c>
      <c r="AK12" s="55">
        <v>51.5</v>
      </c>
      <c r="AL12" s="45">
        <f t="shared" si="17"/>
        <v>3.3009708737864076</v>
      </c>
      <c r="AM12" s="908" t="s">
        <v>979</v>
      </c>
      <c r="AN12" s="4" t="s">
        <v>980</v>
      </c>
      <c r="AO12" s="63">
        <f>IF(Mineral!H28&lt;=0,1,0)</f>
        <v>1</v>
      </c>
      <c r="AP12" s="21">
        <f>Tiere!B12</f>
        <v>0</v>
      </c>
      <c r="AQ12" s="22">
        <f>IF(AP12=0,0,Tiere!I12)</f>
        <v>0</v>
      </c>
      <c r="AR12" s="23">
        <f>IFERROR(VLOOKUP($AP12,Tabelle1!$B$4:$AE$153,12,0)*$AQ12,0)</f>
        <v>0</v>
      </c>
      <c r="AS12" s="24">
        <f>IFERROR(VLOOKUP($AP12,Tabelle1!$B$4:$W$153,3,0)*$AR12,0)</f>
        <v>0</v>
      </c>
      <c r="AT12" s="25">
        <f>IFERROR(VLOOKUP($AP12,Tabelle1!$B$4:$W$153,4,0)*$AR12,0)</f>
        <v>0</v>
      </c>
      <c r="AU12" s="26">
        <f>IFERROR(VLOOKUP($AP12,Tabelle1!$B$4:$W$153,5,0)*$AR12,0)</f>
        <v>0</v>
      </c>
      <c r="AV12" s="26">
        <f>IFERROR(VLOOKUP($AP12,Tabelle1!$B$4:$W$153,6,0)*$AR12,0)</f>
        <v>0</v>
      </c>
      <c r="AW12" s="27">
        <f>IFERROR(VLOOKUP($AP12,Tabelle1!$B$4:$W$153,7,0)*$AR12,0)</f>
        <v>0</v>
      </c>
      <c r="AX12" s="33">
        <f t="shared" si="0"/>
        <v>0</v>
      </c>
      <c r="AY12" s="29">
        <f>IFERROR(VLOOKUP($AP12,Tabelle1!$B$4:$W$153,8,0)*$AQ12,0)</f>
        <v>0</v>
      </c>
      <c r="AZ12" s="30">
        <f>IFERROR(VLOOKUP($AP12,Tabelle1!$B$4:$W$153,9,0)*$AQ12,0)</f>
        <v>0</v>
      </c>
      <c r="BA12" s="31">
        <f>IFERROR(VLOOKUP($AP12,Tabelle1!$B$4:$W$153,10,0)*$AQ12,0)</f>
        <v>0</v>
      </c>
      <c r="BB12" s="32">
        <f>IFERROR(VLOOKUP($AP12,Tabelle1!$B$4:$W$153,11,0)*$AQ12,0)</f>
        <v>0</v>
      </c>
      <c r="BC12" s="56">
        <f>IFERROR(VLOOKUP($AP12,Tabelle1!$B$4:$W$144,12,0)*$AQ12,0)</f>
        <v>0</v>
      </c>
      <c r="BD12" s="25">
        <f>IFERROR(VLOOKUP($AP12,Tabelle1!$B$4:$W$153,13,0)*$AR12,0)</f>
        <v>0</v>
      </c>
      <c r="BE12" s="26">
        <f>IFERROR(VLOOKUP($AP12,Tabelle1!$B$4:$W$153,14,0)*$AR12,0)</f>
        <v>0</v>
      </c>
      <c r="BF12" s="26">
        <f>IFERROR(VLOOKUP($AP12,Tabelle1!$B$4:$W$153,15,0)*$AR12,0)</f>
        <v>0</v>
      </c>
      <c r="BG12" s="26">
        <f>IFERROR(VLOOKUP($AP12,Tabelle1!$B$4:$W$153,16,0)*$AR12,0)</f>
        <v>0</v>
      </c>
      <c r="BH12" s="27">
        <f>IFERROR(VLOOKUP($AP12,Tabelle1!$B$4:$W$153,17,0)*$AR12,0)</f>
        <v>0</v>
      </c>
      <c r="BI12" s="33">
        <f t="shared" si="1"/>
        <v>0</v>
      </c>
      <c r="BJ12" s="34">
        <f>IFERROR(VLOOKUP($AP12,Tabelle1!$B$4:$W$153,18,0)*$AR12,0)</f>
        <v>0</v>
      </c>
      <c r="BK12" s="4">
        <f>IFERROR(VLOOKUP($AP12,Tabelle1!$B$4:$W$153,19,0)*$AR12,0)</f>
        <v>0</v>
      </c>
      <c r="BL12" s="4">
        <f>IFERROR(VLOOKUP($AP12,Tabelle1!$B$4:$W$153,20,0)*$AR12,0)</f>
        <v>0</v>
      </c>
      <c r="BM12" s="4">
        <f>IFERROR(VLOOKUP($AP12,Tabelle1!$B$4:$W$153,21,0)*$AR12,0)</f>
        <v>0</v>
      </c>
      <c r="BN12" s="35">
        <f>IFERROR(VLOOKUP($AP12,Tabelle1!$B$4:$W$153,22,0)*$AR12,0)</f>
        <v>0</v>
      </c>
      <c r="BO12" s="36">
        <f t="shared" si="2"/>
        <v>0</v>
      </c>
      <c r="BP12" s="37">
        <f>Tiere!K12</f>
        <v>0</v>
      </c>
      <c r="BQ12" s="38">
        <f>Tiere!L12</f>
        <v>0</v>
      </c>
      <c r="BR12" s="37">
        <f>Tiere!M12</f>
        <v>0</v>
      </c>
      <c r="BS12" s="23">
        <f>Tiere!N12</f>
        <v>0</v>
      </c>
      <c r="BT12" s="1025">
        <f t="shared" si="18"/>
        <v>0</v>
      </c>
      <c r="BU12" s="1026">
        <f t="shared" si="19"/>
        <v>0</v>
      </c>
      <c r="BV12" s="25">
        <f t="shared" si="3"/>
        <v>0</v>
      </c>
      <c r="BW12" s="25">
        <f t="shared" si="4"/>
        <v>0</v>
      </c>
      <c r="BX12" s="26">
        <f t="shared" si="5"/>
        <v>0</v>
      </c>
      <c r="BY12" s="26">
        <f t="shared" si="6"/>
        <v>0</v>
      </c>
      <c r="BZ12" s="39">
        <f t="shared" si="7"/>
        <v>0</v>
      </c>
      <c r="CA12" s="33">
        <f t="shared" si="8"/>
        <v>0</v>
      </c>
      <c r="CB12" s="32">
        <f t="shared" si="9"/>
        <v>0</v>
      </c>
      <c r="CC12" s="32">
        <f t="shared" si="10"/>
        <v>0</v>
      </c>
      <c r="CD12" s="32">
        <f t="shared" si="11"/>
        <v>0</v>
      </c>
      <c r="CE12" s="32">
        <f t="shared" si="12"/>
        <v>0</v>
      </c>
      <c r="CF12" s="40">
        <f t="shared" si="13"/>
        <v>0</v>
      </c>
      <c r="CG12" s="33">
        <f t="shared" si="14"/>
        <v>0</v>
      </c>
      <c r="CH12" s="24">
        <f t="shared" si="20"/>
        <v>0</v>
      </c>
      <c r="CI12" s="25">
        <f t="shared" si="21"/>
        <v>0</v>
      </c>
      <c r="CJ12" s="26">
        <f t="shared" si="22"/>
        <v>0</v>
      </c>
      <c r="CK12" s="26">
        <f t="shared" si="23"/>
        <v>0</v>
      </c>
      <c r="CL12" s="39">
        <f t="shared" si="24"/>
        <v>0</v>
      </c>
      <c r="CM12" s="24">
        <f t="shared" si="25"/>
        <v>0</v>
      </c>
      <c r="CN12" s="25">
        <f t="shared" si="26"/>
        <v>0</v>
      </c>
      <c r="CO12" s="26">
        <f t="shared" si="27"/>
        <v>0</v>
      </c>
      <c r="CP12" s="26">
        <f t="shared" si="28"/>
        <v>0</v>
      </c>
      <c r="CQ12" s="39">
        <f t="shared" si="29"/>
        <v>0</v>
      </c>
      <c r="CR12" s="24">
        <f t="shared" si="30"/>
        <v>0</v>
      </c>
      <c r="CS12" s="25">
        <f t="shared" si="31"/>
        <v>0</v>
      </c>
      <c r="CT12" s="26">
        <f t="shared" si="32"/>
        <v>0</v>
      </c>
      <c r="CU12" s="26">
        <f t="shared" si="33"/>
        <v>0</v>
      </c>
      <c r="CV12" s="39">
        <f t="shared" si="34"/>
        <v>0</v>
      </c>
      <c r="CW12" s="24">
        <f t="shared" si="35"/>
        <v>0</v>
      </c>
      <c r="CX12" s="25">
        <f t="shared" si="36"/>
        <v>0</v>
      </c>
      <c r="CY12" s="26">
        <f t="shared" si="37"/>
        <v>0</v>
      </c>
      <c r="CZ12" s="26">
        <f t="shared" si="38"/>
        <v>0</v>
      </c>
      <c r="DA12" s="39">
        <f t="shared" si="39"/>
        <v>0</v>
      </c>
      <c r="DB12" s="41">
        <f>IFERROR(VLOOKUP($AP12,Tabelle1!$B$4:$W$153,11,0)*$BR12,0)</f>
        <v>0</v>
      </c>
      <c r="DC12" s="42">
        <f t="shared" si="15"/>
        <v>0</v>
      </c>
      <c r="DD12" s="43">
        <f>IFERROR(VLOOKUP($AP12,Tabelle1!$B$4:$AJ$153,35,0),0)</f>
        <v>0</v>
      </c>
      <c r="DE12" s="44">
        <f t="shared" si="40"/>
        <v>0</v>
      </c>
      <c r="DF12" s="45">
        <f>IFERROR(VLOOKUP($AP12,Tabelle1!$B$4:$AK$153,36,0),0)</f>
        <v>0</v>
      </c>
      <c r="DG12" s="46">
        <f t="shared" si="41"/>
        <v>0</v>
      </c>
      <c r="DH12">
        <f t="shared" si="16"/>
        <v>0</v>
      </c>
    </row>
    <row r="13" spans="1:112" ht="14.25" customHeight="1">
      <c r="A13" s="1">
        <v>8</v>
      </c>
      <c r="B13" s="47" t="str">
        <f t="shared" si="42"/>
        <v>Jungvieh 1 bis 2 Jahr - Mist/Jauche</v>
      </c>
      <c r="C13" s="48" t="s">
        <v>981</v>
      </c>
      <c r="D13" s="1037"/>
      <c r="E13" s="1038"/>
      <c r="F13" s="1038"/>
      <c r="G13" s="1038">
        <v>18.7</v>
      </c>
      <c r="H13" s="1039">
        <v>18.8</v>
      </c>
      <c r="I13" s="1040"/>
      <c r="J13" s="1041">
        <v>2.9</v>
      </c>
      <c r="K13" s="1044">
        <v>3</v>
      </c>
      <c r="L13" s="1040">
        <v>0.6</v>
      </c>
      <c r="M13" s="1042">
        <v>1</v>
      </c>
      <c r="N13" s="1040"/>
      <c r="O13" s="1041"/>
      <c r="P13" s="1041"/>
      <c r="Q13" s="1043">
        <v>0.98</v>
      </c>
      <c r="R13" s="1044">
        <v>18.62</v>
      </c>
      <c r="S13" s="1045"/>
      <c r="T13" s="1043"/>
      <c r="U13" s="1043"/>
      <c r="V13" s="1043">
        <v>24.684000000000001</v>
      </c>
      <c r="W13" s="1044">
        <v>50.116</v>
      </c>
      <c r="X13" s="1616"/>
      <c r="Y13" s="1617"/>
      <c r="Z13" s="1617"/>
      <c r="AA13" s="1618"/>
      <c r="AB13" s="1617"/>
      <c r="AC13" s="1617"/>
      <c r="AD13" s="1617"/>
      <c r="AE13" s="1618"/>
      <c r="AF13" s="1040"/>
      <c r="AG13" s="1041">
        <v>16.3</v>
      </c>
      <c r="AH13" s="1042">
        <v>17.100000000000001</v>
      </c>
      <c r="AI13" s="53" t="s">
        <v>981</v>
      </c>
      <c r="AJ13" s="54">
        <v>51.52</v>
      </c>
      <c r="AK13" s="55">
        <v>51.5</v>
      </c>
      <c r="AL13" s="45">
        <f t="shared" si="17"/>
        <v>3.3009708737864076</v>
      </c>
      <c r="AM13" s="908" t="s">
        <v>982</v>
      </c>
      <c r="AN13" s="64" t="s">
        <v>983</v>
      </c>
      <c r="AO13" s="63"/>
      <c r="AP13" s="21">
        <f>Tiere!B13</f>
        <v>0</v>
      </c>
      <c r="AQ13" s="22">
        <f>IF(AP13=0,0,Tiere!I13)</f>
        <v>0</v>
      </c>
      <c r="AR13" s="23">
        <f>IFERROR(VLOOKUP($AP13,Tabelle1!$B$4:$AE$153,12,0)*$AQ13,0)</f>
        <v>0</v>
      </c>
      <c r="AS13" s="24">
        <f>IFERROR(VLOOKUP($AP13,Tabelle1!$B$4:$W$153,3,0)*$AR13,0)</f>
        <v>0</v>
      </c>
      <c r="AT13" s="25">
        <f>IFERROR(VLOOKUP($AP13,Tabelle1!$B$4:$W$153,4,0)*$AR13,0)</f>
        <v>0</v>
      </c>
      <c r="AU13" s="26">
        <f>IFERROR(VLOOKUP($AP13,Tabelle1!$B$4:$W$153,5,0)*$AR13,0)</f>
        <v>0</v>
      </c>
      <c r="AV13" s="26">
        <f>IFERROR(VLOOKUP($AP13,Tabelle1!$B$4:$W$153,6,0)*$AR13,0)</f>
        <v>0</v>
      </c>
      <c r="AW13" s="27">
        <f>IFERROR(VLOOKUP($AP13,Tabelle1!$B$4:$W$153,7,0)*$AR13,0)</f>
        <v>0</v>
      </c>
      <c r="AX13" s="33">
        <f t="shared" si="0"/>
        <v>0</v>
      </c>
      <c r="AY13" s="29">
        <f>IFERROR(VLOOKUP($AP13,Tabelle1!$B$4:$W$153,8,0)*$AQ13,0)</f>
        <v>0</v>
      </c>
      <c r="AZ13" s="30">
        <f>IFERROR(VLOOKUP($AP13,Tabelle1!$B$4:$W$153,9,0)*$AQ13,0)</f>
        <v>0</v>
      </c>
      <c r="BA13" s="31">
        <f>IFERROR(VLOOKUP($AP13,Tabelle1!$B$4:$W$153,10,0)*$AQ13,0)</f>
        <v>0</v>
      </c>
      <c r="BB13" s="32">
        <f>IFERROR(VLOOKUP($AP13,Tabelle1!$B$4:$W$153,11,0)*$AQ13,0)</f>
        <v>0</v>
      </c>
      <c r="BC13" s="56">
        <f>IFERROR(VLOOKUP($AP13,Tabelle1!$B$4:$W$144,12,0)*$AQ13,0)</f>
        <v>0</v>
      </c>
      <c r="BD13" s="25">
        <f>IFERROR(VLOOKUP($AP13,Tabelle1!$B$4:$W$153,13,0)*$AR13,0)</f>
        <v>0</v>
      </c>
      <c r="BE13" s="26">
        <f>IFERROR(VLOOKUP($AP13,Tabelle1!$B$4:$W$153,14,0)*$AR13,0)</f>
        <v>0</v>
      </c>
      <c r="BF13" s="26">
        <f>IFERROR(VLOOKUP($AP13,Tabelle1!$B$4:$W$153,15,0)*$AR13,0)</f>
        <v>0</v>
      </c>
      <c r="BG13" s="26">
        <f>IFERROR(VLOOKUP($AP13,Tabelle1!$B$4:$W$153,16,0)*$AR13,0)</f>
        <v>0</v>
      </c>
      <c r="BH13" s="27">
        <f>IFERROR(VLOOKUP($AP13,Tabelle1!$B$4:$W$153,17,0)*$AR13,0)</f>
        <v>0</v>
      </c>
      <c r="BI13" s="33">
        <f t="shared" si="1"/>
        <v>0</v>
      </c>
      <c r="BJ13" s="34">
        <f>IFERROR(VLOOKUP($AP13,Tabelle1!$B$4:$W$153,18,0)*$AR13,0)</f>
        <v>0</v>
      </c>
      <c r="BK13" s="4">
        <f>IFERROR(VLOOKUP($AP13,Tabelle1!$B$4:$W$153,19,0)*$AR13,0)</f>
        <v>0</v>
      </c>
      <c r="BL13" s="4">
        <f>IFERROR(VLOOKUP($AP13,Tabelle1!$B$4:$W$153,20,0)*$AR13,0)</f>
        <v>0</v>
      </c>
      <c r="BM13" s="4">
        <f>IFERROR(VLOOKUP($AP13,Tabelle1!$B$4:$W$153,21,0)*$AR13,0)</f>
        <v>0</v>
      </c>
      <c r="BN13" s="35">
        <f>IFERROR(VLOOKUP($AP13,Tabelle1!$B$4:$W$153,22,0)*$AR13,0)</f>
        <v>0</v>
      </c>
      <c r="BO13" s="36">
        <f t="shared" si="2"/>
        <v>0</v>
      </c>
      <c r="BP13" s="37">
        <f>Tiere!K13</f>
        <v>0</v>
      </c>
      <c r="BQ13" s="38">
        <f>Tiere!L13</f>
        <v>0</v>
      </c>
      <c r="BR13" s="37">
        <f>Tiere!M13</f>
        <v>0</v>
      </c>
      <c r="BS13" s="23">
        <f>Tiere!N13</f>
        <v>0</v>
      </c>
      <c r="BT13" s="1025">
        <f t="shared" si="18"/>
        <v>0</v>
      </c>
      <c r="BU13" s="1026">
        <f t="shared" si="19"/>
        <v>0</v>
      </c>
      <c r="BV13" s="25">
        <f t="shared" si="3"/>
        <v>0</v>
      </c>
      <c r="BW13" s="25">
        <f t="shared" si="4"/>
        <v>0</v>
      </c>
      <c r="BX13" s="26">
        <f t="shared" si="5"/>
        <v>0</v>
      </c>
      <c r="BY13" s="26">
        <f t="shared" si="6"/>
        <v>0</v>
      </c>
      <c r="BZ13" s="39">
        <f t="shared" si="7"/>
        <v>0</v>
      </c>
      <c r="CA13" s="33">
        <f t="shared" si="8"/>
        <v>0</v>
      </c>
      <c r="CB13" s="32">
        <f t="shared" si="9"/>
        <v>0</v>
      </c>
      <c r="CC13" s="32">
        <f t="shared" si="10"/>
        <v>0</v>
      </c>
      <c r="CD13" s="32">
        <f t="shared" si="11"/>
        <v>0</v>
      </c>
      <c r="CE13" s="32">
        <f t="shared" si="12"/>
        <v>0</v>
      </c>
      <c r="CF13" s="40">
        <f t="shared" si="13"/>
        <v>0</v>
      </c>
      <c r="CG13" s="33">
        <f t="shared" si="14"/>
        <v>0</v>
      </c>
      <c r="CH13" s="24">
        <f t="shared" si="20"/>
        <v>0</v>
      </c>
      <c r="CI13" s="25">
        <f t="shared" si="21"/>
        <v>0</v>
      </c>
      <c r="CJ13" s="26">
        <f t="shared" si="22"/>
        <v>0</v>
      </c>
      <c r="CK13" s="26">
        <f t="shared" si="23"/>
        <v>0</v>
      </c>
      <c r="CL13" s="39">
        <f t="shared" si="24"/>
        <v>0</v>
      </c>
      <c r="CM13" s="24">
        <f t="shared" si="25"/>
        <v>0</v>
      </c>
      <c r="CN13" s="25">
        <f t="shared" si="26"/>
        <v>0</v>
      </c>
      <c r="CO13" s="26">
        <f t="shared" si="27"/>
        <v>0</v>
      </c>
      <c r="CP13" s="26">
        <f t="shared" si="28"/>
        <v>0</v>
      </c>
      <c r="CQ13" s="39">
        <f t="shared" si="29"/>
        <v>0</v>
      </c>
      <c r="CR13" s="24">
        <f t="shared" si="30"/>
        <v>0</v>
      </c>
      <c r="CS13" s="25">
        <f t="shared" si="31"/>
        <v>0</v>
      </c>
      <c r="CT13" s="26">
        <f t="shared" si="32"/>
        <v>0</v>
      </c>
      <c r="CU13" s="26">
        <f t="shared" si="33"/>
        <v>0</v>
      </c>
      <c r="CV13" s="39">
        <f t="shared" si="34"/>
        <v>0</v>
      </c>
      <c r="CW13" s="24">
        <f t="shared" si="35"/>
        <v>0</v>
      </c>
      <c r="CX13" s="25">
        <f t="shared" si="36"/>
        <v>0</v>
      </c>
      <c r="CY13" s="26">
        <f t="shared" si="37"/>
        <v>0</v>
      </c>
      <c r="CZ13" s="26">
        <f t="shared" si="38"/>
        <v>0</v>
      </c>
      <c r="DA13" s="39">
        <f t="shared" si="39"/>
        <v>0</v>
      </c>
      <c r="DB13" s="41">
        <f>IFERROR(VLOOKUP($AP13,Tabelle1!$B$4:$W$153,11,0)*$BR13,0)</f>
        <v>0</v>
      </c>
      <c r="DC13" s="42">
        <f t="shared" si="15"/>
        <v>0</v>
      </c>
      <c r="DD13" s="43">
        <f>IFERROR(VLOOKUP($AP13,Tabelle1!$B$4:$AJ$153,35,0),0)</f>
        <v>0</v>
      </c>
      <c r="DE13" s="44">
        <f t="shared" si="40"/>
        <v>0</v>
      </c>
      <c r="DF13" s="45">
        <f>IFERROR(VLOOKUP($AP13,Tabelle1!$B$4:$AK$153,36,0),0)</f>
        <v>0</v>
      </c>
      <c r="DG13" s="46">
        <f t="shared" si="41"/>
        <v>0</v>
      </c>
      <c r="DH13">
        <f t="shared" si="16"/>
        <v>0</v>
      </c>
    </row>
    <row r="14" spans="1:112" ht="13.8">
      <c r="A14" s="1">
        <v>9</v>
      </c>
      <c r="B14" s="47" t="str">
        <f t="shared" si="42"/>
        <v>Jungvieh 1 bis 2 Jahr - Tiefstallmist</v>
      </c>
      <c r="C14" s="48" t="s">
        <v>984</v>
      </c>
      <c r="D14" s="1037"/>
      <c r="E14" s="1038"/>
      <c r="F14" s="1038"/>
      <c r="G14" s="1038"/>
      <c r="H14" s="1039">
        <v>37.5</v>
      </c>
      <c r="I14" s="1040"/>
      <c r="J14" s="1041"/>
      <c r="K14" s="1042">
        <v>6.2</v>
      </c>
      <c r="L14" s="1040">
        <v>0.6</v>
      </c>
      <c r="M14" s="1042">
        <v>1</v>
      </c>
      <c r="N14" s="1040"/>
      <c r="O14" s="1041"/>
      <c r="P14" s="1041"/>
      <c r="Q14" s="1043"/>
      <c r="R14" s="1044">
        <v>19.600000000000001</v>
      </c>
      <c r="S14" s="1045"/>
      <c r="T14" s="1043"/>
      <c r="U14" s="1043"/>
      <c r="V14" s="1043"/>
      <c r="W14" s="1044">
        <v>74.8</v>
      </c>
      <c r="X14" s="1616"/>
      <c r="Y14" s="1617"/>
      <c r="Z14" s="1617"/>
      <c r="AA14" s="1618"/>
      <c r="AB14" s="1617"/>
      <c r="AC14" s="1617"/>
      <c r="AD14" s="1617"/>
      <c r="AE14" s="1618"/>
      <c r="AF14" s="1040"/>
      <c r="AG14" s="1041"/>
      <c r="AH14" s="1042">
        <v>34.1</v>
      </c>
      <c r="AI14" s="53" t="s">
        <v>984</v>
      </c>
      <c r="AJ14" s="54">
        <v>51.52</v>
      </c>
      <c r="AK14" s="55">
        <v>51.5</v>
      </c>
      <c r="AL14" s="45">
        <f t="shared" si="17"/>
        <v>3.3009708737864076</v>
      </c>
      <c r="AM14" s="908" t="s">
        <v>985</v>
      </c>
      <c r="AN14" s="4" t="str">
        <f>IF(Betrieb!D8="JA","ÖPUL 2015","")</f>
        <v>ÖPUL 2015</v>
      </c>
      <c r="AO14" s="59">
        <f>IF(Betrieb!D8="JA",1,0)</f>
        <v>1</v>
      </c>
      <c r="AP14" s="21">
        <f>Tiere!B14</f>
        <v>0</v>
      </c>
      <c r="AQ14" s="22">
        <f>IF(AP14=0,0,Tiere!I14)</f>
        <v>0</v>
      </c>
      <c r="AR14" s="23">
        <f>IFERROR(VLOOKUP($AP14,Tabelle1!$B$4:$AE$153,12,0)*$AQ14,0)</f>
        <v>0</v>
      </c>
      <c r="AS14" s="24">
        <f>IFERROR(VLOOKUP($AP14,Tabelle1!$B$4:$W$153,3,0)*$AR14,0)</f>
        <v>0</v>
      </c>
      <c r="AT14" s="25">
        <f>IFERROR(VLOOKUP($AP14,Tabelle1!$B$4:$W$153,4,0)*$AR14,0)</f>
        <v>0</v>
      </c>
      <c r="AU14" s="26">
        <f>IFERROR(VLOOKUP($AP14,Tabelle1!$B$4:$W$153,5,0)*$AR14,0)</f>
        <v>0</v>
      </c>
      <c r="AV14" s="26">
        <f>IFERROR(VLOOKUP($AP14,Tabelle1!$B$4:$W$153,6,0)*$AR14,0)</f>
        <v>0</v>
      </c>
      <c r="AW14" s="27">
        <f>IFERROR(VLOOKUP($AP14,Tabelle1!$B$4:$W$153,7,0)*$AR14,0)</f>
        <v>0</v>
      </c>
      <c r="AX14" s="33">
        <f t="shared" si="0"/>
        <v>0</v>
      </c>
      <c r="AY14" s="29">
        <f>IFERROR(VLOOKUP($AP14,Tabelle1!$B$4:$W$153,8,0)*$AQ14,0)</f>
        <v>0</v>
      </c>
      <c r="AZ14" s="30">
        <f>IFERROR(VLOOKUP($AP14,Tabelle1!$B$4:$W$153,9,0)*$AQ14,0)</f>
        <v>0</v>
      </c>
      <c r="BA14" s="31">
        <f>IFERROR(VLOOKUP($AP14,Tabelle1!$B$4:$W$153,10,0)*$AQ14,0)</f>
        <v>0</v>
      </c>
      <c r="BB14" s="32">
        <f>IFERROR(VLOOKUP($AP14,Tabelle1!$B$4:$W$153,11,0)*$AQ14,0)</f>
        <v>0</v>
      </c>
      <c r="BC14" s="56">
        <f>IFERROR(VLOOKUP($AP14,Tabelle1!$B$4:$W$144,12,0)*$AQ14,0)</f>
        <v>0</v>
      </c>
      <c r="BD14" s="25">
        <f>IFERROR(VLOOKUP($AP14,Tabelle1!$B$4:$W$153,13,0)*$AR14,0)</f>
        <v>0</v>
      </c>
      <c r="BE14" s="26">
        <f>IFERROR(VLOOKUP($AP14,Tabelle1!$B$4:$W$153,14,0)*$AR14,0)</f>
        <v>0</v>
      </c>
      <c r="BF14" s="26">
        <f>IFERROR(VLOOKUP($AP14,Tabelle1!$B$4:$W$153,15,0)*$AR14,0)</f>
        <v>0</v>
      </c>
      <c r="BG14" s="26">
        <f>IFERROR(VLOOKUP($AP14,Tabelle1!$B$4:$W$153,16,0)*$AR14,0)</f>
        <v>0</v>
      </c>
      <c r="BH14" s="27">
        <f>IFERROR(VLOOKUP($AP14,Tabelle1!$B$4:$W$153,17,0)*$AR14,0)</f>
        <v>0</v>
      </c>
      <c r="BI14" s="33">
        <f t="shared" si="1"/>
        <v>0</v>
      </c>
      <c r="BJ14" s="34">
        <f>IFERROR(VLOOKUP($AP14,Tabelle1!$B$4:$W$153,18,0)*$AR14,0)</f>
        <v>0</v>
      </c>
      <c r="BK14" s="4">
        <f>IFERROR(VLOOKUP($AP14,Tabelle1!$B$4:$W$153,19,0)*$AR14,0)</f>
        <v>0</v>
      </c>
      <c r="BL14" s="4">
        <f>IFERROR(VLOOKUP($AP14,Tabelle1!$B$4:$W$153,20,0)*$AR14,0)</f>
        <v>0</v>
      </c>
      <c r="BM14" s="4">
        <f>IFERROR(VLOOKUP($AP14,Tabelle1!$B$4:$W$153,21,0)*$AR14,0)</f>
        <v>0</v>
      </c>
      <c r="BN14" s="35">
        <f>IFERROR(VLOOKUP($AP14,Tabelle1!$B$4:$W$153,22,0)*$AR14,0)</f>
        <v>0</v>
      </c>
      <c r="BO14" s="36">
        <f t="shared" si="2"/>
        <v>0</v>
      </c>
      <c r="BP14" s="37">
        <f>Tiere!K14</f>
        <v>0</v>
      </c>
      <c r="BQ14" s="38">
        <f>Tiere!L14</f>
        <v>0</v>
      </c>
      <c r="BR14" s="37">
        <f>Tiere!M14</f>
        <v>0</v>
      </c>
      <c r="BS14" s="23">
        <f>Tiere!N14</f>
        <v>0</v>
      </c>
      <c r="BT14" s="1025">
        <f t="shared" si="18"/>
        <v>0</v>
      </c>
      <c r="BU14" s="1026">
        <f t="shared" si="19"/>
        <v>0</v>
      </c>
      <c r="BV14" s="25">
        <f t="shared" si="3"/>
        <v>0</v>
      </c>
      <c r="BW14" s="25">
        <f t="shared" si="4"/>
        <v>0</v>
      </c>
      <c r="BX14" s="26">
        <f t="shared" si="5"/>
        <v>0</v>
      </c>
      <c r="BY14" s="26">
        <f t="shared" si="6"/>
        <v>0</v>
      </c>
      <c r="BZ14" s="39">
        <f t="shared" si="7"/>
        <v>0</v>
      </c>
      <c r="CA14" s="33">
        <f t="shared" si="8"/>
        <v>0</v>
      </c>
      <c r="CB14" s="32">
        <f t="shared" si="9"/>
        <v>0</v>
      </c>
      <c r="CC14" s="32">
        <f t="shared" si="10"/>
        <v>0</v>
      </c>
      <c r="CD14" s="32">
        <f t="shared" si="11"/>
        <v>0</v>
      </c>
      <c r="CE14" s="32">
        <f t="shared" si="12"/>
        <v>0</v>
      </c>
      <c r="CF14" s="40">
        <f t="shared" si="13"/>
        <v>0</v>
      </c>
      <c r="CG14" s="33">
        <f t="shared" si="14"/>
        <v>0</v>
      </c>
      <c r="CH14" s="24">
        <f t="shared" si="20"/>
        <v>0</v>
      </c>
      <c r="CI14" s="25">
        <f t="shared" si="21"/>
        <v>0</v>
      </c>
      <c r="CJ14" s="26">
        <f t="shared" si="22"/>
        <v>0</v>
      </c>
      <c r="CK14" s="26">
        <f t="shared" si="23"/>
        <v>0</v>
      </c>
      <c r="CL14" s="39">
        <f t="shared" si="24"/>
        <v>0</v>
      </c>
      <c r="CM14" s="24">
        <f t="shared" si="25"/>
        <v>0</v>
      </c>
      <c r="CN14" s="25">
        <f t="shared" si="26"/>
        <v>0</v>
      </c>
      <c r="CO14" s="26">
        <f t="shared" si="27"/>
        <v>0</v>
      </c>
      <c r="CP14" s="26">
        <f t="shared" si="28"/>
        <v>0</v>
      </c>
      <c r="CQ14" s="39">
        <f t="shared" si="29"/>
        <v>0</v>
      </c>
      <c r="CR14" s="24">
        <f t="shared" si="30"/>
        <v>0</v>
      </c>
      <c r="CS14" s="25">
        <f t="shared" si="31"/>
        <v>0</v>
      </c>
      <c r="CT14" s="26">
        <f t="shared" si="32"/>
        <v>0</v>
      </c>
      <c r="CU14" s="26">
        <f t="shared" si="33"/>
        <v>0</v>
      </c>
      <c r="CV14" s="39">
        <f t="shared" si="34"/>
        <v>0</v>
      </c>
      <c r="CW14" s="24">
        <f t="shared" si="35"/>
        <v>0</v>
      </c>
      <c r="CX14" s="25">
        <f t="shared" si="36"/>
        <v>0</v>
      </c>
      <c r="CY14" s="26">
        <f t="shared" si="37"/>
        <v>0</v>
      </c>
      <c r="CZ14" s="26">
        <f t="shared" si="38"/>
        <v>0</v>
      </c>
      <c r="DA14" s="39">
        <f t="shared" si="39"/>
        <v>0</v>
      </c>
      <c r="DB14" s="41">
        <f>IFERROR(VLOOKUP($AP14,Tabelle1!$B$4:$W$153,11,0)*$BR14,0)</f>
        <v>0</v>
      </c>
      <c r="DC14" s="42">
        <f t="shared" si="15"/>
        <v>0</v>
      </c>
      <c r="DD14" s="43">
        <f>IFERROR(VLOOKUP($AP14,Tabelle1!$B$4:$AJ$153,35,0),0)</f>
        <v>0</v>
      </c>
      <c r="DE14" s="44">
        <f t="shared" si="40"/>
        <v>0</v>
      </c>
      <c r="DF14" s="45">
        <f>IFERROR(VLOOKUP($AP14,Tabelle1!$B$4:$AK$153,36,0),0)</f>
        <v>0</v>
      </c>
      <c r="DG14" s="46">
        <f t="shared" si="41"/>
        <v>0</v>
      </c>
      <c r="DH14">
        <f t="shared" si="16"/>
        <v>0</v>
      </c>
    </row>
    <row r="15" spans="1:112" ht="13.8">
      <c r="A15" s="1">
        <v>10</v>
      </c>
      <c r="B15" s="47" t="str">
        <f t="shared" si="42"/>
        <v>Ochsen, Stiere - Gülle</v>
      </c>
      <c r="C15" s="48" t="s">
        <v>986</v>
      </c>
      <c r="D15" s="1037">
        <v>54.7</v>
      </c>
      <c r="E15" s="1038"/>
      <c r="F15" s="1038"/>
      <c r="G15" s="1038"/>
      <c r="H15" s="1039"/>
      <c r="I15" s="1040">
        <v>7.1</v>
      </c>
      <c r="J15" s="1041"/>
      <c r="K15" s="1042"/>
      <c r="L15" s="1040">
        <v>1</v>
      </c>
      <c r="M15" s="1042">
        <v>1</v>
      </c>
      <c r="N15" s="1040">
        <v>24.8</v>
      </c>
      <c r="O15" s="1041"/>
      <c r="P15" s="1041"/>
      <c r="Q15" s="1043"/>
      <c r="R15" s="1044"/>
      <c r="S15" s="1045">
        <v>84.9</v>
      </c>
      <c r="T15" s="1043"/>
      <c r="U15" s="1043"/>
      <c r="V15" s="1043"/>
      <c r="W15" s="1044"/>
      <c r="X15" s="1616"/>
      <c r="Y15" s="1617"/>
      <c r="Z15" s="1617"/>
      <c r="AA15" s="1618"/>
      <c r="AB15" s="1617"/>
      <c r="AC15" s="1617"/>
      <c r="AD15" s="1617"/>
      <c r="AE15" s="1618"/>
      <c r="AF15" s="1040">
        <v>47.6</v>
      </c>
      <c r="AG15" s="1041"/>
      <c r="AH15" s="1042"/>
      <c r="AI15" s="53" t="s">
        <v>986</v>
      </c>
      <c r="AJ15" s="54">
        <v>85</v>
      </c>
      <c r="AK15" s="55">
        <v>85</v>
      </c>
      <c r="AL15" s="45">
        <f t="shared" si="17"/>
        <v>2</v>
      </c>
      <c r="AM15" s="908" t="s">
        <v>987</v>
      </c>
      <c r="AN15" s="4" t="str">
        <f>IF(Betrieb!D9="JA","Bio","")</f>
        <v/>
      </c>
      <c r="AO15" s="59">
        <f>IF(Betrieb!D9="JA",1,0)</f>
        <v>0</v>
      </c>
      <c r="AP15" s="21">
        <f>Tiere!B15</f>
        <v>0</v>
      </c>
      <c r="AQ15" s="22">
        <f>IF(AP15=0,0,Tiere!I15)</f>
        <v>0</v>
      </c>
      <c r="AR15" s="23">
        <f>IFERROR(VLOOKUP($AP15,Tabelle1!$B$4:$AE$153,12,0)*$AQ15,0)</f>
        <v>0</v>
      </c>
      <c r="AS15" s="24">
        <f>IFERROR(VLOOKUP($AP15,Tabelle1!$B$4:$W$153,3,0)*$AR15,0)</f>
        <v>0</v>
      </c>
      <c r="AT15" s="25">
        <f>IFERROR(VLOOKUP($AP15,Tabelle1!$B$4:$W$153,4,0)*$AR15,0)</f>
        <v>0</v>
      </c>
      <c r="AU15" s="26">
        <f>IFERROR(VLOOKUP($AP15,Tabelle1!$B$4:$W$153,5,0)*$AR15,0)</f>
        <v>0</v>
      </c>
      <c r="AV15" s="26">
        <f>IFERROR(VLOOKUP($AP15,Tabelle1!$B$4:$W$153,6,0)*$AR15,0)</f>
        <v>0</v>
      </c>
      <c r="AW15" s="27">
        <f>IFERROR(VLOOKUP($AP15,Tabelle1!$B$4:$W$153,7,0)*$AR15,0)</f>
        <v>0</v>
      </c>
      <c r="AX15" s="33">
        <f t="shared" si="0"/>
        <v>0</v>
      </c>
      <c r="AY15" s="29">
        <f>IFERROR(VLOOKUP($AP15,Tabelle1!$B$4:$W$153,8,0)*$AQ15,0)</f>
        <v>0</v>
      </c>
      <c r="AZ15" s="30">
        <f>IFERROR(VLOOKUP($AP15,Tabelle1!$B$4:$W$153,9,0)*$AQ15,0)</f>
        <v>0</v>
      </c>
      <c r="BA15" s="31">
        <f>IFERROR(VLOOKUP($AP15,Tabelle1!$B$4:$W$153,10,0)*$AQ15,0)</f>
        <v>0</v>
      </c>
      <c r="BB15" s="32">
        <f>IFERROR(VLOOKUP($AP15,Tabelle1!$B$4:$W$153,11,0)*$AQ15,0)</f>
        <v>0</v>
      </c>
      <c r="BC15" s="56">
        <f>IFERROR(VLOOKUP($AP15,Tabelle1!$B$4:$W$144,12,0)*$AQ15,0)</f>
        <v>0</v>
      </c>
      <c r="BD15" s="25">
        <f>IFERROR(VLOOKUP($AP15,Tabelle1!$B$4:$W$153,13,0)*$AR15,0)</f>
        <v>0</v>
      </c>
      <c r="BE15" s="26">
        <f>IFERROR(VLOOKUP($AP15,Tabelle1!$B$4:$W$153,14,0)*$AR15,0)</f>
        <v>0</v>
      </c>
      <c r="BF15" s="26">
        <f>IFERROR(VLOOKUP($AP15,Tabelle1!$B$4:$W$153,15,0)*$AR15,0)</f>
        <v>0</v>
      </c>
      <c r="BG15" s="26">
        <f>IFERROR(VLOOKUP($AP15,Tabelle1!$B$4:$W$153,16,0)*$AR15,0)</f>
        <v>0</v>
      </c>
      <c r="BH15" s="27">
        <f>IFERROR(VLOOKUP($AP15,Tabelle1!$B$4:$W$153,17,0)*$AR15,0)</f>
        <v>0</v>
      </c>
      <c r="BI15" s="33">
        <f t="shared" si="1"/>
        <v>0</v>
      </c>
      <c r="BJ15" s="34">
        <f>IFERROR(VLOOKUP($AP15,Tabelle1!$B$4:$W$153,18,0)*$AR15,0)</f>
        <v>0</v>
      </c>
      <c r="BK15" s="4">
        <f>IFERROR(VLOOKUP($AP15,Tabelle1!$B$4:$W$153,19,0)*$AR15,0)</f>
        <v>0</v>
      </c>
      <c r="BL15" s="4">
        <f>IFERROR(VLOOKUP($AP15,Tabelle1!$B$4:$W$153,20,0)*$AR15,0)</f>
        <v>0</v>
      </c>
      <c r="BM15" s="4">
        <f>IFERROR(VLOOKUP($AP15,Tabelle1!$B$4:$W$153,21,0)*$AR15,0)</f>
        <v>0</v>
      </c>
      <c r="BN15" s="35">
        <f>IFERROR(VLOOKUP($AP15,Tabelle1!$B$4:$W$153,22,0)*$AR15,0)</f>
        <v>0</v>
      </c>
      <c r="BO15" s="36">
        <f t="shared" si="2"/>
        <v>0</v>
      </c>
      <c r="BP15" s="37">
        <f>Tiere!K15</f>
        <v>0</v>
      </c>
      <c r="BQ15" s="38">
        <f>Tiere!L15</f>
        <v>0</v>
      </c>
      <c r="BR15" s="37">
        <f>Tiere!M15</f>
        <v>0</v>
      </c>
      <c r="BS15" s="23">
        <f>Tiere!N15</f>
        <v>0</v>
      </c>
      <c r="BT15" s="1025">
        <f t="shared" si="18"/>
        <v>0</v>
      </c>
      <c r="BU15" s="1026">
        <f t="shared" si="19"/>
        <v>0</v>
      </c>
      <c r="BV15" s="25">
        <f t="shared" si="3"/>
        <v>0</v>
      </c>
      <c r="BW15" s="25">
        <f t="shared" si="4"/>
        <v>0</v>
      </c>
      <c r="BX15" s="26">
        <f t="shared" si="5"/>
        <v>0</v>
      </c>
      <c r="BY15" s="26">
        <f t="shared" si="6"/>
        <v>0</v>
      </c>
      <c r="BZ15" s="39">
        <f t="shared" si="7"/>
        <v>0</v>
      </c>
      <c r="CA15" s="33">
        <f t="shared" si="8"/>
        <v>0</v>
      </c>
      <c r="CB15" s="32">
        <f t="shared" si="9"/>
        <v>0</v>
      </c>
      <c r="CC15" s="32">
        <f t="shared" si="10"/>
        <v>0</v>
      </c>
      <c r="CD15" s="32">
        <f t="shared" si="11"/>
        <v>0</v>
      </c>
      <c r="CE15" s="32">
        <f t="shared" si="12"/>
        <v>0</v>
      </c>
      <c r="CF15" s="40">
        <f t="shared" si="13"/>
        <v>0</v>
      </c>
      <c r="CG15" s="33">
        <f t="shared" si="14"/>
        <v>0</v>
      </c>
      <c r="CH15" s="24">
        <f t="shared" si="20"/>
        <v>0</v>
      </c>
      <c r="CI15" s="25">
        <f t="shared" si="21"/>
        <v>0</v>
      </c>
      <c r="CJ15" s="26">
        <f t="shared" si="22"/>
        <v>0</v>
      </c>
      <c r="CK15" s="26">
        <f t="shared" si="23"/>
        <v>0</v>
      </c>
      <c r="CL15" s="39">
        <f t="shared" si="24"/>
        <v>0</v>
      </c>
      <c r="CM15" s="24">
        <f t="shared" si="25"/>
        <v>0</v>
      </c>
      <c r="CN15" s="25">
        <f t="shared" si="26"/>
        <v>0</v>
      </c>
      <c r="CO15" s="26">
        <f t="shared" si="27"/>
        <v>0</v>
      </c>
      <c r="CP15" s="26">
        <f t="shared" si="28"/>
        <v>0</v>
      </c>
      <c r="CQ15" s="39">
        <f t="shared" si="29"/>
        <v>0</v>
      </c>
      <c r="CR15" s="24">
        <f t="shared" si="30"/>
        <v>0</v>
      </c>
      <c r="CS15" s="25">
        <f t="shared" si="31"/>
        <v>0</v>
      </c>
      <c r="CT15" s="26">
        <f t="shared" si="32"/>
        <v>0</v>
      </c>
      <c r="CU15" s="26">
        <f t="shared" si="33"/>
        <v>0</v>
      </c>
      <c r="CV15" s="39">
        <f t="shared" si="34"/>
        <v>0</v>
      </c>
      <c r="CW15" s="24">
        <f t="shared" si="35"/>
        <v>0</v>
      </c>
      <c r="CX15" s="25">
        <f t="shared" si="36"/>
        <v>0</v>
      </c>
      <c r="CY15" s="26">
        <f t="shared" si="37"/>
        <v>0</v>
      </c>
      <c r="CZ15" s="26">
        <f t="shared" si="38"/>
        <v>0</v>
      </c>
      <c r="DA15" s="39">
        <f t="shared" si="39"/>
        <v>0</v>
      </c>
      <c r="DB15" s="41">
        <f>IFERROR(VLOOKUP($AP15,Tabelle1!$B$4:$W$153,11,0)*$BR15,0)</f>
        <v>0</v>
      </c>
      <c r="DC15" s="42">
        <f t="shared" si="15"/>
        <v>0</v>
      </c>
      <c r="DD15" s="43">
        <f>IFERROR(VLOOKUP($AP15,Tabelle1!$B$4:$AJ$153,35,0),0)</f>
        <v>0</v>
      </c>
      <c r="DE15" s="44">
        <f t="shared" si="40"/>
        <v>0</v>
      </c>
      <c r="DF15" s="45">
        <f>IFERROR(VLOOKUP($AP15,Tabelle1!$B$4:$AK$153,36,0),0)</f>
        <v>0</v>
      </c>
      <c r="DG15" s="46">
        <f t="shared" si="41"/>
        <v>0</v>
      </c>
      <c r="DH15">
        <f t="shared" si="16"/>
        <v>0</v>
      </c>
    </row>
    <row r="16" spans="1:112" ht="13.8">
      <c r="A16" s="1">
        <v>11</v>
      </c>
      <c r="B16" s="47" t="str">
        <f t="shared" si="42"/>
        <v>Ochsen, Stiere - Mist/Jauche</v>
      </c>
      <c r="C16" s="48" t="s">
        <v>1024</v>
      </c>
      <c r="D16" s="1037"/>
      <c r="E16" s="1038"/>
      <c r="F16" s="1038"/>
      <c r="G16" s="1038">
        <v>22.5</v>
      </c>
      <c r="H16" s="1039">
        <v>22.6</v>
      </c>
      <c r="I16" s="1040"/>
      <c r="J16" s="1041">
        <v>3.5</v>
      </c>
      <c r="K16" s="1042">
        <v>3.5</v>
      </c>
      <c r="L16" s="1040">
        <v>1</v>
      </c>
      <c r="M16" s="1042">
        <v>1</v>
      </c>
      <c r="N16" s="1040"/>
      <c r="O16" s="1041"/>
      <c r="P16" s="1041"/>
      <c r="Q16" s="1043">
        <v>1.24</v>
      </c>
      <c r="R16" s="1044">
        <v>23.56</v>
      </c>
      <c r="S16" s="1045"/>
      <c r="T16" s="1043"/>
      <c r="U16" s="1043"/>
      <c r="V16" s="1043">
        <v>28.016999999999999</v>
      </c>
      <c r="W16" s="1044">
        <v>56.883000000000003</v>
      </c>
      <c r="X16" s="1616"/>
      <c r="Y16" s="1617"/>
      <c r="Z16" s="1617"/>
      <c r="AA16" s="1618"/>
      <c r="AB16" s="1617"/>
      <c r="AC16" s="1617"/>
      <c r="AD16" s="1617"/>
      <c r="AE16" s="1618"/>
      <c r="AF16" s="1040"/>
      <c r="AG16" s="1041">
        <v>19.600000000000001</v>
      </c>
      <c r="AH16" s="1042">
        <v>20.6</v>
      </c>
      <c r="AI16" s="53" t="s">
        <v>1024</v>
      </c>
      <c r="AJ16" s="54">
        <v>85</v>
      </c>
      <c r="AK16" s="55">
        <v>85</v>
      </c>
      <c r="AL16" s="45">
        <f t="shared" si="17"/>
        <v>2</v>
      </c>
      <c r="AM16" s="908" t="s">
        <v>1025</v>
      </c>
      <c r="AN16" s="4" t="str">
        <f>IF(Betrieb!D10="JA","GW-SBG","")</f>
        <v/>
      </c>
      <c r="AO16" s="59">
        <f>IF(Betrieb!D10="JA",1,0)</f>
        <v>0</v>
      </c>
      <c r="AP16" s="21">
        <f>Tiere!B16</f>
        <v>0</v>
      </c>
      <c r="AQ16" s="22">
        <f>IF(AP16=0,0,Tiere!I16)</f>
        <v>0</v>
      </c>
      <c r="AR16" s="23">
        <f>IFERROR(VLOOKUP($AP16,Tabelle1!$B$4:$AE$153,12,0)*$AQ16,0)</f>
        <v>0</v>
      </c>
      <c r="AS16" s="24">
        <f>IFERROR(VLOOKUP($AP16,Tabelle1!$B$4:$W$153,3,0)*$AR16,0)</f>
        <v>0</v>
      </c>
      <c r="AT16" s="25">
        <f>IFERROR(VLOOKUP($AP16,Tabelle1!$B$4:$W$153,4,0)*$AR16,0)</f>
        <v>0</v>
      </c>
      <c r="AU16" s="26">
        <f>IFERROR(VLOOKUP($AP16,Tabelle1!$B$4:$W$153,5,0)*$AR16,0)</f>
        <v>0</v>
      </c>
      <c r="AV16" s="26">
        <f>IFERROR(VLOOKUP($AP16,Tabelle1!$B$4:$W$153,6,0)*$AR16,0)</f>
        <v>0</v>
      </c>
      <c r="AW16" s="27">
        <f>IFERROR(VLOOKUP($AP16,Tabelle1!$B$4:$W$153,7,0)*$AR16,0)</f>
        <v>0</v>
      </c>
      <c r="AX16" s="33">
        <f t="shared" si="0"/>
        <v>0</v>
      </c>
      <c r="AY16" s="29">
        <f>IFERROR(VLOOKUP($AP16,Tabelle1!$B$4:$W$153,8,0)*$AQ16,0)</f>
        <v>0</v>
      </c>
      <c r="AZ16" s="30">
        <f>IFERROR(VLOOKUP($AP16,Tabelle1!$B$4:$W$153,9,0)*$AQ16,0)</f>
        <v>0</v>
      </c>
      <c r="BA16" s="31">
        <f>IFERROR(VLOOKUP($AP16,Tabelle1!$B$4:$W$153,10,0)*$AQ16,0)</f>
        <v>0</v>
      </c>
      <c r="BB16" s="32">
        <f>IFERROR(VLOOKUP($AP16,Tabelle1!$B$4:$W$153,11,0)*$AQ16,0)</f>
        <v>0</v>
      </c>
      <c r="BC16" s="56">
        <f>IFERROR(VLOOKUP($AP16,Tabelle1!$B$4:$W$144,12,0)*$AQ16,0)</f>
        <v>0</v>
      </c>
      <c r="BD16" s="25">
        <f>IFERROR(VLOOKUP($AP16,Tabelle1!$B$4:$W$153,13,0)*$AR16,0)</f>
        <v>0</v>
      </c>
      <c r="BE16" s="26">
        <f>IFERROR(VLOOKUP($AP16,Tabelle1!$B$4:$W$153,14,0)*$AR16,0)</f>
        <v>0</v>
      </c>
      <c r="BF16" s="26">
        <f>IFERROR(VLOOKUP($AP16,Tabelle1!$B$4:$W$153,15,0)*$AR16,0)</f>
        <v>0</v>
      </c>
      <c r="BG16" s="26">
        <f>IFERROR(VLOOKUP($AP16,Tabelle1!$B$4:$W$153,16,0)*$AR16,0)</f>
        <v>0</v>
      </c>
      <c r="BH16" s="27">
        <f>IFERROR(VLOOKUP($AP16,Tabelle1!$B$4:$W$153,17,0)*$AR16,0)</f>
        <v>0</v>
      </c>
      <c r="BI16" s="33">
        <f t="shared" si="1"/>
        <v>0</v>
      </c>
      <c r="BJ16" s="34">
        <f>IFERROR(VLOOKUP($AP16,Tabelle1!$B$4:$W$153,18,0)*$AR16,0)</f>
        <v>0</v>
      </c>
      <c r="BK16" s="4">
        <f>IFERROR(VLOOKUP($AP16,Tabelle1!$B$4:$W$153,19,0)*$AR16,0)</f>
        <v>0</v>
      </c>
      <c r="BL16" s="4">
        <f>IFERROR(VLOOKUP($AP16,Tabelle1!$B$4:$W$153,20,0)*$AR16,0)</f>
        <v>0</v>
      </c>
      <c r="BM16" s="4">
        <f>IFERROR(VLOOKUP($AP16,Tabelle1!$B$4:$W$153,21,0)*$AR16,0)</f>
        <v>0</v>
      </c>
      <c r="BN16" s="35">
        <f>IFERROR(VLOOKUP($AP16,Tabelle1!$B$4:$W$153,22,0)*$AR16,0)</f>
        <v>0</v>
      </c>
      <c r="BO16" s="36">
        <f t="shared" si="2"/>
        <v>0</v>
      </c>
      <c r="BP16" s="37">
        <f>Tiere!K16</f>
        <v>0</v>
      </c>
      <c r="BQ16" s="38">
        <f>Tiere!L16</f>
        <v>0</v>
      </c>
      <c r="BR16" s="37">
        <f>Tiere!M16</f>
        <v>0</v>
      </c>
      <c r="BS16" s="23">
        <f>Tiere!N16</f>
        <v>0</v>
      </c>
      <c r="BT16" s="1025">
        <f t="shared" si="18"/>
        <v>0</v>
      </c>
      <c r="BU16" s="1026">
        <f t="shared" si="19"/>
        <v>0</v>
      </c>
      <c r="BV16" s="25">
        <f t="shared" si="3"/>
        <v>0</v>
      </c>
      <c r="BW16" s="25">
        <f t="shared" si="4"/>
        <v>0</v>
      </c>
      <c r="BX16" s="26">
        <f t="shared" si="5"/>
        <v>0</v>
      </c>
      <c r="BY16" s="26">
        <f t="shared" si="6"/>
        <v>0</v>
      </c>
      <c r="BZ16" s="39">
        <f t="shared" si="7"/>
        <v>0</v>
      </c>
      <c r="CA16" s="33">
        <f t="shared" si="8"/>
        <v>0</v>
      </c>
      <c r="CB16" s="32">
        <f t="shared" si="9"/>
        <v>0</v>
      </c>
      <c r="CC16" s="32">
        <f t="shared" si="10"/>
        <v>0</v>
      </c>
      <c r="CD16" s="32">
        <f t="shared" si="11"/>
        <v>0</v>
      </c>
      <c r="CE16" s="32">
        <f t="shared" si="12"/>
        <v>0</v>
      </c>
      <c r="CF16" s="40">
        <f t="shared" si="13"/>
        <v>0</v>
      </c>
      <c r="CG16" s="33">
        <f t="shared" si="14"/>
        <v>0</v>
      </c>
      <c r="CH16" s="24">
        <f t="shared" si="20"/>
        <v>0</v>
      </c>
      <c r="CI16" s="25">
        <f t="shared" si="21"/>
        <v>0</v>
      </c>
      <c r="CJ16" s="26">
        <f t="shared" si="22"/>
        <v>0</v>
      </c>
      <c r="CK16" s="26">
        <f t="shared" si="23"/>
        <v>0</v>
      </c>
      <c r="CL16" s="39">
        <f t="shared" si="24"/>
        <v>0</v>
      </c>
      <c r="CM16" s="24">
        <f t="shared" si="25"/>
        <v>0</v>
      </c>
      <c r="CN16" s="25">
        <f t="shared" si="26"/>
        <v>0</v>
      </c>
      <c r="CO16" s="26">
        <f t="shared" si="27"/>
        <v>0</v>
      </c>
      <c r="CP16" s="26">
        <f t="shared" si="28"/>
        <v>0</v>
      </c>
      <c r="CQ16" s="39">
        <f t="shared" si="29"/>
        <v>0</v>
      </c>
      <c r="CR16" s="24">
        <f t="shared" si="30"/>
        <v>0</v>
      </c>
      <c r="CS16" s="25">
        <f t="shared" si="31"/>
        <v>0</v>
      </c>
      <c r="CT16" s="26">
        <f t="shared" si="32"/>
        <v>0</v>
      </c>
      <c r="CU16" s="26">
        <f t="shared" si="33"/>
        <v>0</v>
      </c>
      <c r="CV16" s="39">
        <f t="shared" si="34"/>
        <v>0</v>
      </c>
      <c r="CW16" s="24">
        <f t="shared" si="35"/>
        <v>0</v>
      </c>
      <c r="CX16" s="25">
        <f t="shared" si="36"/>
        <v>0</v>
      </c>
      <c r="CY16" s="26">
        <f t="shared" si="37"/>
        <v>0</v>
      </c>
      <c r="CZ16" s="26">
        <f t="shared" si="38"/>
        <v>0</v>
      </c>
      <c r="DA16" s="39">
        <f t="shared" si="39"/>
        <v>0</v>
      </c>
      <c r="DB16" s="41">
        <f>IFERROR(VLOOKUP($AP16,Tabelle1!$B$4:$W$153,11,0)*$BR16,0)</f>
        <v>0</v>
      </c>
      <c r="DC16" s="42">
        <f t="shared" si="15"/>
        <v>0</v>
      </c>
      <c r="DD16" s="43">
        <f>IFERROR(VLOOKUP($AP16,Tabelle1!$B$4:$AJ$153,35,0),0)</f>
        <v>0</v>
      </c>
      <c r="DE16" s="44">
        <f t="shared" si="40"/>
        <v>0</v>
      </c>
      <c r="DF16" s="45">
        <f>IFERROR(VLOOKUP($AP16,Tabelle1!$B$4:$AK$153,36,0),0)</f>
        <v>0</v>
      </c>
      <c r="DG16" s="46">
        <f t="shared" si="41"/>
        <v>0</v>
      </c>
      <c r="DH16">
        <f t="shared" si="16"/>
        <v>0</v>
      </c>
    </row>
    <row r="17" spans="1:112">
      <c r="A17" s="1">
        <v>12</v>
      </c>
      <c r="B17" s="47" t="str">
        <f t="shared" si="42"/>
        <v>Ochsen, Stiere - Tiefstallmist</v>
      </c>
      <c r="C17" s="48" t="s">
        <v>1026</v>
      </c>
      <c r="D17" s="1037"/>
      <c r="E17" s="1038"/>
      <c r="F17" s="1038"/>
      <c r="G17" s="1038"/>
      <c r="H17" s="1039">
        <v>45.1</v>
      </c>
      <c r="I17" s="1040"/>
      <c r="J17" s="1041"/>
      <c r="K17" s="1042">
        <v>7.7</v>
      </c>
      <c r="L17" s="1040">
        <v>1</v>
      </c>
      <c r="M17" s="1042">
        <v>1</v>
      </c>
      <c r="N17" s="1040"/>
      <c r="O17" s="1041"/>
      <c r="P17" s="1041"/>
      <c r="Q17" s="1043"/>
      <c r="R17" s="1044">
        <v>24.8</v>
      </c>
      <c r="S17" s="1045"/>
      <c r="T17" s="1043"/>
      <c r="U17" s="1043"/>
      <c r="V17" s="1043"/>
      <c r="W17" s="1044">
        <v>84.9</v>
      </c>
      <c r="X17" s="1616"/>
      <c r="Y17" s="1617"/>
      <c r="Z17" s="1617"/>
      <c r="AA17" s="1618"/>
      <c r="AB17" s="1617"/>
      <c r="AC17" s="1617"/>
      <c r="AD17" s="1617"/>
      <c r="AE17" s="1618"/>
      <c r="AF17" s="1040"/>
      <c r="AG17" s="1041"/>
      <c r="AH17" s="1042">
        <v>41</v>
      </c>
      <c r="AI17" s="53" t="s">
        <v>1026</v>
      </c>
      <c r="AJ17" s="54">
        <v>85</v>
      </c>
      <c r="AK17" s="55">
        <v>85</v>
      </c>
      <c r="AL17" s="45">
        <f t="shared" si="17"/>
        <v>2</v>
      </c>
      <c r="AM17" s="907"/>
      <c r="AN17" s="4" t="str">
        <f>IF(Betrieb!D11="JA","N-zehrend","")</f>
        <v>N-zehrend</v>
      </c>
      <c r="AO17" s="59">
        <f>IF(Betrieb!D11="JA",1,0)</f>
        <v>1</v>
      </c>
      <c r="AP17" s="21">
        <f>Tiere!B17</f>
        <v>0</v>
      </c>
      <c r="AQ17" s="22">
        <f>IF(AP17=0,0,Tiere!I17)</f>
        <v>0</v>
      </c>
      <c r="AR17" s="23">
        <f>IFERROR(VLOOKUP($AP17,Tabelle1!$B$4:$AE$153,12,0)*$AQ17,0)</f>
        <v>0</v>
      </c>
      <c r="AS17" s="24">
        <f>IFERROR(VLOOKUP($AP17,Tabelle1!$B$4:$W$153,3,0)*$AR17,0)</f>
        <v>0</v>
      </c>
      <c r="AT17" s="25">
        <f>IFERROR(VLOOKUP($AP17,Tabelle1!$B$4:$W$153,4,0)*$AR17,0)</f>
        <v>0</v>
      </c>
      <c r="AU17" s="26">
        <f>IFERROR(VLOOKUP($AP17,Tabelle1!$B$4:$W$153,5,0)*$AR17,0)</f>
        <v>0</v>
      </c>
      <c r="AV17" s="26">
        <f>IFERROR(VLOOKUP($AP17,Tabelle1!$B$4:$W$153,6,0)*$AR17,0)</f>
        <v>0</v>
      </c>
      <c r="AW17" s="27">
        <f>IFERROR(VLOOKUP($AP17,Tabelle1!$B$4:$W$153,7,0)*$AR17,0)</f>
        <v>0</v>
      </c>
      <c r="AX17" s="33">
        <f t="shared" si="0"/>
        <v>0</v>
      </c>
      <c r="AY17" s="29">
        <f>IFERROR(VLOOKUP($AP17,Tabelle1!$B$4:$W$153,8,0)*$AQ17,0)</f>
        <v>0</v>
      </c>
      <c r="AZ17" s="30">
        <f>IFERROR(VLOOKUP($AP17,Tabelle1!$B$4:$W$153,9,0)*$AQ17,0)</f>
        <v>0</v>
      </c>
      <c r="BA17" s="31">
        <f>IFERROR(VLOOKUP($AP17,Tabelle1!$B$4:$W$153,10,0)*$AQ17,0)</f>
        <v>0</v>
      </c>
      <c r="BB17" s="32">
        <f>IFERROR(VLOOKUP($AP17,Tabelle1!$B$4:$W$153,11,0)*$AQ17,0)</f>
        <v>0</v>
      </c>
      <c r="BC17" s="56">
        <f>IFERROR(VLOOKUP($AP17,Tabelle1!$B$4:$W$144,12,0)*$AQ17,0)</f>
        <v>0</v>
      </c>
      <c r="BD17" s="25">
        <f>IFERROR(VLOOKUP($AP17,Tabelle1!$B$4:$W$153,13,0)*$AR17,0)</f>
        <v>0</v>
      </c>
      <c r="BE17" s="26">
        <f>IFERROR(VLOOKUP($AP17,Tabelle1!$B$4:$W$153,14,0)*$AR17,0)</f>
        <v>0</v>
      </c>
      <c r="BF17" s="26">
        <f>IFERROR(VLOOKUP($AP17,Tabelle1!$B$4:$W$153,15,0)*$AR17,0)</f>
        <v>0</v>
      </c>
      <c r="BG17" s="26">
        <f>IFERROR(VLOOKUP($AP17,Tabelle1!$B$4:$W$153,16,0)*$AR17,0)</f>
        <v>0</v>
      </c>
      <c r="BH17" s="27">
        <f>IFERROR(VLOOKUP($AP17,Tabelle1!$B$4:$W$153,17,0)*$AR17,0)</f>
        <v>0</v>
      </c>
      <c r="BI17" s="33">
        <f t="shared" si="1"/>
        <v>0</v>
      </c>
      <c r="BJ17" s="34">
        <f>IFERROR(VLOOKUP($AP17,Tabelle1!$B$4:$W$153,18,0)*$AR17,0)</f>
        <v>0</v>
      </c>
      <c r="BK17" s="4">
        <f>IFERROR(VLOOKUP($AP17,Tabelle1!$B$4:$W$153,19,0)*$AR17,0)</f>
        <v>0</v>
      </c>
      <c r="BL17" s="4">
        <f>IFERROR(VLOOKUP($AP17,Tabelle1!$B$4:$W$153,20,0)*$AR17,0)</f>
        <v>0</v>
      </c>
      <c r="BM17" s="4">
        <f>IFERROR(VLOOKUP($AP17,Tabelle1!$B$4:$W$153,21,0)*$AR17,0)</f>
        <v>0</v>
      </c>
      <c r="BN17" s="35">
        <f>IFERROR(VLOOKUP($AP17,Tabelle1!$B$4:$W$153,22,0)*$AR17,0)</f>
        <v>0</v>
      </c>
      <c r="BO17" s="36">
        <f t="shared" si="2"/>
        <v>0</v>
      </c>
      <c r="BP17" s="37">
        <f>Tiere!K17</f>
        <v>0</v>
      </c>
      <c r="BQ17" s="38">
        <f>Tiere!L17</f>
        <v>0</v>
      </c>
      <c r="BR17" s="37">
        <f>Tiere!M17</f>
        <v>0</v>
      </c>
      <c r="BS17" s="23">
        <f>Tiere!N17</f>
        <v>0</v>
      </c>
      <c r="BT17" s="1025">
        <f t="shared" si="18"/>
        <v>0</v>
      </c>
      <c r="BU17" s="1026">
        <f t="shared" si="19"/>
        <v>0</v>
      </c>
      <c r="BV17" s="25">
        <f t="shared" si="3"/>
        <v>0</v>
      </c>
      <c r="BW17" s="25">
        <f t="shared" si="4"/>
        <v>0</v>
      </c>
      <c r="BX17" s="26">
        <f t="shared" si="5"/>
        <v>0</v>
      </c>
      <c r="BY17" s="26">
        <f t="shared" si="6"/>
        <v>0</v>
      </c>
      <c r="BZ17" s="39">
        <f t="shared" si="7"/>
        <v>0</v>
      </c>
      <c r="CA17" s="33">
        <f t="shared" si="8"/>
        <v>0</v>
      </c>
      <c r="CB17" s="32">
        <f t="shared" si="9"/>
        <v>0</v>
      </c>
      <c r="CC17" s="32">
        <f t="shared" si="10"/>
        <v>0</v>
      </c>
      <c r="CD17" s="32">
        <f t="shared" si="11"/>
        <v>0</v>
      </c>
      <c r="CE17" s="32">
        <f t="shared" si="12"/>
        <v>0</v>
      </c>
      <c r="CF17" s="40">
        <f t="shared" si="13"/>
        <v>0</v>
      </c>
      <c r="CG17" s="33">
        <f t="shared" si="14"/>
        <v>0</v>
      </c>
      <c r="CH17" s="24">
        <f t="shared" si="20"/>
        <v>0</v>
      </c>
      <c r="CI17" s="25">
        <f t="shared" si="21"/>
        <v>0</v>
      </c>
      <c r="CJ17" s="26">
        <f t="shared" si="22"/>
        <v>0</v>
      </c>
      <c r="CK17" s="26">
        <f t="shared" si="23"/>
        <v>0</v>
      </c>
      <c r="CL17" s="39">
        <f t="shared" si="24"/>
        <v>0</v>
      </c>
      <c r="CM17" s="24">
        <f t="shared" si="25"/>
        <v>0</v>
      </c>
      <c r="CN17" s="25">
        <f t="shared" si="26"/>
        <v>0</v>
      </c>
      <c r="CO17" s="26">
        <f t="shared" si="27"/>
        <v>0</v>
      </c>
      <c r="CP17" s="26">
        <f t="shared" si="28"/>
        <v>0</v>
      </c>
      <c r="CQ17" s="39">
        <f t="shared" si="29"/>
        <v>0</v>
      </c>
      <c r="CR17" s="24">
        <f t="shared" si="30"/>
        <v>0</v>
      </c>
      <c r="CS17" s="25">
        <f t="shared" si="31"/>
        <v>0</v>
      </c>
      <c r="CT17" s="26">
        <f t="shared" si="32"/>
        <v>0</v>
      </c>
      <c r="CU17" s="26">
        <f t="shared" si="33"/>
        <v>0</v>
      </c>
      <c r="CV17" s="39">
        <f t="shared" si="34"/>
        <v>0</v>
      </c>
      <c r="CW17" s="24">
        <f t="shared" si="35"/>
        <v>0</v>
      </c>
      <c r="CX17" s="25">
        <f t="shared" si="36"/>
        <v>0</v>
      </c>
      <c r="CY17" s="26">
        <f t="shared" si="37"/>
        <v>0</v>
      </c>
      <c r="CZ17" s="26">
        <f t="shared" si="38"/>
        <v>0</v>
      </c>
      <c r="DA17" s="39">
        <f t="shared" si="39"/>
        <v>0</v>
      </c>
      <c r="DB17" s="41">
        <f>IFERROR(VLOOKUP($AP17,Tabelle1!$B$4:$W$153,11,0)*$BR17,0)</f>
        <v>0</v>
      </c>
      <c r="DC17" s="42">
        <f t="shared" si="15"/>
        <v>0</v>
      </c>
      <c r="DD17" s="43">
        <f>IFERROR(VLOOKUP($AP17,Tabelle1!$B$4:$AJ$153,35,0),0)</f>
        <v>0</v>
      </c>
      <c r="DE17" s="44">
        <f t="shared" si="40"/>
        <v>0</v>
      </c>
      <c r="DF17" s="45">
        <f>IFERROR(VLOOKUP($AP17,Tabelle1!$B$4:$AK$153,36,0),0)</f>
        <v>0</v>
      </c>
      <c r="DG17" s="46">
        <f t="shared" si="41"/>
        <v>0</v>
      </c>
      <c r="DH17">
        <f t="shared" si="16"/>
        <v>0</v>
      </c>
    </row>
    <row r="18" spans="1:112" ht="13.8">
      <c r="A18" s="1">
        <v>13</v>
      </c>
      <c r="B18" s="47" t="str">
        <f t="shared" si="42"/>
        <v>Kalbinnen - Gülle</v>
      </c>
      <c r="C18" s="48" t="s">
        <v>1027</v>
      </c>
      <c r="D18" s="1037">
        <v>58.9</v>
      </c>
      <c r="E18" s="1038"/>
      <c r="F18" s="1038"/>
      <c r="G18" s="1038"/>
      <c r="H18" s="1039"/>
      <c r="I18" s="1040">
        <v>7.7</v>
      </c>
      <c r="J18" s="1041"/>
      <c r="K18" s="1042"/>
      <c r="L18" s="1040">
        <v>1</v>
      </c>
      <c r="M18" s="1042">
        <v>1</v>
      </c>
      <c r="N18" s="1040">
        <v>25.5</v>
      </c>
      <c r="O18" s="1041"/>
      <c r="P18" s="1041"/>
      <c r="Q18" s="1043"/>
      <c r="R18" s="1044"/>
      <c r="S18" s="1045">
        <v>104.2</v>
      </c>
      <c r="T18" s="1043"/>
      <c r="U18" s="1043"/>
      <c r="V18" s="1043"/>
      <c r="W18" s="1044"/>
      <c r="X18" s="1616"/>
      <c r="Y18" s="1617"/>
      <c r="Z18" s="1617"/>
      <c r="AA18" s="1618"/>
      <c r="AB18" s="1617"/>
      <c r="AC18" s="1617"/>
      <c r="AD18" s="1617"/>
      <c r="AE18" s="1618"/>
      <c r="AF18" s="1040">
        <v>51.2</v>
      </c>
      <c r="AG18" s="1041"/>
      <c r="AH18" s="1042"/>
      <c r="AI18" s="53" t="s">
        <v>1027</v>
      </c>
      <c r="AJ18" s="54">
        <v>68</v>
      </c>
      <c r="AK18" s="55">
        <v>68</v>
      </c>
      <c r="AL18" s="45">
        <f t="shared" si="17"/>
        <v>2.5</v>
      </c>
      <c r="AM18" s="909" t="s">
        <v>1028</v>
      </c>
      <c r="AN18" s="21" t="str">
        <f>IF(Tiere!G32=0,"LN-Angaben fehelen!","")</f>
        <v>LN-Angaben fehelen!</v>
      </c>
      <c r="AP18" s="21">
        <f>Tiere!B18</f>
        <v>0</v>
      </c>
      <c r="AQ18" s="22">
        <f>IF(AP18=0,0,Tiere!I18)</f>
        <v>0</v>
      </c>
      <c r="AR18" s="23">
        <f>IFERROR(VLOOKUP($AP18,Tabelle1!$B$4:$AE$153,12,0)*$AQ18,0)</f>
        <v>0</v>
      </c>
      <c r="AS18" s="24">
        <f>IFERROR(VLOOKUP($AP18,Tabelle1!$B$4:$W$153,3,0)*$AR18,0)</f>
        <v>0</v>
      </c>
      <c r="AT18" s="25">
        <f>IFERROR(VLOOKUP($AP18,Tabelle1!$B$4:$W$153,4,0)*$AR18,0)</f>
        <v>0</v>
      </c>
      <c r="AU18" s="26">
        <f>IFERROR(VLOOKUP($AP18,Tabelle1!$B$4:$W$153,5,0)*$AR18,0)</f>
        <v>0</v>
      </c>
      <c r="AV18" s="26">
        <f>IFERROR(VLOOKUP($AP18,Tabelle1!$B$4:$W$153,6,0)*$AR18,0)</f>
        <v>0</v>
      </c>
      <c r="AW18" s="27">
        <f>IFERROR(VLOOKUP($AP18,Tabelle1!$B$4:$W$153,7,0)*$AR18,0)</f>
        <v>0</v>
      </c>
      <c r="AX18" s="33">
        <f t="shared" si="0"/>
        <v>0</v>
      </c>
      <c r="AY18" s="29">
        <f>IFERROR(VLOOKUP($AP18,Tabelle1!$B$4:$W$153,8,0)*$AQ18,0)</f>
        <v>0</v>
      </c>
      <c r="AZ18" s="30">
        <f>IFERROR(VLOOKUP($AP18,Tabelle1!$B$4:$W$153,9,0)*$AQ18,0)</f>
        <v>0</v>
      </c>
      <c r="BA18" s="31">
        <f>IFERROR(VLOOKUP($AP18,Tabelle1!$B$4:$W$153,10,0)*$AQ18,0)</f>
        <v>0</v>
      </c>
      <c r="BB18" s="32">
        <f>IFERROR(VLOOKUP($AP18,Tabelle1!$B$4:$W$153,11,0)*$AQ18,0)</f>
        <v>0</v>
      </c>
      <c r="BC18" s="56">
        <f>IFERROR(VLOOKUP($AP18,Tabelle1!$B$4:$W$144,12,0)*$AQ18,0)</f>
        <v>0</v>
      </c>
      <c r="BD18" s="25">
        <f>IFERROR(VLOOKUP($AP18,Tabelle1!$B$4:$W$153,13,0)*$AR18,0)</f>
        <v>0</v>
      </c>
      <c r="BE18" s="26">
        <f>IFERROR(VLOOKUP($AP18,Tabelle1!$B$4:$W$153,14,0)*$AR18,0)</f>
        <v>0</v>
      </c>
      <c r="BF18" s="26">
        <f>IFERROR(VLOOKUP($AP18,Tabelle1!$B$4:$W$153,15,0)*$AR18,0)</f>
        <v>0</v>
      </c>
      <c r="BG18" s="26">
        <f>IFERROR(VLOOKUP($AP18,Tabelle1!$B$4:$W$153,16,0)*$AR18,0)</f>
        <v>0</v>
      </c>
      <c r="BH18" s="27">
        <f>IFERROR(VLOOKUP($AP18,Tabelle1!$B$4:$W$153,17,0)*$AR18,0)</f>
        <v>0</v>
      </c>
      <c r="BI18" s="33">
        <f t="shared" si="1"/>
        <v>0</v>
      </c>
      <c r="BJ18" s="34">
        <f>IFERROR(VLOOKUP($AP18,Tabelle1!$B$4:$W$153,18,0)*$AR18,0)</f>
        <v>0</v>
      </c>
      <c r="BK18" s="4">
        <f>IFERROR(VLOOKUP($AP18,Tabelle1!$B$4:$W$153,19,0)*$AR18,0)</f>
        <v>0</v>
      </c>
      <c r="BL18" s="4">
        <f>IFERROR(VLOOKUP($AP18,Tabelle1!$B$4:$W$153,20,0)*$AR18,0)</f>
        <v>0</v>
      </c>
      <c r="BM18" s="4">
        <f>IFERROR(VLOOKUP($AP18,Tabelle1!$B$4:$W$153,21,0)*$AR18,0)</f>
        <v>0</v>
      </c>
      <c r="BN18" s="35">
        <f>IFERROR(VLOOKUP($AP18,Tabelle1!$B$4:$W$153,22,0)*$AR18,0)</f>
        <v>0</v>
      </c>
      <c r="BO18" s="36">
        <f t="shared" si="2"/>
        <v>0</v>
      </c>
      <c r="BP18" s="37">
        <f>Tiere!K18</f>
        <v>0</v>
      </c>
      <c r="BQ18" s="38">
        <f>Tiere!L18</f>
        <v>0</v>
      </c>
      <c r="BR18" s="37">
        <f>Tiere!M18</f>
        <v>0</v>
      </c>
      <c r="BS18" s="23">
        <f>Tiere!N18</f>
        <v>0</v>
      </c>
      <c r="BT18" s="1025">
        <f t="shared" si="18"/>
        <v>0</v>
      </c>
      <c r="BU18" s="1026">
        <f t="shared" si="19"/>
        <v>0</v>
      </c>
      <c r="BV18" s="25">
        <f t="shared" si="3"/>
        <v>0</v>
      </c>
      <c r="BW18" s="25">
        <f t="shared" si="4"/>
        <v>0</v>
      </c>
      <c r="BX18" s="26">
        <f t="shared" si="5"/>
        <v>0</v>
      </c>
      <c r="BY18" s="26">
        <f t="shared" si="6"/>
        <v>0</v>
      </c>
      <c r="BZ18" s="39">
        <f t="shared" si="7"/>
        <v>0</v>
      </c>
      <c r="CA18" s="33">
        <f t="shared" si="8"/>
        <v>0</v>
      </c>
      <c r="CB18" s="32">
        <f t="shared" si="9"/>
        <v>0</v>
      </c>
      <c r="CC18" s="32">
        <f t="shared" si="10"/>
        <v>0</v>
      </c>
      <c r="CD18" s="32">
        <f t="shared" si="11"/>
        <v>0</v>
      </c>
      <c r="CE18" s="32">
        <f t="shared" si="12"/>
        <v>0</v>
      </c>
      <c r="CF18" s="40">
        <f t="shared" si="13"/>
        <v>0</v>
      </c>
      <c r="CG18" s="33">
        <f t="shared" si="14"/>
        <v>0</v>
      </c>
      <c r="CH18" s="24">
        <f t="shared" si="20"/>
        <v>0</v>
      </c>
      <c r="CI18" s="25">
        <f t="shared" si="21"/>
        <v>0</v>
      </c>
      <c r="CJ18" s="26">
        <f t="shared" si="22"/>
        <v>0</v>
      </c>
      <c r="CK18" s="26">
        <f t="shared" si="23"/>
        <v>0</v>
      </c>
      <c r="CL18" s="39">
        <f t="shared" si="24"/>
        <v>0</v>
      </c>
      <c r="CM18" s="24">
        <f t="shared" si="25"/>
        <v>0</v>
      </c>
      <c r="CN18" s="25">
        <f t="shared" si="26"/>
        <v>0</v>
      </c>
      <c r="CO18" s="26">
        <f t="shared" si="27"/>
        <v>0</v>
      </c>
      <c r="CP18" s="26">
        <f t="shared" si="28"/>
        <v>0</v>
      </c>
      <c r="CQ18" s="39">
        <f t="shared" si="29"/>
        <v>0</v>
      </c>
      <c r="CR18" s="24">
        <f t="shared" si="30"/>
        <v>0</v>
      </c>
      <c r="CS18" s="25">
        <f t="shared" si="31"/>
        <v>0</v>
      </c>
      <c r="CT18" s="26">
        <f t="shared" si="32"/>
        <v>0</v>
      </c>
      <c r="CU18" s="26">
        <f t="shared" si="33"/>
        <v>0</v>
      </c>
      <c r="CV18" s="39">
        <f t="shared" si="34"/>
        <v>0</v>
      </c>
      <c r="CW18" s="24">
        <f t="shared" si="35"/>
        <v>0</v>
      </c>
      <c r="CX18" s="25">
        <f t="shared" si="36"/>
        <v>0</v>
      </c>
      <c r="CY18" s="26">
        <f t="shared" si="37"/>
        <v>0</v>
      </c>
      <c r="CZ18" s="26">
        <f t="shared" si="38"/>
        <v>0</v>
      </c>
      <c r="DA18" s="39">
        <f t="shared" si="39"/>
        <v>0</v>
      </c>
      <c r="DB18" s="41">
        <f>IFERROR(VLOOKUP($AP18,Tabelle1!$B$4:$W$153,11,0)*$BR18,0)</f>
        <v>0</v>
      </c>
      <c r="DC18" s="42">
        <f t="shared" si="15"/>
        <v>0</v>
      </c>
      <c r="DD18" s="43">
        <f>IFERROR(VLOOKUP($AP18,Tabelle1!$B$4:$AJ$153,35,0),0)</f>
        <v>0</v>
      </c>
      <c r="DE18" s="44">
        <f t="shared" si="40"/>
        <v>0</v>
      </c>
      <c r="DF18" s="45">
        <f>IFERROR(VLOOKUP($AP18,Tabelle1!$B$4:$AK$153,36,0),0)</f>
        <v>0</v>
      </c>
      <c r="DG18" s="46">
        <f t="shared" si="41"/>
        <v>0</v>
      </c>
      <c r="DH18">
        <f t="shared" si="16"/>
        <v>0</v>
      </c>
    </row>
    <row r="19" spans="1:112" ht="14.4" thickBot="1">
      <c r="A19" s="1">
        <v>14</v>
      </c>
      <c r="B19" s="47" t="str">
        <f t="shared" si="42"/>
        <v>Kalbinnen - Mist/Jauche</v>
      </c>
      <c r="C19" s="48" t="s">
        <v>1029</v>
      </c>
      <c r="D19" s="1037"/>
      <c r="E19" s="1038"/>
      <c r="F19" s="1038"/>
      <c r="G19" s="1038">
        <v>24.2</v>
      </c>
      <c r="H19" s="1039">
        <v>24.3</v>
      </c>
      <c r="I19" s="1040"/>
      <c r="J19" s="1041">
        <v>3.8</v>
      </c>
      <c r="K19" s="1042">
        <v>3.8</v>
      </c>
      <c r="L19" s="1040">
        <v>1</v>
      </c>
      <c r="M19" s="1042">
        <v>1</v>
      </c>
      <c r="N19" s="1040"/>
      <c r="O19" s="1041"/>
      <c r="P19" s="1041"/>
      <c r="Q19" s="1043">
        <v>1.2749999999999999</v>
      </c>
      <c r="R19" s="1044">
        <v>24.225000000000001</v>
      </c>
      <c r="S19" s="1045"/>
      <c r="T19" s="1043"/>
      <c r="U19" s="1043"/>
      <c r="V19" s="1043">
        <v>34.386000000000003</v>
      </c>
      <c r="W19" s="1044">
        <v>69.813999999999993</v>
      </c>
      <c r="X19" s="1616"/>
      <c r="Y19" s="1617"/>
      <c r="Z19" s="1617"/>
      <c r="AA19" s="1618"/>
      <c r="AB19" s="1617"/>
      <c r="AC19" s="1617"/>
      <c r="AD19" s="1617"/>
      <c r="AE19" s="1618"/>
      <c r="AF19" s="1040"/>
      <c r="AG19" s="1041">
        <v>21.1</v>
      </c>
      <c r="AH19" s="1042">
        <v>22.1</v>
      </c>
      <c r="AI19" s="53" t="s">
        <v>1029</v>
      </c>
      <c r="AJ19" s="54">
        <v>68</v>
      </c>
      <c r="AK19" s="55">
        <v>68</v>
      </c>
      <c r="AL19" s="45">
        <f t="shared" si="17"/>
        <v>2.5</v>
      </c>
      <c r="AM19" s="909" t="s">
        <v>1030</v>
      </c>
      <c r="AN19" s="65"/>
      <c r="AP19" s="21">
        <f>Tiere!B19</f>
        <v>0</v>
      </c>
      <c r="AQ19" s="22">
        <f>IF(AP19=0,0,Tiere!I19)</f>
        <v>0</v>
      </c>
      <c r="AR19" s="23">
        <f>IFERROR(VLOOKUP($AP19,Tabelle1!$B$4:$AE$153,12,0)*$AQ19,0)</f>
        <v>0</v>
      </c>
      <c r="AS19" s="24">
        <f>IFERROR(VLOOKUP($AP19,Tabelle1!$B$4:$W$153,3,0)*$AR19,0)</f>
        <v>0</v>
      </c>
      <c r="AT19" s="25">
        <f>IFERROR(VLOOKUP($AP19,Tabelle1!$B$4:$W$153,4,0)*$AR19,0)</f>
        <v>0</v>
      </c>
      <c r="AU19" s="26">
        <f>IFERROR(VLOOKUP($AP19,Tabelle1!$B$4:$W$153,5,0)*$AR19,0)</f>
        <v>0</v>
      </c>
      <c r="AV19" s="26">
        <f>IFERROR(VLOOKUP($AP19,Tabelle1!$B$4:$W$153,6,0)*$AR19,0)</f>
        <v>0</v>
      </c>
      <c r="AW19" s="27">
        <f>IFERROR(VLOOKUP($AP19,Tabelle1!$B$4:$W$153,7,0)*$AR19,0)</f>
        <v>0</v>
      </c>
      <c r="AX19" s="33">
        <f t="shared" si="0"/>
        <v>0</v>
      </c>
      <c r="AY19" s="29">
        <f>IFERROR(VLOOKUP($AP19,Tabelle1!$B$4:$W$153,8,0)*$AQ19,0)</f>
        <v>0</v>
      </c>
      <c r="AZ19" s="30">
        <f>IFERROR(VLOOKUP($AP19,Tabelle1!$B$4:$W$153,9,0)*$AQ19,0)</f>
        <v>0</v>
      </c>
      <c r="BA19" s="31">
        <f>IFERROR(VLOOKUP($AP19,Tabelle1!$B$4:$W$153,10,0)*$AQ19,0)</f>
        <v>0</v>
      </c>
      <c r="BB19" s="32">
        <f>IFERROR(VLOOKUP($AP19,Tabelle1!$B$4:$W$153,11,0)*$AQ19,0)</f>
        <v>0</v>
      </c>
      <c r="BC19" s="56">
        <f>IFERROR(VLOOKUP($AP19,Tabelle1!$B$4:$W$144,12,0)*$AQ19,0)</f>
        <v>0</v>
      </c>
      <c r="BD19" s="25">
        <f>IFERROR(VLOOKUP($AP19,Tabelle1!$B$4:$W$153,13,0)*$AR19,0)</f>
        <v>0</v>
      </c>
      <c r="BE19" s="26">
        <f>IFERROR(VLOOKUP($AP19,Tabelle1!$B$4:$W$153,14,0)*$AR19,0)</f>
        <v>0</v>
      </c>
      <c r="BF19" s="26">
        <f>IFERROR(VLOOKUP($AP19,Tabelle1!$B$4:$W$153,15,0)*$AR19,0)</f>
        <v>0</v>
      </c>
      <c r="BG19" s="26">
        <f>IFERROR(VLOOKUP($AP19,Tabelle1!$B$4:$W$153,16,0)*$AR19,0)</f>
        <v>0</v>
      </c>
      <c r="BH19" s="27">
        <f>IFERROR(VLOOKUP($AP19,Tabelle1!$B$4:$W$153,17,0)*$AR19,0)</f>
        <v>0</v>
      </c>
      <c r="BI19" s="33">
        <f t="shared" si="1"/>
        <v>0</v>
      </c>
      <c r="BJ19" s="34">
        <f>IFERROR(VLOOKUP($AP19,Tabelle1!$B$4:$W$153,18,0)*$AR19,0)</f>
        <v>0</v>
      </c>
      <c r="BK19" s="4">
        <f>IFERROR(VLOOKUP($AP19,Tabelle1!$B$4:$W$153,19,0)*$AR19,0)</f>
        <v>0</v>
      </c>
      <c r="BL19" s="4">
        <f>IFERROR(VLOOKUP($AP19,Tabelle1!$B$4:$W$153,20,0)*$AR19,0)</f>
        <v>0</v>
      </c>
      <c r="BM19" s="4">
        <f>IFERROR(VLOOKUP($AP19,Tabelle1!$B$4:$W$153,21,0)*$AR19,0)</f>
        <v>0</v>
      </c>
      <c r="BN19" s="35">
        <f>IFERROR(VLOOKUP($AP19,Tabelle1!$B$4:$W$153,22,0)*$AR19,0)</f>
        <v>0</v>
      </c>
      <c r="BO19" s="36">
        <f t="shared" si="2"/>
        <v>0</v>
      </c>
      <c r="BP19" s="37">
        <f>Tiere!K19</f>
        <v>0</v>
      </c>
      <c r="BQ19" s="38">
        <f>Tiere!L19</f>
        <v>0</v>
      </c>
      <c r="BR19" s="37">
        <f>Tiere!M19</f>
        <v>0</v>
      </c>
      <c r="BS19" s="23">
        <f>Tiere!N19</f>
        <v>0</v>
      </c>
      <c r="BT19" s="1027">
        <f t="shared" si="18"/>
        <v>0</v>
      </c>
      <c r="BU19" s="1028">
        <f t="shared" si="19"/>
        <v>0</v>
      </c>
      <c r="BV19" s="25">
        <f t="shared" si="3"/>
        <v>0</v>
      </c>
      <c r="BW19" s="25">
        <f t="shared" si="4"/>
        <v>0</v>
      </c>
      <c r="BX19" s="26">
        <f t="shared" si="5"/>
        <v>0</v>
      </c>
      <c r="BY19" s="26">
        <f t="shared" si="6"/>
        <v>0</v>
      </c>
      <c r="BZ19" s="39">
        <f t="shared" si="7"/>
        <v>0</v>
      </c>
      <c r="CA19" s="33">
        <f t="shared" si="8"/>
        <v>0</v>
      </c>
      <c r="CB19" s="2483">
        <f t="shared" si="9"/>
        <v>0</v>
      </c>
      <c r="CC19" s="2483">
        <f t="shared" si="10"/>
        <v>0</v>
      </c>
      <c r="CD19" s="2483">
        <f t="shared" si="11"/>
        <v>0</v>
      </c>
      <c r="CE19" s="2483">
        <f t="shared" si="12"/>
        <v>0</v>
      </c>
      <c r="CF19" s="2484">
        <f t="shared" si="13"/>
        <v>0</v>
      </c>
      <c r="CG19" s="33">
        <f t="shared" si="14"/>
        <v>0</v>
      </c>
      <c r="CH19" s="2491">
        <f t="shared" si="20"/>
        <v>0</v>
      </c>
      <c r="CI19" s="25">
        <f t="shared" si="21"/>
        <v>0</v>
      </c>
      <c r="CJ19" s="26">
        <f t="shared" si="22"/>
        <v>0</v>
      </c>
      <c r="CK19" s="26">
        <f t="shared" si="23"/>
        <v>0</v>
      </c>
      <c r="CL19" s="39">
        <f t="shared" si="24"/>
        <v>0</v>
      </c>
      <c r="CM19" s="2491">
        <f t="shared" si="25"/>
        <v>0</v>
      </c>
      <c r="CN19" s="25">
        <f t="shared" si="26"/>
        <v>0</v>
      </c>
      <c r="CO19" s="26">
        <f t="shared" si="27"/>
        <v>0</v>
      </c>
      <c r="CP19" s="26">
        <f t="shared" si="28"/>
        <v>0</v>
      </c>
      <c r="CQ19" s="39">
        <f t="shared" si="29"/>
        <v>0</v>
      </c>
      <c r="CR19" s="24">
        <f t="shared" si="30"/>
        <v>0</v>
      </c>
      <c r="CS19" s="25">
        <f t="shared" si="31"/>
        <v>0</v>
      </c>
      <c r="CT19" s="26">
        <f t="shared" si="32"/>
        <v>0</v>
      </c>
      <c r="CU19" s="26">
        <f t="shared" si="33"/>
        <v>0</v>
      </c>
      <c r="CV19" s="39">
        <f t="shared" si="34"/>
        <v>0</v>
      </c>
      <c r="CW19" s="24">
        <f t="shared" si="35"/>
        <v>0</v>
      </c>
      <c r="CX19" s="25">
        <f t="shared" si="36"/>
        <v>0</v>
      </c>
      <c r="CY19" s="26">
        <f t="shared" si="37"/>
        <v>0</v>
      </c>
      <c r="CZ19" s="26">
        <f t="shared" si="38"/>
        <v>0</v>
      </c>
      <c r="DA19" s="39">
        <f t="shared" si="39"/>
        <v>0</v>
      </c>
      <c r="DB19" s="41">
        <f>IFERROR(VLOOKUP($AP19,Tabelle1!$B$4:$W$153,11,0)*$BR19,0)</f>
        <v>0</v>
      </c>
      <c r="DC19" s="42">
        <f t="shared" si="15"/>
        <v>0</v>
      </c>
      <c r="DD19" s="43">
        <f>IFERROR(VLOOKUP($AP19,Tabelle1!$B$4:$AJ$153,35,0),0)</f>
        <v>0</v>
      </c>
      <c r="DE19" s="44">
        <f t="shared" si="40"/>
        <v>0</v>
      </c>
      <c r="DF19" s="45">
        <f>IFERROR(VLOOKUP($AP19,Tabelle1!$B$4:$AK$153,36,0),0)</f>
        <v>0</v>
      </c>
      <c r="DG19" s="46">
        <f t="shared" si="41"/>
        <v>0</v>
      </c>
      <c r="DH19">
        <f t="shared" si="16"/>
        <v>0</v>
      </c>
    </row>
    <row r="20" spans="1:112" ht="14.4" thickBot="1">
      <c r="A20" s="1">
        <v>15</v>
      </c>
      <c r="B20" s="47" t="str">
        <f t="shared" si="42"/>
        <v>Kalbinnen - Tiefstallmist</v>
      </c>
      <c r="C20" s="48" t="s">
        <v>1031</v>
      </c>
      <c r="D20" s="1037"/>
      <c r="E20" s="1038"/>
      <c r="F20" s="1038"/>
      <c r="G20" s="1038"/>
      <c r="H20" s="1039">
        <v>48.5</v>
      </c>
      <c r="I20" s="1040"/>
      <c r="J20" s="1041"/>
      <c r="K20" s="1042">
        <v>8.1999999999999993</v>
      </c>
      <c r="L20" s="1040">
        <v>1</v>
      </c>
      <c r="M20" s="1042">
        <v>1</v>
      </c>
      <c r="N20" s="1040"/>
      <c r="O20" s="1041"/>
      <c r="P20" s="1041"/>
      <c r="Q20" s="1043"/>
      <c r="R20" s="1044">
        <v>25.5</v>
      </c>
      <c r="S20" s="1045"/>
      <c r="T20" s="1043"/>
      <c r="U20" s="1043"/>
      <c r="V20" s="1043"/>
      <c r="W20" s="1044">
        <v>104.2</v>
      </c>
      <c r="X20" s="1616"/>
      <c r="Y20" s="1617"/>
      <c r="Z20" s="1617"/>
      <c r="AA20" s="1618"/>
      <c r="AB20" s="1617"/>
      <c r="AC20" s="1617"/>
      <c r="AD20" s="1617"/>
      <c r="AE20" s="1618"/>
      <c r="AF20" s="1040"/>
      <c r="AG20" s="1041"/>
      <c r="AH20" s="1042">
        <v>44.1</v>
      </c>
      <c r="AI20" s="53" t="s">
        <v>1031</v>
      </c>
      <c r="AJ20" s="54">
        <v>68</v>
      </c>
      <c r="AK20" s="55">
        <v>68</v>
      </c>
      <c r="AL20" s="45">
        <f t="shared" si="17"/>
        <v>2.5</v>
      </c>
      <c r="AM20" s="909" t="s">
        <v>1032</v>
      </c>
      <c r="AN20" s="21" t="str">
        <f>IF(Tiere!G34=0,"LN-Angaben fehlen!",IF(Tiere!G34&gt;210,"Zuviel Stickstoff am Betrieb!",""))</f>
        <v>LN-Angaben fehlen!</v>
      </c>
      <c r="AP20" s="5" t="s">
        <v>1033</v>
      </c>
      <c r="AQ20" s="5"/>
      <c r="AR20" s="6"/>
      <c r="AS20" s="66">
        <f>SUM(AS5:AS19)</f>
        <v>0</v>
      </c>
      <c r="AT20" s="67">
        <f>SUM(AT5:AT19)</f>
        <v>0</v>
      </c>
      <c r="AU20" s="67">
        <f>SUM(AU5:AU19)</f>
        <v>0</v>
      </c>
      <c r="AV20" s="67">
        <f>SUM(AV5:AV19)</f>
        <v>0</v>
      </c>
      <c r="AW20" s="68">
        <f>SUM(AW5:AW19)</f>
        <v>0</v>
      </c>
      <c r="AX20" s="69">
        <f t="shared" si="0"/>
        <v>0</v>
      </c>
      <c r="AY20" s="70">
        <f t="shared" ref="AY20:BH20" si="43">SUM(AY5:AY19)</f>
        <v>0</v>
      </c>
      <c r="AZ20" s="67">
        <f t="shared" si="43"/>
        <v>0</v>
      </c>
      <c r="BA20" s="68">
        <f t="shared" si="43"/>
        <v>0</v>
      </c>
      <c r="BB20" s="69">
        <f t="shared" si="43"/>
        <v>0</v>
      </c>
      <c r="BC20" s="69">
        <f t="shared" si="43"/>
        <v>0</v>
      </c>
      <c r="BD20" s="70">
        <f t="shared" si="43"/>
        <v>0</v>
      </c>
      <c r="BE20" s="67">
        <f t="shared" si="43"/>
        <v>0</v>
      </c>
      <c r="BF20" s="67">
        <f t="shared" si="43"/>
        <v>0</v>
      </c>
      <c r="BG20" s="67">
        <f t="shared" si="43"/>
        <v>0</v>
      </c>
      <c r="BH20" s="68">
        <f t="shared" si="43"/>
        <v>0</v>
      </c>
      <c r="BI20" s="69">
        <f t="shared" si="1"/>
        <v>0</v>
      </c>
      <c r="BJ20" s="9">
        <f t="shared" ref="BJ20:BO20" si="44">SUM(BJ5:BJ19)</f>
        <v>0</v>
      </c>
      <c r="BK20" s="7">
        <f t="shared" si="44"/>
        <v>0</v>
      </c>
      <c r="BL20" s="7">
        <f t="shared" si="44"/>
        <v>0</v>
      </c>
      <c r="BM20" s="7">
        <f t="shared" si="44"/>
        <v>0</v>
      </c>
      <c r="BN20" s="8">
        <f t="shared" si="44"/>
        <v>0</v>
      </c>
      <c r="BO20" s="10">
        <f t="shared" si="44"/>
        <v>0</v>
      </c>
      <c r="BP20" s="71"/>
      <c r="BQ20" s="72"/>
      <c r="BR20" s="73"/>
      <c r="BS20" s="74"/>
      <c r="BT20" s="1020"/>
      <c r="BU20" s="1021" t="s">
        <v>1034</v>
      </c>
      <c r="BV20" s="710">
        <f t="shared" ref="BV20:DB20" si="45">SUM(BV5:BV19)</f>
        <v>0</v>
      </c>
      <c r="BW20" s="711">
        <f t="shared" si="45"/>
        <v>0</v>
      </c>
      <c r="BX20" s="711">
        <f t="shared" si="45"/>
        <v>0</v>
      </c>
      <c r="BY20" s="711">
        <f t="shared" si="45"/>
        <v>0</v>
      </c>
      <c r="BZ20" s="712">
        <f t="shared" si="45"/>
        <v>0</v>
      </c>
      <c r="CA20" s="2482">
        <f t="shared" si="45"/>
        <v>0</v>
      </c>
      <c r="CB20" s="2487">
        <f t="shared" si="45"/>
        <v>0</v>
      </c>
      <c r="CC20" s="2488">
        <f t="shared" si="45"/>
        <v>0</v>
      </c>
      <c r="CD20" s="2488">
        <f t="shared" si="45"/>
        <v>0</v>
      </c>
      <c r="CE20" s="2488">
        <f t="shared" si="45"/>
        <v>0</v>
      </c>
      <c r="CF20" s="2489">
        <f t="shared" si="45"/>
        <v>0</v>
      </c>
      <c r="CG20" s="2490">
        <f t="shared" si="45"/>
        <v>0</v>
      </c>
      <c r="CH20" s="2493">
        <f t="shared" si="45"/>
        <v>0</v>
      </c>
      <c r="CI20" s="2494">
        <f t="shared" si="45"/>
        <v>0</v>
      </c>
      <c r="CJ20" s="2494">
        <f t="shared" si="45"/>
        <v>0</v>
      </c>
      <c r="CK20" s="2494">
        <f t="shared" si="45"/>
        <v>0</v>
      </c>
      <c r="CL20" s="2495">
        <f t="shared" si="45"/>
        <v>0</v>
      </c>
      <c r="CM20" s="2493">
        <f t="shared" si="45"/>
        <v>0</v>
      </c>
      <c r="CN20" s="2494">
        <f t="shared" si="45"/>
        <v>0</v>
      </c>
      <c r="CO20" s="2494">
        <f t="shared" si="45"/>
        <v>0</v>
      </c>
      <c r="CP20" s="2494">
        <f t="shared" si="45"/>
        <v>0</v>
      </c>
      <c r="CQ20" s="2495">
        <f t="shared" si="45"/>
        <v>0</v>
      </c>
      <c r="CR20" s="2493">
        <f t="shared" si="45"/>
        <v>0</v>
      </c>
      <c r="CS20" s="2494">
        <f t="shared" si="45"/>
        <v>0</v>
      </c>
      <c r="CT20" s="2494">
        <f t="shared" si="45"/>
        <v>0</v>
      </c>
      <c r="CU20" s="2494">
        <f t="shared" si="45"/>
        <v>0</v>
      </c>
      <c r="CV20" s="2495">
        <f t="shared" si="45"/>
        <v>0</v>
      </c>
      <c r="CW20" s="2497">
        <f t="shared" si="45"/>
        <v>0</v>
      </c>
      <c r="CX20" s="2498">
        <f t="shared" si="45"/>
        <v>0</v>
      </c>
      <c r="CY20" s="2498">
        <f t="shared" si="45"/>
        <v>0</v>
      </c>
      <c r="CZ20" s="2498">
        <f t="shared" si="45"/>
        <v>0</v>
      </c>
      <c r="DA20" s="2499">
        <f t="shared" si="45"/>
        <v>0</v>
      </c>
      <c r="DB20" s="2496">
        <f t="shared" si="45"/>
        <v>0</v>
      </c>
      <c r="DC20" s="713"/>
      <c r="DD20" s="714"/>
      <c r="DE20" s="715">
        <f>SUM(DE5:DE19)</f>
        <v>0</v>
      </c>
      <c r="DF20" s="714"/>
      <c r="DG20" s="715">
        <f>SUM(DG5:DG19)</f>
        <v>0</v>
      </c>
    </row>
    <row r="21" spans="1:112" ht="14.4" thickBot="1">
      <c r="A21" s="1">
        <v>16</v>
      </c>
      <c r="B21" s="47" t="str">
        <f t="shared" si="42"/>
        <v>Milch- bzw. Mutterkühe (3000 kg Milch)  - Gülle</v>
      </c>
      <c r="C21" s="48" t="s">
        <v>1035</v>
      </c>
      <c r="D21" s="1037">
        <v>59.1</v>
      </c>
      <c r="E21" s="1038"/>
      <c r="F21" s="1038"/>
      <c r="G21" s="1038"/>
      <c r="H21" s="1039"/>
      <c r="I21" s="1040">
        <v>11.3</v>
      </c>
      <c r="J21" s="1041"/>
      <c r="K21" s="1042"/>
      <c r="L21" s="1040">
        <v>1</v>
      </c>
      <c r="M21" s="1042">
        <v>1</v>
      </c>
      <c r="N21" s="1040">
        <v>19</v>
      </c>
      <c r="O21" s="1041"/>
      <c r="P21" s="1041"/>
      <c r="Q21" s="1043"/>
      <c r="R21" s="1044"/>
      <c r="S21" s="1045">
        <v>119.1</v>
      </c>
      <c r="T21" s="1043"/>
      <c r="U21" s="1043"/>
      <c r="V21" s="1043"/>
      <c r="W21" s="1044"/>
      <c r="X21" s="1616"/>
      <c r="Y21" s="1617"/>
      <c r="Z21" s="1617"/>
      <c r="AA21" s="1618"/>
      <c r="AB21" s="1617"/>
      <c r="AC21" s="1617"/>
      <c r="AD21" s="1617"/>
      <c r="AE21" s="1618"/>
      <c r="AF21" s="1040">
        <v>51.4</v>
      </c>
      <c r="AG21" s="1041"/>
      <c r="AH21" s="1042"/>
      <c r="AI21" s="53" t="s">
        <v>1035</v>
      </c>
      <c r="AJ21" s="54">
        <v>68</v>
      </c>
      <c r="AK21" s="55">
        <v>68</v>
      </c>
      <c r="AL21" s="45">
        <f t="shared" si="17"/>
        <v>2.5</v>
      </c>
      <c r="AM21" s="909" t="s">
        <v>1036</v>
      </c>
      <c r="AN21" s="21" t="str">
        <f>IF(AND(Betrieb!D11="",Tiere!G34&lt;=175),"Wasserrechtsgesetz eingehalten!",IF(AND(Betrieb!D11="Nein",Tiere!G34&lt;=175),"Wasserrechtsgesetz eingehalten!",IF(AND(Betrieb!D11="ja",Tiere!G34&lt;=210),"Wasserrechtsgesetz eingehalten!",IF(AND(Betrieb!D11="",Tiere!F41&gt;175),"Bitte Fruchtfolge definieren!","Wasserrechtsgesetz nicht eingehalten!"))))</f>
        <v>Wasserrechtsgesetz eingehalten!</v>
      </c>
      <c r="AS21"/>
      <c r="AT21"/>
      <c r="AU21"/>
      <c r="AV21"/>
      <c r="AW21"/>
      <c r="AX21" s="75">
        <f>SUM(AX5:AX19)</f>
        <v>0</v>
      </c>
      <c r="AY21"/>
      <c r="AZ21"/>
      <c r="BA21"/>
      <c r="BB21"/>
      <c r="BC21"/>
      <c r="BD21"/>
      <c r="BE21"/>
      <c r="BF21"/>
      <c r="BG21"/>
      <c r="BH21"/>
      <c r="BI21"/>
      <c r="BJ21"/>
      <c r="BK21"/>
      <c r="BL21"/>
      <c r="BM21"/>
      <c r="BN21"/>
      <c r="BO21"/>
      <c r="BP21" s="73"/>
      <c r="BQ21" s="76"/>
      <c r="BR21" s="73"/>
      <c r="BS21" s="74"/>
      <c r="BT21" s="722"/>
      <c r="BU21" s="723" t="s">
        <v>1037</v>
      </c>
      <c r="BV21" s="724">
        <f>BV20*0.87</f>
        <v>0</v>
      </c>
      <c r="BW21" s="725">
        <f>BW20*0.87</f>
        <v>0</v>
      </c>
      <c r="BX21" s="725">
        <f>BX20*0.87</f>
        <v>0</v>
      </c>
      <c r="BY21" s="725">
        <f>BY20*0.87</f>
        <v>0</v>
      </c>
      <c r="BZ21" s="725">
        <f>BZ20*0.91</f>
        <v>0</v>
      </c>
      <c r="CA21" s="726">
        <f>SUM(BV21:BZ21)</f>
        <v>0</v>
      </c>
      <c r="CB21" s="2485">
        <f>CB20*0.87</f>
        <v>0</v>
      </c>
      <c r="CC21" s="2486">
        <f>CC20*0.87</f>
        <v>0</v>
      </c>
      <c r="CD21" s="2486">
        <f>CD20*0.87</f>
        <v>0</v>
      </c>
      <c r="CE21" s="2486">
        <f>CE20*0.87</f>
        <v>0</v>
      </c>
      <c r="CF21" s="2486">
        <f>CF20*0.91</f>
        <v>0</v>
      </c>
      <c r="CG21" s="726">
        <f>SUM(CB21:CF21)</f>
        <v>0</v>
      </c>
      <c r="CH21" s="2485"/>
      <c r="CI21" s="2492" t="s">
        <v>1038</v>
      </c>
      <c r="CJ21" s="2485"/>
      <c r="CK21" s="2486"/>
      <c r="CL21" s="2486"/>
      <c r="CM21" s="2486"/>
      <c r="CN21" s="2492" t="s">
        <v>1039</v>
      </c>
      <c r="CO21" s="2485"/>
      <c r="CP21" s="2486"/>
      <c r="CQ21" s="2486"/>
      <c r="CR21" s="2486"/>
      <c r="CS21" s="2492" t="s">
        <v>1040</v>
      </c>
      <c r="CT21" s="2485"/>
      <c r="CU21" s="2486"/>
      <c r="CV21" s="2486"/>
      <c r="CW21" s="2486"/>
      <c r="CX21" s="2492" t="s">
        <v>1041</v>
      </c>
      <c r="CY21" s="2485"/>
      <c r="CZ21" s="2486"/>
      <c r="DA21" s="2486"/>
      <c r="DB21" s="417"/>
      <c r="DC21" s="417"/>
      <c r="DD21" s="727" t="s">
        <v>1042</v>
      </c>
      <c r="DE21" s="728">
        <f>Betrieb!D18</f>
        <v>0</v>
      </c>
      <c r="DF21" s="728"/>
      <c r="DG21" s="728">
        <f>Betrieb!D18</f>
        <v>0</v>
      </c>
    </row>
    <row r="22" spans="1:112" ht="16.2" thickBot="1">
      <c r="A22" s="1">
        <v>17</v>
      </c>
      <c r="B22" s="47" t="str">
        <f t="shared" si="42"/>
        <v>Milch- bzw. Mutterkühe (3000 kg Milch)  - Mist / Jauche</v>
      </c>
      <c r="C22" s="48" t="s">
        <v>1043</v>
      </c>
      <c r="D22" s="1037"/>
      <c r="E22" s="1038"/>
      <c r="F22" s="1038"/>
      <c r="G22" s="1038">
        <v>16.2</v>
      </c>
      <c r="H22" s="1039">
        <v>32.5</v>
      </c>
      <c r="I22" s="1040"/>
      <c r="J22" s="1041">
        <v>3.7</v>
      </c>
      <c r="K22" s="1042">
        <v>7.2</v>
      </c>
      <c r="L22" s="1040">
        <v>1</v>
      </c>
      <c r="M22" s="1042">
        <v>1</v>
      </c>
      <c r="N22" s="1040"/>
      <c r="O22" s="1041"/>
      <c r="P22" s="1041"/>
      <c r="Q22" s="1043">
        <v>0.95</v>
      </c>
      <c r="R22" s="1044">
        <v>18.05</v>
      </c>
      <c r="S22" s="1045"/>
      <c r="T22" s="1043"/>
      <c r="U22" s="1043"/>
      <c r="V22" s="1043">
        <v>39.302999999999997</v>
      </c>
      <c r="W22" s="1044">
        <v>79.796999999999997</v>
      </c>
      <c r="X22" s="1616"/>
      <c r="Y22" s="1617"/>
      <c r="Z22" s="1617"/>
      <c r="AA22" s="1618"/>
      <c r="AB22" s="1617"/>
      <c r="AC22" s="1617"/>
      <c r="AD22" s="1617"/>
      <c r="AE22" s="1618"/>
      <c r="AF22" s="1040"/>
      <c r="AG22" s="1041">
        <v>14.1</v>
      </c>
      <c r="AH22" s="1042">
        <v>29.5</v>
      </c>
      <c r="AI22" s="53" t="s">
        <v>1043</v>
      </c>
      <c r="AJ22" s="54">
        <v>68</v>
      </c>
      <c r="AK22" s="55">
        <v>68</v>
      </c>
      <c r="AL22" s="45">
        <f t="shared" si="17"/>
        <v>2.5</v>
      </c>
      <c r="AM22" s="907"/>
      <c r="AN22"/>
      <c r="AP22" s="749" t="s">
        <v>1044</v>
      </c>
      <c r="AQ22" s="750"/>
      <c r="AR22" s="751"/>
      <c r="AS22" s="752"/>
      <c r="AT22" s="752"/>
      <c r="AU22" s="752"/>
      <c r="AV22" s="752"/>
      <c r="AW22" s="752"/>
      <c r="AX22" s="752"/>
      <c r="AY22" s="753" t="s">
        <v>1045</v>
      </c>
      <c r="AZ22" s="754" t="s">
        <v>1046</v>
      </c>
      <c r="BA22" s="754" t="s">
        <v>1047</v>
      </c>
      <c r="BB22" s="754" t="s">
        <v>1048</v>
      </c>
      <c r="BC22" s="752"/>
      <c r="BD22" s="752"/>
      <c r="BE22" s="752"/>
      <c r="BF22" s="752"/>
      <c r="BG22" s="752"/>
      <c r="BH22" s="752"/>
      <c r="BI22" s="752"/>
      <c r="BJ22" s="752"/>
      <c r="BK22" s="752"/>
      <c r="BL22" s="752"/>
      <c r="BM22" s="752"/>
      <c r="BN22" s="752"/>
      <c r="BO22" s="752"/>
      <c r="BP22"/>
      <c r="BT22" s="729"/>
      <c r="BU22" s="729" t="s">
        <v>1049</v>
      </c>
      <c r="BV22" s="730">
        <f>BV21*0.7</f>
        <v>0</v>
      </c>
      <c r="BW22" s="730">
        <f>BW21*0.8</f>
        <v>0</v>
      </c>
      <c r="BX22" s="730">
        <f>BX21*0.85</f>
        <v>0</v>
      </c>
      <c r="BY22" s="731">
        <f>BY21</f>
        <v>0</v>
      </c>
      <c r="BZ22" s="732">
        <f>BZ21*0.5</f>
        <v>0</v>
      </c>
      <c r="CA22" s="726">
        <f>SUM(BV22:BZ22)</f>
        <v>0</v>
      </c>
      <c r="CB22" s="730">
        <f>CB21*0.7</f>
        <v>0</v>
      </c>
      <c r="CC22" s="730">
        <f>CC21*0.8</f>
        <v>0</v>
      </c>
      <c r="CD22" s="730">
        <f>CD21*0.85</f>
        <v>0</v>
      </c>
      <c r="CE22" s="731">
        <f>CE21</f>
        <v>0</v>
      </c>
      <c r="CF22" s="732">
        <f>CF21*0.5</f>
        <v>0</v>
      </c>
      <c r="CG22" s="733">
        <f>SUM(CB22:CF22)</f>
        <v>0</v>
      </c>
      <c r="CH22" s="734" t="s">
        <v>1050</v>
      </c>
      <c r="CI22" s="735">
        <f>SUM(CH20:CL20)</f>
        <v>0</v>
      </c>
      <c r="CJ22" s="736" t="s">
        <v>1050</v>
      </c>
      <c r="CK22" s="736" t="s">
        <v>1050</v>
      </c>
      <c r="CL22" s="736" t="s">
        <v>1050</v>
      </c>
      <c r="CM22" s="734" t="s">
        <v>1050</v>
      </c>
      <c r="CN22" s="735">
        <f>SUM(CM20:CQ20)</f>
        <v>0</v>
      </c>
      <c r="CO22" s="736" t="s">
        <v>1050</v>
      </c>
      <c r="CP22" s="736" t="s">
        <v>1050</v>
      </c>
      <c r="CQ22" s="736" t="s">
        <v>1050</v>
      </c>
      <c r="CR22" s="734" t="s">
        <v>1050</v>
      </c>
      <c r="CS22" s="735">
        <f>SUM(CR20:CV20)</f>
        <v>0</v>
      </c>
      <c r="CT22" s="736" t="s">
        <v>1050</v>
      </c>
      <c r="CU22" s="736" t="s">
        <v>1050</v>
      </c>
      <c r="CV22" s="736" t="s">
        <v>1050</v>
      </c>
      <c r="CW22" s="734" t="s">
        <v>1050</v>
      </c>
      <c r="CX22" s="735">
        <f>SUM(CW20:DA20)</f>
        <v>0</v>
      </c>
      <c r="CY22" s="736" t="s">
        <v>1050</v>
      </c>
      <c r="CZ22" s="736" t="s">
        <v>1050</v>
      </c>
      <c r="DA22" s="736" t="s">
        <v>1050</v>
      </c>
      <c r="DB22" s="417"/>
      <c r="DC22" s="417"/>
      <c r="DD22" s="417" t="str">
        <f>IF(OR(DE23=1,DG23=1),"Bei BIO Tierzahl überprüfen! Siehe Tabellenblatt Tiere BIO","")</f>
        <v/>
      </c>
      <c r="DE22" s="417"/>
      <c r="DF22" s="417"/>
      <c r="DG22" s="417"/>
    </row>
    <row r="23" spans="1:112">
      <c r="A23" s="1">
        <v>18</v>
      </c>
      <c r="B23" s="47" t="str">
        <f t="shared" si="42"/>
        <v>Milch- bzw. Mutterkühe (3000 kg Milch)  - Tiefstallmist</v>
      </c>
      <c r="C23" s="48" t="s">
        <v>1051</v>
      </c>
      <c r="D23" s="1037"/>
      <c r="E23" s="1038"/>
      <c r="F23" s="1038"/>
      <c r="G23" s="1038"/>
      <c r="H23" s="1039">
        <v>48.7</v>
      </c>
      <c r="I23" s="1040"/>
      <c r="J23" s="1041"/>
      <c r="K23" s="1042">
        <v>11.6</v>
      </c>
      <c r="L23" s="1040">
        <v>1</v>
      </c>
      <c r="M23" s="1042">
        <v>1</v>
      </c>
      <c r="N23" s="1040"/>
      <c r="O23" s="1041"/>
      <c r="P23" s="1041"/>
      <c r="Q23" s="1043"/>
      <c r="R23" s="1044">
        <v>19</v>
      </c>
      <c r="S23" s="1045"/>
      <c r="T23" s="1043"/>
      <c r="U23" s="1043"/>
      <c r="V23" s="1043"/>
      <c r="W23" s="1044">
        <v>119.1</v>
      </c>
      <c r="X23" s="1616"/>
      <c r="Y23" s="1617"/>
      <c r="Z23" s="1617"/>
      <c r="AA23" s="1618"/>
      <c r="AB23" s="1617"/>
      <c r="AC23" s="1617"/>
      <c r="AD23" s="1617"/>
      <c r="AE23" s="1618"/>
      <c r="AF23" s="1040"/>
      <c r="AG23" s="1041"/>
      <c r="AH23" s="1042">
        <v>44.3</v>
      </c>
      <c r="AI23" s="53" t="s">
        <v>1051</v>
      </c>
      <c r="AJ23" s="54">
        <v>68</v>
      </c>
      <c r="AK23" s="55">
        <v>68</v>
      </c>
      <c r="AL23" s="45">
        <f t="shared" si="17"/>
        <v>2.5</v>
      </c>
      <c r="AM23" s="907"/>
      <c r="AN23" s="79" t="s">
        <v>1052</v>
      </c>
      <c r="AP23" s="80" t="s">
        <v>1053</v>
      </c>
      <c r="AQ23" s="81"/>
      <c r="AR23" s="82"/>
      <c r="AS23" s="83">
        <f>AY23*BB23</f>
        <v>0</v>
      </c>
      <c r="AT23" s="748"/>
      <c r="AU23" s="748"/>
      <c r="AV23" s="748"/>
      <c r="AW23" s="748"/>
      <c r="AX23" s="85"/>
      <c r="AY23" s="670">
        <f>Tiere!R24</f>
        <v>0</v>
      </c>
      <c r="AZ23" s="670">
        <f>Tiere!S24</f>
        <v>0</v>
      </c>
      <c r="BA23" s="670">
        <f>Tiere!T24</f>
        <v>0</v>
      </c>
      <c r="BB23" s="670">
        <f>Tiere!U24</f>
        <v>0</v>
      </c>
      <c r="BC23" s="85"/>
      <c r="BD23" s="83">
        <f>AZ23*$BB23</f>
        <v>0</v>
      </c>
      <c r="BE23" s="85"/>
      <c r="BF23" s="85"/>
      <c r="BG23" s="85"/>
      <c r="BH23" s="85"/>
      <c r="BI23" s="85"/>
      <c r="BJ23" s="83">
        <f>BA23*$BB23</f>
        <v>0</v>
      </c>
      <c r="BK23" s="85"/>
      <c r="BL23" s="85"/>
      <c r="BM23" s="85"/>
      <c r="BN23" s="85"/>
      <c r="BO23" s="82"/>
      <c r="BP23"/>
      <c r="BT23"/>
      <c r="BU23"/>
      <c r="CC23" s="417"/>
      <c r="CD23" s="417"/>
      <c r="CE23" s="417"/>
      <c r="CF23" s="737" t="s">
        <v>1054</v>
      </c>
      <c r="CG23" s="738">
        <f>CA22+CG22</f>
        <v>0</v>
      </c>
      <c r="DD23" s="716" t="str">
        <f>IF(DE23=1,"• Die Bio-Tierbestandsobergrenze ist möglicherweise überschritten!                  Bitte Rücksprache halten mit ihrer Kontrollstelle!","")</f>
        <v/>
      </c>
      <c r="DE23" s="717">
        <f>IF(AND(AO15=1,DE20&gt;DE21),1,0)</f>
        <v>0</v>
      </c>
      <c r="DF23" s="718"/>
      <c r="DG23" s="718">
        <f>IF(AND(AO15=1,DG20&gt;DG21),1,0)</f>
        <v>0</v>
      </c>
    </row>
    <row r="24" spans="1:112" ht="12.75" customHeight="1">
      <c r="A24" s="1">
        <v>19</v>
      </c>
      <c r="B24" s="47" t="str">
        <f t="shared" si="42"/>
        <v>Milch- bzw. Ammenkühe (4000 kg Milch)  - Gülle</v>
      </c>
      <c r="C24" s="48" t="s">
        <v>1090</v>
      </c>
      <c r="D24" s="1037">
        <v>66.7</v>
      </c>
      <c r="E24" s="1038"/>
      <c r="F24" s="1038"/>
      <c r="G24" s="1038"/>
      <c r="H24" s="1039"/>
      <c r="I24" s="1040">
        <v>11.3</v>
      </c>
      <c r="J24" s="1041"/>
      <c r="K24" s="1042"/>
      <c r="L24" s="1040">
        <v>1</v>
      </c>
      <c r="M24" s="1042">
        <v>1</v>
      </c>
      <c r="N24" s="1040">
        <v>23.6</v>
      </c>
      <c r="O24" s="1041"/>
      <c r="P24" s="1041"/>
      <c r="Q24" s="1043"/>
      <c r="R24" s="1044"/>
      <c r="S24" s="1045">
        <v>134</v>
      </c>
      <c r="T24" s="1043"/>
      <c r="U24" s="1043"/>
      <c r="V24" s="1043"/>
      <c r="W24" s="1044"/>
      <c r="X24" s="1616"/>
      <c r="Y24" s="1617"/>
      <c r="Z24" s="1617"/>
      <c r="AA24" s="1618"/>
      <c r="AB24" s="1617"/>
      <c r="AC24" s="1617"/>
      <c r="AD24" s="1617"/>
      <c r="AE24" s="1618"/>
      <c r="AF24" s="1040">
        <v>58</v>
      </c>
      <c r="AG24" s="1041"/>
      <c r="AH24" s="1042"/>
      <c r="AI24" s="53" t="s">
        <v>1090</v>
      </c>
      <c r="AJ24" s="54">
        <v>85</v>
      </c>
      <c r="AK24" s="55">
        <v>85</v>
      </c>
      <c r="AL24" s="45">
        <f t="shared" si="17"/>
        <v>2</v>
      </c>
      <c r="AM24" s="907"/>
      <c r="AN24" s="21" t="s">
        <v>1091</v>
      </c>
      <c r="AP24" s="21" t="s">
        <v>1092</v>
      </c>
      <c r="AQ24" s="87"/>
      <c r="AR24" s="34"/>
      <c r="AS24" s="84"/>
      <c r="AT24" s="4">
        <f>AY24*BB24</f>
        <v>0</v>
      </c>
      <c r="AU24" s="84"/>
      <c r="AV24" s="84"/>
      <c r="AW24" s="84"/>
      <c r="AX24" s="85"/>
      <c r="AY24" s="662">
        <f>Tiere!R25</f>
        <v>0</v>
      </c>
      <c r="AZ24" s="662">
        <f>Tiere!S25</f>
        <v>0</v>
      </c>
      <c r="BA24" s="662">
        <f>Tiere!T25</f>
        <v>0</v>
      </c>
      <c r="BB24" s="662">
        <f>Tiere!U25</f>
        <v>0</v>
      </c>
      <c r="BC24" s="85"/>
      <c r="BD24" s="85"/>
      <c r="BE24" s="4">
        <f>AZ24*$BB24</f>
        <v>0</v>
      </c>
      <c r="BF24" s="85"/>
      <c r="BG24" s="85"/>
      <c r="BH24" s="85"/>
      <c r="BI24" s="85"/>
      <c r="BJ24" s="85"/>
      <c r="BK24" s="4">
        <f>BA24*$BB24</f>
        <v>0</v>
      </c>
      <c r="BL24" s="85"/>
      <c r="BM24" s="85"/>
      <c r="BN24" s="85"/>
      <c r="BO24" s="82"/>
      <c r="BP24"/>
      <c r="BT24"/>
      <c r="BU24"/>
      <c r="DC24" s="88"/>
      <c r="DD24" s="719" t="s">
        <v>656</v>
      </c>
      <c r="DE24" s="720">
        <f>Tabelle1!DE20</f>
        <v>0</v>
      </c>
      <c r="DF24" s="721" t="s">
        <v>1093</v>
      </c>
      <c r="DG24" s="720">
        <f>Tabelle1!DG20</f>
        <v>0</v>
      </c>
    </row>
    <row r="25" spans="1:112">
      <c r="A25" s="1">
        <v>20</v>
      </c>
      <c r="B25" s="47" t="str">
        <f t="shared" si="42"/>
        <v>Milch- bzw. Ammenkühe (4000 kg Milch)  - Mist / Jauche</v>
      </c>
      <c r="C25" s="48" t="s">
        <v>1094</v>
      </c>
      <c r="D25" s="1037"/>
      <c r="E25" s="1038"/>
      <c r="F25" s="1038"/>
      <c r="G25" s="1038">
        <v>18.399999999999999</v>
      </c>
      <c r="H25" s="1039">
        <v>36.6</v>
      </c>
      <c r="I25" s="1040"/>
      <c r="J25" s="1041">
        <v>3.7</v>
      </c>
      <c r="K25" s="1042">
        <v>7.2</v>
      </c>
      <c r="L25" s="1040">
        <v>1</v>
      </c>
      <c r="M25" s="1042">
        <v>1</v>
      </c>
      <c r="N25" s="1040"/>
      <c r="O25" s="1041"/>
      <c r="P25" s="1041"/>
      <c r="Q25" s="1043">
        <v>1.18</v>
      </c>
      <c r="R25" s="1044">
        <v>22.42</v>
      </c>
      <c r="S25" s="1045"/>
      <c r="T25" s="1043"/>
      <c r="U25" s="1043"/>
      <c r="V25" s="1043">
        <v>44.22</v>
      </c>
      <c r="W25" s="1044">
        <v>89.78</v>
      </c>
      <c r="X25" s="1616"/>
      <c r="Y25" s="1617"/>
      <c r="Z25" s="1617"/>
      <c r="AA25" s="1618"/>
      <c r="AB25" s="1617"/>
      <c r="AC25" s="1617"/>
      <c r="AD25" s="1617"/>
      <c r="AE25" s="1618"/>
      <c r="AF25" s="1040"/>
      <c r="AG25" s="1041">
        <v>16</v>
      </c>
      <c r="AH25" s="1042">
        <v>33.299999999999997</v>
      </c>
      <c r="AI25" s="53" t="s">
        <v>1094</v>
      </c>
      <c r="AJ25" s="54">
        <v>85</v>
      </c>
      <c r="AK25" s="55">
        <v>85</v>
      </c>
      <c r="AL25" s="45">
        <f t="shared" si="17"/>
        <v>2</v>
      </c>
      <c r="AM25" s="907"/>
      <c r="AN25" s="21" t="s">
        <v>1095</v>
      </c>
      <c r="AP25" s="21" t="s">
        <v>1096</v>
      </c>
      <c r="AQ25" s="87"/>
      <c r="AR25" s="34"/>
      <c r="AS25" s="84"/>
      <c r="AT25" s="84"/>
      <c r="AU25" s="4">
        <f>AY25*BB25</f>
        <v>0</v>
      </c>
      <c r="AV25" s="84"/>
      <c r="AW25" s="84"/>
      <c r="AX25" s="85"/>
      <c r="AY25" s="662">
        <f>Tiere!R26</f>
        <v>0</v>
      </c>
      <c r="AZ25" s="662">
        <f>Tiere!S26</f>
        <v>0</v>
      </c>
      <c r="BA25" s="662">
        <f>Tiere!T26</f>
        <v>0</v>
      </c>
      <c r="BB25" s="662">
        <f>Tiere!U26</f>
        <v>0</v>
      </c>
      <c r="BC25" s="85"/>
      <c r="BD25" s="85"/>
      <c r="BE25" s="85"/>
      <c r="BF25" s="4">
        <f>AZ25*$BB25</f>
        <v>0</v>
      </c>
      <c r="BG25" s="85"/>
      <c r="BH25" s="85"/>
      <c r="BI25" s="85"/>
      <c r="BJ25" s="85"/>
      <c r="BK25" s="85"/>
      <c r="BL25" s="4">
        <f>BA25*$BB25</f>
        <v>0</v>
      </c>
      <c r="BM25" s="85"/>
      <c r="BN25" s="85"/>
      <c r="BO25" s="82"/>
      <c r="BP25"/>
      <c r="BT25"/>
      <c r="BU25"/>
    </row>
    <row r="26" spans="1:112">
      <c r="A26" s="1">
        <v>21</v>
      </c>
      <c r="B26" s="47" t="str">
        <f t="shared" si="42"/>
        <v>Milch- bzw. Ammenkühe (4000 kg Milch)  - Tiefstallmist</v>
      </c>
      <c r="C26" s="48" t="s">
        <v>1097</v>
      </c>
      <c r="D26" s="1037"/>
      <c r="E26" s="1038"/>
      <c r="F26" s="1038"/>
      <c r="G26" s="1038"/>
      <c r="H26" s="1039">
        <v>55</v>
      </c>
      <c r="I26" s="1040"/>
      <c r="J26" s="1041"/>
      <c r="K26" s="1042">
        <v>11.6</v>
      </c>
      <c r="L26" s="1040">
        <v>1</v>
      </c>
      <c r="M26" s="1042">
        <v>1</v>
      </c>
      <c r="N26" s="1040"/>
      <c r="O26" s="1041"/>
      <c r="P26" s="1041"/>
      <c r="Q26" s="1043"/>
      <c r="R26" s="1044">
        <v>23.6</v>
      </c>
      <c r="S26" s="1045"/>
      <c r="T26" s="1043"/>
      <c r="U26" s="1043"/>
      <c r="V26" s="1043"/>
      <c r="W26" s="1044">
        <v>134</v>
      </c>
      <c r="X26" s="1616"/>
      <c r="Y26" s="1617"/>
      <c r="Z26" s="1617"/>
      <c r="AA26" s="1618"/>
      <c r="AB26" s="1617"/>
      <c r="AC26" s="1617"/>
      <c r="AD26" s="1617"/>
      <c r="AE26" s="1618"/>
      <c r="AF26" s="1040"/>
      <c r="AG26" s="1041"/>
      <c r="AH26" s="1042">
        <v>50.1</v>
      </c>
      <c r="AI26" s="53" t="s">
        <v>1097</v>
      </c>
      <c r="AJ26" s="54">
        <v>85</v>
      </c>
      <c r="AK26" s="55">
        <v>85</v>
      </c>
      <c r="AL26" s="45">
        <f t="shared" si="17"/>
        <v>2</v>
      </c>
      <c r="AM26" s="907"/>
      <c r="AN26"/>
      <c r="AP26" s="21" t="s">
        <v>926</v>
      </c>
      <c r="AQ26" s="87"/>
      <c r="AR26" s="34"/>
      <c r="AS26" s="84"/>
      <c r="AT26" s="84"/>
      <c r="AU26" s="84"/>
      <c r="AV26" s="4">
        <f>AY26*BB26</f>
        <v>0</v>
      </c>
      <c r="AW26" s="84"/>
      <c r="AX26" s="85"/>
      <c r="AY26" s="662">
        <f>Tiere!R27</f>
        <v>0</v>
      </c>
      <c r="AZ26" s="662">
        <f>Tiere!S27</f>
        <v>0</v>
      </c>
      <c r="BA26" s="662">
        <f>Tiere!T27</f>
        <v>0</v>
      </c>
      <c r="BB26" s="662">
        <f>Tiere!U27</f>
        <v>0</v>
      </c>
      <c r="BC26" s="85"/>
      <c r="BD26" s="85"/>
      <c r="BE26" s="85"/>
      <c r="BF26" s="85"/>
      <c r="BG26" s="4">
        <f>AZ26*$BB26</f>
        <v>0</v>
      </c>
      <c r="BH26" s="85"/>
      <c r="BI26" s="85"/>
      <c r="BJ26" s="85"/>
      <c r="BK26" s="85"/>
      <c r="BL26" s="85"/>
      <c r="BM26" s="4">
        <f>BA26*$BB26</f>
        <v>0</v>
      </c>
      <c r="BN26" s="85"/>
      <c r="BO26" s="82"/>
      <c r="BP26"/>
      <c r="BT26"/>
      <c r="BU26"/>
    </row>
    <row r="27" spans="1:112" ht="13.8" thickBot="1">
      <c r="A27" s="1">
        <v>22</v>
      </c>
      <c r="B27" s="47" t="str">
        <f t="shared" si="42"/>
        <v>Milchkühe (5000 kg Milch) - Gülle</v>
      </c>
      <c r="C27" s="48" t="s">
        <v>1098</v>
      </c>
      <c r="D27" s="1037">
        <v>74.400000000000006</v>
      </c>
      <c r="E27" s="1038"/>
      <c r="F27" s="1038"/>
      <c r="G27" s="1038"/>
      <c r="H27" s="1039"/>
      <c r="I27" s="1040">
        <v>11.5</v>
      </c>
      <c r="J27" s="1041"/>
      <c r="K27" s="1042"/>
      <c r="L27" s="1040">
        <v>1</v>
      </c>
      <c r="M27" s="1042">
        <v>1</v>
      </c>
      <c r="N27" s="1040">
        <v>28.2</v>
      </c>
      <c r="O27" s="1041"/>
      <c r="P27" s="1041"/>
      <c r="Q27" s="1043"/>
      <c r="R27" s="1044"/>
      <c r="S27" s="1045">
        <v>148.9</v>
      </c>
      <c r="T27" s="1043"/>
      <c r="U27" s="1043"/>
      <c r="V27" s="1043"/>
      <c r="W27" s="1044"/>
      <c r="X27" s="1616"/>
      <c r="Y27" s="1617"/>
      <c r="Z27" s="1617"/>
      <c r="AA27" s="1618"/>
      <c r="AB27" s="1617"/>
      <c r="AC27" s="1617"/>
      <c r="AD27" s="1617"/>
      <c r="AE27" s="1618"/>
      <c r="AF27" s="1040">
        <v>64.7</v>
      </c>
      <c r="AG27" s="1041"/>
      <c r="AH27" s="1042"/>
      <c r="AI27" s="53" t="s">
        <v>1098</v>
      </c>
      <c r="AJ27" s="54">
        <v>85</v>
      </c>
      <c r="AK27" s="55">
        <v>85</v>
      </c>
      <c r="AL27" s="45">
        <f t="shared" si="17"/>
        <v>2</v>
      </c>
      <c r="AM27" s="907"/>
      <c r="AN27" s="89"/>
      <c r="AO27" s="90"/>
      <c r="AP27" s="61" t="s">
        <v>927</v>
      </c>
      <c r="AQ27" s="91"/>
      <c r="AR27" s="92"/>
      <c r="AS27" s="84"/>
      <c r="AT27" s="84"/>
      <c r="AU27" s="84"/>
      <c r="AV27" s="84"/>
      <c r="AW27" s="4">
        <f>AY27*BB27</f>
        <v>0</v>
      </c>
      <c r="AX27" s="85"/>
      <c r="AY27" s="662">
        <f>Tiere!R28</f>
        <v>0</v>
      </c>
      <c r="AZ27" s="662">
        <f>Tiere!S28</f>
        <v>0</v>
      </c>
      <c r="BA27" s="662">
        <f>Tiere!T28</f>
        <v>0</v>
      </c>
      <c r="BB27" s="662">
        <f>Tiere!U28</f>
        <v>0</v>
      </c>
      <c r="BC27" s="85"/>
      <c r="BD27" s="85"/>
      <c r="BE27" s="85"/>
      <c r="BF27" s="85"/>
      <c r="BG27" s="85"/>
      <c r="BH27" s="4">
        <f>AZ27*$BB27</f>
        <v>0</v>
      </c>
      <c r="BI27" s="85" t="s">
        <v>1099</v>
      </c>
      <c r="BJ27" s="85"/>
      <c r="BK27" s="85"/>
      <c r="BL27" s="85"/>
      <c r="BM27" s="85"/>
      <c r="BN27" s="4">
        <f>BA27*$BB27</f>
        <v>0</v>
      </c>
      <c r="BO27" s="82" t="s">
        <v>1100</v>
      </c>
      <c r="BP27"/>
      <c r="BT27"/>
      <c r="BU27"/>
    </row>
    <row r="28" spans="1:112" ht="13.8" thickBot="1">
      <c r="A28" s="1">
        <v>23</v>
      </c>
      <c r="B28" s="47" t="str">
        <f t="shared" si="42"/>
        <v>Milchkühe (5000 kg Milch) - Mist/Jauche</v>
      </c>
      <c r="C28" s="48" t="s">
        <v>1101</v>
      </c>
      <c r="D28" s="1037"/>
      <c r="E28" s="1038"/>
      <c r="F28" s="1038"/>
      <c r="G28" s="1038">
        <v>20.399999999999999</v>
      </c>
      <c r="H28" s="1039">
        <v>40.9</v>
      </c>
      <c r="I28" s="1040"/>
      <c r="J28" s="1041">
        <v>3.8</v>
      </c>
      <c r="K28" s="1042">
        <v>7.4</v>
      </c>
      <c r="L28" s="1040">
        <v>1</v>
      </c>
      <c r="M28" s="1042">
        <v>1</v>
      </c>
      <c r="N28" s="1040"/>
      <c r="O28" s="1041"/>
      <c r="P28" s="1041"/>
      <c r="Q28" s="1043">
        <v>1.41</v>
      </c>
      <c r="R28" s="1044">
        <v>26.79</v>
      </c>
      <c r="S28" s="1045"/>
      <c r="T28" s="1043"/>
      <c r="U28" s="1043"/>
      <c r="V28" s="1043">
        <v>49.137</v>
      </c>
      <c r="W28" s="1044">
        <v>99.763000000000005</v>
      </c>
      <c r="X28" s="1616"/>
      <c r="Y28" s="1617"/>
      <c r="Z28" s="1617"/>
      <c r="AA28" s="1618"/>
      <c r="AB28" s="1617"/>
      <c r="AC28" s="1617"/>
      <c r="AD28" s="1617"/>
      <c r="AE28" s="1618"/>
      <c r="AF28" s="1040"/>
      <c r="AG28" s="1041">
        <v>17.7</v>
      </c>
      <c r="AH28" s="1042">
        <v>37.1</v>
      </c>
      <c r="AI28" s="53" t="s">
        <v>1101</v>
      </c>
      <c r="AJ28" s="54">
        <v>85</v>
      </c>
      <c r="AK28" s="55">
        <v>85</v>
      </c>
      <c r="AL28" s="45">
        <f t="shared" si="17"/>
        <v>2</v>
      </c>
      <c r="AM28" s="907"/>
      <c r="AN28" s="93"/>
      <c r="AO28" s="90"/>
      <c r="AP28" s="94" t="s">
        <v>1102</v>
      </c>
      <c r="AQ28" s="95"/>
      <c r="AR28" s="95"/>
      <c r="AS28" s="96">
        <f>AS23</f>
        <v>0</v>
      </c>
      <c r="AT28" s="96">
        <f>AT24</f>
        <v>0</v>
      </c>
      <c r="AU28" s="96">
        <f>AU25</f>
        <v>0</v>
      </c>
      <c r="AV28" s="96">
        <f>AV26</f>
        <v>0</v>
      </c>
      <c r="AW28" s="97">
        <f>AW27</f>
        <v>0</v>
      </c>
      <c r="AX28" s="744">
        <f>SUM(AS28:AW28)</f>
        <v>0</v>
      </c>
      <c r="AY28" s="19"/>
      <c r="AZ28" s="5"/>
      <c r="BA28" s="18"/>
      <c r="BB28" s="98"/>
      <c r="BC28" s="99"/>
      <c r="BD28" s="695">
        <f>BD20+BD23</f>
        <v>0</v>
      </c>
      <c r="BE28" s="695">
        <f>BE20+BE24</f>
        <v>0</v>
      </c>
      <c r="BF28" s="695">
        <f>BF20+BF25</f>
        <v>0</v>
      </c>
      <c r="BG28" s="695">
        <f>BG20+BG26</f>
        <v>0</v>
      </c>
      <c r="BH28" s="696">
        <f>BH20+BH27</f>
        <v>0</v>
      </c>
      <c r="BI28" s="697">
        <f>SUM(BD28:BH28)</f>
        <v>0</v>
      </c>
      <c r="BJ28" s="698">
        <f>BJ20+BJ23</f>
        <v>0</v>
      </c>
      <c r="BK28" s="695">
        <f>BK20+BK24</f>
        <v>0</v>
      </c>
      <c r="BL28" s="695">
        <f>BL20+BL25</f>
        <v>0</v>
      </c>
      <c r="BM28" s="695">
        <f>BM20+BM26</f>
        <v>0</v>
      </c>
      <c r="BN28" s="695">
        <f>BN20+BN27</f>
        <v>0</v>
      </c>
      <c r="BO28" s="697">
        <f>SUM(BJ28:BN28)</f>
        <v>0</v>
      </c>
      <c r="BP28" s="65" t="s">
        <v>1103</v>
      </c>
      <c r="BT28" s="100"/>
      <c r="BU28" s="100"/>
    </row>
    <row r="29" spans="1:112" ht="13.8" thickBot="1">
      <c r="A29" s="1">
        <v>24</v>
      </c>
      <c r="B29" s="47" t="str">
        <f t="shared" si="42"/>
        <v>Milchkühe (5000 kg Milch) - Tiefstallmist</v>
      </c>
      <c r="C29" s="48" t="s">
        <v>1104</v>
      </c>
      <c r="D29" s="1037"/>
      <c r="E29" s="1038"/>
      <c r="F29" s="1038"/>
      <c r="G29" s="1038"/>
      <c r="H29" s="1039">
        <v>61.3</v>
      </c>
      <c r="I29" s="1040"/>
      <c r="J29" s="1041"/>
      <c r="K29" s="1042">
        <v>11.9</v>
      </c>
      <c r="L29" s="1040">
        <v>1</v>
      </c>
      <c r="M29" s="1042">
        <v>1</v>
      </c>
      <c r="N29" s="1040"/>
      <c r="O29" s="1041"/>
      <c r="P29" s="1041"/>
      <c r="Q29" s="1043"/>
      <c r="R29" s="1044">
        <v>28.2</v>
      </c>
      <c r="S29" s="1045"/>
      <c r="T29" s="1043"/>
      <c r="U29" s="1043"/>
      <c r="V29" s="1043"/>
      <c r="W29" s="1044">
        <v>148.9</v>
      </c>
      <c r="X29" s="1616"/>
      <c r="Y29" s="1617"/>
      <c r="Z29" s="1617"/>
      <c r="AA29" s="1618"/>
      <c r="AB29" s="1617"/>
      <c r="AC29" s="1617"/>
      <c r="AD29" s="1617"/>
      <c r="AE29" s="1618"/>
      <c r="AF29" s="1040"/>
      <c r="AG29" s="1041"/>
      <c r="AH29" s="1042">
        <v>55.8</v>
      </c>
      <c r="AI29" s="53" t="s">
        <v>1104</v>
      </c>
      <c r="AJ29" s="54">
        <v>85</v>
      </c>
      <c r="AK29" s="55">
        <v>85</v>
      </c>
      <c r="AL29" s="45">
        <f t="shared" si="17"/>
        <v>2</v>
      </c>
      <c r="AM29" s="907"/>
      <c r="AN29" s="93"/>
      <c r="AO29" s="90"/>
      <c r="AP29" s="94" t="s">
        <v>1105</v>
      </c>
      <c r="AQ29" t="s">
        <v>1106</v>
      </c>
      <c r="AS29"/>
      <c r="AT29"/>
      <c r="AU29"/>
      <c r="AV29"/>
      <c r="AW29"/>
      <c r="AX29" s="744">
        <f>BI49</f>
        <v>0</v>
      </c>
      <c r="AY29"/>
      <c r="AZ29"/>
      <c r="BA29"/>
      <c r="BB29"/>
      <c r="BC29"/>
      <c r="BD29" s="699">
        <f>CH20+CR20</f>
        <v>0</v>
      </c>
      <c r="BE29" s="699">
        <f>CI20+CS20</f>
        <v>0</v>
      </c>
      <c r="BF29" s="699">
        <f>CJ20+CT20</f>
        <v>0</v>
      </c>
      <c r="BG29" s="699">
        <f>CK20+CU20</f>
        <v>0</v>
      </c>
      <c r="BH29" s="699">
        <f>CL20+CV20</f>
        <v>0</v>
      </c>
      <c r="BI29" s="700">
        <f>SUM(BD29:BH29)</f>
        <v>0</v>
      </c>
      <c r="BJ29" s="699">
        <f>CM20+CW20</f>
        <v>0</v>
      </c>
      <c r="BK29" s="699">
        <f>CN20+CX20</f>
        <v>0</v>
      </c>
      <c r="BL29" s="699">
        <f>CO20+CY20</f>
        <v>0</v>
      </c>
      <c r="BM29" s="699">
        <f>CP20+CZ20</f>
        <v>0</v>
      </c>
      <c r="BN29" s="699">
        <f>CQ20+DA20</f>
        <v>0</v>
      </c>
      <c r="BO29" s="700">
        <f>SUM(BJ29:BN29)</f>
        <v>0</v>
      </c>
      <c r="BP29" s="65" t="s">
        <v>1107</v>
      </c>
      <c r="BT29" s="100"/>
      <c r="BU29" s="100"/>
    </row>
    <row r="30" spans="1:112" ht="13.8" thickBot="1">
      <c r="A30" s="1">
        <v>25</v>
      </c>
      <c r="B30" s="47" t="str">
        <f t="shared" si="42"/>
        <v>Milchkühe (6000 kg Milch) - Gülle</v>
      </c>
      <c r="C30" s="48" t="s">
        <v>1108</v>
      </c>
      <c r="D30" s="1037">
        <v>82.8</v>
      </c>
      <c r="E30" s="1038"/>
      <c r="F30" s="1038"/>
      <c r="G30" s="1038"/>
      <c r="H30" s="1039"/>
      <c r="I30" s="1040">
        <v>11.8</v>
      </c>
      <c r="J30" s="1041"/>
      <c r="K30" s="1042"/>
      <c r="L30" s="1040">
        <v>1</v>
      </c>
      <c r="M30" s="1042">
        <v>1</v>
      </c>
      <c r="N30" s="1040">
        <v>32.799999999999997</v>
      </c>
      <c r="O30" s="1041"/>
      <c r="P30" s="1041"/>
      <c r="Q30" s="1043"/>
      <c r="R30" s="1044"/>
      <c r="S30" s="1045">
        <v>163.80000000000001</v>
      </c>
      <c r="T30" s="1043"/>
      <c r="U30" s="1043"/>
      <c r="V30" s="1043"/>
      <c r="W30" s="1044"/>
      <c r="X30" s="1616"/>
      <c r="Y30" s="1617"/>
      <c r="Z30" s="1617"/>
      <c r="AA30" s="1618"/>
      <c r="AB30" s="1617"/>
      <c r="AC30" s="1617"/>
      <c r="AD30" s="1617"/>
      <c r="AE30" s="1618"/>
      <c r="AF30" s="1040">
        <v>71.3</v>
      </c>
      <c r="AG30" s="1041"/>
      <c r="AH30" s="1042"/>
      <c r="AI30" s="53" t="s">
        <v>1108</v>
      </c>
      <c r="AJ30" s="54">
        <v>85</v>
      </c>
      <c r="AK30" s="55">
        <v>85</v>
      </c>
      <c r="AL30" s="45">
        <f t="shared" si="17"/>
        <v>2</v>
      </c>
      <c r="AM30" s="907"/>
      <c r="AN30" s="93"/>
      <c r="AO30" s="90"/>
      <c r="AP30" s="101" t="s">
        <v>1109</v>
      </c>
      <c r="AQ30" t="s">
        <v>1110</v>
      </c>
      <c r="AS30"/>
      <c r="AT30"/>
      <c r="AU30"/>
      <c r="AV30"/>
      <c r="AW30"/>
      <c r="AX30" s="744">
        <f>CG20</f>
        <v>0</v>
      </c>
      <c r="AY30"/>
      <c r="AZ30"/>
      <c r="BA30"/>
      <c r="BB30"/>
      <c r="BC30"/>
      <c r="BD30" s="701">
        <f>BD28-BD29</f>
        <v>0</v>
      </c>
      <c r="BE30" s="702">
        <f>BE28-BE29</f>
        <v>0</v>
      </c>
      <c r="BF30" s="702">
        <f>BF28-BF29</f>
        <v>0</v>
      </c>
      <c r="BG30" s="702">
        <f>BG28-BG29</f>
        <v>0</v>
      </c>
      <c r="BH30" s="702">
        <f>BH28-BH29</f>
        <v>0</v>
      </c>
      <c r="BI30" s="697">
        <f>SUM(BD30:BH30)</f>
        <v>0</v>
      </c>
      <c r="BJ30" s="702">
        <f>BJ28-BJ29</f>
        <v>0</v>
      </c>
      <c r="BK30" s="702">
        <f>BK28-BK29</f>
        <v>0</v>
      </c>
      <c r="BL30" s="702">
        <f>BL28-BL29</f>
        <v>0</v>
      </c>
      <c r="BM30" s="702">
        <f>BM28-BM29</f>
        <v>0</v>
      </c>
      <c r="BN30" s="702">
        <f>BN28-BN29</f>
        <v>0</v>
      </c>
      <c r="BO30" s="697">
        <f>SUM(BJ30:BN30)</f>
        <v>0</v>
      </c>
      <c r="BP30" s="65" t="s">
        <v>1111</v>
      </c>
      <c r="BT30" s="100"/>
      <c r="BU30" s="100"/>
    </row>
    <row r="31" spans="1:112" ht="14.4" thickBot="1">
      <c r="A31" s="1">
        <v>26</v>
      </c>
      <c r="B31" s="47" t="str">
        <f t="shared" si="42"/>
        <v>Milchkühe (6000 kg Milch) - Mist/Jauche</v>
      </c>
      <c r="C31" s="48" t="s">
        <v>1112</v>
      </c>
      <c r="D31" s="1037"/>
      <c r="E31" s="1038"/>
      <c r="F31" s="1038"/>
      <c r="G31" s="1038">
        <v>22.5</v>
      </c>
      <c r="H31" s="1039">
        <v>45.1</v>
      </c>
      <c r="I31" s="1040"/>
      <c r="J31" s="1041">
        <v>3.9</v>
      </c>
      <c r="K31" s="1042">
        <v>7.6</v>
      </c>
      <c r="L31" s="1040">
        <v>1</v>
      </c>
      <c r="M31" s="1042">
        <v>1</v>
      </c>
      <c r="N31" s="1040"/>
      <c r="O31" s="1041"/>
      <c r="P31" s="1041"/>
      <c r="Q31" s="1043">
        <v>1.64</v>
      </c>
      <c r="R31" s="1044">
        <v>31.16</v>
      </c>
      <c r="S31" s="1045"/>
      <c r="T31" s="1043"/>
      <c r="U31" s="1043"/>
      <c r="V31" s="1043">
        <v>54.054000000000002</v>
      </c>
      <c r="W31" s="1044">
        <v>109.746</v>
      </c>
      <c r="X31" s="1616"/>
      <c r="Y31" s="1617"/>
      <c r="Z31" s="1617"/>
      <c r="AA31" s="1618"/>
      <c r="AB31" s="1617"/>
      <c r="AC31" s="1617"/>
      <c r="AD31" s="1617"/>
      <c r="AE31" s="1618"/>
      <c r="AF31" s="1040"/>
      <c r="AG31" s="1041">
        <v>19.600000000000001</v>
      </c>
      <c r="AH31" s="1042">
        <v>41</v>
      </c>
      <c r="AI31" s="53" t="s">
        <v>1112</v>
      </c>
      <c r="AJ31" s="54">
        <v>85</v>
      </c>
      <c r="AK31" s="55">
        <v>85</v>
      </c>
      <c r="AL31" s="45">
        <f t="shared" si="17"/>
        <v>2</v>
      </c>
      <c r="AM31" s="907"/>
      <c r="AN31" s="93"/>
      <c r="AO31" s="102"/>
      <c r="AP31" s="103" t="s">
        <v>1113</v>
      </c>
      <c r="AQ31" t="s">
        <v>1114</v>
      </c>
      <c r="AS31"/>
      <c r="AT31"/>
      <c r="AU31"/>
      <c r="AV31"/>
      <c r="AW31"/>
      <c r="AX31" s="744">
        <f>AX51+AX52+AX53</f>
        <v>0</v>
      </c>
      <c r="AY31"/>
      <c r="AZ31"/>
      <c r="BA31"/>
      <c r="BB31"/>
      <c r="BC31"/>
      <c r="BD31" s="703"/>
      <c r="BE31" s="704"/>
      <c r="BF31" s="704"/>
      <c r="BG31" s="704"/>
      <c r="BH31" s="705" t="s">
        <v>1115</v>
      </c>
      <c r="BI31" s="697">
        <f>BI30-BJ49</f>
        <v>0</v>
      </c>
      <c r="BJ31" s="706"/>
      <c r="BK31" s="707"/>
      <c r="BL31" s="707"/>
      <c r="BM31" s="704"/>
      <c r="BN31" s="705" t="s">
        <v>1116</v>
      </c>
      <c r="BO31" s="697">
        <f>BO30-BK49</f>
        <v>0</v>
      </c>
      <c r="BP31" s="65" t="s">
        <v>1117</v>
      </c>
      <c r="BT31" s="100"/>
      <c r="BU31" s="100"/>
    </row>
    <row r="32" spans="1:112" ht="14.4" thickBot="1">
      <c r="A32" s="1">
        <v>27</v>
      </c>
      <c r="B32" s="47" t="str">
        <f t="shared" si="42"/>
        <v>Milchkühe (6000 kg Milch) - Tiefstallmist</v>
      </c>
      <c r="C32" s="48" t="s">
        <v>1118</v>
      </c>
      <c r="D32" s="1037"/>
      <c r="E32" s="1038"/>
      <c r="F32" s="1038"/>
      <c r="G32" s="1038"/>
      <c r="H32" s="1039">
        <v>67.599999999999994</v>
      </c>
      <c r="I32" s="1040"/>
      <c r="J32" s="1041"/>
      <c r="K32" s="1042">
        <v>12.1</v>
      </c>
      <c r="L32" s="1040">
        <v>1</v>
      </c>
      <c r="M32" s="1042">
        <v>1</v>
      </c>
      <c r="N32" s="1040"/>
      <c r="O32" s="1041"/>
      <c r="P32" s="1041"/>
      <c r="Q32" s="1043"/>
      <c r="R32" s="1044">
        <v>32.799999999999997</v>
      </c>
      <c r="S32" s="1045"/>
      <c r="T32" s="1043"/>
      <c r="U32" s="1043"/>
      <c r="V32" s="1043"/>
      <c r="W32" s="1044">
        <v>163.80000000000001</v>
      </c>
      <c r="X32" s="1616"/>
      <c r="Y32" s="1617"/>
      <c r="Z32" s="1617"/>
      <c r="AA32" s="1618"/>
      <c r="AB32" s="1617"/>
      <c r="AC32" s="1617"/>
      <c r="AD32" s="1617"/>
      <c r="AE32" s="1618"/>
      <c r="AF32" s="1040"/>
      <c r="AG32" s="1041"/>
      <c r="AH32" s="1042">
        <v>61.5</v>
      </c>
      <c r="AI32" s="53" t="s">
        <v>1118</v>
      </c>
      <c r="AJ32" s="54">
        <v>85</v>
      </c>
      <c r="AK32" s="55">
        <v>85</v>
      </c>
      <c r="AL32" s="45">
        <f t="shared" si="17"/>
        <v>2</v>
      </c>
      <c r="AM32" s="907"/>
      <c r="AN32"/>
      <c r="AP32" s="745" t="s">
        <v>1119</v>
      </c>
      <c r="AQ32" s="746"/>
      <c r="AR32" s="746"/>
      <c r="AS32" s="746"/>
      <c r="AT32" s="746"/>
      <c r="AU32" s="746"/>
      <c r="AV32" s="746"/>
      <c r="AW32" s="746"/>
      <c r="AX32" s="744">
        <f>AX28-AX29-AX30</f>
        <v>0</v>
      </c>
      <c r="AY32" s="747"/>
      <c r="AZ32" s="747"/>
      <c r="BA32"/>
      <c r="BB32"/>
      <c r="BC32"/>
      <c r="BD32" s="703"/>
      <c r="BE32" s="704"/>
      <c r="BF32" s="704"/>
      <c r="BG32" s="704"/>
      <c r="BH32" s="705" t="s">
        <v>1120</v>
      </c>
      <c r="BI32" s="708">
        <f>BI31+CI22</f>
        <v>0</v>
      </c>
      <c r="BJ32" s="616" t="s">
        <v>1121</v>
      </c>
      <c r="BK32" s="671"/>
      <c r="BL32" s="672"/>
      <c r="BM32" s="214"/>
      <c r="BN32" s="214"/>
      <c r="BO32" s="708">
        <f>BO31+CN22</f>
        <v>0</v>
      </c>
      <c r="BT32" s="100"/>
      <c r="BU32" s="100"/>
    </row>
    <row r="33" spans="1:75" ht="14.4" thickBot="1">
      <c r="A33" s="1">
        <v>28</v>
      </c>
      <c r="B33" s="47" t="str">
        <f t="shared" si="42"/>
        <v>Milchkühe (7000 kg Milch) - Gülle</v>
      </c>
      <c r="C33" s="48" t="s">
        <v>1122</v>
      </c>
      <c r="D33" s="1037">
        <v>89.7</v>
      </c>
      <c r="E33" s="1038"/>
      <c r="F33" s="1038"/>
      <c r="G33" s="1038"/>
      <c r="H33" s="1039"/>
      <c r="I33" s="1040">
        <v>11.7</v>
      </c>
      <c r="J33" s="1041"/>
      <c r="K33" s="1042"/>
      <c r="L33" s="1040">
        <v>1</v>
      </c>
      <c r="M33" s="1042">
        <v>1</v>
      </c>
      <c r="N33" s="1040">
        <v>37.4</v>
      </c>
      <c r="O33" s="1041"/>
      <c r="P33" s="1041"/>
      <c r="Q33" s="1043"/>
      <c r="R33" s="1044"/>
      <c r="S33" s="1045">
        <v>178.7</v>
      </c>
      <c r="T33" s="1043"/>
      <c r="U33" s="1043"/>
      <c r="V33" s="1043"/>
      <c r="W33" s="1044"/>
      <c r="X33" s="1616"/>
      <c r="Y33" s="1617"/>
      <c r="Z33" s="1617"/>
      <c r="AA33" s="1618"/>
      <c r="AB33" s="1617"/>
      <c r="AC33" s="1617"/>
      <c r="AD33" s="1617"/>
      <c r="AE33" s="1618"/>
      <c r="AF33" s="1040">
        <v>78</v>
      </c>
      <c r="AG33" s="1041"/>
      <c r="AH33" s="1042"/>
      <c r="AI33" s="53" t="s">
        <v>1122</v>
      </c>
      <c r="AJ33" s="54">
        <v>85</v>
      </c>
      <c r="AK33" s="55">
        <v>85</v>
      </c>
      <c r="AL33" s="45">
        <f t="shared" si="17"/>
        <v>2</v>
      </c>
      <c r="AM33" s="907"/>
      <c r="AN33"/>
      <c r="AP33" s="739" t="s">
        <v>1123</v>
      </c>
      <c r="AQ33" s="740"/>
      <c r="AR33" s="740"/>
      <c r="AS33" s="740"/>
      <c r="AT33" s="740"/>
      <c r="AU33" s="740"/>
      <c r="AV33" s="740"/>
      <c r="AW33" s="740"/>
      <c r="AX33" s="741">
        <f>AX20+AX31+AX32</f>
        <v>0</v>
      </c>
      <c r="AY33" s="742" t="s">
        <v>1124</v>
      </c>
      <c r="AZ33" s="743"/>
      <c r="BA33"/>
      <c r="BB33"/>
      <c r="BC33"/>
      <c r="BD33" s="214"/>
      <c r="BE33" s="214"/>
      <c r="BF33" s="214"/>
      <c r="BG33" s="214"/>
      <c r="BH33" s="214"/>
      <c r="BI33" s="709">
        <f>Mineral!H28+Q177+BI32</f>
        <v>0</v>
      </c>
      <c r="BJ33" s="673" t="s">
        <v>1125</v>
      </c>
      <c r="BK33" s="671"/>
      <c r="BL33" s="672"/>
      <c r="BM33" s="214"/>
      <c r="BN33" s="214"/>
      <c r="BO33" s="709">
        <f>Mineral!I28+R177+BO32</f>
        <v>0</v>
      </c>
    </row>
    <row r="34" spans="1:75">
      <c r="A34" s="1">
        <v>29</v>
      </c>
      <c r="B34" s="47" t="str">
        <f t="shared" si="42"/>
        <v>Milchkühe (7000 kg Milch) - Mist/Jauche</v>
      </c>
      <c r="C34" s="48" t="s">
        <v>1126</v>
      </c>
      <c r="D34" s="1037"/>
      <c r="E34" s="1038"/>
      <c r="F34" s="1038"/>
      <c r="G34" s="1038">
        <v>24.6</v>
      </c>
      <c r="H34" s="1039">
        <v>49.3</v>
      </c>
      <c r="I34" s="1040"/>
      <c r="J34" s="1041">
        <v>3.9</v>
      </c>
      <c r="K34" s="1042">
        <v>7.5</v>
      </c>
      <c r="L34" s="1040">
        <v>1</v>
      </c>
      <c r="M34" s="1042">
        <v>1</v>
      </c>
      <c r="N34" s="1040"/>
      <c r="O34" s="1041"/>
      <c r="P34" s="1041"/>
      <c r="Q34" s="1043">
        <v>1.87</v>
      </c>
      <c r="R34" s="1044">
        <v>35.53</v>
      </c>
      <c r="S34" s="1045"/>
      <c r="T34" s="1043"/>
      <c r="U34" s="1043"/>
      <c r="V34" s="1043">
        <v>58.970999999999997</v>
      </c>
      <c r="W34" s="1044">
        <v>119.729</v>
      </c>
      <c r="X34" s="1616"/>
      <c r="Y34" s="1617"/>
      <c r="Z34" s="1617"/>
      <c r="AA34" s="1618"/>
      <c r="AB34" s="1617"/>
      <c r="AC34" s="1617"/>
      <c r="AD34" s="1617"/>
      <c r="AE34" s="1618"/>
      <c r="AF34" s="1040"/>
      <c r="AG34" s="1041">
        <v>21.4</v>
      </c>
      <c r="AH34" s="1042">
        <v>44.8</v>
      </c>
      <c r="AI34" s="53" t="s">
        <v>1126</v>
      </c>
      <c r="AJ34" s="54">
        <v>85</v>
      </c>
      <c r="AK34" s="55">
        <v>85</v>
      </c>
      <c r="AL34" s="45">
        <f t="shared" si="17"/>
        <v>2</v>
      </c>
      <c r="AM34" s="907"/>
      <c r="AN34"/>
      <c r="AS34"/>
      <c r="AT34"/>
      <c r="AU34"/>
      <c r="AV34"/>
      <c r="AW34"/>
      <c r="AX34"/>
      <c r="AY34"/>
      <c r="AZ34"/>
      <c r="BA34"/>
      <c r="BB34"/>
      <c r="BC34"/>
      <c r="BD34"/>
      <c r="BE34"/>
      <c r="BF34"/>
      <c r="BG34"/>
      <c r="BH34"/>
      <c r="BI34"/>
      <c r="BJ34"/>
      <c r="BK34"/>
      <c r="BL34"/>
      <c r="BM34"/>
      <c r="BN34"/>
      <c r="BO34"/>
    </row>
    <row r="35" spans="1:75" ht="13.5" customHeight="1">
      <c r="A35" s="1">
        <v>30</v>
      </c>
      <c r="B35" s="47" t="str">
        <f t="shared" si="42"/>
        <v>Milchkühe (7000 kg Milch) - Tiefstallmist</v>
      </c>
      <c r="C35" s="48" t="s">
        <v>1127</v>
      </c>
      <c r="D35" s="1037"/>
      <c r="E35" s="1038"/>
      <c r="F35" s="1038"/>
      <c r="G35" s="1038"/>
      <c r="H35" s="1039">
        <v>73.900000000000006</v>
      </c>
      <c r="I35" s="1040"/>
      <c r="J35" s="1041"/>
      <c r="K35" s="1042">
        <v>12</v>
      </c>
      <c r="L35" s="1040">
        <v>1</v>
      </c>
      <c r="M35" s="1042">
        <v>1</v>
      </c>
      <c r="N35" s="1040"/>
      <c r="O35" s="1041"/>
      <c r="P35" s="1041"/>
      <c r="Q35" s="1043"/>
      <c r="R35" s="1044">
        <v>37.4</v>
      </c>
      <c r="S35" s="1045"/>
      <c r="T35" s="1043"/>
      <c r="U35" s="1043"/>
      <c r="V35" s="1043"/>
      <c r="W35" s="1044">
        <v>178.7</v>
      </c>
      <c r="X35" s="1616"/>
      <c r="Y35" s="1617"/>
      <c r="Z35" s="1617"/>
      <c r="AA35" s="1618"/>
      <c r="AB35" s="1617"/>
      <c r="AC35" s="1617"/>
      <c r="AD35" s="1617"/>
      <c r="AE35" s="1618"/>
      <c r="AF35" s="1040"/>
      <c r="AG35" s="1041"/>
      <c r="AH35" s="1042">
        <v>67.2</v>
      </c>
      <c r="AI35" s="53" t="s">
        <v>1127</v>
      </c>
      <c r="AJ35" s="54">
        <v>85</v>
      </c>
      <c r="AK35" s="55">
        <v>85</v>
      </c>
      <c r="AL35" s="45">
        <f t="shared" si="17"/>
        <v>2</v>
      </c>
      <c r="AM35" s="907"/>
      <c r="AN35"/>
      <c r="AP35" s="755" t="s">
        <v>1128</v>
      </c>
      <c r="AQ35" s="756"/>
      <c r="AR35" s="756"/>
      <c r="AS35" s="757">
        <f>BV20+CB20</f>
        <v>0</v>
      </c>
      <c r="AT35" s="757">
        <f>BW20+CC20</f>
        <v>0</v>
      </c>
      <c r="AU35" s="757">
        <f>BX20+CD20</f>
        <v>0</v>
      </c>
      <c r="AV35" s="757">
        <f>BY20+CE20</f>
        <v>0</v>
      </c>
      <c r="AW35" s="757">
        <f>BZ20+CF20</f>
        <v>0</v>
      </c>
      <c r="AX35" s="758">
        <f>SUM(AS35:AW35)</f>
        <v>0</v>
      </c>
      <c r="AY35" s="2772" t="s">
        <v>1129</v>
      </c>
      <c r="AZ35" s="2772"/>
      <c r="BA35" s="2772"/>
      <c r="BB35"/>
      <c r="BC35"/>
      <c r="BD35"/>
      <c r="BE35"/>
      <c r="BF35"/>
      <c r="BG35"/>
      <c r="BH35"/>
      <c r="BI35"/>
      <c r="BJ35"/>
      <c r="BK35"/>
      <c r="BL35"/>
      <c r="BM35"/>
      <c r="BN35"/>
      <c r="BO35"/>
    </row>
    <row r="36" spans="1:75" ht="13.8">
      <c r="A36" s="1">
        <v>31</v>
      </c>
      <c r="B36" s="47" t="str">
        <f t="shared" si="42"/>
        <v>Milchkühe (8000 kg Milch) - Gülle</v>
      </c>
      <c r="C36" s="48" t="s">
        <v>1130</v>
      </c>
      <c r="D36" s="1037">
        <v>97.3</v>
      </c>
      <c r="E36" s="1038"/>
      <c r="F36" s="1038"/>
      <c r="G36" s="1038"/>
      <c r="H36" s="1039"/>
      <c r="I36" s="1040">
        <v>12</v>
      </c>
      <c r="J36" s="1041"/>
      <c r="K36" s="1042"/>
      <c r="L36" s="1040">
        <v>1</v>
      </c>
      <c r="M36" s="1042">
        <v>1</v>
      </c>
      <c r="N36" s="1040">
        <v>41.9</v>
      </c>
      <c r="O36" s="1041"/>
      <c r="P36" s="1041"/>
      <c r="Q36" s="1043"/>
      <c r="R36" s="1044"/>
      <c r="S36" s="1045">
        <v>193.6</v>
      </c>
      <c r="T36" s="1043"/>
      <c r="U36" s="1043"/>
      <c r="V36" s="1043"/>
      <c r="W36" s="1044"/>
      <c r="X36" s="1616"/>
      <c r="Y36" s="1617"/>
      <c r="Z36" s="1617"/>
      <c r="AA36" s="1618"/>
      <c r="AB36" s="1617"/>
      <c r="AC36" s="1617"/>
      <c r="AD36" s="1617"/>
      <c r="AE36" s="1618"/>
      <c r="AF36" s="1040">
        <v>84.7</v>
      </c>
      <c r="AG36" s="1041"/>
      <c r="AH36" s="1042"/>
      <c r="AI36" s="53" t="s">
        <v>1130</v>
      </c>
      <c r="AJ36" s="54">
        <v>85</v>
      </c>
      <c r="AK36" s="55">
        <v>85</v>
      </c>
      <c r="AL36" s="45">
        <f t="shared" si="17"/>
        <v>2</v>
      </c>
      <c r="AM36" s="907"/>
      <c r="AN36"/>
      <c r="AP36" s="755" t="s">
        <v>1131</v>
      </c>
      <c r="AQ36" s="755"/>
      <c r="AR36" s="756"/>
      <c r="AS36" s="758">
        <f>AS20+AS28-AS35</f>
        <v>0</v>
      </c>
      <c r="AT36" s="758">
        <f>AT20+AT28-AT35</f>
        <v>0</v>
      </c>
      <c r="AU36" s="758">
        <f>AU20+AU28-AU35</f>
        <v>0</v>
      </c>
      <c r="AV36" s="758">
        <f>AV20+AV28-AV35</f>
        <v>0</v>
      </c>
      <c r="AW36" s="758">
        <f>AW20+AW28-AW35</f>
        <v>0</v>
      </c>
      <c r="AX36" s="759">
        <f>SUM(AS36:AW36)</f>
        <v>0</v>
      </c>
      <c r="AY36" s="2772"/>
      <c r="AZ36" s="2772"/>
      <c r="BA36" s="2772"/>
      <c r="BB36"/>
      <c r="BC36"/>
      <c r="BD36"/>
      <c r="BE36"/>
      <c r="BF36"/>
      <c r="BG36"/>
      <c r="BH36"/>
      <c r="BI36"/>
      <c r="BJ36"/>
      <c r="BK36"/>
      <c r="BL36"/>
      <c r="BM36"/>
      <c r="BN36"/>
      <c r="BO36"/>
    </row>
    <row r="37" spans="1:75" ht="13.8">
      <c r="A37" s="1">
        <v>32</v>
      </c>
      <c r="B37" s="47" t="str">
        <f t="shared" si="42"/>
        <v>Milchkühe (8000 kg Milch) - Mist/Jauche</v>
      </c>
      <c r="C37" s="48" t="s">
        <v>1132</v>
      </c>
      <c r="D37" s="1037"/>
      <c r="E37" s="1038"/>
      <c r="F37" s="1038"/>
      <c r="G37" s="1038">
        <v>26.7</v>
      </c>
      <c r="H37" s="1039">
        <v>53.5</v>
      </c>
      <c r="I37" s="1040"/>
      <c r="J37" s="1041">
        <v>4</v>
      </c>
      <c r="K37" s="1042">
        <v>7.6</v>
      </c>
      <c r="L37" s="1040">
        <v>1</v>
      </c>
      <c r="M37" s="1042">
        <v>1</v>
      </c>
      <c r="N37" s="1040"/>
      <c r="O37" s="1041"/>
      <c r="P37" s="1041"/>
      <c r="Q37" s="1043">
        <v>2.0950000000000002</v>
      </c>
      <c r="R37" s="1044">
        <v>39.805</v>
      </c>
      <c r="S37" s="1045"/>
      <c r="T37" s="1043"/>
      <c r="U37" s="1043"/>
      <c r="V37" s="1043">
        <v>63.887999999999998</v>
      </c>
      <c r="W37" s="1044">
        <v>129.71199999999999</v>
      </c>
      <c r="X37" s="1616"/>
      <c r="Y37" s="1617"/>
      <c r="Z37" s="1617"/>
      <c r="AA37" s="1618"/>
      <c r="AB37" s="1617"/>
      <c r="AC37" s="1617"/>
      <c r="AD37" s="1617"/>
      <c r="AE37" s="1618"/>
      <c r="AF37" s="1040"/>
      <c r="AG37" s="1041">
        <v>23.2</v>
      </c>
      <c r="AH37" s="1042">
        <v>48.6</v>
      </c>
      <c r="AI37" s="53" t="s">
        <v>1132</v>
      </c>
      <c r="AJ37" s="54">
        <v>85</v>
      </c>
      <c r="AK37" s="55">
        <v>85</v>
      </c>
      <c r="AL37" s="45">
        <f t="shared" si="17"/>
        <v>2</v>
      </c>
      <c r="AM37" s="907"/>
      <c r="AN37"/>
      <c r="AP37" s="760"/>
      <c r="AQ37" s="761"/>
      <c r="AR37" s="761"/>
      <c r="AS37" s="762"/>
      <c r="AT37" s="762"/>
      <c r="AU37" s="762"/>
      <c r="AV37" s="762"/>
      <c r="AW37" s="762"/>
      <c r="AX37" s="763"/>
      <c r="AY37" s="2772"/>
      <c r="AZ37" s="2772"/>
      <c r="BA37" s="2772"/>
      <c r="BB37"/>
      <c r="BC37"/>
      <c r="BD37"/>
      <c r="BE37"/>
      <c r="BF37"/>
      <c r="BG37"/>
      <c r="BH37"/>
      <c r="BI37"/>
      <c r="BJ37"/>
      <c r="BK37"/>
      <c r="BL37"/>
      <c r="BM37"/>
      <c r="BN37"/>
      <c r="BO37"/>
    </row>
    <row r="38" spans="1:75">
      <c r="A38" s="1">
        <v>33</v>
      </c>
      <c r="B38" s="47" t="str">
        <f t="shared" si="42"/>
        <v>Milchkühe (8000 kg Milch) - Tiefstallmist</v>
      </c>
      <c r="C38" s="48" t="s">
        <v>1133</v>
      </c>
      <c r="D38" s="1037"/>
      <c r="E38" s="1038"/>
      <c r="F38" s="1038"/>
      <c r="G38" s="1038"/>
      <c r="H38" s="1039">
        <v>80.2</v>
      </c>
      <c r="I38" s="1040"/>
      <c r="J38" s="1041"/>
      <c r="K38" s="1042">
        <v>12.3</v>
      </c>
      <c r="L38" s="1040">
        <v>1</v>
      </c>
      <c r="M38" s="1042">
        <v>1</v>
      </c>
      <c r="N38" s="1040"/>
      <c r="O38" s="1041"/>
      <c r="P38" s="1041"/>
      <c r="Q38" s="1043"/>
      <c r="R38" s="1044">
        <v>41.9</v>
      </c>
      <c r="S38" s="1045"/>
      <c r="T38" s="1043"/>
      <c r="U38" s="1043"/>
      <c r="V38" s="1043"/>
      <c r="W38" s="1044">
        <v>193.6</v>
      </c>
      <c r="X38" s="1616"/>
      <c r="Y38" s="1617"/>
      <c r="Z38" s="1617"/>
      <c r="AA38" s="1618"/>
      <c r="AB38" s="1617"/>
      <c r="AC38" s="1617"/>
      <c r="AD38" s="1617"/>
      <c r="AE38" s="1618"/>
      <c r="AF38" s="1040"/>
      <c r="AG38" s="1041"/>
      <c r="AH38" s="1042">
        <v>73</v>
      </c>
      <c r="AI38" s="53" t="s">
        <v>1133</v>
      </c>
      <c r="AJ38" s="54">
        <v>85</v>
      </c>
      <c r="AK38" s="55">
        <v>85</v>
      </c>
      <c r="AL38" s="45">
        <f t="shared" si="17"/>
        <v>2</v>
      </c>
      <c r="AM38" s="907"/>
      <c r="AN38"/>
      <c r="AS38"/>
      <c r="AT38"/>
      <c r="AU38"/>
      <c r="AV38"/>
      <c r="AW38"/>
      <c r="AX38"/>
      <c r="AY38"/>
      <c r="AZ38"/>
      <c r="BA38"/>
      <c r="BB38"/>
      <c r="BC38"/>
      <c r="BD38"/>
      <c r="BE38"/>
      <c r="BF38"/>
      <c r="BG38"/>
      <c r="BH38"/>
      <c r="BI38"/>
      <c r="BJ38"/>
      <c r="BK38"/>
      <c r="BL38"/>
      <c r="BM38"/>
      <c r="BN38"/>
      <c r="BO38"/>
    </row>
    <row r="39" spans="1:75" ht="13.8">
      <c r="A39" s="1">
        <v>34</v>
      </c>
      <c r="B39" s="47" t="str">
        <f t="shared" si="42"/>
        <v>Milchkühe (9000 kg Milch) - Gülle</v>
      </c>
      <c r="C39" s="48" t="s">
        <v>1134</v>
      </c>
      <c r="D39" s="1037">
        <v>105</v>
      </c>
      <c r="E39" s="1038"/>
      <c r="F39" s="1038"/>
      <c r="G39" s="1038"/>
      <c r="H39" s="1039"/>
      <c r="I39" s="1040">
        <v>12.3</v>
      </c>
      <c r="J39" s="1041"/>
      <c r="K39" s="1042"/>
      <c r="L39" s="1040">
        <v>1</v>
      </c>
      <c r="M39" s="1042">
        <v>1</v>
      </c>
      <c r="N39" s="1040">
        <v>46.5</v>
      </c>
      <c r="O39" s="1041"/>
      <c r="P39" s="1041"/>
      <c r="Q39" s="1043"/>
      <c r="R39" s="1044"/>
      <c r="S39" s="1045">
        <v>208.5</v>
      </c>
      <c r="T39" s="1043"/>
      <c r="U39" s="1043"/>
      <c r="V39" s="1043"/>
      <c r="W39" s="1044"/>
      <c r="X39" s="1616"/>
      <c r="Y39" s="1617"/>
      <c r="Z39" s="1617"/>
      <c r="AA39" s="1618"/>
      <c r="AB39" s="1617"/>
      <c r="AC39" s="1617"/>
      <c r="AD39" s="1617"/>
      <c r="AE39" s="1618"/>
      <c r="AF39" s="1040">
        <v>91.4</v>
      </c>
      <c r="AG39" s="1041"/>
      <c r="AH39" s="1042"/>
      <c r="AI39" s="53" t="s">
        <v>1134</v>
      </c>
      <c r="AJ39" s="54">
        <v>85</v>
      </c>
      <c r="AK39" s="55">
        <v>85</v>
      </c>
      <c r="AL39" s="45">
        <f t="shared" si="17"/>
        <v>2</v>
      </c>
      <c r="AM39" s="907"/>
      <c r="AN39"/>
      <c r="AP39" s="106" t="s">
        <v>1135</v>
      </c>
      <c r="AS39"/>
      <c r="AT39"/>
      <c r="AU39"/>
      <c r="AV39"/>
      <c r="AW39"/>
      <c r="AX39"/>
      <c r="AY39"/>
      <c r="AZ39"/>
      <c r="BA39"/>
      <c r="BB39"/>
      <c r="BC39"/>
      <c r="BD39"/>
      <c r="BE39"/>
      <c r="BF39"/>
      <c r="BG39"/>
      <c r="BH39"/>
      <c r="BI39"/>
      <c r="BJ39"/>
      <c r="BK39"/>
      <c r="BL39"/>
      <c r="BM39"/>
      <c r="BN39"/>
      <c r="BO39"/>
    </row>
    <row r="40" spans="1:75">
      <c r="A40" s="1">
        <v>35</v>
      </c>
      <c r="B40" s="47" t="str">
        <f t="shared" si="42"/>
        <v>Milchkühe (9000 kg Milch) - Mist/Jauche</v>
      </c>
      <c r="C40" s="48" t="s">
        <v>1136</v>
      </c>
      <c r="D40" s="1037"/>
      <c r="E40" s="1038"/>
      <c r="F40" s="1038"/>
      <c r="G40" s="1038">
        <v>28.8</v>
      </c>
      <c r="H40" s="1039">
        <v>57.7</v>
      </c>
      <c r="I40" s="1040"/>
      <c r="J40" s="1041">
        <v>4.0999999999999996</v>
      </c>
      <c r="K40" s="1042">
        <v>7.9</v>
      </c>
      <c r="L40" s="1040">
        <v>1</v>
      </c>
      <c r="M40" s="1042">
        <v>1</v>
      </c>
      <c r="N40" s="1040"/>
      <c r="O40" s="1041"/>
      <c r="P40" s="1041"/>
      <c r="Q40" s="1043">
        <v>2.3250000000000002</v>
      </c>
      <c r="R40" s="1044">
        <v>44.174999999999997</v>
      </c>
      <c r="S40" s="1045"/>
      <c r="T40" s="1043"/>
      <c r="U40" s="1043"/>
      <c r="V40" s="1043">
        <v>68.805000000000007</v>
      </c>
      <c r="W40" s="1044">
        <v>139.69499999999999</v>
      </c>
      <c r="X40" s="1616"/>
      <c r="Y40" s="1617"/>
      <c r="Z40" s="1617"/>
      <c r="AA40" s="1618"/>
      <c r="AB40" s="1617"/>
      <c r="AC40" s="1617"/>
      <c r="AD40" s="1617"/>
      <c r="AE40" s="1618"/>
      <c r="AF40" s="1040"/>
      <c r="AG40" s="1041">
        <v>25.1</v>
      </c>
      <c r="AH40" s="1042">
        <v>52.4</v>
      </c>
      <c r="AI40" s="53" t="s">
        <v>1136</v>
      </c>
      <c r="AJ40" s="54">
        <v>85</v>
      </c>
      <c r="AK40" s="55">
        <v>85</v>
      </c>
      <c r="AL40" s="45">
        <f t="shared" si="17"/>
        <v>2</v>
      </c>
      <c r="AM40" s="907"/>
      <c r="AN40" s="107"/>
      <c r="AQ40" s="108" t="s">
        <v>1137</v>
      </c>
      <c r="AR40" s="108" t="s">
        <v>1138</v>
      </c>
      <c r="AS40" s="109" t="s">
        <v>1139</v>
      </c>
      <c r="AT40" s="109" t="s">
        <v>1140</v>
      </c>
      <c r="AU40" s="109" t="s">
        <v>927</v>
      </c>
      <c r="AV40" s="109" t="s">
        <v>1141</v>
      </c>
      <c r="AW40" s="109" t="s">
        <v>1142</v>
      </c>
      <c r="AX40" s="109" t="s">
        <v>1143</v>
      </c>
      <c r="AY40"/>
      <c r="AZ40"/>
      <c r="BA40"/>
      <c r="BB40"/>
      <c r="BC40"/>
      <c r="BD40"/>
      <c r="BE40"/>
      <c r="BF40"/>
      <c r="BG40"/>
      <c r="BH40"/>
      <c r="BI40"/>
      <c r="BJ40"/>
      <c r="BK40"/>
      <c r="BL40"/>
      <c r="BM40"/>
      <c r="BN40"/>
      <c r="BO40"/>
    </row>
    <row r="41" spans="1:75" ht="15.6">
      <c r="A41" s="1">
        <v>36</v>
      </c>
      <c r="B41" s="47" t="str">
        <f t="shared" si="42"/>
        <v>Milchkühe (9000 kg Milch) - Tiefstallmist</v>
      </c>
      <c r="C41" s="48" t="s">
        <v>1144</v>
      </c>
      <c r="D41" s="1037"/>
      <c r="E41" s="1038"/>
      <c r="F41" s="1038"/>
      <c r="G41" s="1038"/>
      <c r="H41" s="1039">
        <v>86.5</v>
      </c>
      <c r="I41" s="1040"/>
      <c r="J41" s="1041"/>
      <c r="K41" s="1042">
        <v>12.6</v>
      </c>
      <c r="L41" s="1040">
        <v>1</v>
      </c>
      <c r="M41" s="1042">
        <v>1</v>
      </c>
      <c r="N41" s="1040"/>
      <c r="O41" s="1041"/>
      <c r="P41" s="1041"/>
      <c r="Q41" s="1043"/>
      <c r="R41" s="1044">
        <v>46.5</v>
      </c>
      <c r="S41" s="1045"/>
      <c r="T41" s="1043"/>
      <c r="U41" s="1043"/>
      <c r="V41" s="1043"/>
      <c r="W41" s="1044">
        <v>208.5</v>
      </c>
      <c r="X41" s="1616"/>
      <c r="Y41" s="1617"/>
      <c r="Z41" s="1617"/>
      <c r="AA41" s="1618"/>
      <c r="AB41" s="1617"/>
      <c r="AC41" s="1617"/>
      <c r="AD41" s="1617"/>
      <c r="AE41" s="1618"/>
      <c r="AF41" s="1040"/>
      <c r="AG41" s="1041"/>
      <c r="AH41" s="1042">
        <v>78.7</v>
      </c>
      <c r="AI41" s="53" t="s">
        <v>1144</v>
      </c>
      <c r="AJ41" s="54">
        <v>85</v>
      </c>
      <c r="AK41" s="55">
        <v>85</v>
      </c>
      <c r="AL41" s="45">
        <f t="shared" si="17"/>
        <v>2</v>
      </c>
      <c r="AM41" s="907"/>
      <c r="AP41" t="s">
        <v>1145</v>
      </c>
      <c r="AQ41" s="110">
        <f>Organ__Dü!C25</f>
        <v>0</v>
      </c>
      <c r="AR41" s="110">
        <f>Organ__Dü!D25</f>
        <v>0</v>
      </c>
      <c r="AS41" s="110">
        <f>Organ__Dü!E25</f>
        <v>0</v>
      </c>
      <c r="AT41" s="110">
        <f>Organ__Dü!F25</f>
        <v>0</v>
      </c>
      <c r="AU41" s="110">
        <f>Organ__Dü!G25</f>
        <v>0</v>
      </c>
      <c r="AV41" s="110">
        <f>Organ__Dü!H25</f>
        <v>0</v>
      </c>
      <c r="AW41" s="110">
        <f>Organ__Dü!I25</f>
        <v>0</v>
      </c>
      <c r="AX41" s="110">
        <f>Organ__Dü!J25</f>
        <v>0</v>
      </c>
      <c r="AY41"/>
      <c r="AZ41"/>
      <c r="BA41"/>
      <c r="BB41"/>
      <c r="BC41"/>
      <c r="BD41" s="674" t="s">
        <v>1146</v>
      </c>
      <c r="BE41" s="214"/>
      <c r="BF41" s="214"/>
      <c r="BG41" s="214"/>
      <c r="BH41" s="214"/>
      <c r="BI41" s="616" t="s">
        <v>1147</v>
      </c>
      <c r="BJ41" s="675"/>
      <c r="BK41" s="676"/>
      <c r="BL41" s="677"/>
      <c r="BM41" s="677"/>
      <c r="BN41" s="678" t="s">
        <v>1148</v>
      </c>
      <c r="BO41" s="679"/>
    </row>
    <row r="42" spans="1:75" ht="15.6">
      <c r="A42" s="1">
        <v>37</v>
      </c>
      <c r="B42" s="47" t="str">
        <f t="shared" si="42"/>
        <v>Milchkühe (&gt; 10.000 kg Milch) - Gülle</v>
      </c>
      <c r="C42" s="48" t="s">
        <v>1149</v>
      </c>
      <c r="D42" s="1037">
        <v>112.6</v>
      </c>
      <c r="E42" s="1038"/>
      <c r="F42" s="1038"/>
      <c r="G42" s="1038"/>
      <c r="H42" s="1039"/>
      <c r="I42" s="1040">
        <v>12.7</v>
      </c>
      <c r="J42" s="1041"/>
      <c r="K42" s="1042"/>
      <c r="L42" s="1040">
        <v>1</v>
      </c>
      <c r="M42" s="1042">
        <v>1</v>
      </c>
      <c r="N42" s="1040">
        <v>51.1</v>
      </c>
      <c r="O42" s="1041"/>
      <c r="P42" s="1041"/>
      <c r="Q42" s="1043"/>
      <c r="R42" s="1044"/>
      <c r="S42" s="1045">
        <v>223.4</v>
      </c>
      <c r="T42" s="1043"/>
      <c r="U42" s="1043"/>
      <c r="V42" s="1043"/>
      <c r="W42" s="1044"/>
      <c r="X42" s="1616"/>
      <c r="Y42" s="1617"/>
      <c r="Z42" s="1617"/>
      <c r="AA42" s="1618"/>
      <c r="AB42" s="1617"/>
      <c r="AC42" s="1617"/>
      <c r="AD42" s="1617"/>
      <c r="AE42" s="1618"/>
      <c r="AF42" s="1040">
        <v>98</v>
      </c>
      <c r="AG42" s="1041"/>
      <c r="AH42" s="1042"/>
      <c r="AI42" s="53" t="s">
        <v>1149</v>
      </c>
      <c r="AJ42" s="54">
        <v>85</v>
      </c>
      <c r="AK42" s="55">
        <v>85</v>
      </c>
      <c r="AL42" s="45">
        <f t="shared" si="17"/>
        <v>2</v>
      </c>
      <c r="AM42" s="907"/>
      <c r="AP42" t="s">
        <v>1150</v>
      </c>
      <c r="AQ42" s="110">
        <f>Organ__Dü!C26</f>
        <v>0</v>
      </c>
      <c r="AR42" s="110">
        <f>Organ__Dü!D26</f>
        <v>0</v>
      </c>
      <c r="AS42" s="110">
        <f>Organ__Dü!E26</f>
        <v>0</v>
      </c>
      <c r="AT42" s="110">
        <f>Organ__Dü!F26</f>
        <v>0</v>
      </c>
      <c r="AU42" s="110">
        <f>Organ__Dü!G26</f>
        <v>0</v>
      </c>
      <c r="AV42" s="110">
        <f>Organ__Dü!H26</f>
        <v>0</v>
      </c>
      <c r="AW42" s="110">
        <f>Organ__Dü!I26</f>
        <v>0</v>
      </c>
      <c r="AX42" s="110">
        <f>Organ__Dü!J26</f>
        <v>0</v>
      </c>
      <c r="AY42"/>
      <c r="AZ42"/>
      <c r="BA42"/>
      <c r="BB42"/>
      <c r="BC42"/>
      <c r="BD42" s="680" t="s">
        <v>1151</v>
      </c>
      <c r="BE42" s="681" t="s">
        <v>1152</v>
      </c>
      <c r="BF42" s="682" t="s">
        <v>1124</v>
      </c>
      <c r="BG42" s="683" t="s">
        <v>1153</v>
      </c>
      <c r="BH42" s="684" t="s">
        <v>1154</v>
      </c>
      <c r="BI42" s="611" t="s">
        <v>1155</v>
      </c>
      <c r="BJ42" s="682" t="s">
        <v>1099</v>
      </c>
      <c r="BK42" s="611" t="s">
        <v>1100</v>
      </c>
      <c r="BL42" s="682" t="s">
        <v>1156</v>
      </c>
      <c r="BM42" s="682" t="s">
        <v>1157</v>
      </c>
      <c r="BN42" s="685" t="s">
        <v>1158</v>
      </c>
      <c r="BO42" s="685" t="s">
        <v>1157</v>
      </c>
    </row>
    <row r="43" spans="1:75" ht="14.4" thickBot="1">
      <c r="A43" s="1">
        <v>38</v>
      </c>
      <c r="B43" s="47" t="str">
        <f t="shared" si="42"/>
        <v>Milchkühe (&gt; 10.000 kg Milch) - Mist/Jauche</v>
      </c>
      <c r="C43" s="48" t="s">
        <v>1159</v>
      </c>
      <c r="D43" s="1037"/>
      <c r="E43" s="1038"/>
      <c r="F43" s="1038"/>
      <c r="G43" s="1038">
        <v>30.9</v>
      </c>
      <c r="H43" s="1039">
        <v>61.9</v>
      </c>
      <c r="I43" s="1040"/>
      <c r="J43" s="1041">
        <v>4.2</v>
      </c>
      <c r="K43" s="1042">
        <v>8.1</v>
      </c>
      <c r="L43" s="1040">
        <v>1</v>
      </c>
      <c r="M43" s="1042">
        <v>1</v>
      </c>
      <c r="N43" s="1040"/>
      <c r="O43" s="1041"/>
      <c r="P43" s="1041"/>
      <c r="Q43" s="1043">
        <v>2.5550000000000002</v>
      </c>
      <c r="R43" s="1044">
        <v>48.545000000000002</v>
      </c>
      <c r="S43" s="1045"/>
      <c r="T43" s="1043"/>
      <c r="U43" s="1043"/>
      <c r="V43" s="1043">
        <v>73.721999999999994</v>
      </c>
      <c r="W43" s="1044">
        <v>149.678</v>
      </c>
      <c r="X43" s="1619"/>
      <c r="Y43" s="1620"/>
      <c r="Z43" s="1620"/>
      <c r="AA43" s="1621"/>
      <c r="AB43" s="1620"/>
      <c r="AC43" s="1620"/>
      <c r="AD43" s="1620"/>
      <c r="AE43" s="1621"/>
      <c r="AF43" s="1040"/>
      <c r="AG43" s="1041">
        <v>26.9</v>
      </c>
      <c r="AH43" s="1042">
        <v>56.2</v>
      </c>
      <c r="AI43" s="53" t="s">
        <v>1159</v>
      </c>
      <c r="AJ43" s="54">
        <v>85</v>
      </c>
      <c r="AK43" s="55">
        <v>85</v>
      </c>
      <c r="AL43" s="45">
        <f t="shared" si="17"/>
        <v>2</v>
      </c>
      <c r="AM43" s="907"/>
      <c r="AP43" t="s">
        <v>1160</v>
      </c>
      <c r="AQ43" s="110">
        <f>Organ__Dü!C27</f>
        <v>0</v>
      </c>
      <c r="AR43" s="110">
        <f>Organ__Dü!D27</f>
        <v>0</v>
      </c>
      <c r="AS43" s="110">
        <f>Organ__Dü!E27</f>
        <v>0</v>
      </c>
      <c r="AT43" s="110">
        <f>Organ__Dü!F27</f>
        <v>0</v>
      </c>
      <c r="AU43" s="110">
        <f>Organ__Dü!G27</f>
        <v>0</v>
      </c>
      <c r="AV43" s="110">
        <f>Organ__Dü!H27</f>
        <v>0</v>
      </c>
      <c r="AW43" s="110">
        <f>Organ__Dü!I27</f>
        <v>0</v>
      </c>
      <c r="AX43" s="110">
        <f>Organ__Dü!J27</f>
        <v>0</v>
      </c>
      <c r="AY43"/>
      <c r="AZ43"/>
      <c r="BA43"/>
      <c r="BB43"/>
      <c r="BC43"/>
      <c r="BD43" s="686" t="s">
        <v>1161</v>
      </c>
      <c r="BE43" s="687">
        <f>Hofdung!G13</f>
        <v>0</v>
      </c>
      <c r="BF43" s="688">
        <f>Hofdung!H13</f>
        <v>0</v>
      </c>
      <c r="BG43" s="688">
        <f>Hofdung!K13</f>
        <v>0</v>
      </c>
      <c r="BH43" s="689">
        <f>Hofdung!L13</f>
        <v>0</v>
      </c>
      <c r="BI43" s="690">
        <f t="shared" ref="BI43:BI48" si="46">$BE43*BF43</f>
        <v>0</v>
      </c>
      <c r="BJ43" s="690">
        <f t="shared" ref="BJ43:BJ48" si="47">$BE43*BG43</f>
        <v>0</v>
      </c>
      <c r="BK43" s="690">
        <f t="shared" ref="BK43:BK48" si="48">$BE43*BH43</f>
        <v>0</v>
      </c>
      <c r="BL43" s="688">
        <f>Hofdung!I13</f>
        <v>0</v>
      </c>
      <c r="BM43" s="688">
        <f>Hofdung!J13</f>
        <v>0</v>
      </c>
      <c r="BN43" s="690">
        <f t="shared" ref="BN43:BN48" si="49">$BE43*BL43</f>
        <v>0</v>
      </c>
      <c r="BO43" s="690">
        <f t="shared" ref="BO43:BO48" si="50">$BE43*BM43</f>
        <v>0</v>
      </c>
      <c r="BW43" s="1022"/>
    </row>
    <row r="44" spans="1:75" ht="14.4" thickBot="1">
      <c r="A44" s="1">
        <v>39</v>
      </c>
      <c r="B44" s="47" t="str">
        <f t="shared" si="42"/>
        <v>Milchkühe (&gt; 10.000 kg Milch) - Tiefstallmist</v>
      </c>
      <c r="C44" s="48" t="s">
        <v>1162</v>
      </c>
      <c r="D44" s="1037"/>
      <c r="E44" s="1038"/>
      <c r="F44" s="1038"/>
      <c r="G44" s="1038"/>
      <c r="H44" s="1039">
        <v>92.8</v>
      </c>
      <c r="I44" s="1040"/>
      <c r="J44" s="1041"/>
      <c r="K44" s="1042">
        <v>13</v>
      </c>
      <c r="L44" s="1040">
        <v>1</v>
      </c>
      <c r="M44" s="1042">
        <v>1</v>
      </c>
      <c r="N44" s="1040"/>
      <c r="O44" s="1041"/>
      <c r="P44" s="1041"/>
      <c r="Q44" s="1043"/>
      <c r="R44" s="1044">
        <v>51.1</v>
      </c>
      <c r="S44" s="1045"/>
      <c r="T44" s="1043"/>
      <c r="U44" s="1043"/>
      <c r="V44" s="1043"/>
      <c r="W44" s="1044">
        <v>223.4</v>
      </c>
      <c r="X44" s="1049" t="s">
        <v>1163</v>
      </c>
      <c r="Y44" s="1050"/>
      <c r="Z44" s="1050"/>
      <c r="AA44" s="1050"/>
      <c r="AB44" s="1050" t="s">
        <v>1164</v>
      </c>
      <c r="AC44" s="1050"/>
      <c r="AD44" s="1050"/>
      <c r="AE44" s="1051"/>
      <c r="AF44" s="1040"/>
      <c r="AG44" s="1041"/>
      <c r="AH44" s="1042">
        <v>84.4</v>
      </c>
      <c r="AI44" s="53" t="s">
        <v>1162</v>
      </c>
      <c r="AJ44" s="54">
        <v>85</v>
      </c>
      <c r="AK44" s="55">
        <v>85</v>
      </c>
      <c r="AL44" s="45">
        <f t="shared" si="17"/>
        <v>2</v>
      </c>
      <c r="AM44" s="907"/>
      <c r="AS44"/>
      <c r="AT44"/>
      <c r="AU44"/>
      <c r="AV44"/>
      <c r="AW44"/>
      <c r="AX44"/>
      <c r="AY44"/>
      <c r="AZ44"/>
      <c r="BA44"/>
      <c r="BB44"/>
      <c r="BC44"/>
      <c r="BD44" s="686" t="s">
        <v>1165</v>
      </c>
      <c r="BE44" s="687">
        <f>Hofdung!G14</f>
        <v>0</v>
      </c>
      <c r="BF44" s="688">
        <f>Hofdung!H14</f>
        <v>0</v>
      </c>
      <c r="BG44" s="688">
        <f>Hofdung!K14</f>
        <v>0</v>
      </c>
      <c r="BH44" s="689">
        <f>Hofdung!L14</f>
        <v>0</v>
      </c>
      <c r="BI44" s="690">
        <f t="shared" si="46"/>
        <v>0</v>
      </c>
      <c r="BJ44" s="690">
        <f t="shared" si="47"/>
        <v>0</v>
      </c>
      <c r="BK44" s="690">
        <f t="shared" si="48"/>
        <v>0</v>
      </c>
      <c r="BL44" s="688">
        <f>Hofdung!I14</f>
        <v>0</v>
      </c>
      <c r="BM44" s="688">
        <f>Hofdung!J14</f>
        <v>0</v>
      </c>
      <c r="BN44" s="690">
        <f t="shared" si="49"/>
        <v>0</v>
      </c>
      <c r="BO44" s="690">
        <f t="shared" si="50"/>
        <v>0</v>
      </c>
    </row>
    <row r="45" spans="1:75" ht="14.4" thickBot="1">
      <c r="B45" s="113" t="s">
        <v>1166</v>
      </c>
      <c r="C45" s="12" t="s">
        <v>1166</v>
      </c>
      <c r="D45" s="1052"/>
      <c r="E45" s="1053"/>
      <c r="F45" s="1053"/>
      <c r="G45" s="1053"/>
      <c r="H45" s="1054"/>
      <c r="I45" s="1055"/>
      <c r="J45" s="1056"/>
      <c r="K45" s="1057"/>
      <c r="L45" s="1055"/>
      <c r="M45" s="1057">
        <v>1</v>
      </c>
      <c r="N45" s="1689" t="str">
        <f>Tiere!G4</f>
        <v>NEIN</v>
      </c>
      <c r="O45" s="1685"/>
      <c r="P45" s="1056"/>
      <c r="Q45" s="1056"/>
      <c r="R45" s="1057"/>
      <c r="S45" s="1055"/>
      <c r="T45" s="1056"/>
      <c r="U45" s="1056"/>
      <c r="V45" s="1056"/>
      <c r="W45" s="1057"/>
      <c r="X45" s="1055" t="s">
        <v>924</v>
      </c>
      <c r="Y45" s="1056" t="s">
        <v>925</v>
      </c>
      <c r="Z45" s="1056" t="s">
        <v>926</v>
      </c>
      <c r="AA45" s="1056" t="s">
        <v>927</v>
      </c>
      <c r="AB45" s="1056" t="s">
        <v>924</v>
      </c>
      <c r="AC45" s="1056" t="s">
        <v>925</v>
      </c>
      <c r="AD45" s="1056" t="s">
        <v>926</v>
      </c>
      <c r="AE45" s="1057" t="s">
        <v>927</v>
      </c>
      <c r="AF45" s="1055"/>
      <c r="AG45" s="1056"/>
      <c r="AH45" s="1057"/>
      <c r="AI45" s="114" t="s">
        <v>1166</v>
      </c>
      <c r="AJ45" s="18"/>
      <c r="AK45" s="115"/>
      <c r="AL45" s="45"/>
      <c r="AM45" s="907"/>
      <c r="AS45"/>
      <c r="AT45"/>
      <c r="AU45"/>
      <c r="AV45"/>
      <c r="AW45"/>
      <c r="AX45"/>
      <c r="AY45"/>
      <c r="AZ45"/>
      <c r="BA45"/>
      <c r="BB45"/>
      <c r="BC45"/>
      <c r="BD45" s="686" t="s">
        <v>1167</v>
      </c>
      <c r="BE45" s="687">
        <f>Hofdung!G15</f>
        <v>0</v>
      </c>
      <c r="BF45" s="688">
        <f>Hofdung!H15</f>
        <v>0</v>
      </c>
      <c r="BG45" s="688">
        <f>Hofdung!K15</f>
        <v>0</v>
      </c>
      <c r="BH45" s="689">
        <f>Hofdung!L15</f>
        <v>0</v>
      </c>
      <c r="BI45" s="690">
        <f t="shared" si="46"/>
        <v>0</v>
      </c>
      <c r="BJ45" s="690">
        <f t="shared" si="47"/>
        <v>0</v>
      </c>
      <c r="BK45" s="690">
        <f t="shared" si="48"/>
        <v>0</v>
      </c>
      <c r="BL45" s="688">
        <f>Hofdung!I15</f>
        <v>0</v>
      </c>
      <c r="BM45" s="688">
        <f>Hofdung!J15</f>
        <v>0</v>
      </c>
      <c r="BN45" s="690">
        <f t="shared" si="49"/>
        <v>0</v>
      </c>
      <c r="BO45" s="690">
        <f t="shared" si="50"/>
        <v>0</v>
      </c>
    </row>
    <row r="46" spans="1:75" ht="14.4">
      <c r="A46" s="1">
        <v>40</v>
      </c>
      <c r="B46" s="47" t="str">
        <f>C46</f>
        <v>Ferkel 8 bis 32 kg Lebendgewicht (LG) Standard-Fütterung - Gülle</v>
      </c>
      <c r="C46" s="48" t="s">
        <v>1168</v>
      </c>
      <c r="D46" s="1037"/>
      <c r="E46" s="1038">
        <v>2.5</v>
      </c>
      <c r="F46" s="1038"/>
      <c r="G46" s="1038"/>
      <c r="H46" s="1039"/>
      <c r="I46" s="1040">
        <v>0.3</v>
      </c>
      <c r="J46" s="1041"/>
      <c r="K46" s="1042"/>
      <c r="L46" s="1040">
        <v>7.0000000000000007E-2</v>
      </c>
      <c r="M46" s="1042">
        <v>1</v>
      </c>
      <c r="N46" s="1679"/>
      <c r="O46" s="1690">
        <f>IF(Tabelle1!$N$45="JA",Tabelle1!AB46,Tabelle1!X46)</f>
        <v>2</v>
      </c>
      <c r="P46" s="1682"/>
      <c r="Q46" s="1673"/>
      <c r="R46" s="1674"/>
      <c r="S46" s="1058"/>
      <c r="T46" s="1059">
        <v>2.1</v>
      </c>
      <c r="U46" s="1060"/>
      <c r="V46" s="1061"/>
      <c r="W46" s="1062"/>
      <c r="X46" s="1040">
        <v>2</v>
      </c>
      <c r="Y46" s="1041"/>
      <c r="Z46" s="1041"/>
      <c r="AA46" s="1041"/>
      <c r="AB46" s="1041">
        <v>1.4</v>
      </c>
      <c r="AC46" s="1041"/>
      <c r="AD46" s="1041" t="s">
        <v>1169</v>
      </c>
      <c r="AE46" s="1042"/>
      <c r="AF46" s="1040">
        <v>2.2000000000000002</v>
      </c>
      <c r="AG46" s="1041"/>
      <c r="AH46" s="1042"/>
      <c r="AI46" s="53" t="s">
        <v>1168</v>
      </c>
      <c r="AJ46" s="55">
        <v>2.2999999999999998</v>
      </c>
      <c r="AK46" s="116"/>
      <c r="AL46" s="117"/>
      <c r="AM46" s="907"/>
      <c r="AQ46" s="118" t="s">
        <v>1170</v>
      </c>
      <c r="AR46" s="3"/>
      <c r="AS46"/>
      <c r="AT46"/>
      <c r="AU46"/>
      <c r="AV46"/>
      <c r="AW46"/>
      <c r="AX46"/>
      <c r="AY46"/>
      <c r="AZ46"/>
      <c r="BA46"/>
      <c r="BB46"/>
      <c r="BC46"/>
      <c r="BD46" s="686" t="s">
        <v>1171</v>
      </c>
      <c r="BE46" s="687">
        <f>Hofdung!G16</f>
        <v>0</v>
      </c>
      <c r="BF46" s="688">
        <f>Hofdung!H16</f>
        <v>0</v>
      </c>
      <c r="BG46" s="688">
        <f>Hofdung!K16</f>
        <v>0</v>
      </c>
      <c r="BH46" s="689">
        <f>Hofdung!L16</f>
        <v>0</v>
      </c>
      <c r="BI46" s="690">
        <f t="shared" si="46"/>
        <v>0</v>
      </c>
      <c r="BJ46" s="690">
        <f t="shared" si="47"/>
        <v>0</v>
      </c>
      <c r="BK46" s="690">
        <f t="shared" si="48"/>
        <v>0</v>
      </c>
      <c r="BL46" s="688">
        <f>Hofdung!I16</f>
        <v>0</v>
      </c>
      <c r="BM46" s="688">
        <f>Hofdung!J16</f>
        <v>0</v>
      </c>
      <c r="BN46" s="690">
        <f t="shared" si="49"/>
        <v>0</v>
      </c>
      <c r="BO46" s="690">
        <f t="shared" si="50"/>
        <v>0</v>
      </c>
    </row>
    <row r="47" spans="1:75" ht="15" thickBot="1">
      <c r="A47" s="1">
        <v>41</v>
      </c>
      <c r="B47" s="47" t="str">
        <f t="shared" ref="B47:B72" si="51">C47</f>
        <v>Ferkel 8 bis 32 kg Lebendgewicht (LG) Standard-Fütterung - Mist/Jauche</v>
      </c>
      <c r="C47" s="48" t="s">
        <v>1172</v>
      </c>
      <c r="D47" s="1037"/>
      <c r="E47" s="1038"/>
      <c r="F47" s="1038"/>
      <c r="G47" s="1038">
        <v>0.8</v>
      </c>
      <c r="H47" s="1039">
        <v>1.6</v>
      </c>
      <c r="I47" s="1040"/>
      <c r="J47" s="1041">
        <v>0.05</v>
      </c>
      <c r="K47" s="1042">
        <v>0.13</v>
      </c>
      <c r="L47" s="1040">
        <v>7.0000000000000007E-2</v>
      </c>
      <c r="M47" s="1042">
        <v>1</v>
      </c>
      <c r="N47" s="1680"/>
      <c r="O47" s="1687"/>
      <c r="P47" s="1683"/>
      <c r="Q47" s="1692">
        <f>IF(Tabelle1!$N$45="JA",Tabelle1!AD47,Tabelle1!Z47)</f>
        <v>0.1</v>
      </c>
      <c r="R47" s="1693">
        <f>IF(Tabelle1!$N$45="JA",Tabelle1!AE47,Tabelle1!AA47)</f>
        <v>1.9</v>
      </c>
      <c r="S47" s="1063"/>
      <c r="T47" s="1064"/>
      <c r="U47" s="1065"/>
      <c r="V47" s="1066">
        <v>0.21</v>
      </c>
      <c r="W47" s="1067">
        <v>1.89</v>
      </c>
      <c r="X47" s="1040"/>
      <c r="Y47" s="1041"/>
      <c r="Z47" s="1041">
        <v>0.1</v>
      </c>
      <c r="AA47" s="1041">
        <v>1.9</v>
      </c>
      <c r="AB47" s="1041"/>
      <c r="AC47" s="1041"/>
      <c r="AD47" s="1041">
        <v>7.0000000000000007E-2</v>
      </c>
      <c r="AE47" s="1042">
        <v>1.33</v>
      </c>
      <c r="AF47" s="1040"/>
      <c r="AG47" s="1041">
        <v>0.7</v>
      </c>
      <c r="AH47" s="1042">
        <v>1.5</v>
      </c>
      <c r="AI47" s="53" t="s">
        <v>1172</v>
      </c>
      <c r="AJ47" s="55">
        <v>2.2999999999999998</v>
      </c>
      <c r="AK47" s="116"/>
      <c r="AL47" s="117"/>
      <c r="AM47" s="907"/>
      <c r="AP47" s="3"/>
      <c r="AQ47" s="60" t="s">
        <v>1173</v>
      </c>
      <c r="AR47" s="60" t="s">
        <v>1174</v>
      </c>
      <c r="AS47" s="60" t="s">
        <v>1175</v>
      </c>
      <c r="AT47" s="60" t="s">
        <v>926</v>
      </c>
      <c r="AU47" s="60" t="s">
        <v>927</v>
      </c>
      <c r="AV47" s="60" t="s">
        <v>1176</v>
      </c>
      <c r="AW47" s="60" t="s">
        <v>1142</v>
      </c>
      <c r="AX47"/>
      <c r="AY47"/>
      <c r="AZ47"/>
      <c r="BA47"/>
      <c r="BB47"/>
      <c r="BC47"/>
      <c r="BD47" s="686" t="s">
        <v>1177</v>
      </c>
      <c r="BE47" s="687">
        <f>Hofdung!G17</f>
        <v>0</v>
      </c>
      <c r="BF47" s="688">
        <f>Hofdung!H17</f>
        <v>0</v>
      </c>
      <c r="BG47" s="688">
        <f>Hofdung!K17</f>
        <v>0</v>
      </c>
      <c r="BH47" s="689">
        <f>Hofdung!L17</f>
        <v>0</v>
      </c>
      <c r="BI47" s="690">
        <f t="shared" si="46"/>
        <v>0</v>
      </c>
      <c r="BJ47" s="690">
        <f t="shared" si="47"/>
        <v>0</v>
      </c>
      <c r="BK47" s="690">
        <f t="shared" si="48"/>
        <v>0</v>
      </c>
      <c r="BL47" s="688">
        <f>Hofdung!I17</f>
        <v>0</v>
      </c>
      <c r="BM47" s="688">
        <f>Hofdung!J17</f>
        <v>0</v>
      </c>
      <c r="BN47" s="690">
        <f t="shared" si="49"/>
        <v>0</v>
      </c>
      <c r="BO47" s="690">
        <f t="shared" si="50"/>
        <v>0</v>
      </c>
    </row>
    <row r="48" spans="1:75" ht="15.6" thickBot="1">
      <c r="A48" s="1">
        <v>42</v>
      </c>
      <c r="B48" s="47" t="str">
        <f t="shared" si="51"/>
        <v>Ferkel 8 bis 32 kg Lebendgewicht (LG) Standard-Fütterung - Tiefstallmist</v>
      </c>
      <c r="C48" s="48" t="s">
        <v>1178</v>
      </c>
      <c r="D48" s="1037"/>
      <c r="E48" s="1038"/>
      <c r="F48" s="1038"/>
      <c r="G48" s="1038"/>
      <c r="H48" s="1039">
        <v>2.2999999999999998</v>
      </c>
      <c r="I48" s="1040"/>
      <c r="J48" s="1041"/>
      <c r="K48" s="1042">
        <v>0.33</v>
      </c>
      <c r="L48" s="1040">
        <v>7.0000000000000007E-2</v>
      </c>
      <c r="M48" s="1042">
        <v>1</v>
      </c>
      <c r="N48" s="1680"/>
      <c r="O48" s="1687"/>
      <c r="P48" s="1683"/>
      <c r="Q48" s="1675"/>
      <c r="R48" s="1693">
        <f>IF(Tabelle1!$N$45="JA",Tabelle1!AE48,Tabelle1!AA48)</f>
        <v>2</v>
      </c>
      <c r="S48" s="1063"/>
      <c r="T48" s="1064"/>
      <c r="U48" s="1065"/>
      <c r="V48" s="1066"/>
      <c r="W48" s="1067">
        <v>2.1</v>
      </c>
      <c r="X48" s="1040"/>
      <c r="Y48" s="1041"/>
      <c r="Z48" s="1041"/>
      <c r="AA48" s="1041">
        <v>2</v>
      </c>
      <c r="AB48" s="1041"/>
      <c r="AC48" s="1041"/>
      <c r="AD48" s="1041"/>
      <c r="AE48" s="1042">
        <v>1.4</v>
      </c>
      <c r="AF48" s="1040"/>
      <c r="AG48" s="1041"/>
      <c r="AH48" s="1042">
        <v>2.1</v>
      </c>
      <c r="AI48" s="53" t="s">
        <v>1178</v>
      </c>
      <c r="AJ48" s="55">
        <v>2.2999999999999998</v>
      </c>
      <c r="AK48" s="116"/>
      <c r="AL48" s="117"/>
      <c r="AM48" s="907"/>
      <c r="AP48" s="65" t="s">
        <v>1179</v>
      </c>
      <c r="AQ48" s="659">
        <f>AS20</f>
        <v>0</v>
      </c>
      <c r="AR48" s="659">
        <f>AT20</f>
        <v>0</v>
      </c>
      <c r="AS48" s="659">
        <f>AU20</f>
        <v>0</v>
      </c>
      <c r="AT48" s="659">
        <f>AV20</f>
        <v>0</v>
      </c>
      <c r="AU48" s="659">
        <f>AW20</f>
        <v>0</v>
      </c>
      <c r="AV48" s="84"/>
      <c r="AW48" s="84"/>
      <c r="AX48" s="119">
        <f t="shared" ref="AX48:AX53" si="52">SUM(AQ48:AW48)</f>
        <v>0</v>
      </c>
      <c r="AY48" s="118" t="s">
        <v>1180</v>
      </c>
      <c r="AZ48"/>
      <c r="BA48"/>
      <c r="BB48"/>
      <c r="BC48"/>
      <c r="BD48" s="686" t="s">
        <v>1181</v>
      </c>
      <c r="BE48" s="687">
        <f>Hofdung!G18</f>
        <v>0</v>
      </c>
      <c r="BF48" s="688">
        <f>Hofdung!H18</f>
        <v>0</v>
      </c>
      <c r="BG48" s="688">
        <f>Hofdung!K18</f>
        <v>0</v>
      </c>
      <c r="BH48" s="689">
        <f>Hofdung!L18</f>
        <v>0</v>
      </c>
      <c r="BI48" s="690">
        <f t="shared" si="46"/>
        <v>0</v>
      </c>
      <c r="BJ48" s="690">
        <f t="shared" si="47"/>
        <v>0</v>
      </c>
      <c r="BK48" s="690">
        <f t="shared" si="48"/>
        <v>0</v>
      </c>
      <c r="BL48" s="688">
        <f>Hofdung!I18</f>
        <v>0</v>
      </c>
      <c r="BM48" s="688">
        <f>Hofdung!J18</f>
        <v>0</v>
      </c>
      <c r="BN48" s="690">
        <f t="shared" si="49"/>
        <v>0</v>
      </c>
      <c r="BO48" s="690">
        <f t="shared" si="50"/>
        <v>0</v>
      </c>
    </row>
    <row r="49" spans="1:67" ht="15.6" thickBot="1">
      <c r="A49" s="1">
        <v>43</v>
      </c>
      <c r="B49" s="47" t="str">
        <f t="shared" si="51"/>
        <v>Ferkel 8 bis 32 kg Lebendgewicht (LG) N-reduzierte-Fütterung - Gülle</v>
      </c>
      <c r="C49" s="48" t="s">
        <v>1182</v>
      </c>
      <c r="D49" s="1037"/>
      <c r="E49" s="1038">
        <v>2.4</v>
      </c>
      <c r="F49" s="1038"/>
      <c r="G49" s="1038"/>
      <c r="H49" s="1039"/>
      <c r="I49" s="1040">
        <v>0.3</v>
      </c>
      <c r="J49" s="1041"/>
      <c r="K49" s="1042"/>
      <c r="L49" s="1040">
        <v>7.0000000000000007E-2</v>
      </c>
      <c r="M49" s="1042">
        <v>1</v>
      </c>
      <c r="N49" s="1680"/>
      <c r="O49" s="1691">
        <f>IF(Tabelle1!$N$45="JA",Tabelle1!AB49,Tabelle1!X49)</f>
        <v>2</v>
      </c>
      <c r="P49" s="1683"/>
      <c r="Q49" s="1676"/>
      <c r="R49" s="1677"/>
      <c r="S49" s="1063"/>
      <c r="T49" s="1068">
        <v>2.1</v>
      </c>
      <c r="U49" s="1065"/>
      <c r="V49" s="1069"/>
      <c r="W49" s="1070"/>
      <c r="X49" s="1040">
        <v>2</v>
      </c>
      <c r="Y49" s="1041"/>
      <c r="Z49" s="1041"/>
      <c r="AA49" s="1041"/>
      <c r="AB49" s="1041">
        <v>1.4</v>
      </c>
      <c r="AC49" s="1041"/>
      <c r="AD49" s="1041"/>
      <c r="AE49" s="1042"/>
      <c r="AF49" s="1040">
        <v>2.1</v>
      </c>
      <c r="AG49" s="1041"/>
      <c r="AH49" s="1042"/>
      <c r="AI49" s="53" t="s">
        <v>1182</v>
      </c>
      <c r="AJ49" s="55">
        <v>2.2999999999999998</v>
      </c>
      <c r="AK49" s="116"/>
      <c r="AL49" s="117"/>
      <c r="AM49" s="907"/>
      <c r="AP49" t="s">
        <v>1183</v>
      </c>
      <c r="AQ49" s="659">
        <f>-CB20</f>
        <v>0</v>
      </c>
      <c r="AR49" s="659">
        <f>-CC20</f>
        <v>0</v>
      </c>
      <c r="AS49" s="659">
        <f>-CD20</f>
        <v>0</v>
      </c>
      <c r="AT49" s="659">
        <f>-CE20</f>
        <v>0</v>
      </c>
      <c r="AU49" s="659">
        <f>-CF20</f>
        <v>0</v>
      </c>
      <c r="AV49" s="84"/>
      <c r="AW49" s="84"/>
      <c r="AX49" s="119">
        <f t="shared" si="52"/>
        <v>0</v>
      </c>
      <c r="AY49"/>
      <c r="AZ49"/>
      <c r="BA49"/>
      <c r="BB49"/>
      <c r="BC49"/>
      <c r="BD49" s="691"/>
      <c r="BE49" s="692"/>
      <c r="BF49" s="692"/>
      <c r="BG49" s="692"/>
      <c r="BH49" s="692" t="s">
        <v>1033</v>
      </c>
      <c r="BI49" s="693">
        <f>SUM(BI43:BI48)</f>
        <v>0</v>
      </c>
      <c r="BJ49" s="693">
        <f>SUM(BJ43:BJ48)</f>
        <v>0</v>
      </c>
      <c r="BK49" s="693">
        <f>SUM(BK43:BK48)</f>
        <v>0</v>
      </c>
      <c r="BL49" s="692"/>
      <c r="BM49" s="692"/>
      <c r="BN49" s="694">
        <f>SUM(BN43:BN48)</f>
        <v>0</v>
      </c>
      <c r="BO49" s="693">
        <f>SUM(BO43:BO48)</f>
        <v>0</v>
      </c>
    </row>
    <row r="50" spans="1:67" ht="15.6" thickBot="1">
      <c r="A50" s="1">
        <v>44</v>
      </c>
      <c r="B50" s="47" t="str">
        <f t="shared" si="51"/>
        <v>Ferkel 8 bis 32 kg Lebendgewicht (LG) N-reduzierte-Fütterung - Mist/Jauche</v>
      </c>
      <c r="C50" s="48" t="s">
        <v>1184</v>
      </c>
      <c r="D50" s="1037"/>
      <c r="E50" s="1038"/>
      <c r="F50" s="1038"/>
      <c r="G50" s="1038">
        <v>0.7</v>
      </c>
      <c r="H50" s="1039">
        <v>1.5</v>
      </c>
      <c r="I50" s="1040"/>
      <c r="J50" s="1041">
        <v>0.05</v>
      </c>
      <c r="K50" s="1042">
        <v>0.13</v>
      </c>
      <c r="L50" s="1040">
        <v>7.0000000000000007E-2</v>
      </c>
      <c r="M50" s="1042">
        <v>1</v>
      </c>
      <c r="N50" s="1680"/>
      <c r="O50" s="1687"/>
      <c r="P50" s="1683"/>
      <c r="Q50" s="1695">
        <f>IF(Tabelle1!$N$45="JA",Tabelle1!AD50,Tabelle1!Z50)</f>
        <v>0.1</v>
      </c>
      <c r="R50" s="1696">
        <f>IF(Tabelle1!$N$45="JA",Tabelle1!AE50,Tabelle1!AA50)</f>
        <v>1.9</v>
      </c>
      <c r="S50" s="1063"/>
      <c r="T50" s="1064"/>
      <c r="U50" s="1065"/>
      <c r="V50" s="1068">
        <v>0.21</v>
      </c>
      <c r="W50" s="1071">
        <v>1.89</v>
      </c>
      <c r="X50" s="1040"/>
      <c r="Y50" s="1041"/>
      <c r="Z50" s="1041">
        <v>0.1</v>
      </c>
      <c r="AA50" s="1041">
        <v>1.9</v>
      </c>
      <c r="AB50" s="1041"/>
      <c r="AC50" s="1041"/>
      <c r="AD50" s="1041">
        <v>7.0000000000000007E-2</v>
      </c>
      <c r="AE50" s="1042">
        <v>1.33</v>
      </c>
      <c r="AF50" s="1040"/>
      <c r="AG50" s="1041">
        <v>0.6</v>
      </c>
      <c r="AH50" s="1042">
        <v>1.4</v>
      </c>
      <c r="AI50" s="53" t="s">
        <v>1184</v>
      </c>
      <c r="AJ50" s="55">
        <v>2.2999999999999998</v>
      </c>
      <c r="AK50" s="116"/>
      <c r="AL50" s="117"/>
      <c r="AM50" s="907"/>
      <c r="AP50" s="120" t="s">
        <v>1185</v>
      </c>
      <c r="AQ50" s="659">
        <f>AS23</f>
        <v>0</v>
      </c>
      <c r="AR50" s="659">
        <f>AT24</f>
        <v>0</v>
      </c>
      <c r="AS50" s="659">
        <f>AU25</f>
        <v>0</v>
      </c>
      <c r="AT50" s="659">
        <f>AV26</f>
        <v>0</v>
      </c>
      <c r="AU50" s="660">
        <f>AW27</f>
        <v>0</v>
      </c>
      <c r="AV50" s="661"/>
      <c r="AW50" s="661"/>
      <c r="AX50" s="119">
        <f t="shared" si="52"/>
        <v>0</v>
      </c>
      <c r="AY50"/>
      <c r="AZ50"/>
      <c r="BA50"/>
      <c r="BB50"/>
      <c r="BC50"/>
      <c r="BD50"/>
    </row>
    <row r="51" spans="1:67" ht="15.6" thickBot="1">
      <c r="A51" s="1">
        <v>45</v>
      </c>
      <c r="B51" s="47" t="str">
        <f t="shared" si="51"/>
        <v>Ferkel 8 bis 32 kg Lebendgewicht (LG) N-reduzierte-Fütterung - Tiefstallmist</v>
      </c>
      <c r="C51" s="48" t="s">
        <v>1186</v>
      </c>
      <c r="D51" s="1037"/>
      <c r="E51" s="1038"/>
      <c r="F51" s="1038"/>
      <c r="G51" s="1038"/>
      <c r="H51" s="1039">
        <v>2.2000000000000002</v>
      </c>
      <c r="I51" s="1040"/>
      <c r="J51" s="1041"/>
      <c r="K51" s="1042">
        <v>0.33</v>
      </c>
      <c r="L51" s="1040">
        <v>7.0000000000000007E-2</v>
      </c>
      <c r="M51" s="1042">
        <v>1</v>
      </c>
      <c r="N51" s="1680"/>
      <c r="O51" s="1687"/>
      <c r="P51" s="1683"/>
      <c r="Q51" s="1675"/>
      <c r="R51" s="1696">
        <f>IF(Tabelle1!$N$45="JA",Tabelle1!AE51,Tabelle1!AA51)</f>
        <v>2</v>
      </c>
      <c r="S51" s="1063"/>
      <c r="T51" s="1064"/>
      <c r="U51" s="1065"/>
      <c r="V51" s="1066"/>
      <c r="W51" s="1071">
        <v>2.1</v>
      </c>
      <c r="X51" s="1040"/>
      <c r="Y51" s="1041"/>
      <c r="Z51" s="1041"/>
      <c r="AA51" s="1041">
        <v>2</v>
      </c>
      <c r="AB51" s="1041"/>
      <c r="AC51" s="1041"/>
      <c r="AD51" s="1041"/>
      <c r="AE51" s="1042">
        <v>1.4</v>
      </c>
      <c r="AF51" s="1040"/>
      <c r="AG51" s="1041"/>
      <c r="AH51" s="1042">
        <v>2</v>
      </c>
      <c r="AI51" s="53" t="s">
        <v>1186</v>
      </c>
      <c r="AJ51" s="55">
        <v>2.2999999999999998</v>
      </c>
      <c r="AK51" s="116"/>
      <c r="AL51" s="117"/>
      <c r="AM51" s="907"/>
      <c r="AP51" s="65" t="s">
        <v>1187</v>
      </c>
      <c r="AQ51" s="659">
        <f>Organ__Dü!C124</f>
        <v>0</v>
      </c>
      <c r="AR51" s="659">
        <f>Organ__Dü!D124</f>
        <v>0</v>
      </c>
      <c r="AS51" s="659">
        <f>Organ__Dü!E124</f>
        <v>0</v>
      </c>
      <c r="AT51" s="659">
        <f>Organ__Dü!F124</f>
        <v>0</v>
      </c>
      <c r="AU51" s="661"/>
      <c r="AV51" s="661"/>
      <c r="AW51" s="661"/>
      <c r="AX51" s="121">
        <f t="shared" si="52"/>
        <v>0</v>
      </c>
      <c r="AY51"/>
      <c r="AZ51"/>
      <c r="BA51"/>
      <c r="BB51"/>
      <c r="BC51"/>
      <c r="BD51"/>
    </row>
    <row r="52" spans="1:67" ht="15.6" thickBot="1">
      <c r="A52" s="1">
        <v>46</v>
      </c>
      <c r="B52" s="47" t="str">
        <f t="shared" si="51"/>
        <v xml:space="preserve">MS + JS ab 32 kg LG bis Mastende/Belegung - Gülle </v>
      </c>
      <c r="C52" s="48" t="s">
        <v>1188</v>
      </c>
      <c r="D52" s="1037"/>
      <c r="E52" s="1038">
        <v>7.5</v>
      </c>
      <c r="F52" s="1038"/>
      <c r="G52" s="1038"/>
      <c r="H52" s="1039"/>
      <c r="I52" s="1040">
        <v>0.7</v>
      </c>
      <c r="J52" s="1041"/>
      <c r="K52" s="1042"/>
      <c r="L52" s="1040">
        <v>0.3</v>
      </c>
      <c r="M52" s="1042">
        <v>1.26</v>
      </c>
      <c r="N52" s="1680"/>
      <c r="O52" s="1691">
        <f>IF(Tabelle1!$N$45="JA",Tabelle1!AB52,Tabelle1!X52)</f>
        <v>4.4000000000000004</v>
      </c>
      <c r="P52" s="1683"/>
      <c r="Q52" s="1676"/>
      <c r="R52" s="1677"/>
      <c r="S52" s="1063"/>
      <c r="T52" s="1068">
        <v>5</v>
      </c>
      <c r="U52" s="1065"/>
      <c r="V52" s="1069"/>
      <c r="W52" s="1070"/>
      <c r="X52" s="1040">
        <v>4.4000000000000004</v>
      </c>
      <c r="Y52" s="1041"/>
      <c r="Z52" s="1041"/>
      <c r="AA52" s="1041"/>
      <c r="AB52" s="1041">
        <v>3.6</v>
      </c>
      <c r="AC52" s="1041"/>
      <c r="AD52" s="1041"/>
      <c r="AE52" s="1042"/>
      <c r="AF52" s="1040">
        <v>6.5</v>
      </c>
      <c r="AG52" s="1041"/>
      <c r="AH52" s="1042"/>
      <c r="AI52" s="53" t="s">
        <v>1188</v>
      </c>
      <c r="AJ52" s="55">
        <v>12.14</v>
      </c>
      <c r="AK52" s="116">
        <v>12.14</v>
      </c>
      <c r="AL52" s="117">
        <f t="shared" ref="AL52:AL72" si="53">170/AK52</f>
        <v>14.00329489291598</v>
      </c>
      <c r="AM52" s="907"/>
      <c r="AP52" s="65" t="s">
        <v>1189</v>
      </c>
      <c r="AQ52" s="661"/>
      <c r="AR52" s="661"/>
      <c r="AS52" s="661"/>
      <c r="AT52" s="661"/>
      <c r="AU52" s="659">
        <v>0</v>
      </c>
      <c r="AV52" s="661"/>
      <c r="AW52" s="661"/>
      <c r="AX52" s="121">
        <f t="shared" si="52"/>
        <v>0</v>
      </c>
      <c r="AY52"/>
      <c r="AZ52"/>
      <c r="BA52"/>
      <c r="BB52"/>
      <c r="BC52"/>
      <c r="BD52"/>
    </row>
    <row r="53" spans="1:67" ht="15.6" thickBot="1">
      <c r="A53" s="1">
        <v>47</v>
      </c>
      <c r="B53" s="47" t="str">
        <f t="shared" si="51"/>
        <v xml:space="preserve">MS + JS ab 32 kg LG bis Mastende/Belegung - Mist/Jauche </v>
      </c>
      <c r="C53" s="48" t="s">
        <v>1190</v>
      </c>
      <c r="D53" s="1037"/>
      <c r="E53" s="1038"/>
      <c r="F53" s="1038"/>
      <c r="G53" s="1038">
        <v>2.2999999999999998</v>
      </c>
      <c r="H53" s="1039">
        <v>4.5999999999999996</v>
      </c>
      <c r="I53" s="1040"/>
      <c r="J53" s="1041">
        <v>0.23</v>
      </c>
      <c r="K53" s="1042">
        <v>0.48</v>
      </c>
      <c r="L53" s="1040">
        <v>0.3</v>
      </c>
      <c r="M53" s="1042">
        <v>1.26</v>
      </c>
      <c r="N53" s="1680"/>
      <c r="O53" s="1687"/>
      <c r="P53" s="1683"/>
      <c r="Q53" s="1692">
        <f>IF(Tabelle1!$N$45="JA",Tabelle1!AD53,Tabelle1!Z53)</f>
        <v>0.22</v>
      </c>
      <c r="R53" s="1693">
        <f>IF(Tabelle1!$N$45="JA",Tabelle1!AE53,Tabelle1!AA53)</f>
        <v>4.18</v>
      </c>
      <c r="S53" s="1063"/>
      <c r="T53" s="1064"/>
      <c r="U53" s="1065"/>
      <c r="V53" s="1066">
        <v>0.5</v>
      </c>
      <c r="W53" s="1067">
        <v>4.5</v>
      </c>
      <c r="X53" s="1040"/>
      <c r="Y53" s="1041"/>
      <c r="Z53" s="1041">
        <v>0.22</v>
      </c>
      <c r="AA53" s="1041">
        <v>4.18</v>
      </c>
      <c r="AB53" s="1041"/>
      <c r="AC53" s="1041"/>
      <c r="AD53" s="1041">
        <v>0.18</v>
      </c>
      <c r="AE53" s="1042">
        <v>3.42</v>
      </c>
      <c r="AF53" s="1040"/>
      <c r="AG53" s="1041">
        <v>2</v>
      </c>
      <c r="AH53" s="1042">
        <v>4.2</v>
      </c>
      <c r="AI53" s="53" t="s">
        <v>1190</v>
      </c>
      <c r="AJ53" s="55">
        <v>12.14</v>
      </c>
      <c r="AK53" s="116">
        <v>12.14</v>
      </c>
      <c r="AL53" s="117">
        <f t="shared" si="53"/>
        <v>14.00329489291598</v>
      </c>
      <c r="AM53" s="907"/>
      <c r="AP53" s="65" t="s">
        <v>1191</v>
      </c>
      <c r="AQ53" s="659">
        <f>Organ__Dü!C125</f>
        <v>0</v>
      </c>
      <c r="AR53" s="659">
        <f>Organ__Dü!D125</f>
        <v>0</v>
      </c>
      <c r="AS53" s="659">
        <f>Organ__Dü!E125</f>
        <v>0</v>
      </c>
      <c r="AT53" s="659">
        <f>Organ__Dü!F125</f>
        <v>0</v>
      </c>
      <c r="AU53" s="659">
        <f>Organ__Dü!G125</f>
        <v>0</v>
      </c>
      <c r="AV53" s="659">
        <f>Organ__Dü!H125</f>
        <v>0</v>
      </c>
      <c r="AW53" s="659">
        <f>Organ__Dü!I125</f>
        <v>0</v>
      </c>
      <c r="AX53" s="121">
        <f t="shared" si="52"/>
        <v>0</v>
      </c>
      <c r="AY53"/>
      <c r="AZ53"/>
      <c r="BA53"/>
      <c r="BB53"/>
      <c r="BC53"/>
      <c r="BD53"/>
    </row>
    <row r="54" spans="1:67" ht="15.6" thickBot="1">
      <c r="A54" s="1">
        <v>48</v>
      </c>
      <c r="B54" s="47" t="str">
        <f t="shared" si="51"/>
        <v xml:space="preserve">MS + JS ab 32 kg LG bis Mastende/Belegung - Tiefstallmist </v>
      </c>
      <c r="C54" s="48" t="s">
        <v>1192</v>
      </c>
      <c r="D54" s="1037"/>
      <c r="E54" s="1038"/>
      <c r="F54" s="1038"/>
      <c r="G54" s="1038"/>
      <c r="H54" s="1039">
        <v>7</v>
      </c>
      <c r="I54" s="1040"/>
      <c r="J54" s="1041"/>
      <c r="K54" s="1042">
        <v>0.77</v>
      </c>
      <c r="L54" s="1040">
        <v>0.3</v>
      </c>
      <c r="M54" s="1042">
        <v>1.26</v>
      </c>
      <c r="N54" s="1680"/>
      <c r="O54" s="1687"/>
      <c r="P54" s="1683"/>
      <c r="Q54" s="1675"/>
      <c r="R54" s="1693">
        <f>IF(Tabelle1!$N$45="JA",Tabelle1!AE54,Tabelle1!AA54)</f>
        <v>4.4000000000000004</v>
      </c>
      <c r="S54" s="1063"/>
      <c r="T54" s="1064"/>
      <c r="U54" s="1065"/>
      <c r="V54" s="1066"/>
      <c r="W54" s="1067">
        <v>5</v>
      </c>
      <c r="X54" s="1040"/>
      <c r="Y54" s="1041"/>
      <c r="Z54" s="1041"/>
      <c r="AA54" s="1041">
        <v>4.4000000000000004</v>
      </c>
      <c r="AB54" s="1041"/>
      <c r="AC54" s="1041"/>
      <c r="AD54" s="1041"/>
      <c r="AE54" s="1042">
        <v>3.6</v>
      </c>
      <c r="AF54" s="1040"/>
      <c r="AG54" s="1041"/>
      <c r="AH54" s="1042">
        <v>6.4</v>
      </c>
      <c r="AI54" s="53" t="s">
        <v>1192</v>
      </c>
      <c r="AJ54" s="55">
        <v>12.14</v>
      </c>
      <c r="AK54" s="116">
        <v>12.14</v>
      </c>
      <c r="AL54" s="117">
        <f t="shared" si="53"/>
        <v>14.00329489291598</v>
      </c>
      <c r="AM54" s="907"/>
      <c r="AP54" s="118" t="s">
        <v>1193</v>
      </c>
      <c r="AQ54" s="659">
        <f t="shared" ref="AQ54:AX54" si="54">SUM(AQ48:AQ53)</f>
        <v>0</v>
      </c>
      <c r="AR54" s="659">
        <f t="shared" si="54"/>
        <v>0</v>
      </c>
      <c r="AS54" s="659">
        <f t="shared" si="54"/>
        <v>0</v>
      </c>
      <c r="AT54" s="659">
        <f t="shared" si="54"/>
        <v>0</v>
      </c>
      <c r="AU54" s="659">
        <f t="shared" si="54"/>
        <v>0</v>
      </c>
      <c r="AV54" s="659">
        <f t="shared" si="54"/>
        <v>0</v>
      </c>
      <c r="AW54" s="659">
        <f t="shared" si="54"/>
        <v>0</v>
      </c>
      <c r="AX54" s="119">
        <f t="shared" si="54"/>
        <v>0</v>
      </c>
      <c r="AY54" s="118" t="s">
        <v>1194</v>
      </c>
      <c r="AZ54"/>
      <c r="BA54" s="75">
        <f>SUM(AQ54:AW54)</f>
        <v>0</v>
      </c>
      <c r="BB54"/>
      <c r="BC54"/>
      <c r="BD54"/>
      <c r="BE54" s="667"/>
    </row>
    <row r="55" spans="1:67" ht="15" thickBot="1">
      <c r="A55" s="1">
        <v>49</v>
      </c>
      <c r="B55" s="47" t="str">
        <f t="shared" si="51"/>
        <v xml:space="preserve">MS + JS ab 32 kg LG bis Mastende/Belegung -N-reduzierte-Fütterung - Gülle </v>
      </c>
      <c r="C55" s="48" t="s">
        <v>1195</v>
      </c>
      <c r="D55" s="1037"/>
      <c r="E55" s="1038">
        <v>6.9</v>
      </c>
      <c r="F55" s="1038"/>
      <c r="G55" s="1038"/>
      <c r="H55" s="1039"/>
      <c r="I55" s="1040">
        <v>0.7</v>
      </c>
      <c r="J55" s="1041"/>
      <c r="K55" s="1042"/>
      <c r="L55" s="1040">
        <v>0.3</v>
      </c>
      <c r="M55" s="1042">
        <v>1.26</v>
      </c>
      <c r="N55" s="1680"/>
      <c r="O55" s="1691">
        <f>IF(Tabelle1!$N$45="JA",Tabelle1!AB55,Tabelle1!X55)</f>
        <v>4.4000000000000004</v>
      </c>
      <c r="P55" s="1683"/>
      <c r="Q55" s="1676"/>
      <c r="R55" s="1677"/>
      <c r="S55" s="1063"/>
      <c r="T55" s="1068">
        <v>5</v>
      </c>
      <c r="U55" s="1065"/>
      <c r="V55" s="1069"/>
      <c r="W55" s="1070"/>
      <c r="X55" s="1040">
        <v>4.4000000000000004</v>
      </c>
      <c r="Y55" s="1041"/>
      <c r="Z55" s="1041"/>
      <c r="AA55" s="1041"/>
      <c r="AB55" s="1041">
        <v>3.6</v>
      </c>
      <c r="AC55" s="1041"/>
      <c r="AD55" s="1041"/>
      <c r="AE55" s="1042"/>
      <c r="AF55" s="1040">
        <v>6</v>
      </c>
      <c r="AG55" s="1041"/>
      <c r="AH55" s="1042"/>
      <c r="AI55" s="53" t="s">
        <v>1195</v>
      </c>
      <c r="AJ55" s="55">
        <v>12.14</v>
      </c>
      <c r="AK55" s="116">
        <v>12.14</v>
      </c>
      <c r="AL55" s="117">
        <f t="shared" si="53"/>
        <v>14.00329489291598</v>
      </c>
      <c r="AM55" s="907"/>
      <c r="AQ55" s="118" t="s">
        <v>1196</v>
      </c>
      <c r="AR55" s="3"/>
      <c r="AS55"/>
      <c r="AT55"/>
      <c r="AU55"/>
      <c r="AV55"/>
      <c r="AW55"/>
      <c r="AX55" s="122">
        <f>BI49</f>
        <v>0</v>
      </c>
      <c r="AY55" s="3" t="s">
        <v>1197</v>
      </c>
      <c r="AZ55"/>
      <c r="BA55"/>
      <c r="BB55"/>
      <c r="BC55"/>
      <c r="BD55"/>
    </row>
    <row r="56" spans="1:67" ht="15" thickBot="1">
      <c r="A56" s="1">
        <v>50</v>
      </c>
      <c r="B56" s="47" t="str">
        <f t="shared" si="51"/>
        <v xml:space="preserve">MS + JS ab 32 kg LG bis Mastende/Belegung -N-reduzierte-Fütterung - Mist/Jauche </v>
      </c>
      <c r="C56" s="48" t="s">
        <v>1198</v>
      </c>
      <c r="D56" s="1037"/>
      <c r="E56" s="1038"/>
      <c r="F56" s="1038"/>
      <c r="G56" s="1038">
        <v>2.1</v>
      </c>
      <c r="H56" s="1039">
        <v>4.2</v>
      </c>
      <c r="I56" s="1040"/>
      <c r="J56" s="1041">
        <v>0.23</v>
      </c>
      <c r="K56" s="1042">
        <v>0.48</v>
      </c>
      <c r="L56" s="1040">
        <v>0.3</v>
      </c>
      <c r="M56" s="1042">
        <v>1.26</v>
      </c>
      <c r="N56" s="1680"/>
      <c r="O56" s="1687"/>
      <c r="P56" s="1683"/>
      <c r="Q56" s="1692">
        <f>IF(Tabelle1!$N$45="JA",Tabelle1!AD56,Tabelle1!Z56)</f>
        <v>0.22</v>
      </c>
      <c r="R56" s="1693">
        <f>IF(Tabelle1!$N$45="JA",Tabelle1!AE56,Tabelle1!AA56)</f>
        <v>4.18</v>
      </c>
      <c r="S56" s="1063"/>
      <c r="T56" s="1064"/>
      <c r="U56" s="1065"/>
      <c r="V56" s="1066">
        <v>0.5</v>
      </c>
      <c r="W56" s="1067">
        <v>4.5</v>
      </c>
      <c r="X56" s="1040"/>
      <c r="Y56" s="1041"/>
      <c r="Z56" s="1041">
        <v>0.22</v>
      </c>
      <c r="AA56" s="1041">
        <v>4.18</v>
      </c>
      <c r="AB56" s="1041"/>
      <c r="AC56" s="1041"/>
      <c r="AD56" s="1041">
        <v>0.18</v>
      </c>
      <c r="AE56" s="1042">
        <v>3.42</v>
      </c>
      <c r="AF56" s="1040"/>
      <c r="AG56" s="1041">
        <v>1.8</v>
      </c>
      <c r="AH56" s="1042">
        <v>3.8</v>
      </c>
      <c r="AI56" s="53" t="s">
        <v>1198</v>
      </c>
      <c r="AJ56" s="55">
        <v>12.14</v>
      </c>
      <c r="AK56" s="116">
        <v>12.14</v>
      </c>
      <c r="AL56" s="117">
        <f t="shared" si="53"/>
        <v>14.00329489291598</v>
      </c>
      <c r="AM56" s="907"/>
      <c r="AQ56" s="123" t="s">
        <v>1199</v>
      </c>
      <c r="AR56" s="124"/>
      <c r="AS56" s="125"/>
      <c r="AT56" s="125"/>
      <c r="AU56" s="125"/>
      <c r="AV56" s="125"/>
      <c r="AW56" s="125"/>
      <c r="AX56" s="104">
        <f>AX54-AX55</f>
        <v>0</v>
      </c>
      <c r="AY56" s="126" t="s">
        <v>1124</v>
      </c>
      <c r="AZ56" s="94"/>
      <c r="BA56"/>
      <c r="BB56"/>
      <c r="BC56"/>
      <c r="BD56"/>
    </row>
    <row r="57" spans="1:67" ht="14.4">
      <c r="A57" s="1">
        <v>51</v>
      </c>
      <c r="B57" s="47" t="str">
        <f t="shared" si="51"/>
        <v xml:space="preserve">MS + JS ab 32 kg LG bis Mastende/Belegung -N-reduzierte-Fütterung - Tiefstallmist </v>
      </c>
      <c r="C57" s="48" t="s">
        <v>1200</v>
      </c>
      <c r="D57" s="1037"/>
      <c r="E57" s="1038"/>
      <c r="F57" s="1038"/>
      <c r="G57" s="1038"/>
      <c r="H57" s="1039">
        <v>6.4</v>
      </c>
      <c r="I57" s="1040"/>
      <c r="J57" s="1041"/>
      <c r="K57" s="1042">
        <v>0.77</v>
      </c>
      <c r="L57" s="1040">
        <v>0.3</v>
      </c>
      <c r="M57" s="1042">
        <v>1.26</v>
      </c>
      <c r="N57" s="1680"/>
      <c r="O57" s="1687"/>
      <c r="P57" s="1683"/>
      <c r="Q57" s="1675"/>
      <c r="R57" s="1693">
        <f>IF(Tabelle1!$N$45="JA",Tabelle1!AE57,Tabelle1!AA57)</f>
        <v>4.4000000000000004</v>
      </c>
      <c r="S57" s="1063"/>
      <c r="T57" s="1064"/>
      <c r="U57" s="1065"/>
      <c r="V57" s="1066"/>
      <c r="W57" s="1067">
        <v>5</v>
      </c>
      <c r="X57" s="1040"/>
      <c r="Y57" s="1041"/>
      <c r="Z57" s="1041"/>
      <c r="AA57" s="1041">
        <v>4.4000000000000004</v>
      </c>
      <c r="AB57" s="1041"/>
      <c r="AC57" s="1041"/>
      <c r="AD57" s="1041"/>
      <c r="AE57" s="1042">
        <v>3.6</v>
      </c>
      <c r="AF57" s="1040"/>
      <c r="AG57" s="1041"/>
      <c r="AH57" s="1042">
        <v>5.8</v>
      </c>
      <c r="AI57" s="53" t="s">
        <v>1200</v>
      </c>
      <c r="AJ57" s="55">
        <v>12.14</v>
      </c>
      <c r="AK57" s="116">
        <v>12.14</v>
      </c>
      <c r="AL57" s="117">
        <f t="shared" si="53"/>
        <v>14.00329489291598</v>
      </c>
      <c r="AM57" s="907"/>
      <c r="AS57"/>
      <c r="AT57"/>
      <c r="AU57"/>
      <c r="AV57"/>
      <c r="AW57"/>
      <c r="AX57" s="127" t="s">
        <v>1201</v>
      </c>
      <c r="AY57" s="128" t="s">
        <v>1202</v>
      </c>
      <c r="AZ57"/>
      <c r="BA57"/>
      <c r="BB57"/>
      <c r="BC57"/>
      <c r="BD57"/>
    </row>
    <row r="58" spans="1:67" ht="14.4">
      <c r="A58" s="1">
        <v>52</v>
      </c>
      <c r="B58" s="47" t="str">
        <f t="shared" si="51"/>
        <v xml:space="preserve">MS + JS ab 32 kg LG bis Mastende/Belegung - stark-N-reduzierte-Fütterung - Gülle </v>
      </c>
      <c r="C58" s="48" t="s">
        <v>1203</v>
      </c>
      <c r="D58" s="1037"/>
      <c r="E58" s="1038">
        <v>6.7</v>
      </c>
      <c r="F58" s="1038"/>
      <c r="G58" s="1038"/>
      <c r="H58" s="1039"/>
      <c r="I58" s="1040">
        <v>0.7</v>
      </c>
      <c r="J58" s="1041"/>
      <c r="K58" s="1042"/>
      <c r="L58" s="1040">
        <v>0.3</v>
      </c>
      <c r="M58" s="1042">
        <v>1.26</v>
      </c>
      <c r="N58" s="1680"/>
      <c r="O58" s="1691">
        <f>IF(Tabelle1!$N$45="JA",Tabelle1!AB58,Tabelle1!X58)</f>
        <v>4.4000000000000004</v>
      </c>
      <c r="P58" s="1683"/>
      <c r="Q58" s="1676"/>
      <c r="R58" s="1677"/>
      <c r="S58" s="1063"/>
      <c r="T58" s="1068">
        <v>5</v>
      </c>
      <c r="U58" s="1065"/>
      <c r="V58" s="1069"/>
      <c r="W58" s="1070"/>
      <c r="X58" s="1040">
        <v>4.4000000000000004</v>
      </c>
      <c r="Y58" s="1041"/>
      <c r="Z58" s="1041"/>
      <c r="AA58" s="1041"/>
      <c r="AB58" s="1041">
        <v>3.6</v>
      </c>
      <c r="AC58" s="1041"/>
      <c r="AD58" s="1041"/>
      <c r="AE58" s="1042"/>
      <c r="AF58" s="1040">
        <v>5.8</v>
      </c>
      <c r="AG58" s="1041"/>
      <c r="AH58" s="1042"/>
      <c r="AI58" s="53" t="s">
        <v>1203</v>
      </c>
      <c r="AJ58" s="55">
        <v>12.14</v>
      </c>
      <c r="AK58" s="116">
        <v>12.14</v>
      </c>
      <c r="AL58" s="117">
        <f t="shared" si="53"/>
        <v>14.00329489291598</v>
      </c>
      <c r="AM58" s="907"/>
      <c r="AS58"/>
      <c r="AT58"/>
      <c r="AU58"/>
      <c r="AV58"/>
      <c r="AW58"/>
      <c r="AX58"/>
      <c r="AY58"/>
      <c r="AZ58"/>
      <c r="BA58"/>
      <c r="BB58"/>
      <c r="BC58"/>
      <c r="BD58"/>
    </row>
    <row r="59" spans="1:67" ht="14.4">
      <c r="A59" s="1">
        <v>53</v>
      </c>
      <c r="B59" s="47" t="str">
        <f t="shared" si="51"/>
        <v xml:space="preserve">MS + JS ab 32 kg LG bis Mastende/Belegung - stark-N-reduzierte-Fütterung - Mist/Jauche </v>
      </c>
      <c r="C59" s="48" t="s">
        <v>1204</v>
      </c>
      <c r="D59" s="1037"/>
      <c r="E59" s="1038"/>
      <c r="F59" s="1038"/>
      <c r="G59" s="1038">
        <v>2.1</v>
      </c>
      <c r="H59" s="1039">
        <v>4.0999999999999996</v>
      </c>
      <c r="I59" s="1040"/>
      <c r="J59" s="1041">
        <v>0.23</v>
      </c>
      <c r="K59" s="1042">
        <v>0.48</v>
      </c>
      <c r="L59" s="1040">
        <v>0.3</v>
      </c>
      <c r="M59" s="1042">
        <v>1.26</v>
      </c>
      <c r="N59" s="1680"/>
      <c r="O59" s="1687"/>
      <c r="P59" s="1683"/>
      <c r="Q59" s="1692">
        <f>IF(Tabelle1!$N$45="JA",Tabelle1!AD59,Tabelle1!Z59)</f>
        <v>0.22</v>
      </c>
      <c r="R59" s="1693">
        <f>IF(Tabelle1!$N$45="JA",Tabelle1!AE59,Tabelle1!AA59)</f>
        <v>4.18</v>
      </c>
      <c r="S59" s="1063"/>
      <c r="T59" s="1064"/>
      <c r="U59" s="1065"/>
      <c r="V59" s="1066">
        <v>0.5</v>
      </c>
      <c r="W59" s="1067">
        <v>4.5</v>
      </c>
      <c r="X59" s="1040"/>
      <c r="Y59" s="1041"/>
      <c r="Z59" s="1041">
        <v>0.22</v>
      </c>
      <c r="AA59" s="1041">
        <v>4.18</v>
      </c>
      <c r="AB59" s="1041"/>
      <c r="AC59" s="1041"/>
      <c r="AD59" s="1041">
        <v>0.18</v>
      </c>
      <c r="AE59" s="1042">
        <v>3.42</v>
      </c>
      <c r="AF59" s="1040"/>
      <c r="AG59" s="1041">
        <v>1.8</v>
      </c>
      <c r="AH59" s="1042">
        <v>3.7</v>
      </c>
      <c r="AI59" s="53" t="s">
        <v>1204</v>
      </c>
      <c r="AJ59" s="55">
        <v>12.14</v>
      </c>
      <c r="AK59" s="116">
        <v>12.14</v>
      </c>
      <c r="AL59" s="117">
        <f t="shared" si="53"/>
        <v>14.00329489291598</v>
      </c>
      <c r="AM59" s="907"/>
      <c r="AQ59" s="118" t="s">
        <v>1205</v>
      </c>
      <c r="AR59" s="3"/>
      <c r="AS59"/>
      <c r="AT59"/>
      <c r="AU59"/>
      <c r="AV59"/>
      <c r="AW59"/>
      <c r="AX59"/>
      <c r="AY59"/>
      <c r="AZ59"/>
      <c r="BA59"/>
      <c r="BB59"/>
      <c r="BC59"/>
      <c r="BD59"/>
    </row>
    <row r="60" spans="1:67" ht="14.4">
      <c r="A60" s="1">
        <v>54</v>
      </c>
      <c r="B60" s="47" t="str">
        <f t="shared" si="51"/>
        <v xml:space="preserve">MS + JS ab 32 kg LG bis Mastende/Belegung - stark-N-reduzierte-Fütterung - Tiefstallmist </v>
      </c>
      <c r="C60" s="48" t="s">
        <v>1206</v>
      </c>
      <c r="D60" s="1037"/>
      <c r="E60" s="1038"/>
      <c r="F60" s="1038"/>
      <c r="G60" s="1038"/>
      <c r="H60" s="1039">
        <v>6.2</v>
      </c>
      <c r="I60" s="1040"/>
      <c r="J60" s="1041"/>
      <c r="K60" s="1042">
        <v>0.77</v>
      </c>
      <c r="L60" s="1040">
        <v>0.3</v>
      </c>
      <c r="M60" s="1042">
        <v>1.26</v>
      </c>
      <c r="N60" s="1680"/>
      <c r="O60" s="1687"/>
      <c r="P60" s="1683"/>
      <c r="Q60" s="1675"/>
      <c r="R60" s="1693">
        <f>IF(Tabelle1!$N$45="JA",Tabelle1!AE60,Tabelle1!AA60)</f>
        <v>4.4000000000000004</v>
      </c>
      <c r="S60" s="1063"/>
      <c r="T60" s="1064"/>
      <c r="U60" s="1065"/>
      <c r="V60" s="1066"/>
      <c r="W60" s="1067">
        <v>5</v>
      </c>
      <c r="X60" s="1040"/>
      <c r="Y60" s="1041"/>
      <c r="Z60" s="1041"/>
      <c r="AA60" s="1041">
        <v>4.4000000000000004</v>
      </c>
      <c r="AB60" s="1041"/>
      <c r="AC60" s="1041"/>
      <c r="AD60" s="1041"/>
      <c r="AE60" s="1042">
        <v>3.6</v>
      </c>
      <c r="AF60" s="1040"/>
      <c r="AG60" s="1041"/>
      <c r="AH60" s="1042">
        <v>5.6</v>
      </c>
      <c r="AI60" s="53" t="s">
        <v>1206</v>
      </c>
      <c r="AJ60" s="55">
        <v>12.14</v>
      </c>
      <c r="AK60" s="116">
        <v>12.14</v>
      </c>
      <c r="AL60" s="117">
        <f t="shared" si="53"/>
        <v>14.00329489291598</v>
      </c>
      <c r="AM60" s="907"/>
      <c r="AQ60" s="4" t="s">
        <v>1173</v>
      </c>
      <c r="AR60" s="4" t="s">
        <v>1174</v>
      </c>
      <c r="AS60" s="4" t="s">
        <v>1175</v>
      </c>
      <c r="AT60" s="4" t="s">
        <v>926</v>
      </c>
      <c r="AU60" s="4" t="s">
        <v>927</v>
      </c>
      <c r="AV60" s="4" t="s">
        <v>1176</v>
      </c>
      <c r="AW60" s="4" t="s">
        <v>1142</v>
      </c>
      <c r="AX60"/>
      <c r="AY60"/>
      <c r="AZ60"/>
      <c r="BA60"/>
      <c r="BB60"/>
      <c r="BC60"/>
      <c r="BD60"/>
    </row>
    <row r="61" spans="1:67" ht="14.4">
      <c r="A61" s="1">
        <v>55</v>
      </c>
      <c r="B61" s="47" t="str">
        <f t="shared" si="51"/>
        <v>Zuchtschweine - Standard-Fütterung - Gülle</v>
      </c>
      <c r="C61" s="48" t="s">
        <v>1207</v>
      </c>
      <c r="D61" s="1037"/>
      <c r="E61" s="1038">
        <v>14.4</v>
      </c>
      <c r="F61" s="1038"/>
      <c r="G61" s="1038"/>
      <c r="H61" s="1039"/>
      <c r="I61" s="1040">
        <v>2.5499999999999998</v>
      </c>
      <c r="J61" s="1041"/>
      <c r="K61" s="1042"/>
      <c r="L61" s="1040">
        <v>0.5</v>
      </c>
      <c r="M61" s="1042">
        <v>1</v>
      </c>
      <c r="N61" s="1680"/>
      <c r="O61" s="1691">
        <f>IF(Tabelle1!$N$45="JA",Tabelle1!AB61,Tabelle1!X61)</f>
        <v>10.6</v>
      </c>
      <c r="P61" s="1683"/>
      <c r="Q61" s="1676"/>
      <c r="R61" s="1677"/>
      <c r="S61" s="1063"/>
      <c r="T61" s="1068">
        <v>6.8</v>
      </c>
      <c r="U61" s="1065"/>
      <c r="V61" s="1069"/>
      <c r="W61" s="1070"/>
      <c r="X61" s="1040">
        <v>10.6</v>
      </c>
      <c r="Y61" s="1041"/>
      <c r="Z61" s="1041"/>
      <c r="AA61" s="1041"/>
      <c r="AB61" s="1041">
        <v>9</v>
      </c>
      <c r="AC61" s="1041"/>
      <c r="AD61" s="1041"/>
      <c r="AE61" s="1042"/>
      <c r="AF61" s="1040">
        <v>12.5</v>
      </c>
      <c r="AG61" s="1041"/>
      <c r="AH61" s="1042"/>
      <c r="AI61" s="53" t="s">
        <v>1207</v>
      </c>
      <c r="AJ61" s="55">
        <v>26.15</v>
      </c>
      <c r="AK61" s="116">
        <v>34.549999999999997</v>
      </c>
      <c r="AL61" s="117">
        <f t="shared" si="53"/>
        <v>4.9204052098408111</v>
      </c>
      <c r="AM61" s="907"/>
      <c r="AP61" s="65" t="s">
        <v>1208</v>
      </c>
      <c r="AQ61" s="127">
        <f t="shared" ref="AQ61:AW61" si="55">AQ54</f>
        <v>0</v>
      </c>
      <c r="AR61" s="127">
        <f t="shared" si="55"/>
        <v>0</v>
      </c>
      <c r="AS61" s="127">
        <f t="shared" si="55"/>
        <v>0</v>
      </c>
      <c r="AT61" s="127">
        <f t="shared" si="55"/>
        <v>0</v>
      </c>
      <c r="AU61" s="127">
        <f t="shared" si="55"/>
        <v>0</v>
      </c>
      <c r="AV61" s="127">
        <f t="shared" si="55"/>
        <v>0</v>
      </c>
      <c r="AW61" s="127">
        <f t="shared" si="55"/>
        <v>0</v>
      </c>
      <c r="AX61" s="129">
        <f>SUM(AQ61:AW61)</f>
        <v>0</v>
      </c>
      <c r="AY61"/>
      <c r="AZ61"/>
      <c r="BA61"/>
      <c r="BB61"/>
      <c r="BC61"/>
      <c r="BD61"/>
    </row>
    <row r="62" spans="1:67" ht="14.4">
      <c r="A62" s="1">
        <v>56</v>
      </c>
      <c r="B62" s="47" t="str">
        <f t="shared" si="51"/>
        <v>Zuchtschweine - Standard-Fütterung - Mist/Jauche</v>
      </c>
      <c r="C62" s="48" t="s">
        <v>1209</v>
      </c>
      <c r="D62" s="1037"/>
      <c r="E62" s="1038"/>
      <c r="F62" s="1038"/>
      <c r="G62" s="1038">
        <v>4.5</v>
      </c>
      <c r="H62" s="1039">
        <v>8.9</v>
      </c>
      <c r="I62" s="1040"/>
      <c r="J62" s="1041">
        <v>0.84</v>
      </c>
      <c r="K62" s="1042">
        <v>1.73</v>
      </c>
      <c r="L62" s="1040">
        <v>0.5</v>
      </c>
      <c r="M62" s="1042">
        <v>1</v>
      </c>
      <c r="N62" s="1680"/>
      <c r="O62" s="1687"/>
      <c r="P62" s="1683"/>
      <c r="Q62" s="1692">
        <f>IF(Tabelle1!$N$45="JA",Tabelle1!AD62,Tabelle1!Z62)</f>
        <v>0.53</v>
      </c>
      <c r="R62" s="1693">
        <f>IF(Tabelle1!$N$45="JA",Tabelle1!AE62,Tabelle1!AA62)</f>
        <v>10.07</v>
      </c>
      <c r="S62" s="1063"/>
      <c r="T62" s="1064"/>
      <c r="U62" s="1065"/>
      <c r="V62" s="1066">
        <v>0.68</v>
      </c>
      <c r="W62" s="1067">
        <v>6.12</v>
      </c>
      <c r="X62" s="1040"/>
      <c r="Y62" s="1041"/>
      <c r="Z62" s="1041">
        <v>0.53</v>
      </c>
      <c r="AA62" s="1041">
        <v>10.07</v>
      </c>
      <c r="AB62" s="1041"/>
      <c r="AC62" s="1041"/>
      <c r="AD62" s="1041">
        <v>0.45</v>
      </c>
      <c r="AE62" s="1042">
        <v>8.5500000000000007</v>
      </c>
      <c r="AF62" s="1040"/>
      <c r="AG62" s="1041">
        <v>3.9</v>
      </c>
      <c r="AH62" s="1042">
        <v>8.1</v>
      </c>
      <c r="AI62" s="53" t="s">
        <v>1209</v>
      </c>
      <c r="AJ62" s="55">
        <v>26.15</v>
      </c>
      <c r="AK62" s="116">
        <v>34.549999999999997</v>
      </c>
      <c r="AL62" s="117">
        <f t="shared" si="53"/>
        <v>4.9204052098408111</v>
      </c>
      <c r="AM62" s="907"/>
      <c r="AP62" s="130" t="s">
        <v>1210</v>
      </c>
      <c r="AQ62" s="129">
        <f t="shared" ref="AQ62:AW62" si="56">AQ43</f>
        <v>0</v>
      </c>
      <c r="AR62" s="129">
        <f t="shared" si="56"/>
        <v>0</v>
      </c>
      <c r="AS62" s="129">
        <f t="shared" si="56"/>
        <v>0</v>
      </c>
      <c r="AT62" s="129">
        <f t="shared" si="56"/>
        <v>0</v>
      </c>
      <c r="AU62" s="129">
        <f t="shared" si="56"/>
        <v>0</v>
      </c>
      <c r="AV62" s="129">
        <f t="shared" si="56"/>
        <v>0</v>
      </c>
      <c r="AW62" s="129">
        <f t="shared" si="56"/>
        <v>0</v>
      </c>
      <c r="AX62" s="23">
        <f>SUM(AQ62:AW62)</f>
        <v>0</v>
      </c>
      <c r="AY62" s="131" t="s">
        <v>1211</v>
      </c>
      <c r="AZ62" s="94"/>
      <c r="BA62"/>
      <c r="BB62"/>
      <c r="BC62"/>
      <c r="BD62"/>
    </row>
    <row r="63" spans="1:67" ht="14.4">
      <c r="A63" s="1">
        <v>57</v>
      </c>
      <c r="B63" s="47" t="str">
        <f t="shared" si="51"/>
        <v>Zuchtschweine - Standard-Fütterung - Tiefstallmist</v>
      </c>
      <c r="C63" s="48" t="s">
        <v>1212</v>
      </c>
      <c r="D63" s="1037"/>
      <c r="E63" s="1038"/>
      <c r="F63" s="1038"/>
      <c r="G63" s="1038"/>
      <c r="H63" s="1039">
        <v>13.4</v>
      </c>
      <c r="I63" s="1040"/>
      <c r="J63" s="1041"/>
      <c r="K63" s="1042">
        <v>2.72</v>
      </c>
      <c r="L63" s="1040">
        <v>0.5</v>
      </c>
      <c r="M63" s="1042">
        <v>1</v>
      </c>
      <c r="N63" s="1680"/>
      <c r="O63" s="1687"/>
      <c r="P63" s="1683"/>
      <c r="Q63" s="1675"/>
      <c r="R63" s="1693">
        <f>IF(Tabelle1!$N$45="JA",Tabelle1!AE63,Tabelle1!AA63)</f>
        <v>10.6</v>
      </c>
      <c r="S63" s="1063"/>
      <c r="T63" s="1064"/>
      <c r="U63" s="1065"/>
      <c r="V63" s="1066"/>
      <c r="W63" s="1067">
        <v>6.8</v>
      </c>
      <c r="X63" s="1040"/>
      <c r="Y63" s="1041"/>
      <c r="Z63" s="1041"/>
      <c r="AA63" s="1041">
        <v>10.6</v>
      </c>
      <c r="AB63" s="1041"/>
      <c r="AC63" s="1041"/>
      <c r="AD63" s="1041"/>
      <c r="AE63" s="1042">
        <v>9</v>
      </c>
      <c r="AF63" s="1040"/>
      <c r="AG63" s="1041"/>
      <c r="AH63" s="1042">
        <v>12.2</v>
      </c>
      <c r="AI63" s="53" t="s">
        <v>1212</v>
      </c>
      <c r="AJ63" s="55">
        <v>26.15</v>
      </c>
      <c r="AK63" s="116">
        <v>34.549999999999997</v>
      </c>
      <c r="AL63" s="117">
        <f t="shared" si="53"/>
        <v>4.9204052098408111</v>
      </c>
      <c r="AM63" s="907"/>
      <c r="AP63" s="65" t="s">
        <v>1213</v>
      </c>
      <c r="AQ63" s="127">
        <f t="shared" ref="AQ63:AW63" si="57">SUM(AQ61:AQ62)</f>
        <v>0</v>
      </c>
      <c r="AR63" s="127">
        <f t="shared" si="57"/>
        <v>0</v>
      </c>
      <c r="AS63" s="127">
        <f t="shared" si="57"/>
        <v>0</v>
      </c>
      <c r="AT63" s="127">
        <f t="shared" si="57"/>
        <v>0</v>
      </c>
      <c r="AU63" s="127">
        <f t="shared" si="57"/>
        <v>0</v>
      </c>
      <c r="AV63" s="127">
        <f t="shared" si="57"/>
        <v>0</v>
      </c>
      <c r="AW63" s="127">
        <f t="shared" si="57"/>
        <v>0</v>
      </c>
      <c r="AX63" s="127">
        <f>SUM(AQ63:AW63)</f>
        <v>0</v>
      </c>
      <c r="AY63" s="65" t="s">
        <v>1214</v>
      </c>
      <c r="AZ63"/>
      <c r="BA63"/>
      <c r="BB63"/>
      <c r="BC63"/>
      <c r="BD63"/>
    </row>
    <row r="64" spans="1:67" ht="14.4">
      <c r="A64" s="1">
        <v>58</v>
      </c>
      <c r="B64" s="47" t="str">
        <f t="shared" si="51"/>
        <v>Zuchtschweine - N-reduzierte Fütterung - Gülle</v>
      </c>
      <c r="C64" s="48" t="s">
        <v>1215</v>
      </c>
      <c r="D64" s="1037"/>
      <c r="E64" s="1038">
        <v>12.8</v>
      </c>
      <c r="F64" s="1038"/>
      <c r="G64" s="1038"/>
      <c r="H64" s="1039"/>
      <c r="I64" s="1040">
        <v>2.5499999999999998</v>
      </c>
      <c r="J64" s="1041"/>
      <c r="K64" s="1042"/>
      <c r="L64" s="1040">
        <v>0.5</v>
      </c>
      <c r="M64" s="1042">
        <v>1</v>
      </c>
      <c r="N64" s="1680"/>
      <c r="O64" s="1691">
        <f>IF(Tabelle1!$N$45="JA",Tabelle1!AB64,Tabelle1!X64)</f>
        <v>10.6</v>
      </c>
      <c r="P64" s="1683"/>
      <c r="Q64" s="1676"/>
      <c r="R64" s="1677"/>
      <c r="S64" s="1063"/>
      <c r="T64" s="1068">
        <v>6.8</v>
      </c>
      <c r="U64" s="1065"/>
      <c r="V64" s="1069"/>
      <c r="W64" s="1070"/>
      <c r="X64" s="1040">
        <v>10.6</v>
      </c>
      <c r="Y64" s="1041"/>
      <c r="Z64" s="1041"/>
      <c r="AA64" s="1041"/>
      <c r="AB64" s="1041">
        <v>9</v>
      </c>
      <c r="AC64" s="1041"/>
      <c r="AD64" s="1041"/>
      <c r="AE64" s="1042"/>
      <c r="AF64" s="1040">
        <v>11.1</v>
      </c>
      <c r="AG64" s="1041"/>
      <c r="AH64" s="1042"/>
      <c r="AI64" s="53" t="s">
        <v>1215</v>
      </c>
      <c r="AJ64" s="55">
        <v>26.15</v>
      </c>
      <c r="AK64" s="116">
        <v>34.549999999999997</v>
      </c>
      <c r="AL64" s="117">
        <f t="shared" si="53"/>
        <v>4.9204052098408111</v>
      </c>
      <c r="AM64" s="907"/>
      <c r="AP64" s="65" t="s">
        <v>1216</v>
      </c>
      <c r="AQ64" s="662">
        <v>0.87</v>
      </c>
      <c r="AR64" s="662">
        <v>0.87</v>
      </c>
      <c r="AS64" s="662">
        <v>0.87</v>
      </c>
      <c r="AT64" s="662">
        <v>0.87</v>
      </c>
      <c r="AU64" s="662">
        <v>0.91</v>
      </c>
      <c r="AV64" s="662">
        <v>0.91</v>
      </c>
      <c r="AW64" s="662">
        <v>0.91</v>
      </c>
      <c r="AX64" s="663" t="s">
        <v>1217</v>
      </c>
      <c r="AY64"/>
      <c r="AZ64"/>
      <c r="BA64"/>
      <c r="BB64"/>
      <c r="BC64"/>
      <c r="BD64"/>
    </row>
    <row r="65" spans="1:56" ht="15" thickBot="1">
      <c r="A65" s="1">
        <v>59</v>
      </c>
      <c r="B65" s="47" t="str">
        <f t="shared" si="51"/>
        <v>Zuchtschweine - N-reduzierte Fütterung - Mist/Jauche</v>
      </c>
      <c r="C65" s="48" t="s">
        <v>1218</v>
      </c>
      <c r="D65" s="1037"/>
      <c r="E65" s="1038"/>
      <c r="F65" s="1038"/>
      <c r="G65" s="1038">
        <v>4</v>
      </c>
      <c r="H65" s="1039">
        <v>7.9</v>
      </c>
      <c r="I65" s="1040"/>
      <c r="J65" s="1041">
        <v>0.84</v>
      </c>
      <c r="K65" s="1042">
        <v>1.73</v>
      </c>
      <c r="L65" s="1040">
        <v>0.5</v>
      </c>
      <c r="M65" s="1042">
        <v>1</v>
      </c>
      <c r="N65" s="1680"/>
      <c r="O65" s="1687"/>
      <c r="P65" s="1683"/>
      <c r="Q65" s="1692">
        <f>IF(Tabelle1!$N$45="JA",Tabelle1!AD65,Tabelle1!Z65)</f>
        <v>0.53</v>
      </c>
      <c r="R65" s="1693">
        <f>IF(Tabelle1!$N$45="JA",Tabelle1!AE65,Tabelle1!AA65)</f>
        <v>10.07</v>
      </c>
      <c r="S65" s="1063"/>
      <c r="T65" s="1064"/>
      <c r="U65" s="1065"/>
      <c r="V65" s="1066">
        <v>0.68</v>
      </c>
      <c r="W65" s="1067">
        <v>6.12</v>
      </c>
      <c r="X65" s="1040"/>
      <c r="Y65" s="1041"/>
      <c r="Z65" s="1041">
        <v>0.53</v>
      </c>
      <c r="AA65" s="1041">
        <v>10.07</v>
      </c>
      <c r="AB65" s="1041"/>
      <c r="AC65" s="1041"/>
      <c r="AD65" s="1041">
        <v>0.45</v>
      </c>
      <c r="AE65" s="1042">
        <v>8.5500000000000007</v>
      </c>
      <c r="AF65" s="1040"/>
      <c r="AG65" s="1041">
        <v>3.5</v>
      </c>
      <c r="AH65" s="1042">
        <v>7.2</v>
      </c>
      <c r="AI65" s="53" t="s">
        <v>1218</v>
      </c>
      <c r="AJ65" s="55">
        <v>26.15</v>
      </c>
      <c r="AK65" s="116">
        <v>34.549999999999997</v>
      </c>
      <c r="AL65" s="117">
        <f t="shared" si="53"/>
        <v>4.9204052098408111</v>
      </c>
      <c r="AM65" s="907"/>
      <c r="AP65" s="664" t="s">
        <v>1219</v>
      </c>
      <c r="AQ65" s="22">
        <f t="shared" ref="AQ65:AW65" si="58">AQ62*AQ64</f>
        <v>0</v>
      </c>
      <c r="AR65" s="22">
        <f t="shared" si="58"/>
        <v>0</v>
      </c>
      <c r="AS65" s="22">
        <f t="shared" si="58"/>
        <v>0</v>
      </c>
      <c r="AT65" s="22">
        <f t="shared" si="58"/>
        <v>0</v>
      </c>
      <c r="AU65" s="22">
        <f t="shared" si="58"/>
        <v>0</v>
      </c>
      <c r="AV65" s="22">
        <f t="shared" si="58"/>
        <v>0</v>
      </c>
      <c r="AW65" s="22">
        <f t="shared" si="58"/>
        <v>0</v>
      </c>
      <c r="AX65" s="22">
        <f>SUM(AQ65:AW65)</f>
        <v>0</v>
      </c>
      <c r="AY65"/>
      <c r="AZ65"/>
      <c r="BA65"/>
      <c r="BB65"/>
      <c r="BC65"/>
      <c r="BD65"/>
    </row>
    <row r="66" spans="1:56" ht="15" thickBot="1">
      <c r="A66" s="1">
        <v>60</v>
      </c>
      <c r="B66" s="47" t="str">
        <f t="shared" si="51"/>
        <v>Zuchtschweine - N-reduzierte Fütterung - Tiefstallmist</v>
      </c>
      <c r="C66" s="48" t="s">
        <v>1220</v>
      </c>
      <c r="D66" s="1037"/>
      <c r="E66" s="1038"/>
      <c r="F66" s="1038"/>
      <c r="G66" s="1038"/>
      <c r="H66" s="1039">
        <v>11.9</v>
      </c>
      <c r="I66" s="1040"/>
      <c r="J66" s="1041"/>
      <c r="K66" s="1042">
        <v>2.72</v>
      </c>
      <c r="L66" s="1040">
        <v>0.5</v>
      </c>
      <c r="M66" s="1042">
        <v>1</v>
      </c>
      <c r="N66" s="1680"/>
      <c r="O66" s="1687"/>
      <c r="P66" s="1683"/>
      <c r="Q66" s="1675"/>
      <c r="R66" s="1693">
        <f>IF(Tabelle1!$N$45="JA",Tabelle1!AE66,Tabelle1!AA66)</f>
        <v>10.6</v>
      </c>
      <c r="S66" s="1063"/>
      <c r="T66" s="1064"/>
      <c r="U66" s="1065"/>
      <c r="V66" s="1066"/>
      <c r="W66" s="1067">
        <v>6.8</v>
      </c>
      <c r="X66" s="1040"/>
      <c r="Y66" s="1041"/>
      <c r="Z66" s="1041"/>
      <c r="AA66" s="1041">
        <v>10.6</v>
      </c>
      <c r="AB66" s="1041"/>
      <c r="AC66" s="1041"/>
      <c r="AD66" s="1041"/>
      <c r="AE66" s="1042">
        <v>9</v>
      </c>
      <c r="AF66" s="1040"/>
      <c r="AG66" s="1041"/>
      <c r="AH66" s="1042">
        <v>10.8</v>
      </c>
      <c r="AI66" s="53" t="s">
        <v>1220</v>
      </c>
      <c r="AJ66" s="55">
        <v>26.15</v>
      </c>
      <c r="AK66" s="116">
        <v>34.549999999999997</v>
      </c>
      <c r="AL66" s="117">
        <f t="shared" si="53"/>
        <v>4.9204052098408111</v>
      </c>
      <c r="AM66" s="907"/>
      <c r="AP66" s="65" t="s">
        <v>1221</v>
      </c>
      <c r="AQ66" s="660">
        <f t="shared" ref="AQ66:AW66" si="59">AQ63*AQ64</f>
        <v>0</v>
      </c>
      <c r="AR66" s="660">
        <f t="shared" si="59"/>
        <v>0</v>
      </c>
      <c r="AS66" s="660">
        <f t="shared" si="59"/>
        <v>0</v>
      </c>
      <c r="AT66" s="660">
        <f t="shared" si="59"/>
        <v>0</v>
      </c>
      <c r="AU66" s="660">
        <f t="shared" si="59"/>
        <v>0</v>
      </c>
      <c r="AV66" s="660">
        <f t="shared" si="59"/>
        <v>0</v>
      </c>
      <c r="AW66" s="668">
        <f t="shared" si="59"/>
        <v>0</v>
      </c>
      <c r="AX66" s="669">
        <f>SUM(AQ66:AW66)</f>
        <v>0</v>
      </c>
      <c r="AY66" s="118" t="s">
        <v>1194</v>
      </c>
      <c r="AZ66"/>
      <c r="BA66"/>
      <c r="BB66"/>
      <c r="BC66"/>
      <c r="BD66"/>
    </row>
    <row r="67" spans="1:56" ht="15" thickBot="1">
      <c r="A67" s="1">
        <v>61</v>
      </c>
      <c r="B67" s="47" t="str">
        <f t="shared" si="51"/>
        <v>Zuchteber - Standard-Fütterung - Gülle</v>
      </c>
      <c r="C67" s="48" t="s">
        <v>1222</v>
      </c>
      <c r="D67" s="1037"/>
      <c r="E67" s="1038">
        <v>17.7</v>
      </c>
      <c r="F67" s="1038"/>
      <c r="G67" s="1038"/>
      <c r="H67" s="1039"/>
      <c r="I67" s="1040">
        <v>2.5499999999999998</v>
      </c>
      <c r="J67" s="1041"/>
      <c r="K67" s="1042"/>
      <c r="L67" s="1040">
        <v>0.3</v>
      </c>
      <c r="M67" s="1042">
        <v>1</v>
      </c>
      <c r="N67" s="1680"/>
      <c r="O67" s="1691">
        <f>IF(Tabelle1!$N$45="JA",Tabelle1!AB67,Tabelle1!X67)</f>
        <v>12.3</v>
      </c>
      <c r="P67" s="1683"/>
      <c r="Q67" s="1676"/>
      <c r="R67" s="1677"/>
      <c r="S67" s="1063"/>
      <c r="T67" s="1068">
        <v>6.8</v>
      </c>
      <c r="U67" s="1065"/>
      <c r="V67" s="1069"/>
      <c r="W67" s="1070"/>
      <c r="X67" s="1040">
        <v>12.3</v>
      </c>
      <c r="Y67" s="1041"/>
      <c r="Z67" s="1041"/>
      <c r="AA67" s="1041"/>
      <c r="AB67" s="1041">
        <v>10.7</v>
      </c>
      <c r="AC67" s="1041"/>
      <c r="AD67" s="1041"/>
      <c r="AE67" s="1042"/>
      <c r="AF67" s="1040">
        <v>15.4</v>
      </c>
      <c r="AG67" s="1041"/>
      <c r="AH67" s="1042"/>
      <c r="AI67" s="53" t="s">
        <v>1222</v>
      </c>
      <c r="AJ67" s="55">
        <v>26.15</v>
      </c>
      <c r="AK67" s="116">
        <v>34.549999999999997</v>
      </c>
      <c r="AL67" s="117">
        <f t="shared" si="53"/>
        <v>4.9204052098408111</v>
      </c>
      <c r="AM67" s="907"/>
      <c r="AQ67" s="4"/>
      <c r="AR67" s="4"/>
      <c r="AS67" s="4"/>
      <c r="AT67" s="4"/>
      <c r="AU67" s="4"/>
      <c r="AV67" s="4"/>
      <c r="AW67" s="4"/>
      <c r="AX67" s="132">
        <f>Mineral!G28</f>
        <v>0</v>
      </c>
      <c r="AY67" s="77" t="s">
        <v>1223</v>
      </c>
      <c r="AZ67" s="78"/>
      <c r="BA67"/>
      <c r="BB67"/>
      <c r="BC67"/>
      <c r="BD67"/>
    </row>
    <row r="68" spans="1:56" ht="14.4">
      <c r="A68" s="1">
        <v>62</v>
      </c>
      <c r="B68" s="47" t="str">
        <f t="shared" si="51"/>
        <v>Zuchteber - Standard-Fütterung - Mist/Jauche</v>
      </c>
      <c r="C68" s="48" t="s">
        <v>1224</v>
      </c>
      <c r="D68" s="1037"/>
      <c r="E68" s="1038"/>
      <c r="F68" s="1038"/>
      <c r="G68" s="1038">
        <v>5.5</v>
      </c>
      <c r="H68" s="1039">
        <v>11</v>
      </c>
      <c r="I68" s="1040"/>
      <c r="J68" s="1041">
        <v>0.84</v>
      </c>
      <c r="K68" s="1042">
        <v>1.73</v>
      </c>
      <c r="L68" s="1040">
        <v>0.3</v>
      </c>
      <c r="M68" s="1042">
        <v>1</v>
      </c>
      <c r="N68" s="1680"/>
      <c r="O68" s="1687"/>
      <c r="P68" s="1683"/>
      <c r="Q68" s="1692">
        <f>IF(Tabelle1!$N$45="JA",Tabelle1!AD68,Tabelle1!Z68)</f>
        <v>0.61499999999999999</v>
      </c>
      <c r="R68" s="1693">
        <f>IF(Tabelle1!$N$45="JA",Tabelle1!AE68,Tabelle1!AA68)</f>
        <v>11.685</v>
      </c>
      <c r="S68" s="1063"/>
      <c r="T68" s="1064"/>
      <c r="U68" s="1065"/>
      <c r="V68" s="1066">
        <v>0.68</v>
      </c>
      <c r="W68" s="1067">
        <v>6.12</v>
      </c>
      <c r="X68" s="1040"/>
      <c r="Y68" s="1041"/>
      <c r="Z68" s="1041">
        <v>0.61499999999999999</v>
      </c>
      <c r="AA68" s="1041">
        <v>11.685</v>
      </c>
      <c r="AB68" s="1041"/>
      <c r="AC68" s="1041"/>
      <c r="AD68" s="1041">
        <v>0.53500000000000003</v>
      </c>
      <c r="AE68" s="1042">
        <v>10.164999999999999</v>
      </c>
      <c r="AF68" s="1040"/>
      <c r="AG68" s="1041">
        <v>4.8</v>
      </c>
      <c r="AH68" s="1042">
        <v>10</v>
      </c>
      <c r="AI68" s="53" t="s">
        <v>1224</v>
      </c>
      <c r="AJ68" s="55">
        <v>26.15</v>
      </c>
      <c r="AK68" s="116">
        <v>34.549999999999997</v>
      </c>
      <c r="AL68" s="117">
        <f t="shared" si="53"/>
        <v>4.9204052098408111</v>
      </c>
      <c r="AM68" s="907"/>
      <c r="AQ68" s="118" t="s">
        <v>1225</v>
      </c>
      <c r="AR68" s="3"/>
      <c r="AS68"/>
      <c r="AT68"/>
      <c r="AU68"/>
      <c r="AV68"/>
      <c r="AW68"/>
      <c r="AX68" s="122">
        <f>BN49</f>
        <v>0</v>
      </c>
      <c r="AY68" s="3" t="s">
        <v>1197</v>
      </c>
      <c r="AZ68"/>
      <c r="BA68"/>
      <c r="BB68"/>
      <c r="BC68"/>
      <c r="BD68"/>
    </row>
    <row r="69" spans="1:56" ht="14.4">
      <c r="A69" s="1">
        <v>63</v>
      </c>
      <c r="B69" s="47" t="str">
        <f t="shared" si="51"/>
        <v>Zuchteber - Standard-Fütterung - Tiefstallmist</v>
      </c>
      <c r="C69" s="48" t="s">
        <v>1226</v>
      </c>
      <c r="D69" s="1037"/>
      <c r="E69" s="1038"/>
      <c r="F69" s="1038"/>
      <c r="G69" s="1038"/>
      <c r="H69" s="1039">
        <v>16.399999999999999</v>
      </c>
      <c r="I69" s="1040"/>
      <c r="J69" s="1041"/>
      <c r="K69" s="1042">
        <v>2.72</v>
      </c>
      <c r="L69" s="1040">
        <v>0.3</v>
      </c>
      <c r="M69" s="1042">
        <v>1</v>
      </c>
      <c r="N69" s="1680"/>
      <c r="O69" s="1687"/>
      <c r="P69" s="1683"/>
      <c r="Q69" s="1675"/>
      <c r="R69" s="1693">
        <f>IF(Tabelle1!$N$45="JA",Tabelle1!AE69,Tabelle1!AA69)</f>
        <v>12.3</v>
      </c>
      <c r="S69" s="1063"/>
      <c r="T69" s="1064"/>
      <c r="U69" s="1065"/>
      <c r="V69" s="1066"/>
      <c r="W69" s="1067">
        <v>6.8</v>
      </c>
      <c r="X69" s="1040"/>
      <c r="Y69" s="1041"/>
      <c r="Z69" s="1041"/>
      <c r="AA69" s="1041">
        <v>12.3</v>
      </c>
      <c r="AB69" s="1041"/>
      <c r="AC69" s="1041"/>
      <c r="AD69" s="1041"/>
      <c r="AE69" s="1042">
        <v>10.7</v>
      </c>
      <c r="AF69" s="1040"/>
      <c r="AG69" s="1041"/>
      <c r="AH69" s="1042">
        <v>14.9</v>
      </c>
      <c r="AI69" s="53" t="s">
        <v>1226</v>
      </c>
      <c r="AJ69" s="55">
        <v>26.15</v>
      </c>
      <c r="AK69" s="116">
        <v>34.549999999999997</v>
      </c>
      <c r="AL69" s="117">
        <f t="shared" si="53"/>
        <v>4.9204052098408111</v>
      </c>
      <c r="AM69" s="907"/>
      <c r="AQ69" s="123" t="s">
        <v>1227</v>
      </c>
      <c r="AR69" s="124"/>
      <c r="AS69" s="125"/>
      <c r="AT69" s="125"/>
      <c r="AU69" s="125"/>
      <c r="AV69" s="125"/>
      <c r="AW69" s="125"/>
      <c r="AX69" s="133">
        <f>AX66+AX67-AX68</f>
        <v>0</v>
      </c>
      <c r="AY69" s="105" t="s">
        <v>1228</v>
      </c>
      <c r="AZ69" s="125"/>
      <c r="BA69" s="94"/>
      <c r="BB69" s="109"/>
      <c r="BC69"/>
      <c r="BD69"/>
    </row>
    <row r="70" spans="1:56" ht="14.4">
      <c r="A70" s="1">
        <v>64</v>
      </c>
      <c r="B70" s="47" t="str">
        <f t="shared" si="51"/>
        <v>Zuchteber - N-reduzierte Fütterung - Gülle</v>
      </c>
      <c r="C70" s="48" t="s">
        <v>1229</v>
      </c>
      <c r="D70" s="1037"/>
      <c r="E70" s="1038">
        <v>16.7</v>
      </c>
      <c r="F70" s="1038"/>
      <c r="G70" s="1038"/>
      <c r="H70" s="1039"/>
      <c r="I70" s="1040">
        <v>2.5499999999999998</v>
      </c>
      <c r="J70" s="1041"/>
      <c r="K70" s="1042"/>
      <c r="L70" s="1040">
        <v>0.3</v>
      </c>
      <c r="M70" s="1042">
        <v>1</v>
      </c>
      <c r="N70" s="1680"/>
      <c r="O70" s="1691">
        <f>IF(Tabelle1!$N$45="JA",Tabelle1!AB70,Tabelle1!X70)</f>
        <v>12.3</v>
      </c>
      <c r="P70" s="1683"/>
      <c r="Q70" s="1676"/>
      <c r="R70" s="1677"/>
      <c r="S70" s="1063"/>
      <c r="T70" s="1068">
        <v>6.8</v>
      </c>
      <c r="U70" s="1065"/>
      <c r="V70" s="1069"/>
      <c r="W70" s="1070"/>
      <c r="X70" s="1040">
        <v>12.3</v>
      </c>
      <c r="Y70" s="1041"/>
      <c r="Z70" s="1041"/>
      <c r="AA70" s="1041"/>
      <c r="AB70" s="1041">
        <v>10.7</v>
      </c>
      <c r="AC70" s="1041"/>
      <c r="AD70" s="1041"/>
      <c r="AE70" s="1042"/>
      <c r="AF70" s="1040">
        <v>14.5</v>
      </c>
      <c r="AG70" s="1041"/>
      <c r="AH70" s="1042"/>
      <c r="AI70" s="53" t="s">
        <v>1229</v>
      </c>
      <c r="AJ70" s="55">
        <v>26.15</v>
      </c>
      <c r="AK70" s="116">
        <v>34.549999999999997</v>
      </c>
      <c r="AL70" s="117">
        <f t="shared" si="53"/>
        <v>4.9204052098408111</v>
      </c>
      <c r="AM70" s="907"/>
      <c r="AR70" s="86"/>
      <c r="AS70"/>
      <c r="AT70"/>
      <c r="AU70"/>
      <c r="AV70"/>
      <c r="AW70"/>
      <c r="AX70"/>
      <c r="AY70"/>
      <c r="AZ70"/>
      <c r="BA70"/>
      <c r="BB70"/>
      <c r="BC70"/>
      <c r="BD70"/>
    </row>
    <row r="71" spans="1:56" ht="14.4">
      <c r="A71" s="1">
        <v>65</v>
      </c>
      <c r="B71" s="47" t="str">
        <f t="shared" si="51"/>
        <v>Zuchteber - N-reduzierte Fütterung - Mist/Jauche</v>
      </c>
      <c r="C71" s="48" t="s">
        <v>1230</v>
      </c>
      <c r="D71" s="1037"/>
      <c r="E71" s="1038"/>
      <c r="F71" s="1038"/>
      <c r="G71" s="1038">
        <v>5.2</v>
      </c>
      <c r="H71" s="1039">
        <v>10.4</v>
      </c>
      <c r="I71" s="1040"/>
      <c r="J71" s="1041">
        <v>0.84</v>
      </c>
      <c r="K71" s="1042">
        <v>1.73</v>
      </c>
      <c r="L71" s="1040">
        <v>0.3</v>
      </c>
      <c r="M71" s="1042">
        <v>1</v>
      </c>
      <c r="N71" s="1680"/>
      <c r="O71" s="1687"/>
      <c r="P71" s="1683"/>
      <c r="Q71" s="1692">
        <f>IF(Tabelle1!$N$45="JA",Tabelle1!AD71,Tabelle1!Z71)</f>
        <v>0.61499999999999999</v>
      </c>
      <c r="R71" s="1693">
        <f>IF(Tabelle1!$N$45="JA",Tabelle1!AE71,Tabelle1!AA71)</f>
        <v>11.685</v>
      </c>
      <c r="S71" s="1063"/>
      <c r="T71" s="1064"/>
      <c r="U71" s="1065"/>
      <c r="V71" s="1066">
        <v>0.68</v>
      </c>
      <c r="W71" s="1067">
        <v>6.12</v>
      </c>
      <c r="X71" s="1040"/>
      <c r="Y71" s="1041"/>
      <c r="Z71" s="1041">
        <v>0.61499999999999999</v>
      </c>
      <c r="AA71" s="1041">
        <v>11.685</v>
      </c>
      <c r="AB71" s="1041"/>
      <c r="AC71" s="1041"/>
      <c r="AD71" s="1041">
        <v>0.53500000000000003</v>
      </c>
      <c r="AE71" s="1042">
        <v>10.164999999999999</v>
      </c>
      <c r="AF71" s="1040"/>
      <c r="AG71" s="1041">
        <v>4.5</v>
      </c>
      <c r="AH71" s="1042">
        <v>9.5</v>
      </c>
      <c r="AI71" s="53" t="s">
        <v>1230</v>
      </c>
      <c r="AJ71" s="55">
        <v>26.15</v>
      </c>
      <c r="AK71" s="116">
        <v>34.549999999999997</v>
      </c>
      <c r="AL71" s="117">
        <f t="shared" si="53"/>
        <v>4.9204052098408111</v>
      </c>
      <c r="AM71" s="907"/>
      <c r="AQ71" s="118" t="s">
        <v>1231</v>
      </c>
      <c r="AR71" s="3"/>
      <c r="AS71"/>
      <c r="AT71"/>
      <c r="AU71"/>
      <c r="AV71"/>
      <c r="AW71"/>
      <c r="AX71"/>
      <c r="AY71"/>
      <c r="AZ71"/>
      <c r="BA71"/>
      <c r="BB71"/>
      <c r="BC71"/>
      <c r="BD71"/>
    </row>
    <row r="72" spans="1:56" ht="15" thickBot="1">
      <c r="A72" s="1">
        <v>66</v>
      </c>
      <c r="B72" s="47" t="str">
        <f t="shared" si="51"/>
        <v>Zuchteber - N-reduzierte Fütterung - Tiefstallmist</v>
      </c>
      <c r="C72" s="48" t="s">
        <v>1232</v>
      </c>
      <c r="D72" s="1037"/>
      <c r="E72" s="1038"/>
      <c r="F72" s="1038"/>
      <c r="G72" s="1038"/>
      <c r="H72" s="1039">
        <v>15.5</v>
      </c>
      <c r="I72" s="1040"/>
      <c r="J72" s="1041"/>
      <c r="K72" s="1042">
        <v>2.72</v>
      </c>
      <c r="L72" s="1040">
        <v>0.3</v>
      </c>
      <c r="M72" s="1042">
        <v>1</v>
      </c>
      <c r="N72" s="1681"/>
      <c r="O72" s="1688"/>
      <c r="P72" s="1684"/>
      <c r="Q72" s="1678"/>
      <c r="R72" s="1694">
        <f>IF(Tabelle1!$N$45="JA",Tabelle1!AE72,Tabelle1!AA72)</f>
        <v>12.3</v>
      </c>
      <c r="S72" s="1072"/>
      <c r="T72" s="1073"/>
      <c r="U72" s="1074"/>
      <c r="V72" s="1075"/>
      <c r="W72" s="1076">
        <v>6.8</v>
      </c>
      <c r="X72" s="1040"/>
      <c r="Y72" s="1041"/>
      <c r="Z72" s="1041"/>
      <c r="AA72" s="1041">
        <v>12.3</v>
      </c>
      <c r="AB72" s="1041"/>
      <c r="AC72" s="1041"/>
      <c r="AD72" s="1041"/>
      <c r="AE72" s="1042">
        <v>10.7</v>
      </c>
      <c r="AF72" s="1040"/>
      <c r="AG72" s="1041"/>
      <c r="AH72" s="1042">
        <v>14.1</v>
      </c>
      <c r="AI72" s="53" t="s">
        <v>1232</v>
      </c>
      <c r="AJ72" s="55">
        <v>26.15</v>
      </c>
      <c r="AK72" s="116">
        <v>34.549999999999997</v>
      </c>
      <c r="AL72" s="117">
        <f t="shared" si="53"/>
        <v>4.9204052098408111</v>
      </c>
      <c r="AM72" s="907"/>
      <c r="AQ72" s="4" t="s">
        <v>1173</v>
      </c>
      <c r="AR72" s="4" t="s">
        <v>1174</v>
      </c>
      <c r="AS72" s="4" t="s">
        <v>1175</v>
      </c>
      <c r="AT72" s="4" t="s">
        <v>926</v>
      </c>
      <c r="AU72" s="4" t="s">
        <v>927</v>
      </c>
      <c r="AV72" s="4" t="s">
        <v>1176</v>
      </c>
      <c r="AW72" s="4" t="s">
        <v>1142</v>
      </c>
      <c r="AX72"/>
      <c r="AY72"/>
      <c r="AZ72"/>
      <c r="BA72"/>
      <c r="BB72"/>
      <c r="BC72"/>
      <c r="BD72"/>
    </row>
    <row r="73" spans="1:56" ht="14.4" thickBot="1">
      <c r="B73" s="917" t="s">
        <v>1233</v>
      </c>
      <c r="C73" s="804" t="s">
        <v>1233</v>
      </c>
      <c r="D73" s="1077"/>
      <c r="E73" s="1078"/>
      <c r="F73" s="1078"/>
      <c r="G73" s="1078"/>
      <c r="H73" s="1079"/>
      <c r="I73" s="1080"/>
      <c r="J73" s="1081"/>
      <c r="K73" s="1082"/>
      <c r="L73" s="1080"/>
      <c r="M73" s="1082">
        <v>1</v>
      </c>
      <c r="N73" s="1080"/>
      <c r="O73" s="1686"/>
      <c r="P73" s="1081"/>
      <c r="Q73" s="1081"/>
      <c r="R73" s="1082"/>
      <c r="S73" s="1080"/>
      <c r="T73" s="1081"/>
      <c r="U73" s="1081"/>
      <c r="V73" s="1081"/>
      <c r="W73" s="1082"/>
      <c r="X73" s="1080"/>
      <c r="Y73" s="1081"/>
      <c r="Z73" s="1081"/>
      <c r="AA73" s="1081"/>
      <c r="AB73" s="1081"/>
      <c r="AC73" s="1081"/>
      <c r="AD73" s="1081"/>
      <c r="AE73" s="1082"/>
      <c r="AF73" s="1080"/>
      <c r="AG73" s="1081"/>
      <c r="AH73" s="1082"/>
      <c r="AI73" s="918" t="s">
        <v>1233</v>
      </c>
      <c r="AJ73" s="919"/>
      <c r="AK73" s="920"/>
      <c r="AL73" s="117"/>
      <c r="AM73" s="907"/>
      <c r="AP73" s="65"/>
      <c r="AQ73" s="660">
        <f t="shared" ref="AQ73:AW73" si="60">AQ66</f>
        <v>0</v>
      </c>
      <c r="AR73" s="660">
        <f t="shared" si="60"/>
        <v>0</v>
      </c>
      <c r="AS73" s="660">
        <f t="shared" si="60"/>
        <v>0</v>
      </c>
      <c r="AT73" s="660">
        <f t="shared" si="60"/>
        <v>0</v>
      </c>
      <c r="AU73" s="660">
        <f t="shared" si="60"/>
        <v>0</v>
      </c>
      <c r="AV73" s="660">
        <f t="shared" si="60"/>
        <v>0</v>
      </c>
      <c r="AW73" s="660">
        <f t="shared" si="60"/>
        <v>0</v>
      </c>
      <c r="AX73"/>
      <c r="AY73"/>
      <c r="AZ73"/>
      <c r="BA73"/>
      <c r="BB73"/>
      <c r="BC73"/>
      <c r="BD73"/>
    </row>
    <row r="74" spans="1:56" ht="14.4" thickBot="1">
      <c r="A74" s="466">
        <v>67</v>
      </c>
      <c r="B74" s="813" t="str">
        <f>C74</f>
        <v>Junghennenaufzucht (bis 6 Wochen)</v>
      </c>
      <c r="C74" s="814" t="s">
        <v>719</v>
      </c>
      <c r="D74" s="1083"/>
      <c r="E74" s="1084"/>
      <c r="F74" s="1084"/>
      <c r="G74" s="1084"/>
      <c r="H74" s="1085">
        <v>5.2999999999999999E-2</v>
      </c>
      <c r="I74" s="1086"/>
      <c r="J74" s="1087"/>
      <c r="K74" s="1088">
        <v>4.0000000000000001E-3</v>
      </c>
      <c r="L74" s="1086"/>
      <c r="M74" s="1088">
        <v>1.72</v>
      </c>
      <c r="N74" s="1086"/>
      <c r="O74" s="1087"/>
      <c r="P74" s="1087"/>
      <c r="Q74" s="1087"/>
      <c r="R74" s="1088">
        <v>3.4000000000000002E-2</v>
      </c>
      <c r="S74" s="1086"/>
      <c r="T74" s="1087"/>
      <c r="U74" s="1087"/>
      <c r="V74" s="1087"/>
      <c r="W74" s="1088">
        <v>2.6000000000000002E-2</v>
      </c>
      <c r="X74" s="1089"/>
      <c r="Y74" s="1090"/>
      <c r="Z74" s="1090"/>
      <c r="AA74" s="1091"/>
      <c r="AB74" s="1090"/>
      <c r="AC74" s="1090"/>
      <c r="AD74" s="1090"/>
      <c r="AE74" s="1091"/>
      <c r="AF74" s="1092"/>
      <c r="AG74" s="1093"/>
      <c r="AH74" s="1094">
        <v>0.05</v>
      </c>
      <c r="AI74" s="53" t="s">
        <v>719</v>
      </c>
      <c r="AJ74" s="55"/>
      <c r="AK74" s="116">
        <v>0.28999999999999998</v>
      </c>
      <c r="AL74" s="117">
        <f t="shared" ref="AL74:AL79" si="61">170/AK74</f>
        <v>586.20689655172418</v>
      </c>
      <c r="AM74" s="907"/>
      <c r="AP74" s="65" t="s">
        <v>1235</v>
      </c>
      <c r="AQ74" s="612">
        <v>0.7</v>
      </c>
      <c r="AR74" s="612">
        <v>0.8</v>
      </c>
      <c r="AS74" s="665">
        <v>0.85</v>
      </c>
      <c r="AT74" s="665">
        <v>1</v>
      </c>
      <c r="AU74" s="665">
        <v>0.5</v>
      </c>
      <c r="AV74" s="665">
        <v>0.3</v>
      </c>
      <c r="AW74" s="666">
        <v>0.1</v>
      </c>
      <c r="AX74"/>
      <c r="AY74"/>
      <c r="AZ74"/>
      <c r="BA74"/>
      <c r="BB74"/>
      <c r="BC74"/>
      <c r="BD74"/>
    </row>
    <row r="75" spans="1:56" ht="14.4" thickBot="1">
      <c r="A75" s="1">
        <v>68</v>
      </c>
      <c r="B75" s="813" t="str">
        <f t="shared" ref="B75:B83" si="62">C75</f>
        <v xml:space="preserve">Kücken u. Junghennen für Legezw. bis 1/2 Jahr - Gülle </v>
      </c>
      <c r="C75" s="815" t="s">
        <v>1234</v>
      </c>
      <c r="D75" s="1083"/>
      <c r="E75" s="1084"/>
      <c r="F75" s="1084">
        <v>0.13</v>
      </c>
      <c r="G75" s="1084"/>
      <c r="H75" s="1085"/>
      <c r="I75" s="1086">
        <v>1.2E-2</v>
      </c>
      <c r="J75" s="1087"/>
      <c r="K75" s="1088"/>
      <c r="L75" s="1086">
        <v>1.5E-3</v>
      </c>
      <c r="M75" s="1088">
        <v>1.4</v>
      </c>
      <c r="N75" s="1086"/>
      <c r="O75" s="1087"/>
      <c r="P75" s="1087">
        <v>0.17</v>
      </c>
      <c r="Q75" s="1087"/>
      <c r="R75" s="1088"/>
      <c r="S75" s="1086"/>
      <c r="T75" s="1087"/>
      <c r="U75" s="1087">
        <v>0.13</v>
      </c>
      <c r="V75" s="1087"/>
      <c r="W75" s="1088"/>
      <c r="X75" s="1089"/>
      <c r="Y75" s="1090"/>
      <c r="Z75" s="1090"/>
      <c r="AA75" s="1091"/>
      <c r="AB75" s="1090"/>
      <c r="AC75" s="1090"/>
      <c r="AD75" s="1090"/>
      <c r="AE75" s="1091"/>
      <c r="AF75" s="1092">
        <v>0.11</v>
      </c>
      <c r="AG75" s="1093"/>
      <c r="AH75" s="1095"/>
      <c r="AI75" s="53" t="s">
        <v>1234</v>
      </c>
      <c r="AJ75" s="55"/>
      <c r="AK75" s="116">
        <v>0.34</v>
      </c>
      <c r="AL75" s="117">
        <f t="shared" si="61"/>
        <v>499.99999999999994</v>
      </c>
      <c r="AM75" s="907"/>
      <c r="AP75" s="65" t="s">
        <v>1237</v>
      </c>
      <c r="AQ75" s="448">
        <f t="shared" ref="AQ75:AW75" si="63">AQ73*AQ74</f>
        <v>0</v>
      </c>
      <c r="AR75" s="448">
        <f t="shared" si="63"/>
        <v>0</v>
      </c>
      <c r="AS75" s="448">
        <f t="shared" si="63"/>
        <v>0</v>
      </c>
      <c r="AT75" s="448">
        <f t="shared" si="63"/>
        <v>0</v>
      </c>
      <c r="AU75" s="448">
        <f t="shared" si="63"/>
        <v>0</v>
      </c>
      <c r="AV75" s="448">
        <f t="shared" si="63"/>
        <v>0</v>
      </c>
      <c r="AW75" s="448">
        <f t="shared" si="63"/>
        <v>0</v>
      </c>
      <c r="AX75" s="669">
        <f>SUM(AQ75:AW75)</f>
        <v>0</v>
      </c>
      <c r="AY75" s="118" t="s">
        <v>1194</v>
      </c>
      <c r="AZ75"/>
      <c r="BA75"/>
      <c r="BB75"/>
      <c r="BC75"/>
      <c r="BD75"/>
    </row>
    <row r="76" spans="1:56">
      <c r="A76" s="1">
        <v>69</v>
      </c>
      <c r="B76" s="813" t="str">
        <f t="shared" si="62"/>
        <v xml:space="preserve">Kücken u. Junghennen für Legezw. bis 1/2 Jahr - Tiefstallmist  </v>
      </c>
      <c r="C76" s="815" t="s">
        <v>1236</v>
      </c>
      <c r="D76" s="1083"/>
      <c r="E76" s="1084"/>
      <c r="F76" s="1084"/>
      <c r="G76" s="1084"/>
      <c r="H76" s="1085">
        <v>0.11</v>
      </c>
      <c r="I76" s="1086"/>
      <c r="J76" s="1087"/>
      <c r="K76" s="1088">
        <v>9.0000000000000011E-3</v>
      </c>
      <c r="L76" s="1086">
        <v>1.5E-3</v>
      </c>
      <c r="M76" s="1088">
        <v>1.4</v>
      </c>
      <c r="N76" s="1086"/>
      <c r="O76" s="1087"/>
      <c r="P76" s="1087"/>
      <c r="Q76" s="1087"/>
      <c r="R76" s="1088">
        <v>0.17</v>
      </c>
      <c r="S76" s="1086"/>
      <c r="T76" s="1087"/>
      <c r="U76" s="1087"/>
      <c r="V76" s="1087"/>
      <c r="W76" s="1088">
        <v>0.13</v>
      </c>
      <c r="X76" s="1089"/>
      <c r="Y76" s="1090"/>
      <c r="Z76" s="1090"/>
      <c r="AA76" s="1091"/>
      <c r="AB76" s="1090"/>
      <c r="AC76" s="1090"/>
      <c r="AD76" s="1090"/>
      <c r="AE76" s="1091"/>
      <c r="AF76" s="1092"/>
      <c r="AG76" s="1093"/>
      <c r="AH76" s="1095">
        <v>0.1</v>
      </c>
      <c r="AI76" s="53" t="s">
        <v>1236</v>
      </c>
      <c r="AJ76" s="55"/>
      <c r="AK76" s="116">
        <v>0.34</v>
      </c>
      <c r="AL76" s="117">
        <f t="shared" si="61"/>
        <v>499.99999999999994</v>
      </c>
      <c r="AM76" s="907"/>
      <c r="AS76"/>
      <c r="AT76"/>
      <c r="AU76"/>
      <c r="AV76"/>
      <c r="AW76" s="86" t="s">
        <v>1239</v>
      </c>
      <c r="AX76" s="129">
        <f>AX67</f>
        <v>0</v>
      </c>
      <c r="AY76"/>
      <c r="AZ76"/>
      <c r="BA76"/>
      <c r="BB76"/>
      <c r="BC76"/>
      <c r="BD76"/>
    </row>
    <row r="77" spans="1:56" ht="13.8">
      <c r="A77" s="466">
        <v>70</v>
      </c>
      <c r="B77" s="813" t="str">
        <f t="shared" si="62"/>
        <v>Legehennen, Hähne - Gülle</v>
      </c>
      <c r="C77" s="815" t="s">
        <v>1238</v>
      </c>
      <c r="D77" s="1083"/>
      <c r="E77" s="1084"/>
      <c r="F77" s="1084">
        <v>0.51</v>
      </c>
      <c r="G77" s="1084"/>
      <c r="H77" s="1085"/>
      <c r="I77" s="1086">
        <v>3.3000000000000002E-2</v>
      </c>
      <c r="J77" s="1087"/>
      <c r="K77" s="1088"/>
      <c r="L77" s="1086">
        <v>4.0000000000000001E-3</v>
      </c>
      <c r="M77" s="1088">
        <v>1</v>
      </c>
      <c r="N77" s="1086"/>
      <c r="O77" s="1087"/>
      <c r="P77" s="1087">
        <v>0.45</v>
      </c>
      <c r="Q77" s="1087"/>
      <c r="R77" s="1088"/>
      <c r="S77" s="1086"/>
      <c r="T77" s="1087"/>
      <c r="U77" s="1087">
        <v>0.33</v>
      </c>
      <c r="V77" s="1087"/>
      <c r="W77" s="1088"/>
      <c r="X77" s="1089"/>
      <c r="Y77" s="1090"/>
      <c r="Z77" s="1090"/>
      <c r="AA77" s="1091"/>
      <c r="AB77" s="1090"/>
      <c r="AC77" s="1090"/>
      <c r="AD77" s="1090"/>
      <c r="AE77" s="1091"/>
      <c r="AF77" s="1092">
        <v>0.44</v>
      </c>
      <c r="AG77" s="1093"/>
      <c r="AH77" s="1095"/>
      <c r="AI77" s="53" t="s">
        <v>1238</v>
      </c>
      <c r="AJ77" s="55">
        <v>0.74</v>
      </c>
      <c r="AK77" s="116">
        <v>0.74</v>
      </c>
      <c r="AL77" s="117">
        <f t="shared" si="61"/>
        <v>229.72972972972974</v>
      </c>
      <c r="AM77" s="907"/>
      <c r="AQ77" s="118" t="s">
        <v>1241</v>
      </c>
      <c r="AS77"/>
      <c r="AT77"/>
      <c r="AU77"/>
      <c r="AV77"/>
      <c r="AW77"/>
      <c r="AX77" s="135">
        <f>BO49</f>
        <v>0</v>
      </c>
      <c r="AY77" s="65" t="s">
        <v>1242</v>
      </c>
      <c r="AZ77"/>
      <c r="BA77"/>
      <c r="BB77"/>
      <c r="BC77"/>
      <c r="BD77" s="94"/>
    </row>
    <row r="78" spans="1:56" ht="13.8">
      <c r="A78" s="1">
        <v>71</v>
      </c>
      <c r="B78" s="813" t="str">
        <f t="shared" si="62"/>
        <v>Legehennen, Hähne - Tiefstallmist</v>
      </c>
      <c r="C78" s="815" t="s">
        <v>1240</v>
      </c>
      <c r="D78" s="1083"/>
      <c r="E78" s="1084"/>
      <c r="F78" s="1084"/>
      <c r="G78" s="1084"/>
      <c r="H78" s="1085">
        <v>0.43</v>
      </c>
      <c r="I78" s="1086"/>
      <c r="J78" s="1087"/>
      <c r="K78" s="1088">
        <v>1.6E-2</v>
      </c>
      <c r="L78" s="1086">
        <v>4.0000000000000001E-3</v>
      </c>
      <c r="M78" s="1088">
        <v>1</v>
      </c>
      <c r="N78" s="1086"/>
      <c r="O78" s="1087"/>
      <c r="P78" s="1087"/>
      <c r="Q78" s="1087"/>
      <c r="R78" s="1088">
        <v>0.45</v>
      </c>
      <c r="S78" s="1086"/>
      <c r="T78" s="1087"/>
      <c r="U78" s="1087"/>
      <c r="V78" s="1087"/>
      <c r="W78" s="1088">
        <v>0.33</v>
      </c>
      <c r="X78" s="1089"/>
      <c r="Y78" s="1090"/>
      <c r="Z78" s="1090"/>
      <c r="AA78" s="1091"/>
      <c r="AB78" s="1090"/>
      <c r="AC78" s="1090"/>
      <c r="AD78" s="1090"/>
      <c r="AE78" s="1091"/>
      <c r="AF78" s="1092"/>
      <c r="AG78" s="1093"/>
      <c r="AH78" s="1095">
        <v>0.39</v>
      </c>
      <c r="AI78" s="53" t="s">
        <v>1240</v>
      </c>
      <c r="AJ78" s="55">
        <v>0.74</v>
      </c>
      <c r="AK78" s="116">
        <v>0.74</v>
      </c>
      <c r="AL78" s="117">
        <f t="shared" si="61"/>
        <v>229.72972972972974</v>
      </c>
      <c r="AM78" s="907"/>
      <c r="AQ78" s="123" t="s">
        <v>1244</v>
      </c>
      <c r="AR78" s="124"/>
      <c r="AS78" s="125"/>
      <c r="AT78" s="125"/>
      <c r="AU78" s="125"/>
      <c r="AV78" s="125"/>
      <c r="AW78" s="125"/>
      <c r="AX78" s="133">
        <f>AX75+AX76-AX77</f>
        <v>0</v>
      </c>
      <c r="AY78" s="105" t="s">
        <v>1245</v>
      </c>
      <c r="AZ78" s="125"/>
      <c r="BA78" s="125"/>
      <c r="BB78" s="125"/>
      <c r="BC78" s="125"/>
      <c r="BD78" s="94"/>
    </row>
    <row r="79" spans="1:56" ht="13.8">
      <c r="A79" s="1">
        <v>72</v>
      </c>
      <c r="B79" s="813" t="str">
        <f t="shared" si="62"/>
        <v xml:space="preserve">Mastkücken und Jungmasthühner - 7 Umtriebe </v>
      </c>
      <c r="C79" s="815" t="s">
        <v>1243</v>
      </c>
      <c r="D79" s="1083"/>
      <c r="E79" s="1084"/>
      <c r="F79" s="1084"/>
      <c r="G79" s="1084"/>
      <c r="H79" s="1085">
        <v>0.17</v>
      </c>
      <c r="I79" s="1086"/>
      <c r="J79" s="1087"/>
      <c r="K79" s="1088">
        <v>6.0000000000000001E-3</v>
      </c>
      <c r="L79" s="1086">
        <v>1.5E-3</v>
      </c>
      <c r="M79" s="1088">
        <v>1.3</v>
      </c>
      <c r="N79" s="1086"/>
      <c r="O79" s="1087"/>
      <c r="P79" s="1087"/>
      <c r="Q79" s="1087"/>
      <c r="R79" s="1088">
        <v>0.12</v>
      </c>
      <c r="S79" s="1086"/>
      <c r="T79" s="1087"/>
      <c r="U79" s="1087"/>
      <c r="V79" s="1087"/>
      <c r="W79" s="1088">
        <v>0.1</v>
      </c>
      <c r="X79" s="1089"/>
      <c r="Y79" s="1090"/>
      <c r="Z79" s="1090"/>
      <c r="AA79" s="1091"/>
      <c r="AB79" s="1090"/>
      <c r="AC79" s="1090"/>
      <c r="AD79" s="1090"/>
      <c r="AE79" s="1091"/>
      <c r="AF79" s="1092"/>
      <c r="AG79" s="1093"/>
      <c r="AH79" s="1095">
        <v>0.15</v>
      </c>
      <c r="AI79" s="53" t="s">
        <v>1243</v>
      </c>
      <c r="AJ79" s="55">
        <v>0.28999999999999998</v>
      </c>
      <c r="AK79" s="116">
        <v>0.28999999999999998</v>
      </c>
      <c r="AL79" s="117">
        <f t="shared" si="61"/>
        <v>586.20689655172418</v>
      </c>
      <c r="AM79" s="907"/>
      <c r="AX79" s="136">
        <f>AX78-CA22</f>
        <v>0</v>
      </c>
      <c r="AY79" s="105" t="s">
        <v>1247</v>
      </c>
      <c r="AZ79" s="125"/>
      <c r="BA79" s="125"/>
      <c r="BB79" s="125"/>
      <c r="BC79" s="125"/>
    </row>
    <row r="80" spans="1:56">
      <c r="A80" s="466">
        <v>73</v>
      </c>
      <c r="B80" s="813" t="str">
        <f t="shared" si="62"/>
        <v>Zwerghühner, Wachteln; ausgewachsen</v>
      </c>
      <c r="C80" s="815" t="s">
        <v>1246</v>
      </c>
      <c r="D80" s="1083"/>
      <c r="E80" s="1084"/>
      <c r="F80" s="1084"/>
      <c r="G80" s="1084"/>
      <c r="H80" s="1085">
        <v>0.1</v>
      </c>
      <c r="I80" s="1086"/>
      <c r="J80" s="1087"/>
      <c r="K80" s="1088">
        <v>3.0000000000000001E-3</v>
      </c>
      <c r="L80" s="1086"/>
      <c r="M80" s="1088">
        <v>1</v>
      </c>
      <c r="N80" s="1086"/>
      <c r="O80" s="1087"/>
      <c r="P80" s="1087"/>
      <c r="Q80" s="1087"/>
      <c r="R80" s="1088">
        <v>0.09</v>
      </c>
      <c r="S80" s="1086"/>
      <c r="T80" s="1087"/>
      <c r="U80" s="1087"/>
      <c r="V80" s="1087"/>
      <c r="W80" s="1088">
        <v>7.0000000000000007E-2</v>
      </c>
      <c r="X80" s="1089"/>
      <c r="Y80" s="1090"/>
      <c r="Z80" s="1090"/>
      <c r="AA80" s="1091"/>
      <c r="AB80" s="1090"/>
      <c r="AC80" s="1090"/>
      <c r="AD80" s="1090"/>
      <c r="AE80" s="1091"/>
      <c r="AF80" s="1092"/>
      <c r="AG80" s="1093"/>
      <c r="AH80" s="1095">
        <v>0.09</v>
      </c>
      <c r="AI80" s="53" t="s">
        <v>1246</v>
      </c>
      <c r="AJ80" s="55"/>
      <c r="AK80" s="116"/>
      <c r="AL80" s="117"/>
      <c r="AM80" s="907"/>
    </row>
    <row r="81" spans="1:44">
      <c r="A81" s="1">
        <v>74</v>
      </c>
      <c r="B81" s="813" t="str">
        <f t="shared" si="62"/>
        <v>Gänse</v>
      </c>
      <c r="C81" s="815" t="s">
        <v>1248</v>
      </c>
      <c r="D81" s="1083"/>
      <c r="E81" s="1084"/>
      <c r="F81" s="1084"/>
      <c r="G81" s="1084"/>
      <c r="H81" s="1085">
        <v>0.28999999999999998</v>
      </c>
      <c r="I81" s="1086"/>
      <c r="J81" s="1087"/>
      <c r="K81" s="1088">
        <v>2.9000000000000001E-2</v>
      </c>
      <c r="L81" s="1086">
        <v>8.0000000000000002E-3</v>
      </c>
      <c r="M81" s="1088">
        <v>1</v>
      </c>
      <c r="N81" s="1086"/>
      <c r="O81" s="1087"/>
      <c r="P81" s="1087"/>
      <c r="Q81" s="1087"/>
      <c r="R81" s="1088">
        <v>0.25</v>
      </c>
      <c r="S81" s="1086"/>
      <c r="T81" s="1087"/>
      <c r="U81" s="1087"/>
      <c r="V81" s="1087"/>
      <c r="W81" s="1088">
        <v>0.2</v>
      </c>
      <c r="X81" s="1089"/>
      <c r="Y81" s="1090"/>
      <c r="Z81" s="1090"/>
      <c r="AA81" s="1091"/>
      <c r="AB81" s="1090"/>
      <c r="AC81" s="1090"/>
      <c r="AD81" s="1090"/>
      <c r="AE81" s="1091"/>
      <c r="AF81" s="1092"/>
      <c r="AG81" s="1093"/>
      <c r="AH81" s="1095">
        <v>0.26</v>
      </c>
      <c r="AI81" s="53" t="s">
        <v>1248</v>
      </c>
      <c r="AJ81" s="55"/>
      <c r="AK81" s="116">
        <v>0.57999999999999996</v>
      </c>
      <c r="AL81" s="117">
        <f>170/AK81</f>
        <v>293.10344827586209</v>
      </c>
      <c r="AM81" s="907"/>
    </row>
    <row r="82" spans="1:44">
      <c r="A82" s="1">
        <v>75</v>
      </c>
      <c r="B82" s="813" t="str">
        <f t="shared" si="62"/>
        <v>Enten</v>
      </c>
      <c r="C82" s="815" t="s">
        <v>1249</v>
      </c>
      <c r="D82" s="1083"/>
      <c r="E82" s="1084"/>
      <c r="F82" s="1084"/>
      <c r="G82" s="1084"/>
      <c r="H82" s="1085">
        <v>0.28999999999999998</v>
      </c>
      <c r="I82" s="1086"/>
      <c r="J82" s="1087"/>
      <c r="K82" s="1088">
        <v>1.4E-2</v>
      </c>
      <c r="L82" s="1086">
        <v>4.0000000000000001E-3</v>
      </c>
      <c r="M82" s="1088">
        <v>1</v>
      </c>
      <c r="N82" s="1086"/>
      <c r="O82" s="1087"/>
      <c r="P82" s="1087"/>
      <c r="Q82" s="1087"/>
      <c r="R82" s="1088">
        <v>0.25</v>
      </c>
      <c r="S82" s="1086"/>
      <c r="T82" s="1087"/>
      <c r="U82" s="1087"/>
      <c r="V82" s="1087"/>
      <c r="W82" s="1088">
        <v>0.2</v>
      </c>
      <c r="X82" s="1089"/>
      <c r="Y82" s="1090"/>
      <c r="Z82" s="1090"/>
      <c r="AA82" s="1091"/>
      <c r="AB82" s="1090"/>
      <c r="AC82" s="1090"/>
      <c r="AD82" s="1090"/>
      <c r="AE82" s="1091"/>
      <c r="AF82" s="1092"/>
      <c r="AG82" s="1093"/>
      <c r="AH82" s="1095">
        <v>0.26</v>
      </c>
      <c r="AI82" s="53" t="s">
        <v>1249</v>
      </c>
      <c r="AJ82" s="55"/>
      <c r="AK82" s="116">
        <v>0.57999999999999996</v>
      </c>
      <c r="AL82" s="117">
        <f>170/AK82</f>
        <v>293.10344827586209</v>
      </c>
      <c r="AM82" s="907"/>
    </row>
    <row r="83" spans="1:44" ht="13.8" thickBot="1">
      <c r="A83" s="466">
        <v>76</v>
      </c>
      <c r="B83" s="813" t="str">
        <f t="shared" si="62"/>
        <v xml:space="preserve">Truthühner (Puten) </v>
      </c>
      <c r="C83" s="815" t="s">
        <v>1250</v>
      </c>
      <c r="D83" s="1083"/>
      <c r="E83" s="1084"/>
      <c r="F83" s="1084"/>
      <c r="G83" s="1084"/>
      <c r="H83" s="1085">
        <v>0.65</v>
      </c>
      <c r="I83" s="1086"/>
      <c r="J83" s="1087"/>
      <c r="K83" s="1088">
        <v>0.03</v>
      </c>
      <c r="L83" s="1086">
        <v>7.0000000000000001E-3</v>
      </c>
      <c r="M83" s="1088">
        <v>1.2</v>
      </c>
      <c r="N83" s="1086"/>
      <c r="O83" s="1087"/>
      <c r="P83" s="1087"/>
      <c r="Q83" s="1087"/>
      <c r="R83" s="1088">
        <v>0.6</v>
      </c>
      <c r="S83" s="1086"/>
      <c r="T83" s="1087"/>
      <c r="U83" s="1087"/>
      <c r="V83" s="1087"/>
      <c r="W83" s="1088">
        <v>0.48</v>
      </c>
      <c r="X83" s="1089"/>
      <c r="Y83" s="1090"/>
      <c r="Z83" s="1090"/>
      <c r="AA83" s="1091"/>
      <c r="AB83" s="1090"/>
      <c r="AC83" s="1090"/>
      <c r="AD83" s="1090"/>
      <c r="AE83" s="1091"/>
      <c r="AF83" s="1092"/>
      <c r="AG83" s="1093"/>
      <c r="AH83" s="1095">
        <v>0.59</v>
      </c>
      <c r="AI83" s="53" t="s">
        <v>1250</v>
      </c>
      <c r="AJ83" s="55"/>
      <c r="AK83" s="116">
        <v>0.63</v>
      </c>
      <c r="AL83" s="117">
        <f>170/AK83</f>
        <v>269.84126984126982</v>
      </c>
      <c r="AM83" s="907"/>
    </row>
    <row r="84" spans="1:44" ht="13.8" thickBot="1">
      <c r="B84" s="917" t="s">
        <v>1251</v>
      </c>
      <c r="C84" s="804" t="s">
        <v>1251</v>
      </c>
      <c r="D84" s="1077"/>
      <c r="E84" s="1078"/>
      <c r="F84" s="1078"/>
      <c r="G84" s="1078"/>
      <c r="H84" s="1079"/>
      <c r="I84" s="1080"/>
      <c r="J84" s="1081"/>
      <c r="K84" s="1082"/>
      <c r="L84" s="1080"/>
      <c r="M84" s="1082">
        <v>1</v>
      </c>
      <c r="N84" s="1080"/>
      <c r="O84" s="1081"/>
      <c r="P84" s="1081"/>
      <c r="Q84" s="1081"/>
      <c r="R84" s="1082"/>
      <c r="S84" s="1080"/>
      <c r="T84" s="1081"/>
      <c r="U84" s="1081"/>
      <c r="V84" s="1081"/>
      <c r="W84" s="1082"/>
      <c r="X84" s="1080"/>
      <c r="Y84" s="1081"/>
      <c r="Z84" s="1081"/>
      <c r="AA84" s="1081"/>
      <c r="AB84" s="1081"/>
      <c r="AC84" s="1081"/>
      <c r="AD84" s="1081"/>
      <c r="AE84" s="1082"/>
      <c r="AF84" s="1080"/>
      <c r="AG84" s="1081"/>
      <c r="AH84" s="1082"/>
      <c r="AI84" s="918" t="s">
        <v>1251</v>
      </c>
      <c r="AJ84" s="115"/>
      <c r="AK84" s="134"/>
      <c r="AL84" s="117"/>
      <c r="AM84" s="907"/>
    </row>
    <row r="85" spans="1:44">
      <c r="A85" s="1">
        <v>77</v>
      </c>
      <c r="B85" s="813" t="str">
        <f>C85</f>
        <v>Kleinpferde (&lt;300 kg, bis 148 cm) 1/2 bis 3 Jahre</v>
      </c>
      <c r="C85" s="816" t="s">
        <v>1252</v>
      </c>
      <c r="D85" s="1084"/>
      <c r="E85" s="1084"/>
      <c r="F85" s="1084"/>
      <c r="G85" s="1084"/>
      <c r="H85" s="1085">
        <v>8.9</v>
      </c>
      <c r="I85" s="1086"/>
      <c r="J85" s="1087"/>
      <c r="K85" s="1088">
        <v>2</v>
      </c>
      <c r="L85" s="1086">
        <v>0.3</v>
      </c>
      <c r="M85" s="1088">
        <v>1</v>
      </c>
      <c r="N85" s="1086"/>
      <c r="O85" s="1087"/>
      <c r="P85" s="1087"/>
      <c r="Q85" s="1087"/>
      <c r="R85" s="1088">
        <v>4.5</v>
      </c>
      <c r="S85" s="1086"/>
      <c r="T85" s="1087"/>
      <c r="U85" s="1087"/>
      <c r="V85" s="1087"/>
      <c r="W85" s="1088">
        <v>8.9</v>
      </c>
      <c r="X85" s="1046"/>
      <c r="Y85" s="1047"/>
      <c r="Z85" s="1047"/>
      <c r="AA85" s="1048"/>
      <c r="AB85" s="1047"/>
      <c r="AC85" s="1047"/>
      <c r="AD85" s="1047"/>
      <c r="AE85" s="1048"/>
      <c r="AF85" s="1040"/>
      <c r="AG85" s="1041"/>
      <c r="AH85" s="1042">
        <v>8.1</v>
      </c>
      <c r="AI85" s="53" t="s">
        <v>1253</v>
      </c>
      <c r="AJ85" s="116">
        <v>31.2</v>
      </c>
      <c r="AK85" s="116">
        <v>31.2</v>
      </c>
      <c r="AL85" s="117">
        <f t="shared" ref="AL85:AL90" si="64">170/AK85</f>
        <v>5.4487179487179489</v>
      </c>
      <c r="AM85" s="907"/>
    </row>
    <row r="86" spans="1:44">
      <c r="A86" s="1">
        <v>78</v>
      </c>
      <c r="B86" s="813" t="str">
        <f t="shared" ref="B86:B96" si="65">C86</f>
        <v>Kleinpferde (&lt;300 kg) &gt; 3 Jahre incl. Fohlen bis 1/2 Jahr</v>
      </c>
      <c r="C86" s="816" t="s">
        <v>1254</v>
      </c>
      <c r="D86" s="1084"/>
      <c r="E86" s="1084"/>
      <c r="F86" s="1084"/>
      <c r="G86" s="1084"/>
      <c r="H86" s="1085">
        <v>10.5</v>
      </c>
      <c r="I86" s="1086"/>
      <c r="J86" s="1087"/>
      <c r="K86" s="1088">
        <v>2.5</v>
      </c>
      <c r="L86" s="1086">
        <v>0.5</v>
      </c>
      <c r="M86" s="1088">
        <v>1</v>
      </c>
      <c r="N86" s="1086"/>
      <c r="O86" s="1087"/>
      <c r="P86" s="1087"/>
      <c r="Q86" s="1087"/>
      <c r="R86" s="1088">
        <v>5.3</v>
      </c>
      <c r="S86" s="1086"/>
      <c r="T86" s="1087"/>
      <c r="U86" s="1087"/>
      <c r="V86" s="1087"/>
      <c r="W86" s="1088">
        <v>10.5</v>
      </c>
      <c r="X86" s="1046"/>
      <c r="Y86" s="1047"/>
      <c r="Z86" s="1047"/>
      <c r="AA86" s="1048"/>
      <c r="AB86" s="1047"/>
      <c r="AC86" s="1047"/>
      <c r="AD86" s="1047"/>
      <c r="AE86" s="1048"/>
      <c r="AF86" s="1040"/>
      <c r="AG86" s="1041"/>
      <c r="AH86" s="1042">
        <v>9.6</v>
      </c>
      <c r="AI86" s="53" t="s">
        <v>1254</v>
      </c>
      <c r="AJ86" s="116">
        <v>50</v>
      </c>
      <c r="AK86" s="116">
        <v>50</v>
      </c>
      <c r="AL86" s="117">
        <f t="shared" si="64"/>
        <v>3.4</v>
      </c>
      <c r="AM86" s="907"/>
    </row>
    <row r="87" spans="1:44">
      <c r="A87" s="1">
        <v>79</v>
      </c>
      <c r="B87" s="813" t="str">
        <f t="shared" si="65"/>
        <v>Kleinpferde (&gt;300 kg, bis 148 cm) 1/2 bis 3 Jahre</v>
      </c>
      <c r="C87" s="816" t="s">
        <v>1255</v>
      </c>
      <c r="D87" s="1084"/>
      <c r="E87" s="1084"/>
      <c r="F87" s="1084"/>
      <c r="G87" s="1084"/>
      <c r="H87" s="1085">
        <v>17.399999999999999</v>
      </c>
      <c r="I87" s="1086"/>
      <c r="J87" s="1087"/>
      <c r="K87" s="1088">
        <v>3</v>
      </c>
      <c r="L87" s="1086">
        <v>0.6</v>
      </c>
      <c r="M87" s="1088">
        <v>1</v>
      </c>
      <c r="N87" s="1086"/>
      <c r="O87" s="1087"/>
      <c r="P87" s="1087"/>
      <c r="Q87" s="1087"/>
      <c r="R87" s="1088">
        <v>8.6999999999999993</v>
      </c>
      <c r="S87" s="1086"/>
      <c r="T87" s="1087"/>
      <c r="U87" s="1087"/>
      <c r="V87" s="1087"/>
      <c r="W87" s="1088">
        <v>17.399999999999999</v>
      </c>
      <c r="X87" s="1046"/>
      <c r="Y87" s="1047"/>
      <c r="Z87" s="1047"/>
      <c r="AA87" s="1048"/>
      <c r="AB87" s="1047"/>
      <c r="AC87" s="1047"/>
      <c r="AD87" s="1047"/>
      <c r="AE87" s="1048"/>
      <c r="AF87" s="1040"/>
      <c r="AG87" s="1041"/>
      <c r="AH87" s="1042">
        <v>15.8</v>
      </c>
      <c r="AI87" s="53" t="s">
        <v>1256</v>
      </c>
      <c r="AJ87" s="116">
        <v>72.7</v>
      </c>
      <c r="AK87" s="116">
        <v>72.7</v>
      </c>
      <c r="AL87" s="117">
        <f t="shared" si="64"/>
        <v>2.3383768913342502</v>
      </c>
      <c r="AM87" s="907"/>
    </row>
    <row r="88" spans="1:44">
      <c r="A88" s="1">
        <v>80</v>
      </c>
      <c r="B88" s="813" t="str">
        <f t="shared" si="65"/>
        <v>Kleinpferde (&gt;300 kg) &gt; 3 Jahre incl. Fohlen bis 1/2 Jahr</v>
      </c>
      <c r="C88" s="816" t="s">
        <v>1257</v>
      </c>
      <c r="D88" s="1084"/>
      <c r="E88" s="1084"/>
      <c r="F88" s="1084"/>
      <c r="G88" s="1084"/>
      <c r="H88" s="1085">
        <v>20.5</v>
      </c>
      <c r="I88" s="1086"/>
      <c r="J88" s="1087"/>
      <c r="K88" s="1088">
        <v>3.8</v>
      </c>
      <c r="L88" s="1086">
        <v>1</v>
      </c>
      <c r="M88" s="1088">
        <v>1</v>
      </c>
      <c r="N88" s="1086"/>
      <c r="O88" s="1087"/>
      <c r="P88" s="1087"/>
      <c r="Q88" s="1087"/>
      <c r="R88" s="1088">
        <v>10.3</v>
      </c>
      <c r="S88" s="1086"/>
      <c r="T88" s="1087"/>
      <c r="U88" s="1087"/>
      <c r="V88" s="1087"/>
      <c r="W88" s="1088">
        <v>20.5</v>
      </c>
      <c r="X88" s="1046"/>
      <c r="Y88" s="1047"/>
      <c r="Z88" s="1047"/>
      <c r="AA88" s="1048"/>
      <c r="AB88" s="1047"/>
      <c r="AC88" s="1047"/>
      <c r="AD88" s="1047"/>
      <c r="AE88" s="1048"/>
      <c r="AF88" s="1040"/>
      <c r="AG88" s="1041"/>
      <c r="AH88" s="1042">
        <v>18.7</v>
      </c>
      <c r="AI88" s="53" t="s">
        <v>1257</v>
      </c>
      <c r="AJ88" s="116">
        <v>85</v>
      </c>
      <c r="AK88" s="116">
        <v>85</v>
      </c>
      <c r="AL88" s="117">
        <f t="shared" si="64"/>
        <v>2</v>
      </c>
      <c r="AM88" s="907"/>
    </row>
    <row r="89" spans="1:44">
      <c r="A89" s="1">
        <v>81</v>
      </c>
      <c r="B89" s="813" t="str">
        <f t="shared" si="65"/>
        <v>Pferde (&gt;500 kg, über 148 cm) 1/2 bis 3 Jahre</v>
      </c>
      <c r="C89" s="816" t="s">
        <v>1258</v>
      </c>
      <c r="D89" s="1084"/>
      <c r="E89" s="1084"/>
      <c r="F89" s="1084"/>
      <c r="G89" s="1084"/>
      <c r="H89" s="1085">
        <v>31.2</v>
      </c>
      <c r="I89" s="1086"/>
      <c r="J89" s="1087"/>
      <c r="K89" s="1088">
        <v>6</v>
      </c>
      <c r="L89" s="1086">
        <v>1</v>
      </c>
      <c r="M89" s="1088">
        <v>1</v>
      </c>
      <c r="N89" s="1086"/>
      <c r="O89" s="1087"/>
      <c r="P89" s="1087"/>
      <c r="Q89" s="1087"/>
      <c r="R89" s="1088">
        <v>15.6</v>
      </c>
      <c r="S89" s="1086"/>
      <c r="T89" s="1087"/>
      <c r="U89" s="1087"/>
      <c r="V89" s="1087"/>
      <c r="W89" s="1088">
        <v>31.2</v>
      </c>
      <c r="X89" s="1046"/>
      <c r="Y89" s="1047"/>
      <c r="Z89" s="1047"/>
      <c r="AA89" s="1048"/>
      <c r="AB89" s="1047"/>
      <c r="AC89" s="1047"/>
      <c r="AD89" s="1047"/>
      <c r="AE89" s="1048"/>
      <c r="AF89" s="1040"/>
      <c r="AG89" s="1041"/>
      <c r="AH89" s="1042">
        <v>28.4</v>
      </c>
      <c r="AI89" s="53" t="s">
        <v>1259</v>
      </c>
      <c r="AJ89" s="116">
        <v>72.7</v>
      </c>
      <c r="AK89" s="116">
        <v>72.7</v>
      </c>
      <c r="AL89" s="117">
        <f t="shared" si="64"/>
        <v>2.3383768913342502</v>
      </c>
      <c r="AM89" s="907"/>
    </row>
    <row r="90" spans="1:44">
      <c r="A90" s="1">
        <v>82</v>
      </c>
      <c r="B90" s="813" t="str">
        <f t="shared" si="65"/>
        <v>Pferde (&gt;500 kg)&gt; 3 Jahre incl. Fohlen bis 1/2 Jahr</v>
      </c>
      <c r="C90" s="816" t="s">
        <v>1260</v>
      </c>
      <c r="D90" s="1084"/>
      <c r="E90" s="1084"/>
      <c r="F90" s="1084"/>
      <c r="G90" s="1084"/>
      <c r="H90" s="1085">
        <v>36.799999999999997</v>
      </c>
      <c r="I90" s="1086"/>
      <c r="J90" s="1087"/>
      <c r="K90" s="1088">
        <v>6.7</v>
      </c>
      <c r="L90" s="1086">
        <v>1</v>
      </c>
      <c r="M90" s="1088">
        <v>1</v>
      </c>
      <c r="N90" s="1086"/>
      <c r="O90" s="1087"/>
      <c r="P90" s="1087"/>
      <c r="Q90" s="1087"/>
      <c r="R90" s="1088">
        <v>18.399999999999999</v>
      </c>
      <c r="S90" s="1086"/>
      <c r="T90" s="1087"/>
      <c r="U90" s="1087"/>
      <c r="V90" s="1087"/>
      <c r="W90" s="1088">
        <v>36.799999999999997</v>
      </c>
      <c r="X90" s="1046"/>
      <c r="Y90" s="1047"/>
      <c r="Z90" s="1047"/>
      <c r="AA90" s="1048"/>
      <c r="AB90" s="1047"/>
      <c r="AC90" s="1047"/>
      <c r="AD90" s="1047"/>
      <c r="AE90" s="1048"/>
      <c r="AF90" s="1040"/>
      <c r="AG90" s="1041"/>
      <c r="AH90" s="1042">
        <v>33.5</v>
      </c>
      <c r="AI90" s="53" t="s">
        <v>1260</v>
      </c>
      <c r="AJ90" s="55">
        <v>85</v>
      </c>
      <c r="AK90" s="116">
        <v>85</v>
      </c>
      <c r="AL90" s="117">
        <f t="shared" si="64"/>
        <v>2</v>
      </c>
      <c r="AM90" s="907"/>
    </row>
    <row r="91" spans="1:44">
      <c r="A91" s="1">
        <v>83</v>
      </c>
      <c r="B91" s="813" t="str">
        <f t="shared" si="65"/>
        <v>Schafe Lämmer bis 1/2 Jahr</v>
      </c>
      <c r="C91" s="816" t="s">
        <v>1261</v>
      </c>
      <c r="D91" s="1084"/>
      <c r="E91" s="1084"/>
      <c r="F91" s="1084"/>
      <c r="G91" s="1084"/>
      <c r="H91" s="1085">
        <v>5.4</v>
      </c>
      <c r="I91" s="1086"/>
      <c r="J91" s="1087"/>
      <c r="K91" s="1088">
        <v>0.22</v>
      </c>
      <c r="L91" s="1086">
        <v>7.0000000000000007E-2</v>
      </c>
      <c r="M91" s="1088">
        <v>1</v>
      </c>
      <c r="N91" s="1086"/>
      <c r="O91" s="1087"/>
      <c r="P91" s="1087"/>
      <c r="Q91" s="1087"/>
      <c r="R91" s="1088">
        <v>2</v>
      </c>
      <c r="S91" s="1086"/>
      <c r="T91" s="1087"/>
      <c r="U91" s="1087"/>
      <c r="V91" s="1087"/>
      <c r="W91" s="1088">
        <v>4.4000000000000004</v>
      </c>
      <c r="X91" s="1046"/>
      <c r="Y91" s="1047"/>
      <c r="Z91" s="1047"/>
      <c r="AA91" s="1048"/>
      <c r="AB91" s="1047"/>
      <c r="AC91" s="1047"/>
      <c r="AD91" s="1047"/>
      <c r="AE91" s="1048"/>
      <c r="AF91" s="1040"/>
      <c r="AG91" s="1041"/>
      <c r="AH91" s="1042">
        <v>4.9000000000000004</v>
      </c>
      <c r="AI91" s="53" t="s">
        <v>1261</v>
      </c>
      <c r="AJ91" s="55"/>
      <c r="AK91" s="116"/>
      <c r="AL91" s="117"/>
      <c r="AM91" s="907"/>
      <c r="AQ91" s="86"/>
      <c r="AR91" s="3"/>
    </row>
    <row r="92" spans="1:44">
      <c r="A92" s="1">
        <v>84</v>
      </c>
      <c r="B92" s="813" t="str">
        <f t="shared" si="65"/>
        <v>Schafe ab 1/2 Jahr bis 1,5 Jahre</v>
      </c>
      <c r="C92" s="816" t="s">
        <v>1262</v>
      </c>
      <c r="D92" s="1084"/>
      <c r="E92" s="1084"/>
      <c r="F92" s="1084"/>
      <c r="G92" s="1084"/>
      <c r="H92" s="1085">
        <v>7.3</v>
      </c>
      <c r="I92" s="1086"/>
      <c r="J92" s="1087"/>
      <c r="K92" s="1088">
        <v>0.52</v>
      </c>
      <c r="L92" s="1086">
        <v>0.15</v>
      </c>
      <c r="M92" s="1088">
        <v>1</v>
      </c>
      <c r="N92" s="1086"/>
      <c r="O92" s="1087"/>
      <c r="P92" s="1087"/>
      <c r="Q92" s="1087"/>
      <c r="R92" s="1096">
        <v>3.6</v>
      </c>
      <c r="S92" s="1086"/>
      <c r="T92" s="1087"/>
      <c r="U92" s="1087"/>
      <c r="V92" s="1087"/>
      <c r="W92" s="1088">
        <v>13.2</v>
      </c>
      <c r="X92" s="1046"/>
      <c r="Y92" s="1047"/>
      <c r="Z92" s="1047"/>
      <c r="AA92" s="1048"/>
      <c r="AB92" s="1047"/>
      <c r="AC92" s="1047"/>
      <c r="AD92" s="1047"/>
      <c r="AE92" s="1048"/>
      <c r="AF92" s="1040"/>
      <c r="AG92" s="1041"/>
      <c r="AH92" s="1042">
        <v>6.6</v>
      </c>
      <c r="AI92" s="53" t="s">
        <v>1262</v>
      </c>
      <c r="AJ92" s="55"/>
      <c r="AK92" s="116">
        <v>12.8</v>
      </c>
      <c r="AL92" s="117">
        <f>170/AK92</f>
        <v>13.28125</v>
      </c>
      <c r="AM92" s="907"/>
      <c r="AP92" s="3"/>
      <c r="AQ92" s="3"/>
      <c r="AR92" s="3"/>
    </row>
    <row r="93" spans="1:44">
      <c r="A93" s="1">
        <v>85</v>
      </c>
      <c r="B93" s="813" t="str">
        <f t="shared" si="65"/>
        <v>Mutterschafe</v>
      </c>
      <c r="C93" s="816" t="s">
        <v>1263</v>
      </c>
      <c r="D93" s="1084"/>
      <c r="E93" s="1084"/>
      <c r="F93" s="1084"/>
      <c r="G93" s="1084"/>
      <c r="H93" s="1085">
        <v>7.7</v>
      </c>
      <c r="I93" s="1086"/>
      <c r="J93" s="1087"/>
      <c r="K93" s="1088">
        <v>0.52</v>
      </c>
      <c r="L93" s="1086">
        <v>0.15</v>
      </c>
      <c r="M93" s="1088">
        <v>1</v>
      </c>
      <c r="N93" s="1086"/>
      <c r="O93" s="1087"/>
      <c r="P93" s="1087"/>
      <c r="Q93" s="1087"/>
      <c r="R93" s="1088">
        <v>4</v>
      </c>
      <c r="S93" s="1086"/>
      <c r="T93" s="1087"/>
      <c r="U93" s="1087"/>
      <c r="V93" s="1087"/>
      <c r="W93" s="1088">
        <v>13.4</v>
      </c>
      <c r="X93" s="1046"/>
      <c r="Y93" s="1047"/>
      <c r="Z93" s="1047"/>
      <c r="AA93" s="1048"/>
      <c r="AB93" s="1047"/>
      <c r="AC93" s="1047"/>
      <c r="AD93" s="1047"/>
      <c r="AE93" s="1048"/>
      <c r="AF93" s="1040"/>
      <c r="AG93" s="1041"/>
      <c r="AH93" s="1042">
        <v>7</v>
      </c>
      <c r="AI93" s="53" t="s">
        <v>1263</v>
      </c>
      <c r="AJ93" s="55">
        <v>12.78</v>
      </c>
      <c r="AK93" s="116">
        <v>12.8</v>
      </c>
      <c r="AL93" s="117">
        <f>170/AK93</f>
        <v>13.28125</v>
      </c>
      <c r="AM93" s="907"/>
      <c r="AP93" s="3"/>
      <c r="AQ93" s="3"/>
      <c r="AR93" s="3"/>
    </row>
    <row r="94" spans="1:44">
      <c r="A94" s="1">
        <v>86</v>
      </c>
      <c r="B94" s="813" t="str">
        <f t="shared" si="65"/>
        <v>Ziegen bis 1/2 Jahr</v>
      </c>
      <c r="C94" s="816" t="s">
        <v>1264</v>
      </c>
      <c r="D94" s="1084"/>
      <c r="E94" s="1084"/>
      <c r="F94" s="1084"/>
      <c r="G94" s="1084"/>
      <c r="H94" s="1085">
        <v>5</v>
      </c>
      <c r="I94" s="1086"/>
      <c r="J94" s="1087"/>
      <c r="K94" s="1088">
        <v>0.16</v>
      </c>
      <c r="L94" s="1086">
        <v>7.0000000000000007E-2</v>
      </c>
      <c r="M94" s="1088">
        <v>1</v>
      </c>
      <c r="N94" s="1086"/>
      <c r="O94" s="1087"/>
      <c r="P94" s="1087"/>
      <c r="Q94" s="1087"/>
      <c r="R94" s="1088">
        <v>2.2000000000000002</v>
      </c>
      <c r="S94" s="1086"/>
      <c r="T94" s="1087"/>
      <c r="U94" s="1087"/>
      <c r="V94" s="1087"/>
      <c r="W94" s="1088">
        <v>4.5999999999999996</v>
      </c>
      <c r="X94" s="1046"/>
      <c r="Y94" s="1047"/>
      <c r="Z94" s="1047"/>
      <c r="AA94" s="1048"/>
      <c r="AB94" s="1047"/>
      <c r="AC94" s="1047"/>
      <c r="AD94" s="1047"/>
      <c r="AE94" s="1048"/>
      <c r="AF94" s="1040"/>
      <c r="AG94" s="1041"/>
      <c r="AH94" s="1042">
        <v>4.5999999999999996</v>
      </c>
      <c r="AI94" s="53" t="s">
        <v>1264</v>
      </c>
      <c r="AJ94" s="55"/>
      <c r="AK94" s="116"/>
      <c r="AL94" s="117"/>
      <c r="AM94" s="907"/>
      <c r="AP94" s="3"/>
      <c r="AQ94" s="3"/>
      <c r="AR94" s="3"/>
    </row>
    <row r="95" spans="1:44">
      <c r="A95" s="1">
        <v>87</v>
      </c>
      <c r="B95" s="813" t="str">
        <f t="shared" si="65"/>
        <v>Ziegen ab 1/2 Jahr bis 1,5 Jahre</v>
      </c>
      <c r="C95" s="816" t="s">
        <v>1265</v>
      </c>
      <c r="D95" s="1084"/>
      <c r="E95" s="1084"/>
      <c r="F95" s="1084"/>
      <c r="G95" s="1084"/>
      <c r="H95" s="1085">
        <v>6.6</v>
      </c>
      <c r="I95" s="1086"/>
      <c r="J95" s="1087"/>
      <c r="K95" s="1088">
        <v>0.38</v>
      </c>
      <c r="L95" s="1086">
        <v>0.15</v>
      </c>
      <c r="M95" s="1088">
        <v>1</v>
      </c>
      <c r="N95" s="1086"/>
      <c r="O95" s="1087"/>
      <c r="P95" s="1087"/>
      <c r="Q95" s="1087"/>
      <c r="R95" s="1088">
        <v>3.7</v>
      </c>
      <c r="S95" s="1086"/>
      <c r="T95" s="1087"/>
      <c r="U95" s="1087"/>
      <c r="V95" s="1087"/>
      <c r="W95" s="1088">
        <v>11.2</v>
      </c>
      <c r="X95" s="1046"/>
      <c r="Y95" s="1047"/>
      <c r="Z95" s="1047"/>
      <c r="AA95" s="1048"/>
      <c r="AB95" s="1047"/>
      <c r="AC95" s="1047"/>
      <c r="AD95" s="1047"/>
      <c r="AE95" s="1048"/>
      <c r="AF95" s="1040"/>
      <c r="AG95" s="1041"/>
      <c r="AH95" s="1042">
        <v>6</v>
      </c>
      <c r="AI95" s="53" t="s">
        <v>1265</v>
      </c>
      <c r="AJ95" s="55"/>
      <c r="AK95" s="116">
        <v>12.8</v>
      </c>
      <c r="AL95" s="117">
        <f>170/AK95</f>
        <v>13.28125</v>
      </c>
      <c r="AM95" s="907"/>
      <c r="AP95" s="3"/>
      <c r="AQ95" s="3"/>
      <c r="AR95" s="3"/>
    </row>
    <row r="96" spans="1:44" ht="13.8" thickBot="1">
      <c r="A96" s="1">
        <v>88</v>
      </c>
      <c r="B96" s="813" t="str">
        <f t="shared" si="65"/>
        <v>Mutterziegen</v>
      </c>
      <c r="C96" s="137" t="s">
        <v>1266</v>
      </c>
      <c r="D96" s="1038"/>
      <c r="E96" s="1038"/>
      <c r="F96" s="1038"/>
      <c r="G96" s="1038"/>
      <c r="H96" s="1039">
        <v>7.2</v>
      </c>
      <c r="I96" s="1040"/>
      <c r="J96" s="1041"/>
      <c r="K96" s="1042">
        <v>0.38</v>
      </c>
      <c r="L96" s="1040">
        <v>0.15</v>
      </c>
      <c r="M96" s="1042">
        <v>1</v>
      </c>
      <c r="N96" s="1040"/>
      <c r="O96" s="1041"/>
      <c r="P96" s="1041"/>
      <c r="Q96" s="1041"/>
      <c r="R96" s="1042">
        <v>4.5999999999999996</v>
      </c>
      <c r="S96" s="1040"/>
      <c r="T96" s="1041"/>
      <c r="U96" s="1041"/>
      <c r="V96" s="1041"/>
      <c r="W96" s="1088">
        <v>12.1</v>
      </c>
      <c r="X96" s="1046"/>
      <c r="Y96" s="1047"/>
      <c r="Z96" s="1047"/>
      <c r="AA96" s="1048"/>
      <c r="AB96" s="1047"/>
      <c r="AC96" s="1047"/>
      <c r="AD96" s="1047"/>
      <c r="AE96" s="1048"/>
      <c r="AF96" s="1040"/>
      <c r="AG96" s="1041"/>
      <c r="AH96" s="1042">
        <v>6.6</v>
      </c>
      <c r="AI96" s="53" t="s">
        <v>1266</v>
      </c>
      <c r="AJ96" s="55">
        <v>12.78</v>
      </c>
      <c r="AK96" s="116">
        <v>12.8</v>
      </c>
      <c r="AL96" s="117">
        <f>170/AK96</f>
        <v>13.28125</v>
      </c>
      <c r="AM96" s="907"/>
      <c r="AP96" s="3"/>
      <c r="AQ96" s="3"/>
      <c r="AR96" s="3"/>
    </row>
    <row r="97" spans="1:44" ht="13.8" thickBot="1">
      <c r="A97"/>
      <c r="B97" s="917" t="s">
        <v>1267</v>
      </c>
      <c r="C97" s="917" t="s">
        <v>1267</v>
      </c>
      <c r="D97" s="1078"/>
      <c r="E97" s="1078"/>
      <c r="F97" s="1078"/>
      <c r="G97" s="1078"/>
      <c r="H97" s="1079"/>
      <c r="I97" s="1080"/>
      <c r="J97" s="1081"/>
      <c r="K97" s="1082"/>
      <c r="L97" s="1080"/>
      <c r="M97" s="1082"/>
      <c r="N97" s="1080"/>
      <c r="O97" s="1081"/>
      <c r="P97" s="1081"/>
      <c r="Q97" s="1081"/>
      <c r="R97" s="1082"/>
      <c r="S97" s="1080"/>
      <c r="T97" s="1081"/>
      <c r="U97" s="1081"/>
      <c r="V97" s="1081"/>
      <c r="W97" s="1082"/>
      <c r="X97" s="1080"/>
      <c r="Y97" s="1081"/>
      <c r="Z97" s="1081"/>
      <c r="AA97" s="1081"/>
      <c r="AB97" s="1081"/>
      <c r="AC97" s="1081"/>
      <c r="AD97" s="1081"/>
      <c r="AE97" s="1082"/>
      <c r="AF97" s="1080"/>
      <c r="AG97" s="1081"/>
      <c r="AH97" s="1082"/>
      <c r="AI97" s="918"/>
      <c r="AJ97" s="115"/>
      <c r="AK97" s="134"/>
      <c r="AL97" s="117"/>
      <c r="AM97" s="907"/>
      <c r="AP97" s="3"/>
      <c r="AQ97" s="3"/>
      <c r="AR97" s="3"/>
    </row>
    <row r="98" spans="1:44">
      <c r="A98" s="1">
        <v>89</v>
      </c>
      <c r="B98" s="47" t="str">
        <f>C98</f>
        <v>Rotwild Alttier inkl. Nachzucht bis 14 Monate</v>
      </c>
      <c r="C98" s="137" t="s">
        <v>1268</v>
      </c>
      <c r="D98" s="1038"/>
      <c r="E98" s="1038"/>
      <c r="F98" s="1038"/>
      <c r="G98" s="1038"/>
      <c r="H98" s="1039">
        <v>20.9</v>
      </c>
      <c r="I98" s="1040"/>
      <c r="J98" s="1041"/>
      <c r="K98" s="1042"/>
      <c r="L98" s="1040">
        <v>0.25</v>
      </c>
      <c r="M98" s="1042">
        <v>1</v>
      </c>
      <c r="N98" s="1040"/>
      <c r="O98" s="1041"/>
      <c r="P98" s="1041"/>
      <c r="Q98" s="1041"/>
      <c r="R98" s="1042">
        <v>10.9</v>
      </c>
      <c r="S98" s="1040"/>
      <c r="T98" s="1041"/>
      <c r="U98" s="1041"/>
      <c r="V98" s="1041"/>
      <c r="W98" s="1042">
        <v>47.5</v>
      </c>
      <c r="X98" s="1046"/>
      <c r="Y98" s="1047"/>
      <c r="Z98" s="1047"/>
      <c r="AA98" s="1048"/>
      <c r="AB98" s="1047"/>
      <c r="AC98" s="1047"/>
      <c r="AD98" s="1047"/>
      <c r="AE98" s="1048"/>
      <c r="AF98" s="1040"/>
      <c r="AG98" s="1041"/>
      <c r="AH98" s="1042">
        <v>19</v>
      </c>
      <c r="AI98" s="53" t="s">
        <v>1268</v>
      </c>
      <c r="AJ98" s="116">
        <v>34</v>
      </c>
      <c r="AK98" s="116">
        <v>34</v>
      </c>
      <c r="AL98" s="117">
        <f>170/AK98</f>
        <v>5</v>
      </c>
      <c r="AM98" s="907"/>
      <c r="AP98" s="3"/>
      <c r="AQ98" s="3"/>
      <c r="AR98" s="3"/>
    </row>
    <row r="99" spans="1:44">
      <c r="A99" s="1">
        <v>90</v>
      </c>
      <c r="B99" s="47" t="str">
        <f t="shared" ref="B99:B113" si="66">C99</f>
        <v>Rotwild Hirsche</v>
      </c>
      <c r="C99" s="137" t="s">
        <v>1269</v>
      </c>
      <c r="D99" s="1038"/>
      <c r="E99" s="1038"/>
      <c r="F99" s="1038"/>
      <c r="G99" s="1038"/>
      <c r="H99" s="1039">
        <v>17</v>
      </c>
      <c r="I99" s="1040"/>
      <c r="J99" s="1041"/>
      <c r="K99" s="1042"/>
      <c r="L99" s="1040">
        <v>0.25</v>
      </c>
      <c r="M99" s="1042">
        <v>1</v>
      </c>
      <c r="N99" s="1040"/>
      <c r="O99" s="1041"/>
      <c r="P99" s="1041"/>
      <c r="Q99" s="1041"/>
      <c r="R99" s="1042">
        <v>8.8000000000000007</v>
      </c>
      <c r="S99" s="1040"/>
      <c r="T99" s="1041"/>
      <c r="U99" s="1041"/>
      <c r="V99" s="1041"/>
      <c r="W99" s="1042">
        <v>38.6</v>
      </c>
      <c r="X99" s="1046"/>
      <c r="Y99" s="1047"/>
      <c r="Z99" s="1047"/>
      <c r="AA99" s="1048"/>
      <c r="AB99" s="1047"/>
      <c r="AC99" s="1047"/>
      <c r="AD99" s="1047"/>
      <c r="AE99" s="1048"/>
      <c r="AF99" s="1040"/>
      <c r="AG99" s="1041"/>
      <c r="AH99" s="1042">
        <v>15.5</v>
      </c>
      <c r="AI99" s="53" t="s">
        <v>1269</v>
      </c>
      <c r="AJ99" s="116">
        <v>34</v>
      </c>
      <c r="AK99" s="116">
        <v>34</v>
      </c>
      <c r="AL99" s="117">
        <f>170/AK99</f>
        <v>5</v>
      </c>
      <c r="AM99" s="907"/>
      <c r="AP99" s="3"/>
      <c r="AQ99" s="3"/>
      <c r="AR99" s="3"/>
    </row>
    <row r="100" spans="1:44">
      <c r="A100" s="1">
        <v>91</v>
      </c>
      <c r="B100" s="47" t="str">
        <f t="shared" si="66"/>
        <v>Damwild, Lamas, Alpacas - Alttiere inkl. Nachzucht bis 14 Monate</v>
      </c>
      <c r="C100" s="137" t="s">
        <v>2266</v>
      </c>
      <c r="D100" s="1038"/>
      <c r="E100" s="1038"/>
      <c r="F100" s="1038"/>
      <c r="G100" s="1038"/>
      <c r="H100" s="1039">
        <v>10.1</v>
      </c>
      <c r="I100" s="1040"/>
      <c r="J100" s="1041"/>
      <c r="K100" s="1042"/>
      <c r="L100" s="1040">
        <v>0.15</v>
      </c>
      <c r="M100" s="1042">
        <v>1</v>
      </c>
      <c r="N100" s="1040"/>
      <c r="O100" s="1041"/>
      <c r="P100" s="1041"/>
      <c r="Q100" s="1041"/>
      <c r="R100" s="1042">
        <v>3.7</v>
      </c>
      <c r="S100" s="1040"/>
      <c r="T100" s="1041"/>
      <c r="U100" s="1041"/>
      <c r="V100" s="1041"/>
      <c r="W100" s="1042">
        <v>16.100000000000001</v>
      </c>
      <c r="X100" s="1046"/>
      <c r="Y100" s="1047"/>
      <c r="Z100" s="1047"/>
      <c r="AA100" s="1048"/>
      <c r="AB100" s="1047"/>
      <c r="AC100" s="1047"/>
      <c r="AD100" s="1047"/>
      <c r="AE100" s="1048"/>
      <c r="AF100" s="1040"/>
      <c r="AG100" s="1041"/>
      <c r="AH100" s="1042">
        <v>9.1999999999999993</v>
      </c>
      <c r="AI100" s="53" t="s">
        <v>1270</v>
      </c>
      <c r="AJ100" s="116">
        <v>17</v>
      </c>
      <c r="AK100" s="116">
        <v>17</v>
      </c>
      <c r="AL100" s="117">
        <f>170/AK100</f>
        <v>10</v>
      </c>
      <c r="AM100" s="907"/>
      <c r="AP100" s="3"/>
      <c r="AQ100" s="3"/>
      <c r="AR100" s="3"/>
    </row>
    <row r="101" spans="1:44">
      <c r="A101" s="1">
        <v>92</v>
      </c>
      <c r="B101" s="47" t="str">
        <f t="shared" si="66"/>
        <v>Damwild, Lama, Alpacas Hirsche</v>
      </c>
      <c r="C101" s="137" t="s">
        <v>2267</v>
      </c>
      <c r="D101" s="1038"/>
      <c r="E101" s="1038"/>
      <c r="F101" s="1038"/>
      <c r="G101" s="1038"/>
      <c r="H101" s="1039">
        <v>7.1</v>
      </c>
      <c r="I101" s="1040"/>
      <c r="J101" s="1041"/>
      <c r="K101" s="1042"/>
      <c r="L101" s="1040">
        <v>0.15</v>
      </c>
      <c r="M101" s="1042">
        <v>1</v>
      </c>
      <c r="N101" s="1040"/>
      <c r="O101" s="1041"/>
      <c r="P101" s="1041"/>
      <c r="Q101" s="1041"/>
      <c r="R101" s="1042">
        <v>3.7</v>
      </c>
      <c r="S101" s="1040"/>
      <c r="T101" s="1041"/>
      <c r="U101" s="1041"/>
      <c r="V101" s="1041"/>
      <c r="W101" s="1042">
        <v>16.100000000000001</v>
      </c>
      <c r="X101" s="1046"/>
      <c r="Y101" s="1047"/>
      <c r="Z101" s="1047"/>
      <c r="AA101" s="1048"/>
      <c r="AB101" s="1047"/>
      <c r="AC101" s="1047"/>
      <c r="AD101" s="1047"/>
      <c r="AE101" s="1048"/>
      <c r="AF101" s="1040"/>
      <c r="AG101" s="1041"/>
      <c r="AH101" s="1042">
        <v>6.5</v>
      </c>
      <c r="AI101" s="53" t="s">
        <v>1271</v>
      </c>
      <c r="AJ101" s="116">
        <v>17</v>
      </c>
      <c r="AK101" s="116">
        <v>17</v>
      </c>
      <c r="AL101" s="117">
        <f>170/AK101</f>
        <v>10</v>
      </c>
      <c r="AM101" s="907"/>
      <c r="AP101" s="3"/>
      <c r="AQ101" s="3"/>
      <c r="AR101" s="3"/>
    </row>
    <row r="102" spans="1:44">
      <c r="A102" s="1">
        <v>93</v>
      </c>
      <c r="B102" s="47" t="str">
        <f t="shared" si="66"/>
        <v>Straußenküken bis 1/2 Jahr Gülle</v>
      </c>
      <c r="C102" s="137" t="s">
        <v>1272</v>
      </c>
      <c r="D102" s="1038"/>
      <c r="E102" s="1038"/>
      <c r="F102" s="1097">
        <v>1.24</v>
      </c>
      <c r="G102" s="1097"/>
      <c r="H102" s="1098"/>
      <c r="I102" s="1040"/>
      <c r="J102" s="1041"/>
      <c r="K102" s="1042"/>
      <c r="L102" s="1040"/>
      <c r="M102" s="1042">
        <v>1</v>
      </c>
      <c r="N102" s="1040"/>
      <c r="O102" s="1041"/>
      <c r="P102" s="1099">
        <v>1.24</v>
      </c>
      <c r="Q102" s="1099"/>
      <c r="R102" s="1044"/>
      <c r="S102" s="1045"/>
      <c r="T102" s="1099"/>
      <c r="U102" s="1099">
        <v>1.24</v>
      </c>
      <c r="V102" s="1099"/>
      <c r="W102" s="1044"/>
      <c r="X102" s="1046"/>
      <c r="Y102" s="1047"/>
      <c r="Z102" s="1047"/>
      <c r="AA102" s="1048"/>
      <c r="AB102" s="1047"/>
      <c r="AC102" s="1047"/>
      <c r="AD102" s="1047"/>
      <c r="AE102" s="1048"/>
      <c r="AF102" s="1045">
        <v>1.0788</v>
      </c>
      <c r="AG102" s="1041"/>
      <c r="AH102" s="1042"/>
      <c r="AI102" s="53" t="s">
        <v>1272</v>
      </c>
      <c r="AJ102" s="55"/>
      <c r="AK102" s="116"/>
      <c r="AL102"/>
      <c r="AM102" s="907"/>
      <c r="AP102" s="3"/>
      <c r="AQ102" s="3"/>
      <c r="AR102" s="3"/>
    </row>
    <row r="103" spans="1:44">
      <c r="A103" s="1">
        <v>94</v>
      </c>
      <c r="B103" s="47" t="str">
        <f t="shared" si="66"/>
        <v>Straußenküken bis 1/2 Jahr Mist</v>
      </c>
      <c r="C103" s="137" t="s">
        <v>1273</v>
      </c>
      <c r="D103" s="1038"/>
      <c r="E103" s="1038"/>
      <c r="F103" s="1097"/>
      <c r="G103" s="1097"/>
      <c r="H103" s="1098">
        <v>1.1000000000000001</v>
      </c>
      <c r="I103" s="1040"/>
      <c r="J103" s="1041"/>
      <c r="K103" s="1042"/>
      <c r="L103" s="1040"/>
      <c r="M103" s="1042">
        <v>1</v>
      </c>
      <c r="N103" s="1040"/>
      <c r="O103" s="1041"/>
      <c r="P103" s="1099"/>
      <c r="Q103" s="1099"/>
      <c r="R103" s="1044">
        <v>1.1000000000000001</v>
      </c>
      <c r="S103" s="1045"/>
      <c r="T103" s="1099"/>
      <c r="U103" s="1099"/>
      <c r="V103" s="1099"/>
      <c r="W103" s="1044">
        <v>1.1000000000000001</v>
      </c>
      <c r="X103" s="1046"/>
      <c r="Y103" s="1047"/>
      <c r="Z103" s="1047"/>
      <c r="AA103" s="1048"/>
      <c r="AB103" s="1047"/>
      <c r="AC103" s="1047"/>
      <c r="AD103" s="1047"/>
      <c r="AE103" s="1048"/>
      <c r="AF103" s="1045"/>
      <c r="AG103" s="1041"/>
      <c r="AH103" s="1044">
        <v>1.0010000000000001</v>
      </c>
      <c r="AI103" s="53" t="s">
        <v>1273</v>
      </c>
      <c r="AJ103" s="55"/>
      <c r="AK103" s="116"/>
      <c r="AL103"/>
      <c r="AM103" s="907"/>
      <c r="AP103" s="3"/>
      <c r="AQ103" s="3"/>
      <c r="AR103" s="3"/>
    </row>
    <row r="104" spans="1:44">
      <c r="A104" s="1">
        <v>95</v>
      </c>
      <c r="B104" s="47" t="str">
        <f t="shared" si="66"/>
        <v>Jungstraußen 0,5 - 1,5 Jahre Gülle</v>
      </c>
      <c r="C104" s="137" t="s">
        <v>1274</v>
      </c>
      <c r="D104" s="1038"/>
      <c r="E104" s="1038"/>
      <c r="F104" s="1097">
        <v>3.19</v>
      </c>
      <c r="G104" s="1097"/>
      <c r="H104" s="1098"/>
      <c r="I104" s="1040"/>
      <c r="J104" s="1041"/>
      <c r="K104" s="1042"/>
      <c r="L104" s="1040">
        <v>0.15</v>
      </c>
      <c r="M104" s="1042">
        <v>1</v>
      </c>
      <c r="N104" s="1040"/>
      <c r="O104" s="1041"/>
      <c r="P104" s="1099">
        <v>3.19</v>
      </c>
      <c r="Q104" s="1099"/>
      <c r="R104" s="1044"/>
      <c r="S104" s="1045"/>
      <c r="T104" s="1099"/>
      <c r="U104" s="1099">
        <v>3.19</v>
      </c>
      <c r="V104" s="1099"/>
      <c r="W104" s="1044"/>
      <c r="X104" s="1046"/>
      <c r="Y104" s="1047"/>
      <c r="Z104" s="1047"/>
      <c r="AA104" s="1048"/>
      <c r="AB104" s="1047"/>
      <c r="AC104" s="1047"/>
      <c r="AD104" s="1047"/>
      <c r="AE104" s="1048"/>
      <c r="AF104" s="1045">
        <v>2.7753000000000001</v>
      </c>
      <c r="AG104" s="1041"/>
      <c r="AH104" s="1044">
        <v>0</v>
      </c>
      <c r="AI104" s="53" t="s">
        <v>1274</v>
      </c>
      <c r="AJ104" s="55"/>
      <c r="AK104" s="116"/>
      <c r="AL104"/>
      <c r="AM104" s="907"/>
      <c r="AP104" s="3"/>
      <c r="AQ104" s="3"/>
      <c r="AR104" s="3"/>
    </row>
    <row r="105" spans="1:44">
      <c r="A105" s="1">
        <v>96</v>
      </c>
      <c r="B105" s="47" t="str">
        <f t="shared" si="66"/>
        <v>Jungstraußen 0,5 - 1,5 Jahre Mist</v>
      </c>
      <c r="C105" s="137" t="s">
        <v>1275</v>
      </c>
      <c r="D105" s="1038"/>
      <c r="E105" s="1038"/>
      <c r="F105" s="1097"/>
      <c r="G105" s="1097"/>
      <c r="H105" s="1098">
        <v>2.7</v>
      </c>
      <c r="I105" s="1040"/>
      <c r="J105" s="1041"/>
      <c r="K105" s="1042"/>
      <c r="L105" s="1040">
        <v>0.15</v>
      </c>
      <c r="M105" s="1042">
        <v>1</v>
      </c>
      <c r="N105" s="1040"/>
      <c r="O105" s="1041"/>
      <c r="P105" s="1099"/>
      <c r="Q105" s="1099"/>
      <c r="R105" s="1044">
        <v>2.7</v>
      </c>
      <c r="S105" s="1045"/>
      <c r="T105" s="1099"/>
      <c r="U105" s="1099"/>
      <c r="V105" s="1099"/>
      <c r="W105" s="1044">
        <v>2.7</v>
      </c>
      <c r="X105" s="1046"/>
      <c r="Y105" s="1047"/>
      <c r="Z105" s="1047"/>
      <c r="AA105" s="1048"/>
      <c r="AB105" s="1047"/>
      <c r="AC105" s="1047"/>
      <c r="AD105" s="1047"/>
      <c r="AE105" s="1048"/>
      <c r="AF105" s="1040"/>
      <c r="AG105" s="1041"/>
      <c r="AH105" s="1044">
        <v>2.4570000000000003</v>
      </c>
      <c r="AI105" s="53" t="s">
        <v>1275</v>
      </c>
      <c r="AJ105" s="55"/>
      <c r="AK105" s="116"/>
      <c r="AL105"/>
      <c r="AM105" s="907"/>
      <c r="AP105" s="3"/>
      <c r="AQ105" s="3"/>
      <c r="AR105" s="3"/>
    </row>
    <row r="106" spans="1:44">
      <c r="A106" s="1">
        <v>97</v>
      </c>
      <c r="B106" s="47" t="str">
        <f t="shared" si="66"/>
        <v>Zuchtstraußenhenne - Gülle</v>
      </c>
      <c r="C106" s="137" t="s">
        <v>1276</v>
      </c>
      <c r="D106" s="1038"/>
      <c r="E106" s="1038"/>
      <c r="F106" s="1097">
        <v>4.0999999999999996</v>
      </c>
      <c r="G106" s="1097"/>
      <c r="H106" s="1098"/>
      <c r="I106" s="1040"/>
      <c r="J106" s="1041"/>
      <c r="K106" s="1042"/>
      <c r="L106" s="1040">
        <v>0.15</v>
      </c>
      <c r="M106" s="1042">
        <v>1</v>
      </c>
      <c r="N106" s="1040"/>
      <c r="O106" s="1041"/>
      <c r="P106" s="1099">
        <v>4.0999999999999996</v>
      </c>
      <c r="Q106" s="1099"/>
      <c r="R106" s="1044"/>
      <c r="S106" s="1045"/>
      <c r="T106" s="1099"/>
      <c r="U106" s="1099">
        <v>4.0999999999999996</v>
      </c>
      <c r="V106" s="1099"/>
      <c r="W106" s="1044"/>
      <c r="X106" s="1046"/>
      <c r="Y106" s="1047"/>
      <c r="Z106" s="1047"/>
      <c r="AA106" s="1048"/>
      <c r="AB106" s="1047"/>
      <c r="AC106" s="1047"/>
      <c r="AD106" s="1047"/>
      <c r="AE106" s="1048"/>
      <c r="AF106" s="1045">
        <v>3.5669999999999997</v>
      </c>
      <c r="AG106" s="1041"/>
      <c r="AH106" s="1044">
        <v>0</v>
      </c>
      <c r="AI106" s="53" t="s">
        <v>1276</v>
      </c>
      <c r="AJ106" s="55"/>
      <c r="AK106" s="116"/>
      <c r="AL106"/>
      <c r="AM106" s="907"/>
      <c r="AP106" s="3"/>
      <c r="AQ106" s="3"/>
      <c r="AR106" s="3"/>
    </row>
    <row r="107" spans="1:44">
      <c r="A107" s="1">
        <v>98</v>
      </c>
      <c r="B107" s="47" t="str">
        <f t="shared" si="66"/>
        <v>Zuchtstraußenhenne - Mist</v>
      </c>
      <c r="C107" s="137" t="s">
        <v>1277</v>
      </c>
      <c r="D107" s="1038"/>
      <c r="E107" s="1038"/>
      <c r="F107" s="1097"/>
      <c r="G107" s="1097"/>
      <c r="H107" s="1098">
        <v>3.52</v>
      </c>
      <c r="I107" s="1040"/>
      <c r="J107" s="1041"/>
      <c r="K107" s="1042"/>
      <c r="L107" s="1040">
        <v>0.15</v>
      </c>
      <c r="M107" s="1042">
        <v>1</v>
      </c>
      <c r="N107" s="1040"/>
      <c r="O107" s="1041"/>
      <c r="P107" s="1099"/>
      <c r="Q107" s="1099"/>
      <c r="R107" s="1044">
        <v>3.52</v>
      </c>
      <c r="S107" s="1045"/>
      <c r="T107" s="1099"/>
      <c r="U107" s="1099"/>
      <c r="V107" s="1099"/>
      <c r="W107" s="1044">
        <v>3.52</v>
      </c>
      <c r="X107" s="1046"/>
      <c r="Y107" s="1047"/>
      <c r="Z107" s="1047"/>
      <c r="AA107" s="1048"/>
      <c r="AB107" s="1047"/>
      <c r="AC107" s="1047"/>
      <c r="AD107" s="1047"/>
      <c r="AE107" s="1048"/>
      <c r="AF107" s="1045"/>
      <c r="AG107" s="1041"/>
      <c r="AH107" s="1044">
        <v>3.2032000000000003</v>
      </c>
      <c r="AI107" s="53" t="s">
        <v>1277</v>
      </c>
      <c r="AJ107" s="55"/>
      <c r="AK107" s="116"/>
      <c r="AL107"/>
      <c r="AM107" s="907"/>
      <c r="AP107" s="3"/>
      <c r="AQ107" s="3"/>
      <c r="AR107" s="3"/>
    </row>
    <row r="108" spans="1:44">
      <c r="A108" s="1">
        <v>99</v>
      </c>
      <c r="B108" s="47" t="str">
        <f t="shared" si="66"/>
        <v>Zuchtstraußenhahn - Gülle</v>
      </c>
      <c r="C108" s="137" t="s">
        <v>1278</v>
      </c>
      <c r="D108" s="1038"/>
      <c r="E108" s="1038"/>
      <c r="F108" s="1097">
        <v>4.9000000000000004</v>
      </c>
      <c r="G108" s="1097"/>
      <c r="H108" s="1098"/>
      <c r="I108" s="1040"/>
      <c r="J108" s="1041"/>
      <c r="K108" s="1042"/>
      <c r="L108" s="1040">
        <v>0.15</v>
      </c>
      <c r="M108" s="1042">
        <v>1</v>
      </c>
      <c r="N108" s="1040"/>
      <c r="O108" s="1041"/>
      <c r="P108" s="1099">
        <v>4.9000000000000004</v>
      </c>
      <c r="Q108" s="1099"/>
      <c r="R108" s="1044"/>
      <c r="S108" s="1045"/>
      <c r="T108" s="1099"/>
      <c r="U108" s="1099">
        <v>4.9000000000000004</v>
      </c>
      <c r="V108" s="1099"/>
      <c r="W108" s="1044"/>
      <c r="X108" s="1046"/>
      <c r="Y108" s="1047"/>
      <c r="Z108" s="1047"/>
      <c r="AA108" s="1048"/>
      <c r="AB108" s="1047"/>
      <c r="AC108" s="1047"/>
      <c r="AD108" s="1047"/>
      <c r="AE108" s="1048"/>
      <c r="AF108" s="1045">
        <v>4.2629999999999999</v>
      </c>
      <c r="AG108" s="1041"/>
      <c r="AH108" s="1044">
        <v>0</v>
      </c>
      <c r="AI108" s="53" t="s">
        <v>1278</v>
      </c>
      <c r="AJ108" s="55"/>
      <c r="AK108" s="116"/>
      <c r="AL108"/>
      <c r="AM108" s="907"/>
      <c r="AP108" s="3"/>
      <c r="AQ108" s="3"/>
      <c r="AR108" s="3"/>
    </row>
    <row r="109" spans="1:44">
      <c r="A109" s="1">
        <v>100</v>
      </c>
      <c r="B109" s="47" t="str">
        <f t="shared" si="66"/>
        <v>Zuchtstraußenhahn - Mist</v>
      </c>
      <c r="C109" s="137" t="s">
        <v>1279</v>
      </c>
      <c r="D109" s="1038"/>
      <c r="E109" s="1038"/>
      <c r="F109" s="1097"/>
      <c r="G109" s="1097"/>
      <c r="H109" s="1098">
        <v>4.2</v>
      </c>
      <c r="I109" s="1040"/>
      <c r="J109" s="1041"/>
      <c r="K109" s="1042"/>
      <c r="L109" s="1040">
        <v>0.15</v>
      </c>
      <c r="M109" s="1042">
        <v>1</v>
      </c>
      <c r="N109" s="1040"/>
      <c r="O109" s="1041"/>
      <c r="P109" s="1099"/>
      <c r="Q109" s="1099"/>
      <c r="R109" s="1044">
        <v>4.2</v>
      </c>
      <c r="S109" s="1045"/>
      <c r="T109" s="1099"/>
      <c r="U109" s="1099"/>
      <c r="V109" s="1099"/>
      <c r="W109" s="1044">
        <v>4.2</v>
      </c>
      <c r="X109" s="1046"/>
      <c r="Y109" s="1047"/>
      <c r="Z109" s="1047"/>
      <c r="AA109" s="1048"/>
      <c r="AB109" s="1047"/>
      <c r="AC109" s="1047"/>
      <c r="AD109" s="1047"/>
      <c r="AE109" s="1048"/>
      <c r="AF109" s="1045"/>
      <c r="AG109" s="1041"/>
      <c r="AH109" s="1044">
        <v>3.8220000000000005</v>
      </c>
      <c r="AI109" s="53" t="s">
        <v>1279</v>
      </c>
      <c r="AJ109" s="55"/>
      <c r="AK109" s="116"/>
      <c r="AL109"/>
      <c r="AM109" s="907"/>
      <c r="AP109" s="3"/>
      <c r="AQ109" s="3"/>
      <c r="AR109" s="3"/>
    </row>
    <row r="110" spans="1:44">
      <c r="A110" s="1">
        <v>101</v>
      </c>
      <c r="B110" s="47" t="str">
        <f t="shared" si="66"/>
        <v>Mastkaninchen - Gülle</v>
      </c>
      <c r="C110" s="137" t="s">
        <v>1280</v>
      </c>
      <c r="D110" s="1038"/>
      <c r="E110" s="1038"/>
      <c r="F110" s="1097">
        <v>0.72</v>
      </c>
      <c r="G110" s="1097"/>
      <c r="H110" s="1098"/>
      <c r="I110" s="1040"/>
      <c r="J110" s="1041"/>
      <c r="K110" s="1042"/>
      <c r="L110" s="1040">
        <v>2.5000000000000001E-3</v>
      </c>
      <c r="M110" s="1042">
        <v>1</v>
      </c>
      <c r="N110" s="1040"/>
      <c r="O110" s="1041"/>
      <c r="P110" s="1099">
        <v>0.72</v>
      </c>
      <c r="Q110" s="1099"/>
      <c r="R110" s="1044"/>
      <c r="S110" s="1045"/>
      <c r="T110" s="1099"/>
      <c r="U110" s="1099">
        <v>0.72</v>
      </c>
      <c r="V110" s="1099"/>
      <c r="W110" s="1044"/>
      <c r="X110" s="1046"/>
      <c r="Y110" s="1047"/>
      <c r="Z110" s="1047"/>
      <c r="AA110" s="1048"/>
      <c r="AB110" s="1047"/>
      <c r="AC110" s="1047"/>
      <c r="AD110" s="1047"/>
      <c r="AE110" s="1048"/>
      <c r="AF110" s="1045">
        <v>0.62639999999999996</v>
      </c>
      <c r="AG110" s="1041"/>
      <c r="AH110" s="1044">
        <v>0</v>
      </c>
      <c r="AI110" s="53" t="s">
        <v>1280</v>
      </c>
      <c r="AJ110" s="55">
        <v>400</v>
      </c>
      <c r="AK110" s="116">
        <v>0.42499999999999999</v>
      </c>
      <c r="AL110" s="117">
        <f>170/AK110</f>
        <v>400</v>
      </c>
      <c r="AM110" s="907"/>
      <c r="AP110" s="3"/>
      <c r="AQ110" s="3"/>
      <c r="AR110" s="3"/>
    </row>
    <row r="111" spans="1:44">
      <c r="A111" s="1">
        <v>102</v>
      </c>
      <c r="B111" s="47" t="str">
        <f t="shared" si="66"/>
        <v>Mastkaninchen - Tiefstall</v>
      </c>
      <c r="C111" s="137" t="s">
        <v>1281</v>
      </c>
      <c r="D111" s="1038"/>
      <c r="E111" s="1038"/>
      <c r="F111" s="1097"/>
      <c r="G111" s="1097"/>
      <c r="H111" s="1098">
        <v>0.62</v>
      </c>
      <c r="I111" s="1040"/>
      <c r="J111" s="1041"/>
      <c r="K111" s="1042"/>
      <c r="L111" s="1040">
        <v>2.5000000000000001E-3</v>
      </c>
      <c r="M111" s="1042">
        <v>1</v>
      </c>
      <c r="N111" s="1040"/>
      <c r="O111" s="1041"/>
      <c r="P111" s="1099"/>
      <c r="Q111" s="1099"/>
      <c r="R111" s="1044">
        <v>0.62</v>
      </c>
      <c r="S111" s="1045"/>
      <c r="T111" s="1099"/>
      <c r="U111" s="1099"/>
      <c r="V111" s="1099"/>
      <c r="W111" s="1044">
        <v>0.62</v>
      </c>
      <c r="X111" s="1046"/>
      <c r="Y111" s="1047"/>
      <c r="Z111" s="1047"/>
      <c r="AA111" s="1048"/>
      <c r="AB111" s="1047"/>
      <c r="AC111" s="1047"/>
      <c r="AD111" s="1047"/>
      <c r="AE111" s="1048"/>
      <c r="AF111" s="1045"/>
      <c r="AG111" s="1041"/>
      <c r="AH111" s="1044">
        <v>0.56420000000000003</v>
      </c>
      <c r="AI111" s="53" t="s">
        <v>1281</v>
      </c>
      <c r="AJ111" s="55">
        <v>400</v>
      </c>
      <c r="AK111" s="116">
        <v>0.42499999999999999</v>
      </c>
      <c r="AL111" s="117">
        <f>170/AK111</f>
        <v>400</v>
      </c>
      <c r="AM111" s="907"/>
      <c r="AP111" s="3"/>
      <c r="AQ111" s="3"/>
      <c r="AR111" s="3"/>
    </row>
    <row r="112" spans="1:44">
      <c r="A112" s="1">
        <v>103</v>
      </c>
      <c r="B112" s="47" t="str">
        <f t="shared" si="66"/>
        <v>Zuchtkaninchen - Gülle</v>
      </c>
      <c r="C112" s="137" t="s">
        <v>1282</v>
      </c>
      <c r="D112" s="1038"/>
      <c r="E112" s="1038"/>
      <c r="F112" s="1097">
        <v>1.57</v>
      </c>
      <c r="G112" s="1097"/>
      <c r="H112" s="1098"/>
      <c r="I112" s="1040"/>
      <c r="J112" s="1041"/>
      <c r="K112" s="1042"/>
      <c r="L112" s="1040">
        <v>2.5000000000000001E-2</v>
      </c>
      <c r="M112" s="1042">
        <v>1</v>
      </c>
      <c r="N112" s="1040"/>
      <c r="O112" s="1041"/>
      <c r="P112" s="1099">
        <v>1.57</v>
      </c>
      <c r="Q112" s="1099"/>
      <c r="R112" s="1044"/>
      <c r="S112" s="1045"/>
      <c r="T112" s="1099"/>
      <c r="U112" s="1099">
        <v>1.57</v>
      </c>
      <c r="V112" s="1099"/>
      <c r="W112" s="1044"/>
      <c r="X112" s="1046"/>
      <c r="Y112" s="1047"/>
      <c r="Z112" s="1047"/>
      <c r="AA112" s="1048"/>
      <c r="AB112" s="1047"/>
      <c r="AC112" s="1047"/>
      <c r="AD112" s="1047"/>
      <c r="AE112" s="1048"/>
      <c r="AF112" s="1045">
        <v>1.3659000000000001</v>
      </c>
      <c r="AG112" s="1041"/>
      <c r="AH112" s="1044">
        <v>0</v>
      </c>
      <c r="AI112" s="53" t="s">
        <v>1282</v>
      </c>
      <c r="AJ112" s="55">
        <v>100</v>
      </c>
      <c r="AK112" s="116">
        <v>1.7</v>
      </c>
      <c r="AL112" s="117">
        <f>170/AK112</f>
        <v>100</v>
      </c>
      <c r="AM112" s="907"/>
      <c r="AP112" s="3"/>
      <c r="AQ112" s="3"/>
      <c r="AR112" s="3"/>
    </row>
    <row r="113" spans="1:44" ht="13.8" thickBot="1">
      <c r="A113" s="1">
        <v>104</v>
      </c>
      <c r="B113" s="47" t="str">
        <f t="shared" si="66"/>
        <v>Zuchtkaninchen - Tiefstall</v>
      </c>
      <c r="C113" s="138" t="s">
        <v>2466</v>
      </c>
      <c r="D113" s="1100"/>
      <c r="E113" s="1100"/>
      <c r="F113" s="1101"/>
      <c r="G113" s="1101"/>
      <c r="H113" s="1102">
        <v>1.34</v>
      </c>
      <c r="I113" s="1103"/>
      <c r="J113" s="1104"/>
      <c r="K113" s="1105"/>
      <c r="L113" s="1103">
        <v>2.5000000000000001E-2</v>
      </c>
      <c r="M113" s="1105">
        <v>1</v>
      </c>
      <c r="N113" s="1103"/>
      <c r="O113" s="1104"/>
      <c r="P113" s="1106"/>
      <c r="Q113" s="1106"/>
      <c r="R113" s="1107">
        <v>1.34</v>
      </c>
      <c r="S113" s="1108"/>
      <c r="T113" s="1106"/>
      <c r="U113" s="1106"/>
      <c r="V113" s="1106"/>
      <c r="W113" s="1107">
        <v>1.34</v>
      </c>
      <c r="X113" s="1046"/>
      <c r="Y113" s="1047"/>
      <c r="Z113" s="1047"/>
      <c r="AA113" s="1048"/>
      <c r="AB113" s="1047"/>
      <c r="AC113" s="1047"/>
      <c r="AD113" s="1047"/>
      <c r="AE113" s="1048"/>
      <c r="AF113" s="1040"/>
      <c r="AG113" s="1041"/>
      <c r="AH113" s="1044">
        <v>1.2194</v>
      </c>
      <c r="AI113" s="139" t="s">
        <v>2466</v>
      </c>
      <c r="AJ113" s="55">
        <v>100</v>
      </c>
      <c r="AK113" s="116">
        <v>1.7</v>
      </c>
      <c r="AL113" s="117">
        <f>170/AK113</f>
        <v>100</v>
      </c>
      <c r="AM113" s="907"/>
      <c r="AP113" s="3"/>
      <c r="AQ113" s="3"/>
      <c r="AR113" s="3"/>
    </row>
    <row r="114" spans="1:44" ht="13.8" thickBot="1">
      <c r="A114"/>
      <c r="B114" s="917" t="s">
        <v>1283</v>
      </c>
      <c r="C114" s="917" t="s">
        <v>1283</v>
      </c>
      <c r="D114" s="1078"/>
      <c r="E114" s="1078"/>
      <c r="F114" s="1078"/>
      <c r="G114" s="1078"/>
      <c r="H114" s="1079"/>
      <c r="I114" s="1080"/>
      <c r="J114" s="1081"/>
      <c r="K114" s="1082"/>
      <c r="L114" s="1080"/>
      <c r="M114" s="1082"/>
      <c r="N114" s="1080"/>
      <c r="O114" s="1081"/>
      <c r="P114" s="1081"/>
      <c r="Q114" s="1081"/>
      <c r="R114" s="1082"/>
      <c r="S114" s="1080"/>
      <c r="T114" s="1081"/>
      <c r="U114" s="1081"/>
      <c r="V114" s="1081"/>
      <c r="W114" s="1082"/>
      <c r="X114" s="1080"/>
      <c r="Y114" s="1081"/>
      <c r="Z114" s="1081"/>
      <c r="AA114" s="1081"/>
      <c r="AB114" s="1081"/>
      <c r="AC114" s="1081"/>
      <c r="AD114" s="1081"/>
      <c r="AE114" s="1082"/>
      <c r="AF114" s="1080"/>
      <c r="AG114" s="1081"/>
      <c r="AH114" s="1082"/>
      <c r="AI114" s="918" t="s">
        <v>1283</v>
      </c>
      <c r="AJ114" s="115"/>
      <c r="AK114" s="134"/>
      <c r="AL114"/>
      <c r="AM114" s="907"/>
      <c r="AP114" s="3"/>
      <c r="AQ114" s="3"/>
      <c r="AR114" s="3"/>
    </row>
    <row r="115" spans="1:44">
      <c r="A115" s="1">
        <v>105</v>
      </c>
      <c r="B115" s="47" t="str">
        <f>C115</f>
        <v>Zwergrind - andere Kälber und Jungrinder unter 1/2 Jahr - Gülle = N abLager</v>
      </c>
      <c r="C115" s="140" t="s">
        <v>1284</v>
      </c>
      <c r="D115" s="141">
        <v>6.35</v>
      </c>
      <c r="E115" s="142"/>
      <c r="F115" s="142"/>
      <c r="G115" s="142"/>
      <c r="H115" s="143"/>
      <c r="I115" s="144">
        <v>0.65</v>
      </c>
      <c r="J115" s="83">
        <v>0</v>
      </c>
      <c r="K115" s="112">
        <v>0</v>
      </c>
      <c r="L115" s="111">
        <v>0.2</v>
      </c>
      <c r="M115" s="112">
        <v>1</v>
      </c>
      <c r="N115" s="145">
        <v>3.55</v>
      </c>
      <c r="O115" s="83">
        <v>0</v>
      </c>
      <c r="P115" s="83">
        <v>0</v>
      </c>
      <c r="Q115" s="146">
        <v>0</v>
      </c>
      <c r="R115" s="147">
        <v>0</v>
      </c>
      <c r="S115" s="148">
        <v>5.45</v>
      </c>
      <c r="T115" s="146">
        <v>0</v>
      </c>
      <c r="U115" s="146">
        <v>0</v>
      </c>
      <c r="V115" s="146">
        <v>0</v>
      </c>
      <c r="W115" s="147">
        <v>0</v>
      </c>
      <c r="X115" s="914"/>
      <c r="Y115" s="915"/>
      <c r="Z115" s="915"/>
      <c r="AA115" s="916"/>
      <c r="AB115" s="915"/>
      <c r="AC115" s="915"/>
      <c r="AD115" s="915"/>
      <c r="AE115" s="916"/>
      <c r="AF115" s="40">
        <v>5.5244999999999997</v>
      </c>
      <c r="AG115" s="479"/>
      <c r="AH115" s="52"/>
      <c r="AI115" s="149" t="s">
        <v>1285</v>
      </c>
      <c r="AJ115" s="55"/>
      <c r="AK115" s="116"/>
      <c r="AL115"/>
      <c r="AM115" s="907"/>
      <c r="AP115" s="3"/>
      <c r="AQ115" s="3"/>
      <c r="AR115" s="3"/>
    </row>
    <row r="116" spans="1:44">
      <c r="A116" s="1">
        <v>106</v>
      </c>
      <c r="B116" s="47" t="str">
        <f t="shared" ref="B116:B153" si="67">C116</f>
        <v>Zwergrind - andere Kälber und Jungrinder unter 1/2 Jahr - Mist/Jauche</v>
      </c>
      <c r="C116" s="137" t="s">
        <v>1286</v>
      </c>
      <c r="D116" s="49"/>
      <c r="E116" s="49"/>
      <c r="F116" s="49"/>
      <c r="G116" s="44">
        <v>2.6</v>
      </c>
      <c r="H116" s="150">
        <v>2.6</v>
      </c>
      <c r="I116" s="151">
        <v>0</v>
      </c>
      <c r="J116" s="44">
        <v>0.35</v>
      </c>
      <c r="K116" s="51">
        <v>0.4</v>
      </c>
      <c r="L116" s="50">
        <v>0.2</v>
      </c>
      <c r="M116" s="51">
        <v>1</v>
      </c>
      <c r="N116" s="151">
        <v>0</v>
      </c>
      <c r="O116" s="4">
        <v>0</v>
      </c>
      <c r="P116" s="4">
        <v>0</v>
      </c>
      <c r="Q116" s="45">
        <v>0.17749999999999999</v>
      </c>
      <c r="R116" s="152">
        <v>3.3725000000000001</v>
      </c>
      <c r="S116" s="43">
        <v>0</v>
      </c>
      <c r="T116" s="45">
        <v>0</v>
      </c>
      <c r="U116" s="45">
        <v>0</v>
      </c>
      <c r="V116" s="45">
        <v>1.7985</v>
      </c>
      <c r="W116" s="152">
        <v>3.6515</v>
      </c>
      <c r="X116" s="914"/>
      <c r="Y116" s="915"/>
      <c r="Z116" s="915"/>
      <c r="AA116" s="916"/>
      <c r="AB116" s="915"/>
      <c r="AC116" s="915"/>
      <c r="AD116" s="915"/>
      <c r="AE116" s="916"/>
      <c r="AF116" s="40"/>
      <c r="AG116" s="479">
        <v>2.262</v>
      </c>
      <c r="AH116" s="52">
        <v>2.3660000000000001</v>
      </c>
      <c r="AI116" s="53" t="s">
        <v>1286</v>
      </c>
      <c r="AJ116" s="55"/>
      <c r="AK116" s="116"/>
      <c r="AL116"/>
      <c r="AM116" s="907"/>
      <c r="AP116" s="3"/>
      <c r="AQ116" s="3"/>
      <c r="AR116" s="3"/>
    </row>
    <row r="117" spans="1:44">
      <c r="A117" s="1">
        <v>107</v>
      </c>
      <c r="B117" s="47" t="str">
        <f t="shared" si="67"/>
        <v>Zwergrind - andere Kälber und Jungrinder unter 1/2 Jahr - Tiefstallmist</v>
      </c>
      <c r="C117" s="137" t="s">
        <v>1287</v>
      </c>
      <c r="D117" s="49"/>
      <c r="E117" s="49"/>
      <c r="F117" s="49"/>
      <c r="G117" s="44"/>
      <c r="H117" s="150">
        <v>5.2</v>
      </c>
      <c r="I117" s="151">
        <v>0</v>
      </c>
      <c r="J117" s="4">
        <v>0</v>
      </c>
      <c r="K117" s="46">
        <v>0.85</v>
      </c>
      <c r="L117" s="50">
        <v>0.2</v>
      </c>
      <c r="M117" s="51">
        <v>1</v>
      </c>
      <c r="N117" s="151">
        <v>0</v>
      </c>
      <c r="O117" s="4">
        <v>0</v>
      </c>
      <c r="P117" s="4">
        <v>0</v>
      </c>
      <c r="Q117" s="45">
        <v>0</v>
      </c>
      <c r="R117" s="152">
        <v>3.55</v>
      </c>
      <c r="S117" s="43">
        <v>0</v>
      </c>
      <c r="T117" s="45">
        <v>0</v>
      </c>
      <c r="U117" s="45">
        <v>0</v>
      </c>
      <c r="V117" s="45">
        <v>0</v>
      </c>
      <c r="W117" s="152">
        <v>5.45</v>
      </c>
      <c r="X117" s="914"/>
      <c r="Y117" s="915"/>
      <c r="Z117" s="915"/>
      <c r="AA117" s="916"/>
      <c r="AB117" s="915"/>
      <c r="AC117" s="915"/>
      <c r="AD117" s="915"/>
      <c r="AE117" s="916"/>
      <c r="AF117" s="40"/>
      <c r="AG117" s="479"/>
      <c r="AH117" s="52">
        <v>4.7320000000000002</v>
      </c>
      <c r="AI117" s="53" t="s">
        <v>1287</v>
      </c>
      <c r="AJ117" s="55"/>
      <c r="AK117" s="116"/>
      <c r="AL117"/>
      <c r="AM117" s="907"/>
      <c r="AP117" s="3"/>
      <c r="AQ117" s="3"/>
      <c r="AR117" s="3"/>
    </row>
    <row r="118" spans="1:44">
      <c r="A118" s="1">
        <v>108</v>
      </c>
      <c r="B118" s="47" t="str">
        <f t="shared" si="67"/>
        <v>Zwergrind - Jungvieh 1/2 bis 1 Jahr - Gülle</v>
      </c>
      <c r="C118" s="137" t="s">
        <v>1288</v>
      </c>
      <c r="D118" s="44">
        <v>17.2</v>
      </c>
      <c r="E118" s="49"/>
      <c r="F118" s="49"/>
      <c r="G118" s="44"/>
      <c r="H118" s="150"/>
      <c r="I118" s="151">
        <v>1.7</v>
      </c>
      <c r="J118" s="4">
        <v>0</v>
      </c>
      <c r="K118" s="51">
        <v>0</v>
      </c>
      <c r="L118" s="50">
        <v>0.3</v>
      </c>
      <c r="M118" s="51">
        <v>1</v>
      </c>
      <c r="N118" s="151">
        <v>6.75</v>
      </c>
      <c r="O118" s="4">
        <v>0</v>
      </c>
      <c r="P118" s="4">
        <v>0</v>
      </c>
      <c r="Q118" s="45">
        <v>0</v>
      </c>
      <c r="R118" s="152">
        <v>0</v>
      </c>
      <c r="S118" s="43">
        <v>21.55</v>
      </c>
      <c r="T118" s="45">
        <v>0</v>
      </c>
      <c r="U118" s="45">
        <v>0</v>
      </c>
      <c r="V118" s="45">
        <v>0</v>
      </c>
      <c r="W118" s="152">
        <v>0</v>
      </c>
      <c r="X118" s="914"/>
      <c r="Y118" s="915"/>
      <c r="Z118" s="915"/>
      <c r="AA118" s="916"/>
      <c r="AB118" s="915"/>
      <c r="AC118" s="915"/>
      <c r="AD118" s="915"/>
      <c r="AE118" s="916"/>
      <c r="AF118" s="40">
        <v>14.963999999999999</v>
      </c>
      <c r="AG118" s="479"/>
      <c r="AH118" s="52"/>
      <c r="AI118" s="53" t="s">
        <v>1288</v>
      </c>
      <c r="AJ118" s="55"/>
      <c r="AK118" s="116"/>
      <c r="AL118"/>
      <c r="AM118" s="907"/>
      <c r="AP118" s="3"/>
      <c r="AQ118" s="3"/>
      <c r="AR118" s="3"/>
    </row>
    <row r="119" spans="1:44">
      <c r="A119" s="1">
        <v>109</v>
      </c>
      <c r="B119" s="47" t="str">
        <f t="shared" si="67"/>
        <v>Zwergrind - Jungvieh 1/2 bis 1 Jahr - Mist/Jauche</v>
      </c>
      <c r="C119" s="137" t="s">
        <v>1289</v>
      </c>
      <c r="D119" s="49"/>
      <c r="E119" s="49"/>
      <c r="F119" s="49"/>
      <c r="G119" s="44">
        <v>7.1</v>
      </c>
      <c r="H119" s="150">
        <v>7.1</v>
      </c>
      <c r="I119" s="151">
        <v>0</v>
      </c>
      <c r="J119" s="44">
        <v>0.85</v>
      </c>
      <c r="K119" s="46">
        <v>0.9</v>
      </c>
      <c r="L119" s="50">
        <v>0.3</v>
      </c>
      <c r="M119" s="51">
        <v>1</v>
      </c>
      <c r="N119" s="151">
        <v>0</v>
      </c>
      <c r="O119" s="4">
        <v>0</v>
      </c>
      <c r="P119" s="4">
        <v>0</v>
      </c>
      <c r="Q119" s="45">
        <v>0.33750000000000002</v>
      </c>
      <c r="R119" s="152">
        <v>6.4124999999999996</v>
      </c>
      <c r="S119" s="43">
        <v>0</v>
      </c>
      <c r="T119" s="45">
        <v>0</v>
      </c>
      <c r="U119" s="45">
        <v>0</v>
      </c>
      <c r="V119" s="45">
        <v>7.1115000000000004</v>
      </c>
      <c r="W119" s="152">
        <v>14.438499999999999</v>
      </c>
      <c r="X119" s="914"/>
      <c r="Y119" s="915"/>
      <c r="Z119" s="915"/>
      <c r="AA119" s="916"/>
      <c r="AB119" s="915"/>
      <c r="AC119" s="915"/>
      <c r="AD119" s="915"/>
      <c r="AE119" s="916"/>
      <c r="AF119" s="40"/>
      <c r="AG119" s="479">
        <v>6.1769999999999996</v>
      </c>
      <c r="AH119" s="52">
        <v>6.4610000000000003</v>
      </c>
      <c r="AI119" s="53" t="s">
        <v>1289</v>
      </c>
      <c r="AJ119" s="55"/>
      <c r="AK119" s="116"/>
      <c r="AL119"/>
      <c r="AM119" s="907"/>
      <c r="AP119" s="3"/>
      <c r="AQ119" s="3"/>
      <c r="AR119" s="3"/>
    </row>
    <row r="120" spans="1:44">
      <c r="A120" s="1">
        <v>110</v>
      </c>
      <c r="B120" s="47" t="str">
        <f t="shared" si="67"/>
        <v>Zwergrind - Jungvieh 1/2 bis 1 Jahr - Tiefstallmist</v>
      </c>
      <c r="C120" s="137" t="s">
        <v>1290</v>
      </c>
      <c r="D120" s="49"/>
      <c r="E120" s="49"/>
      <c r="F120" s="49"/>
      <c r="G120" s="44"/>
      <c r="H120" s="150">
        <v>14.2</v>
      </c>
      <c r="I120" s="151">
        <v>0</v>
      </c>
      <c r="J120" s="44">
        <v>0</v>
      </c>
      <c r="K120" s="46">
        <v>1.95</v>
      </c>
      <c r="L120" s="50">
        <v>0.3</v>
      </c>
      <c r="M120" s="51">
        <v>1</v>
      </c>
      <c r="N120" s="151">
        <v>0</v>
      </c>
      <c r="O120" s="4">
        <v>0</v>
      </c>
      <c r="P120" s="4">
        <v>0</v>
      </c>
      <c r="Q120" s="45">
        <v>0</v>
      </c>
      <c r="R120" s="152">
        <v>6.75</v>
      </c>
      <c r="S120" s="43">
        <v>0</v>
      </c>
      <c r="T120" s="45">
        <v>0</v>
      </c>
      <c r="U120" s="45">
        <v>0</v>
      </c>
      <c r="V120" s="45">
        <v>0</v>
      </c>
      <c r="W120" s="152">
        <v>21.55</v>
      </c>
      <c r="X120" s="914"/>
      <c r="Y120" s="915"/>
      <c r="Z120" s="915"/>
      <c r="AA120" s="916"/>
      <c r="AB120" s="915"/>
      <c r="AC120" s="915"/>
      <c r="AD120" s="915"/>
      <c r="AE120" s="916"/>
      <c r="AF120" s="40"/>
      <c r="AG120" s="479"/>
      <c r="AH120" s="52">
        <v>12.922000000000001</v>
      </c>
      <c r="AI120" s="53" t="s">
        <v>1290</v>
      </c>
      <c r="AJ120" s="55"/>
      <c r="AK120" s="116"/>
      <c r="AL120"/>
      <c r="AM120" s="907"/>
      <c r="AP120" s="3"/>
      <c r="AQ120" s="3"/>
      <c r="AR120" s="3"/>
    </row>
    <row r="121" spans="1:44">
      <c r="A121" s="1">
        <v>111</v>
      </c>
      <c r="B121" s="47" t="str">
        <f t="shared" si="67"/>
        <v>Zwergrind - Jungvieh 1 bis 2 Jahr - Gülle</v>
      </c>
      <c r="C121" s="137" t="s">
        <v>1291</v>
      </c>
      <c r="D121" s="44">
        <v>22.8</v>
      </c>
      <c r="E121" s="49"/>
      <c r="F121" s="49"/>
      <c r="G121" s="44"/>
      <c r="H121" s="150"/>
      <c r="I121" s="151">
        <v>2.9</v>
      </c>
      <c r="J121" s="44">
        <v>0</v>
      </c>
      <c r="K121" s="46">
        <v>0</v>
      </c>
      <c r="L121" s="50">
        <v>0.3</v>
      </c>
      <c r="M121" s="51">
        <v>1</v>
      </c>
      <c r="N121" s="151">
        <v>9.8000000000000007</v>
      </c>
      <c r="O121" s="4">
        <v>0</v>
      </c>
      <c r="P121" s="4">
        <v>0</v>
      </c>
      <c r="Q121" s="45">
        <v>0</v>
      </c>
      <c r="R121" s="152">
        <v>0</v>
      </c>
      <c r="S121" s="43">
        <v>37.4</v>
      </c>
      <c r="T121" s="45">
        <v>0</v>
      </c>
      <c r="U121" s="45">
        <v>0</v>
      </c>
      <c r="V121" s="45">
        <v>0</v>
      </c>
      <c r="W121" s="152">
        <v>0</v>
      </c>
      <c r="X121" s="914"/>
      <c r="Y121" s="915"/>
      <c r="Z121" s="915"/>
      <c r="AA121" s="916"/>
      <c r="AB121" s="915"/>
      <c r="AC121" s="915"/>
      <c r="AD121" s="915"/>
      <c r="AE121" s="916"/>
      <c r="AF121" s="40">
        <v>19.836000000000002</v>
      </c>
      <c r="AG121" s="479"/>
      <c r="AH121" s="52"/>
      <c r="AI121" s="53" t="s">
        <v>1291</v>
      </c>
      <c r="AJ121" s="55"/>
      <c r="AK121" s="116"/>
      <c r="AL121"/>
      <c r="AM121" s="907"/>
      <c r="AP121" s="3"/>
      <c r="AQ121" s="3"/>
      <c r="AR121" s="3"/>
    </row>
    <row r="122" spans="1:44">
      <c r="A122" s="1">
        <v>112</v>
      </c>
      <c r="B122" s="47" t="str">
        <f t="shared" si="67"/>
        <v>Zwergrind - Jungvieh 1 bis 2 Jahr - Mist/Jauche</v>
      </c>
      <c r="C122" s="137" t="s">
        <v>1292</v>
      </c>
      <c r="D122" s="49"/>
      <c r="E122" s="49"/>
      <c r="F122" s="49"/>
      <c r="G122" s="44">
        <v>9.35</v>
      </c>
      <c r="H122" s="150">
        <v>9.4</v>
      </c>
      <c r="I122" s="151">
        <v>0</v>
      </c>
      <c r="J122" s="44">
        <v>1.45</v>
      </c>
      <c r="K122" s="46">
        <v>1.5</v>
      </c>
      <c r="L122" s="50">
        <v>0.3</v>
      </c>
      <c r="M122" s="51">
        <v>1</v>
      </c>
      <c r="N122" s="151">
        <v>0</v>
      </c>
      <c r="O122" s="4">
        <v>0</v>
      </c>
      <c r="P122" s="4">
        <v>0</v>
      </c>
      <c r="Q122" s="45">
        <v>0.49</v>
      </c>
      <c r="R122" s="152">
        <v>9.31</v>
      </c>
      <c r="S122" s="43">
        <v>0</v>
      </c>
      <c r="T122" s="45">
        <v>0</v>
      </c>
      <c r="U122" s="45">
        <v>0</v>
      </c>
      <c r="V122" s="45">
        <v>12.342000000000001</v>
      </c>
      <c r="W122" s="152">
        <v>25.058</v>
      </c>
      <c r="X122" s="914"/>
      <c r="Y122" s="915"/>
      <c r="Z122" s="915"/>
      <c r="AA122" s="916"/>
      <c r="AB122" s="915"/>
      <c r="AC122" s="915"/>
      <c r="AD122" s="915"/>
      <c r="AE122" s="916"/>
      <c r="AF122" s="40"/>
      <c r="AG122" s="479">
        <v>8.1344999999999992</v>
      </c>
      <c r="AH122" s="52">
        <v>8.5540000000000003</v>
      </c>
      <c r="AI122" s="53" t="s">
        <v>1292</v>
      </c>
      <c r="AJ122" s="55"/>
      <c r="AK122" s="116"/>
      <c r="AL122"/>
      <c r="AM122" s="907"/>
      <c r="AP122" s="3"/>
      <c r="AQ122" s="3"/>
      <c r="AR122" s="3"/>
    </row>
    <row r="123" spans="1:44">
      <c r="A123" s="1">
        <v>113</v>
      </c>
      <c r="B123" s="47" t="str">
        <f t="shared" si="67"/>
        <v>Zwergrind - Jungvieh 1 bis 2 Jahr - Tiefstallmist</v>
      </c>
      <c r="C123" s="137" t="s">
        <v>1293</v>
      </c>
      <c r="D123" s="49"/>
      <c r="E123" s="49"/>
      <c r="F123" s="49"/>
      <c r="G123" s="44"/>
      <c r="H123" s="150">
        <v>18.75</v>
      </c>
      <c r="I123" s="151">
        <v>0</v>
      </c>
      <c r="J123" s="44">
        <v>0</v>
      </c>
      <c r="K123" s="46">
        <v>3.1</v>
      </c>
      <c r="L123" s="50">
        <v>0.3</v>
      </c>
      <c r="M123" s="51">
        <v>1</v>
      </c>
      <c r="N123" s="151">
        <v>0</v>
      </c>
      <c r="O123" s="4">
        <v>0</v>
      </c>
      <c r="P123" s="4">
        <v>0</v>
      </c>
      <c r="Q123" s="45">
        <v>0</v>
      </c>
      <c r="R123" s="152">
        <v>9.8000000000000007</v>
      </c>
      <c r="S123" s="43">
        <v>0</v>
      </c>
      <c r="T123" s="45">
        <v>0</v>
      </c>
      <c r="U123" s="45">
        <v>0</v>
      </c>
      <c r="V123" s="45">
        <v>0</v>
      </c>
      <c r="W123" s="152">
        <v>37.4</v>
      </c>
      <c r="X123" s="914"/>
      <c r="Y123" s="915"/>
      <c r="Z123" s="915"/>
      <c r="AA123" s="916"/>
      <c r="AB123" s="915"/>
      <c r="AC123" s="915"/>
      <c r="AD123" s="915"/>
      <c r="AE123" s="916"/>
      <c r="AF123" s="40"/>
      <c r="AG123" s="479"/>
      <c r="AH123" s="52">
        <v>17.0625</v>
      </c>
      <c r="AI123" s="53" t="s">
        <v>1293</v>
      </c>
      <c r="AJ123" s="55"/>
      <c r="AK123" s="116"/>
      <c r="AL123"/>
      <c r="AM123" s="907"/>
      <c r="AP123" s="3"/>
      <c r="AQ123" s="3"/>
      <c r="AR123" s="3"/>
    </row>
    <row r="124" spans="1:44">
      <c r="A124" s="1">
        <v>114</v>
      </c>
      <c r="B124" s="47" t="str">
        <f t="shared" si="67"/>
        <v>Zwergrind - Ochsen, Stiere - Gülle</v>
      </c>
      <c r="C124" s="137" t="s">
        <v>1294</v>
      </c>
      <c r="D124" s="44">
        <v>27.35</v>
      </c>
      <c r="E124" s="49"/>
      <c r="F124" s="49"/>
      <c r="G124" s="44"/>
      <c r="H124" s="150"/>
      <c r="I124" s="151">
        <v>3.55</v>
      </c>
      <c r="J124" s="44">
        <v>0</v>
      </c>
      <c r="K124" s="46">
        <v>0</v>
      </c>
      <c r="L124" s="50">
        <v>0.5</v>
      </c>
      <c r="M124" s="51">
        <v>1</v>
      </c>
      <c r="N124" s="151">
        <v>12.4</v>
      </c>
      <c r="O124" s="4">
        <v>0</v>
      </c>
      <c r="P124" s="4">
        <v>0</v>
      </c>
      <c r="Q124" s="45">
        <v>0</v>
      </c>
      <c r="R124" s="152">
        <v>0</v>
      </c>
      <c r="S124" s="43">
        <v>42.45</v>
      </c>
      <c r="T124" s="45">
        <v>0</v>
      </c>
      <c r="U124" s="45">
        <v>0</v>
      </c>
      <c r="V124" s="45">
        <v>0</v>
      </c>
      <c r="W124" s="152">
        <v>0</v>
      </c>
      <c r="X124" s="914"/>
      <c r="Y124" s="915"/>
      <c r="Z124" s="915"/>
      <c r="AA124" s="916"/>
      <c r="AB124" s="915"/>
      <c r="AC124" s="915"/>
      <c r="AD124" s="915"/>
      <c r="AE124" s="916"/>
      <c r="AF124" s="40">
        <v>23.794500000000003</v>
      </c>
      <c r="AG124" s="479"/>
      <c r="AH124" s="52">
        <v>0</v>
      </c>
      <c r="AI124" s="53" t="s">
        <v>1294</v>
      </c>
      <c r="AJ124" s="55"/>
      <c r="AK124" s="116"/>
      <c r="AL124"/>
      <c r="AM124" s="907"/>
      <c r="AP124" s="3"/>
      <c r="AQ124" s="3"/>
      <c r="AR124" s="3"/>
    </row>
    <row r="125" spans="1:44">
      <c r="A125" s="1">
        <v>115</v>
      </c>
      <c r="B125" s="47" t="str">
        <f t="shared" si="67"/>
        <v>Zwergrind - Ochsen, Stiere - Mist/Jauche</v>
      </c>
      <c r="C125" s="137" t="s">
        <v>1295</v>
      </c>
      <c r="D125" s="49"/>
      <c r="E125" s="49"/>
      <c r="F125" s="49"/>
      <c r="G125" s="44">
        <v>11.25</v>
      </c>
      <c r="H125" s="150">
        <v>11.3</v>
      </c>
      <c r="I125" s="151">
        <v>0</v>
      </c>
      <c r="J125" s="44">
        <v>1.75</v>
      </c>
      <c r="K125" s="46">
        <v>1.75</v>
      </c>
      <c r="L125" s="50">
        <v>0.5</v>
      </c>
      <c r="M125" s="51">
        <v>1</v>
      </c>
      <c r="N125" s="151">
        <v>0</v>
      </c>
      <c r="O125" s="4">
        <v>0</v>
      </c>
      <c r="P125" s="4">
        <v>0</v>
      </c>
      <c r="Q125" s="45">
        <v>0.62</v>
      </c>
      <c r="R125" s="152">
        <v>11.78</v>
      </c>
      <c r="S125" s="43">
        <v>0</v>
      </c>
      <c r="T125" s="45">
        <v>0</v>
      </c>
      <c r="U125" s="45">
        <v>0</v>
      </c>
      <c r="V125" s="45">
        <v>14.0085</v>
      </c>
      <c r="W125" s="152">
        <v>28.441500000000001</v>
      </c>
      <c r="X125" s="914"/>
      <c r="Y125" s="915"/>
      <c r="Z125" s="915"/>
      <c r="AA125" s="916"/>
      <c r="AB125" s="915"/>
      <c r="AC125" s="915"/>
      <c r="AD125" s="915"/>
      <c r="AE125" s="916"/>
      <c r="AF125" s="40"/>
      <c r="AG125" s="479">
        <v>9.7874999999999996</v>
      </c>
      <c r="AH125" s="52">
        <v>10.283000000000001</v>
      </c>
      <c r="AI125" s="53" t="s">
        <v>1295</v>
      </c>
      <c r="AJ125" s="55"/>
      <c r="AK125" s="116"/>
      <c r="AL125"/>
      <c r="AM125" s="907"/>
      <c r="AP125" s="3"/>
      <c r="AQ125" s="3"/>
      <c r="AR125" s="3"/>
    </row>
    <row r="126" spans="1:44">
      <c r="A126" s="1">
        <v>116</v>
      </c>
      <c r="B126" s="47" t="str">
        <f t="shared" si="67"/>
        <v>Zwergrind - Ochsen, Stiere - Tiefstallmist</v>
      </c>
      <c r="C126" s="137" t="s">
        <v>1296</v>
      </c>
      <c r="D126" s="49"/>
      <c r="E126" s="49"/>
      <c r="F126" s="49"/>
      <c r="G126" s="44"/>
      <c r="H126" s="150">
        <v>22.55</v>
      </c>
      <c r="I126" s="151">
        <v>0</v>
      </c>
      <c r="J126" s="44">
        <v>0</v>
      </c>
      <c r="K126" s="46">
        <v>3.85</v>
      </c>
      <c r="L126" s="50">
        <v>0.5</v>
      </c>
      <c r="M126" s="51">
        <v>1</v>
      </c>
      <c r="N126" s="151">
        <v>0</v>
      </c>
      <c r="O126" s="4">
        <v>0</v>
      </c>
      <c r="P126" s="4">
        <v>0</v>
      </c>
      <c r="Q126" s="45">
        <v>0</v>
      </c>
      <c r="R126" s="152">
        <v>12.4</v>
      </c>
      <c r="S126" s="43">
        <v>0</v>
      </c>
      <c r="T126" s="45">
        <v>0</v>
      </c>
      <c r="U126" s="45">
        <v>0</v>
      </c>
      <c r="V126" s="45">
        <v>0</v>
      </c>
      <c r="W126" s="152">
        <v>42.45</v>
      </c>
      <c r="X126" s="914"/>
      <c r="Y126" s="915"/>
      <c r="Z126" s="915"/>
      <c r="AA126" s="916"/>
      <c r="AB126" s="915"/>
      <c r="AC126" s="915"/>
      <c r="AD126" s="915"/>
      <c r="AE126" s="916"/>
      <c r="AF126" s="40"/>
      <c r="AG126" s="479"/>
      <c r="AH126" s="52">
        <v>20.520500000000002</v>
      </c>
      <c r="AI126" s="53" t="s">
        <v>1296</v>
      </c>
      <c r="AJ126" s="55"/>
      <c r="AK126" s="116"/>
      <c r="AL126"/>
      <c r="AM126" s="907"/>
      <c r="AP126" s="3"/>
      <c r="AQ126" s="3"/>
      <c r="AR126" s="3"/>
    </row>
    <row r="127" spans="1:44">
      <c r="A127" s="1">
        <v>117</v>
      </c>
      <c r="B127" s="47" t="str">
        <f t="shared" si="67"/>
        <v>Zwergrind - Kalbinnen - Gülle</v>
      </c>
      <c r="C127" s="137" t="s">
        <v>1297</v>
      </c>
      <c r="D127" s="44">
        <v>29.45</v>
      </c>
      <c r="E127" s="44"/>
      <c r="F127" s="44"/>
      <c r="G127" s="44"/>
      <c r="H127" s="150"/>
      <c r="I127" s="151">
        <v>3.8250000000000002</v>
      </c>
      <c r="J127" s="44">
        <v>0</v>
      </c>
      <c r="K127" s="46">
        <v>0</v>
      </c>
      <c r="L127" s="50">
        <v>0.5</v>
      </c>
      <c r="M127" s="51">
        <v>1</v>
      </c>
      <c r="N127" s="151">
        <v>12.75</v>
      </c>
      <c r="O127" s="4">
        <v>0</v>
      </c>
      <c r="P127" s="4">
        <v>0</v>
      </c>
      <c r="Q127" s="45">
        <v>0</v>
      </c>
      <c r="R127" s="152">
        <v>0</v>
      </c>
      <c r="S127" s="43">
        <v>52.1</v>
      </c>
      <c r="T127" s="45">
        <v>0</v>
      </c>
      <c r="U127" s="45">
        <v>0</v>
      </c>
      <c r="V127" s="45">
        <v>0</v>
      </c>
      <c r="W127" s="152">
        <v>0</v>
      </c>
      <c r="X127" s="914"/>
      <c r="Y127" s="915"/>
      <c r="Z127" s="915"/>
      <c r="AA127" s="916"/>
      <c r="AB127" s="915"/>
      <c r="AC127" s="915"/>
      <c r="AD127" s="915"/>
      <c r="AE127" s="916"/>
      <c r="AF127" s="40">
        <v>25.621499999999997</v>
      </c>
      <c r="AG127" s="479"/>
      <c r="AH127" s="52"/>
      <c r="AI127" s="53" t="s">
        <v>1297</v>
      </c>
      <c r="AJ127" s="55"/>
      <c r="AK127" s="116"/>
      <c r="AL127"/>
      <c r="AM127" s="907"/>
      <c r="AP127" s="3"/>
      <c r="AQ127" s="3"/>
      <c r="AR127" s="3"/>
    </row>
    <row r="128" spans="1:44">
      <c r="A128" s="1">
        <v>118</v>
      </c>
      <c r="B128" s="47" t="str">
        <f t="shared" si="67"/>
        <v>Zwergrind - Kalbinnen - Mist/Jauche</v>
      </c>
      <c r="C128" s="137" t="s">
        <v>1298</v>
      </c>
      <c r="D128" s="44"/>
      <c r="E128" s="44"/>
      <c r="F128" s="44"/>
      <c r="G128" s="44">
        <v>12.1</v>
      </c>
      <c r="H128" s="150">
        <v>12.15</v>
      </c>
      <c r="I128" s="151">
        <v>0</v>
      </c>
      <c r="J128" s="44">
        <v>1.9</v>
      </c>
      <c r="K128" s="46">
        <v>1.9</v>
      </c>
      <c r="L128" s="50">
        <v>0.5</v>
      </c>
      <c r="M128" s="51">
        <v>1</v>
      </c>
      <c r="N128" s="151">
        <v>0</v>
      </c>
      <c r="O128" s="4">
        <v>0</v>
      </c>
      <c r="P128" s="4">
        <v>0</v>
      </c>
      <c r="Q128" s="45">
        <v>0.63749999999999996</v>
      </c>
      <c r="R128" s="152">
        <v>12.112500000000001</v>
      </c>
      <c r="S128" s="43">
        <v>0</v>
      </c>
      <c r="T128" s="45">
        <v>0</v>
      </c>
      <c r="U128" s="45">
        <v>0</v>
      </c>
      <c r="V128" s="45">
        <v>17.193000000000001</v>
      </c>
      <c r="W128" s="152">
        <v>34.906999999999996</v>
      </c>
      <c r="X128" s="914"/>
      <c r="Y128" s="915"/>
      <c r="Z128" s="915"/>
      <c r="AA128" s="916"/>
      <c r="AB128" s="915"/>
      <c r="AC128" s="915"/>
      <c r="AD128" s="915"/>
      <c r="AE128" s="916"/>
      <c r="AF128" s="40"/>
      <c r="AG128" s="479">
        <v>10.526999999999999</v>
      </c>
      <c r="AH128" s="52">
        <v>11.056500000000002</v>
      </c>
      <c r="AI128" s="53" t="s">
        <v>1298</v>
      </c>
      <c r="AJ128" s="55"/>
      <c r="AK128" s="116"/>
      <c r="AL128"/>
      <c r="AM128" s="907"/>
      <c r="AP128" s="3"/>
      <c r="AQ128" s="3"/>
      <c r="AR128" s="3"/>
    </row>
    <row r="129" spans="1:44">
      <c r="A129" s="1">
        <v>119</v>
      </c>
      <c r="B129" s="47" t="str">
        <f t="shared" si="67"/>
        <v>Zwergrind - Kalbinnen - Tiefstallmist</v>
      </c>
      <c r="C129" s="137" t="s">
        <v>1299</v>
      </c>
      <c r="D129" s="44"/>
      <c r="E129" s="44"/>
      <c r="F129" s="44"/>
      <c r="G129" s="44"/>
      <c r="H129" s="150">
        <v>24.25</v>
      </c>
      <c r="I129" s="151">
        <v>0</v>
      </c>
      <c r="J129" s="44">
        <v>0</v>
      </c>
      <c r="K129" s="46">
        <v>4.0999999999999996</v>
      </c>
      <c r="L129" s="50">
        <v>0.5</v>
      </c>
      <c r="M129" s="51">
        <v>1</v>
      </c>
      <c r="N129" s="151">
        <v>0</v>
      </c>
      <c r="O129" s="4">
        <v>0</v>
      </c>
      <c r="P129" s="4">
        <v>0</v>
      </c>
      <c r="Q129" s="45">
        <v>0</v>
      </c>
      <c r="R129" s="152">
        <v>12.75</v>
      </c>
      <c r="S129" s="43">
        <v>0</v>
      </c>
      <c r="T129" s="45">
        <v>0</v>
      </c>
      <c r="U129" s="45">
        <v>0</v>
      </c>
      <c r="V129" s="45">
        <v>0</v>
      </c>
      <c r="W129" s="152">
        <v>52.1</v>
      </c>
      <c r="X129" s="914"/>
      <c r="Y129" s="915"/>
      <c r="Z129" s="915"/>
      <c r="AA129" s="916"/>
      <c r="AB129" s="915"/>
      <c r="AC129" s="915"/>
      <c r="AD129" s="915"/>
      <c r="AE129" s="916"/>
      <c r="AF129" s="40"/>
      <c r="AG129" s="479"/>
      <c r="AH129" s="52">
        <v>22.067499999999999</v>
      </c>
      <c r="AI129" s="53" t="s">
        <v>1299</v>
      </c>
      <c r="AJ129" s="55"/>
      <c r="AK129" s="116"/>
      <c r="AL129"/>
      <c r="AM129" s="907"/>
      <c r="AP129" s="3"/>
      <c r="AQ129" s="3"/>
      <c r="AR129" s="3"/>
    </row>
    <row r="130" spans="1:44">
      <c r="A130" s="1">
        <v>120</v>
      </c>
      <c r="B130" s="47" t="str">
        <f t="shared" si="67"/>
        <v>Zwergrind - Milch- bzw. Mutterkühe (3000 kg Milch)  - Gülle</v>
      </c>
      <c r="C130" s="137" t="s">
        <v>1300</v>
      </c>
      <c r="D130" s="44">
        <v>29.55</v>
      </c>
      <c r="E130" s="44"/>
      <c r="F130" s="44"/>
      <c r="G130" s="44"/>
      <c r="H130" s="150"/>
      <c r="I130" s="151">
        <v>5.625</v>
      </c>
      <c r="J130" s="44">
        <v>0</v>
      </c>
      <c r="K130" s="46">
        <v>0</v>
      </c>
      <c r="L130" s="50">
        <v>0.5</v>
      </c>
      <c r="M130" s="51">
        <v>1</v>
      </c>
      <c r="N130" s="151">
        <v>9.5</v>
      </c>
      <c r="O130" s="4">
        <v>0</v>
      </c>
      <c r="P130" s="4">
        <v>0</v>
      </c>
      <c r="Q130" s="45">
        <v>0</v>
      </c>
      <c r="R130" s="152">
        <v>0</v>
      </c>
      <c r="S130" s="43">
        <v>59.55</v>
      </c>
      <c r="T130" s="45">
        <v>0</v>
      </c>
      <c r="U130" s="45">
        <v>0</v>
      </c>
      <c r="V130" s="45">
        <v>0</v>
      </c>
      <c r="W130" s="152">
        <v>0</v>
      </c>
      <c r="X130" s="914"/>
      <c r="Y130" s="915"/>
      <c r="Z130" s="915"/>
      <c r="AA130" s="916"/>
      <c r="AB130" s="915"/>
      <c r="AC130" s="915"/>
      <c r="AD130" s="915"/>
      <c r="AE130" s="916"/>
      <c r="AF130" s="40">
        <v>25.708500000000001</v>
      </c>
      <c r="AG130" s="479"/>
      <c r="AH130" s="52"/>
      <c r="AI130" s="53" t="s">
        <v>1300</v>
      </c>
      <c r="AJ130" s="55"/>
      <c r="AK130" s="116"/>
      <c r="AL130"/>
      <c r="AM130" s="907"/>
      <c r="AP130" s="3"/>
      <c r="AQ130" s="3"/>
      <c r="AR130" s="3"/>
    </row>
    <row r="131" spans="1:44">
      <c r="A131" s="1">
        <v>121</v>
      </c>
      <c r="B131" s="47" t="str">
        <f t="shared" si="67"/>
        <v>Zwergrind - Milch- bzw. Mutterkühe (3000 kg Milch)  - Mist / Jauche</v>
      </c>
      <c r="C131" s="137" t="s">
        <v>1301</v>
      </c>
      <c r="D131" s="44"/>
      <c r="E131" s="44"/>
      <c r="F131" s="44"/>
      <c r="G131" s="44">
        <v>8.1</v>
      </c>
      <c r="H131" s="150">
        <v>16.25</v>
      </c>
      <c r="I131" s="151">
        <v>0</v>
      </c>
      <c r="J131" s="44">
        <v>1.85</v>
      </c>
      <c r="K131" s="46">
        <v>3.6</v>
      </c>
      <c r="L131" s="50">
        <v>0.5</v>
      </c>
      <c r="M131" s="51">
        <v>1</v>
      </c>
      <c r="N131" s="151">
        <v>0</v>
      </c>
      <c r="O131" s="4">
        <v>0</v>
      </c>
      <c r="P131" s="4">
        <v>0</v>
      </c>
      <c r="Q131" s="45">
        <v>0.47499999999999998</v>
      </c>
      <c r="R131" s="152">
        <v>9.0250000000000004</v>
      </c>
      <c r="S131" s="43">
        <v>0</v>
      </c>
      <c r="T131" s="45">
        <v>0</v>
      </c>
      <c r="U131" s="45">
        <v>0</v>
      </c>
      <c r="V131" s="45">
        <v>19.651499999999999</v>
      </c>
      <c r="W131" s="152">
        <v>39.898499999999999</v>
      </c>
      <c r="X131" s="914"/>
      <c r="Y131" s="915"/>
      <c r="Z131" s="915"/>
      <c r="AA131" s="916"/>
      <c r="AB131" s="915"/>
      <c r="AC131" s="915"/>
      <c r="AD131" s="915"/>
      <c r="AE131" s="916"/>
      <c r="AF131" s="40"/>
      <c r="AG131" s="479">
        <v>7.0469999999999997</v>
      </c>
      <c r="AH131" s="52">
        <v>14.7875</v>
      </c>
      <c r="AI131" s="53" t="s">
        <v>1301</v>
      </c>
      <c r="AJ131" s="55"/>
      <c r="AK131" s="116"/>
      <c r="AL131"/>
      <c r="AM131" s="907"/>
      <c r="AP131" s="3"/>
      <c r="AQ131" s="3"/>
      <c r="AR131" s="3"/>
    </row>
    <row r="132" spans="1:44">
      <c r="A132" s="1">
        <v>122</v>
      </c>
      <c r="B132" s="47" t="str">
        <f t="shared" si="67"/>
        <v>Zwergrind - Milch- bzw. Mutterkühe (3000 kg Milch)  - Tiefstallmist</v>
      </c>
      <c r="C132" s="137" t="s">
        <v>1302</v>
      </c>
      <c r="D132" s="44"/>
      <c r="E132" s="44"/>
      <c r="F132" s="44"/>
      <c r="G132" s="44"/>
      <c r="H132" s="150">
        <v>24.35</v>
      </c>
      <c r="I132" s="151">
        <v>0</v>
      </c>
      <c r="J132" s="44">
        <v>0</v>
      </c>
      <c r="K132" s="46">
        <v>5.8</v>
      </c>
      <c r="L132" s="50">
        <v>0.5</v>
      </c>
      <c r="M132" s="51">
        <v>1</v>
      </c>
      <c r="N132" s="151">
        <v>0</v>
      </c>
      <c r="O132" s="4">
        <v>0</v>
      </c>
      <c r="P132" s="4">
        <v>0</v>
      </c>
      <c r="Q132" s="45">
        <v>0</v>
      </c>
      <c r="R132" s="152">
        <v>9.5</v>
      </c>
      <c r="S132" s="43">
        <v>0</v>
      </c>
      <c r="T132" s="45">
        <v>0</v>
      </c>
      <c r="U132" s="45">
        <v>0</v>
      </c>
      <c r="V132" s="45">
        <v>0</v>
      </c>
      <c r="W132" s="152">
        <v>59.55</v>
      </c>
      <c r="X132" s="914"/>
      <c r="Y132" s="915"/>
      <c r="Z132" s="915"/>
      <c r="AA132" s="916"/>
      <c r="AB132" s="915"/>
      <c r="AC132" s="915"/>
      <c r="AD132" s="915"/>
      <c r="AE132" s="916"/>
      <c r="AF132" s="40"/>
      <c r="AG132" s="479"/>
      <c r="AH132" s="52">
        <v>22.158500000000004</v>
      </c>
      <c r="AI132" s="53" t="s">
        <v>1302</v>
      </c>
      <c r="AJ132" s="55"/>
      <c r="AK132" s="116"/>
      <c r="AL132"/>
      <c r="AM132" s="907"/>
      <c r="AP132" s="3"/>
      <c r="AQ132" s="3"/>
      <c r="AR132" s="3"/>
    </row>
    <row r="133" spans="1:44">
      <c r="A133" s="1">
        <v>123</v>
      </c>
      <c r="B133" s="47" t="str">
        <f t="shared" si="67"/>
        <v>Zwergrind - Milch- bzw. Ammenkühe (4000 kg Milch)  - Gülle</v>
      </c>
      <c r="C133" s="137" t="s">
        <v>1303</v>
      </c>
      <c r="D133" s="44">
        <v>33.35</v>
      </c>
      <c r="E133" s="44"/>
      <c r="F133" s="44"/>
      <c r="G133" s="44"/>
      <c r="H133" s="150"/>
      <c r="I133" s="151">
        <v>5.625</v>
      </c>
      <c r="J133" s="44">
        <v>0</v>
      </c>
      <c r="K133" s="46">
        <v>0</v>
      </c>
      <c r="L133" s="50">
        <v>0.5</v>
      </c>
      <c r="M133" s="51">
        <v>1</v>
      </c>
      <c r="N133" s="151">
        <v>11.8</v>
      </c>
      <c r="O133" s="4">
        <v>0</v>
      </c>
      <c r="P133" s="4">
        <v>0</v>
      </c>
      <c r="Q133" s="45">
        <v>0</v>
      </c>
      <c r="R133" s="152">
        <v>0</v>
      </c>
      <c r="S133" s="43">
        <v>67</v>
      </c>
      <c r="T133" s="45">
        <v>0</v>
      </c>
      <c r="U133" s="45">
        <v>0</v>
      </c>
      <c r="V133" s="45">
        <v>0</v>
      </c>
      <c r="W133" s="152">
        <v>0</v>
      </c>
      <c r="X133" s="914"/>
      <c r="Y133" s="915"/>
      <c r="Z133" s="915"/>
      <c r="AA133" s="916"/>
      <c r="AB133" s="915"/>
      <c r="AC133" s="915"/>
      <c r="AD133" s="915"/>
      <c r="AE133" s="916"/>
      <c r="AF133" s="40">
        <v>29.014500000000002</v>
      </c>
      <c r="AG133" s="479"/>
      <c r="AH133" s="52"/>
      <c r="AI133" s="53" t="s">
        <v>1303</v>
      </c>
      <c r="AJ133" s="55"/>
      <c r="AK133" s="116"/>
      <c r="AL133"/>
      <c r="AM133" s="907"/>
      <c r="AP133" s="3"/>
      <c r="AQ133" s="3"/>
      <c r="AR133" s="3"/>
    </row>
    <row r="134" spans="1:44">
      <c r="A134" s="1">
        <v>124</v>
      </c>
      <c r="B134" s="47" t="str">
        <f t="shared" si="67"/>
        <v>Zwergrind - Milch- bzw. Ammenkühe (4000 kg Milch)  - Mist / Jauche</v>
      </c>
      <c r="C134" s="137" t="s">
        <v>1304</v>
      </c>
      <c r="D134" s="44"/>
      <c r="E134" s="44"/>
      <c r="F134" s="44"/>
      <c r="G134" s="44">
        <v>9.1999999999999993</v>
      </c>
      <c r="H134" s="150">
        <v>18.3</v>
      </c>
      <c r="I134" s="151">
        <v>0</v>
      </c>
      <c r="J134" s="44">
        <v>1.85</v>
      </c>
      <c r="K134" s="46">
        <v>3.6</v>
      </c>
      <c r="L134" s="50">
        <v>0.5</v>
      </c>
      <c r="M134" s="51">
        <v>1</v>
      </c>
      <c r="N134" s="151">
        <v>0</v>
      </c>
      <c r="O134" s="4">
        <v>0</v>
      </c>
      <c r="P134" s="4">
        <v>0</v>
      </c>
      <c r="Q134" s="45">
        <v>0.59</v>
      </c>
      <c r="R134" s="152">
        <v>11.21</v>
      </c>
      <c r="S134" s="43">
        <v>0</v>
      </c>
      <c r="T134" s="45">
        <v>0</v>
      </c>
      <c r="U134" s="45">
        <v>0</v>
      </c>
      <c r="V134" s="45">
        <v>22.11</v>
      </c>
      <c r="W134" s="152">
        <v>44.89</v>
      </c>
      <c r="X134" s="914"/>
      <c r="Y134" s="915"/>
      <c r="Z134" s="915"/>
      <c r="AA134" s="916"/>
      <c r="AB134" s="915"/>
      <c r="AC134" s="915"/>
      <c r="AD134" s="915"/>
      <c r="AE134" s="916"/>
      <c r="AF134" s="40"/>
      <c r="AG134" s="479">
        <v>8.0039999999999996</v>
      </c>
      <c r="AH134" s="52">
        <v>16.653000000000002</v>
      </c>
      <c r="AI134" s="53" t="s">
        <v>1304</v>
      </c>
      <c r="AJ134" s="55"/>
      <c r="AK134" s="116"/>
      <c r="AL134"/>
      <c r="AM134" s="907"/>
      <c r="AP134" s="3"/>
      <c r="AQ134" s="3"/>
      <c r="AR134" s="3"/>
    </row>
    <row r="135" spans="1:44">
      <c r="A135" s="1">
        <v>125</v>
      </c>
      <c r="B135" s="47" t="str">
        <f t="shared" si="67"/>
        <v>Zwergrind - Milch- bzw. Ammenkühe (4000 kg Milch)  - Tiefstallmist</v>
      </c>
      <c r="C135" s="137" t="s">
        <v>1305</v>
      </c>
      <c r="D135" s="44"/>
      <c r="E135" s="44"/>
      <c r="F135" s="44"/>
      <c r="G135" s="44"/>
      <c r="H135" s="150">
        <v>27.5</v>
      </c>
      <c r="I135" s="151">
        <v>0</v>
      </c>
      <c r="J135" s="44">
        <v>0</v>
      </c>
      <c r="K135" s="46">
        <v>5.8</v>
      </c>
      <c r="L135" s="50">
        <v>0.5</v>
      </c>
      <c r="M135" s="51">
        <v>1</v>
      </c>
      <c r="N135" s="151">
        <v>0</v>
      </c>
      <c r="O135" s="4">
        <v>0</v>
      </c>
      <c r="P135" s="4">
        <v>0</v>
      </c>
      <c r="Q135" s="45">
        <v>0</v>
      </c>
      <c r="R135" s="152">
        <v>11.8</v>
      </c>
      <c r="S135" s="43">
        <v>0</v>
      </c>
      <c r="T135" s="45">
        <v>0</v>
      </c>
      <c r="U135" s="45">
        <v>0</v>
      </c>
      <c r="V135" s="45">
        <v>0</v>
      </c>
      <c r="W135" s="152">
        <v>67</v>
      </c>
      <c r="X135" s="914"/>
      <c r="Y135" s="915"/>
      <c r="Z135" s="915"/>
      <c r="AA135" s="916"/>
      <c r="AB135" s="915"/>
      <c r="AC135" s="915"/>
      <c r="AD135" s="915"/>
      <c r="AE135" s="916"/>
      <c r="AF135" s="40"/>
      <c r="AG135" s="479"/>
      <c r="AH135" s="52">
        <v>25.024999999999999</v>
      </c>
      <c r="AI135" s="53" t="s">
        <v>1305</v>
      </c>
      <c r="AJ135" s="55"/>
      <c r="AK135" s="116"/>
      <c r="AL135"/>
      <c r="AM135" s="907"/>
      <c r="AP135" s="3"/>
      <c r="AQ135" s="3"/>
      <c r="AR135" s="3"/>
    </row>
    <row r="136" spans="1:44">
      <c r="A136" s="1">
        <v>126</v>
      </c>
      <c r="B136" s="47" t="str">
        <f t="shared" si="67"/>
        <v>Zwergrind - Milchkühe (5000 kg Milch) - Gülle</v>
      </c>
      <c r="C136" s="137" t="s">
        <v>1306</v>
      </c>
      <c r="D136" s="44">
        <v>37.200000000000003</v>
      </c>
      <c r="E136" s="44"/>
      <c r="F136" s="44"/>
      <c r="G136" s="44"/>
      <c r="H136" s="150"/>
      <c r="I136" s="151">
        <v>5.75</v>
      </c>
      <c r="J136" s="44">
        <v>0</v>
      </c>
      <c r="K136" s="46">
        <v>0</v>
      </c>
      <c r="L136" s="50">
        <v>0.5</v>
      </c>
      <c r="M136" s="51">
        <v>1</v>
      </c>
      <c r="N136" s="151">
        <v>14.1</v>
      </c>
      <c r="O136" s="4">
        <v>0</v>
      </c>
      <c r="P136" s="4">
        <v>0</v>
      </c>
      <c r="Q136" s="45">
        <v>0</v>
      </c>
      <c r="R136" s="152">
        <v>0</v>
      </c>
      <c r="S136" s="43">
        <v>74.45</v>
      </c>
      <c r="T136" s="45">
        <v>0</v>
      </c>
      <c r="U136" s="45">
        <v>0</v>
      </c>
      <c r="V136" s="45">
        <v>0</v>
      </c>
      <c r="W136" s="152">
        <v>0</v>
      </c>
      <c r="X136" s="914"/>
      <c r="Y136" s="915"/>
      <c r="Z136" s="915"/>
      <c r="AA136" s="916"/>
      <c r="AB136" s="915"/>
      <c r="AC136" s="915"/>
      <c r="AD136" s="915"/>
      <c r="AE136" s="916"/>
      <c r="AF136" s="40">
        <v>32.364000000000004</v>
      </c>
      <c r="AG136" s="479"/>
      <c r="AH136" s="52"/>
      <c r="AI136" s="53" t="s">
        <v>1306</v>
      </c>
      <c r="AJ136" s="55"/>
      <c r="AK136" s="116"/>
      <c r="AL136"/>
      <c r="AM136" s="907"/>
      <c r="AP136" s="3"/>
      <c r="AQ136" s="3"/>
      <c r="AR136" s="3"/>
    </row>
    <row r="137" spans="1:44">
      <c r="A137" s="1">
        <v>127</v>
      </c>
      <c r="B137" s="47" t="str">
        <f t="shared" si="67"/>
        <v>Zwergrind - Milchkühe (5000 kg Milch) - Mist/Jauche</v>
      </c>
      <c r="C137" s="137" t="s">
        <v>1307</v>
      </c>
      <c r="D137" s="44"/>
      <c r="E137" s="44"/>
      <c r="F137" s="44"/>
      <c r="G137" s="44">
        <v>10.199999999999999</v>
      </c>
      <c r="H137" s="150">
        <v>20.45</v>
      </c>
      <c r="I137" s="151">
        <v>0</v>
      </c>
      <c r="J137" s="44">
        <v>1.9</v>
      </c>
      <c r="K137" s="46">
        <v>3.7</v>
      </c>
      <c r="L137" s="50">
        <v>0.5</v>
      </c>
      <c r="M137" s="51">
        <v>1</v>
      </c>
      <c r="N137" s="151">
        <v>0</v>
      </c>
      <c r="O137" s="4">
        <v>0</v>
      </c>
      <c r="P137" s="4">
        <v>0</v>
      </c>
      <c r="Q137" s="45">
        <v>0.70499999999999996</v>
      </c>
      <c r="R137" s="152">
        <v>13.395</v>
      </c>
      <c r="S137" s="43">
        <v>0</v>
      </c>
      <c r="T137" s="45">
        <v>0</v>
      </c>
      <c r="U137" s="45">
        <v>0</v>
      </c>
      <c r="V137" s="45">
        <v>24.5685</v>
      </c>
      <c r="W137" s="152">
        <v>49.881500000000003</v>
      </c>
      <c r="X137" s="914"/>
      <c r="Y137" s="915"/>
      <c r="Z137" s="915"/>
      <c r="AA137" s="916"/>
      <c r="AB137" s="915"/>
      <c r="AC137" s="915"/>
      <c r="AD137" s="915"/>
      <c r="AE137" s="916"/>
      <c r="AF137" s="40">
        <v>0</v>
      </c>
      <c r="AG137" s="479">
        <v>8.8739999999999988</v>
      </c>
      <c r="AH137" s="52">
        <v>18.609500000000001</v>
      </c>
      <c r="AI137" s="53" t="s">
        <v>1307</v>
      </c>
      <c r="AJ137" s="55"/>
      <c r="AK137" s="116"/>
      <c r="AL137"/>
      <c r="AM137" s="907"/>
      <c r="AP137" s="3"/>
      <c r="AQ137" s="3"/>
      <c r="AR137" s="3"/>
    </row>
    <row r="138" spans="1:44">
      <c r="A138" s="1">
        <v>128</v>
      </c>
      <c r="B138" s="47" t="str">
        <f t="shared" si="67"/>
        <v>Zwergrind - Milchkühe (5000 kg Milch) - Tiefstallmist</v>
      </c>
      <c r="C138" s="137" t="s">
        <v>1308</v>
      </c>
      <c r="D138" s="44"/>
      <c r="E138" s="44"/>
      <c r="F138" s="44"/>
      <c r="G138" s="44"/>
      <c r="H138" s="150">
        <v>30.65</v>
      </c>
      <c r="I138" s="151">
        <v>0</v>
      </c>
      <c r="J138" s="44">
        <v>0</v>
      </c>
      <c r="K138" s="46">
        <v>5.95</v>
      </c>
      <c r="L138" s="50">
        <v>0.5</v>
      </c>
      <c r="M138" s="51">
        <v>1</v>
      </c>
      <c r="N138" s="151">
        <v>0</v>
      </c>
      <c r="O138" s="4">
        <v>0</v>
      </c>
      <c r="P138" s="4">
        <v>0</v>
      </c>
      <c r="Q138" s="45">
        <v>0</v>
      </c>
      <c r="R138" s="152">
        <v>14.1</v>
      </c>
      <c r="S138" s="43">
        <v>0</v>
      </c>
      <c r="T138" s="45">
        <v>0</v>
      </c>
      <c r="U138" s="45">
        <v>0</v>
      </c>
      <c r="V138" s="45">
        <v>0</v>
      </c>
      <c r="W138" s="152">
        <v>74.45</v>
      </c>
      <c r="X138" s="914"/>
      <c r="Y138" s="915"/>
      <c r="Z138" s="915"/>
      <c r="AA138" s="916"/>
      <c r="AB138" s="915"/>
      <c r="AC138" s="915"/>
      <c r="AD138" s="915"/>
      <c r="AE138" s="916"/>
      <c r="AF138" s="40"/>
      <c r="AG138" s="479"/>
      <c r="AH138" s="52">
        <v>27.891500000000001</v>
      </c>
      <c r="AI138" s="53" t="s">
        <v>1308</v>
      </c>
      <c r="AJ138" s="55"/>
      <c r="AK138" s="116"/>
      <c r="AL138"/>
      <c r="AM138" s="907"/>
      <c r="AP138" s="3"/>
      <c r="AQ138" s="3"/>
      <c r="AR138" s="3"/>
    </row>
    <row r="139" spans="1:44">
      <c r="A139" s="1">
        <v>129</v>
      </c>
      <c r="B139" s="47" t="str">
        <f t="shared" si="67"/>
        <v>Zwergrind - Milchkühe (6000 kg Milch) - Gülle</v>
      </c>
      <c r="C139" s="137" t="s">
        <v>1309</v>
      </c>
      <c r="D139" s="44">
        <v>41</v>
      </c>
      <c r="E139" s="44"/>
      <c r="F139" s="44"/>
      <c r="G139" s="44"/>
      <c r="H139" s="150"/>
      <c r="I139" s="151">
        <v>5.9</v>
      </c>
      <c r="J139" s="44">
        <v>0</v>
      </c>
      <c r="K139" s="46">
        <v>0</v>
      </c>
      <c r="L139" s="50">
        <v>0.5</v>
      </c>
      <c r="M139" s="51">
        <v>1</v>
      </c>
      <c r="N139" s="151">
        <v>16.399999999999999</v>
      </c>
      <c r="O139" s="4">
        <v>0</v>
      </c>
      <c r="P139" s="4">
        <v>0</v>
      </c>
      <c r="Q139" s="45">
        <v>0</v>
      </c>
      <c r="R139" s="152">
        <v>0</v>
      </c>
      <c r="S139" s="43">
        <v>81.900000000000006</v>
      </c>
      <c r="T139" s="45">
        <v>0</v>
      </c>
      <c r="U139" s="45">
        <v>0</v>
      </c>
      <c r="V139" s="45">
        <v>0</v>
      </c>
      <c r="W139" s="152">
        <v>0</v>
      </c>
      <c r="X139" s="914"/>
      <c r="Y139" s="915"/>
      <c r="Z139" s="915"/>
      <c r="AA139" s="916"/>
      <c r="AB139" s="915"/>
      <c r="AC139" s="915"/>
      <c r="AD139" s="915"/>
      <c r="AE139" s="916"/>
      <c r="AF139" s="40">
        <v>35.67</v>
      </c>
      <c r="AG139" s="479"/>
      <c r="AH139" s="52">
        <v>0</v>
      </c>
      <c r="AI139" s="53" t="s">
        <v>1309</v>
      </c>
      <c r="AJ139" s="55"/>
      <c r="AK139" s="116"/>
      <c r="AL139"/>
      <c r="AM139" s="907"/>
      <c r="AP139" s="3"/>
      <c r="AQ139" s="3"/>
      <c r="AR139" s="3"/>
    </row>
    <row r="140" spans="1:44">
      <c r="A140" s="1">
        <v>130</v>
      </c>
      <c r="B140" s="47" t="str">
        <f t="shared" si="67"/>
        <v>Zwergrind - Milchkühe (6000 kg Milch) - Mist/Jauche</v>
      </c>
      <c r="C140" s="137" t="s">
        <v>1310</v>
      </c>
      <c r="D140" s="44"/>
      <c r="E140" s="44"/>
      <c r="F140" s="44"/>
      <c r="G140" s="44">
        <v>11.25</v>
      </c>
      <c r="H140" s="150">
        <v>22.55</v>
      </c>
      <c r="I140" s="151">
        <v>0</v>
      </c>
      <c r="J140" s="44">
        <v>1.95</v>
      </c>
      <c r="K140" s="46">
        <v>3.8</v>
      </c>
      <c r="L140" s="50">
        <v>0.5</v>
      </c>
      <c r="M140" s="51">
        <v>1</v>
      </c>
      <c r="N140" s="151">
        <v>0</v>
      </c>
      <c r="O140" s="4">
        <v>0</v>
      </c>
      <c r="P140" s="4">
        <v>0</v>
      </c>
      <c r="Q140" s="45">
        <v>0.82</v>
      </c>
      <c r="R140" s="152">
        <v>15.58</v>
      </c>
      <c r="S140" s="43">
        <v>0</v>
      </c>
      <c r="T140" s="45">
        <v>0</v>
      </c>
      <c r="U140" s="45">
        <v>0</v>
      </c>
      <c r="V140" s="45">
        <v>27.027000000000001</v>
      </c>
      <c r="W140" s="152">
        <v>54.872999999999998</v>
      </c>
      <c r="X140" s="914"/>
      <c r="Y140" s="915"/>
      <c r="Z140" s="915"/>
      <c r="AA140" s="916"/>
      <c r="AB140" s="915"/>
      <c r="AC140" s="915"/>
      <c r="AD140" s="915"/>
      <c r="AE140" s="916"/>
      <c r="AF140" s="40"/>
      <c r="AG140" s="479">
        <v>9.7874999999999996</v>
      </c>
      <c r="AH140" s="52">
        <v>20.520500000000002</v>
      </c>
      <c r="AI140" s="53" t="s">
        <v>1310</v>
      </c>
      <c r="AJ140" s="55"/>
      <c r="AK140" s="116"/>
      <c r="AL140"/>
      <c r="AM140" s="907"/>
      <c r="AP140" s="3"/>
      <c r="AQ140" s="3"/>
      <c r="AR140" s="3"/>
    </row>
    <row r="141" spans="1:44">
      <c r="A141" s="1">
        <v>131</v>
      </c>
      <c r="B141" s="47" t="str">
        <f t="shared" si="67"/>
        <v>Zwergrind - Milchkühe (6000 kg Milch) - Tiefstallmist</v>
      </c>
      <c r="C141" s="137" t="s">
        <v>1311</v>
      </c>
      <c r="D141" s="44"/>
      <c r="E141" s="44"/>
      <c r="F141" s="44"/>
      <c r="G141" s="44"/>
      <c r="H141" s="150">
        <v>33.799999999999997</v>
      </c>
      <c r="I141" s="151">
        <v>0</v>
      </c>
      <c r="J141" s="44">
        <v>0</v>
      </c>
      <c r="K141" s="46">
        <v>6.05</v>
      </c>
      <c r="L141" s="50">
        <v>0.5</v>
      </c>
      <c r="M141" s="51">
        <v>1</v>
      </c>
      <c r="N141" s="151">
        <v>0</v>
      </c>
      <c r="O141" s="4">
        <v>0</v>
      </c>
      <c r="P141" s="4">
        <v>0</v>
      </c>
      <c r="Q141" s="45">
        <v>0</v>
      </c>
      <c r="R141" s="152">
        <v>16.399999999999999</v>
      </c>
      <c r="S141" s="43">
        <v>0</v>
      </c>
      <c r="T141" s="45">
        <v>0</v>
      </c>
      <c r="U141" s="45">
        <v>0</v>
      </c>
      <c r="V141" s="45">
        <v>0</v>
      </c>
      <c r="W141" s="152">
        <v>81.900000000000006</v>
      </c>
      <c r="X141" s="914"/>
      <c r="Y141" s="915"/>
      <c r="Z141" s="915"/>
      <c r="AA141" s="916"/>
      <c r="AB141" s="915"/>
      <c r="AC141" s="915"/>
      <c r="AD141" s="915"/>
      <c r="AE141" s="916"/>
      <c r="AF141" s="40"/>
      <c r="AG141" s="40"/>
      <c r="AH141" s="40">
        <v>30.757999999999999</v>
      </c>
      <c r="AI141" s="53" t="s">
        <v>1311</v>
      </c>
      <c r="AJ141" s="55"/>
      <c r="AK141" s="116"/>
      <c r="AL141"/>
      <c r="AM141" s="907"/>
      <c r="AP141" s="3"/>
      <c r="AQ141" s="3"/>
      <c r="AR141" s="3"/>
    </row>
    <row r="142" spans="1:44">
      <c r="A142" s="1">
        <v>132</v>
      </c>
      <c r="B142" s="47" t="str">
        <f t="shared" si="67"/>
        <v>Zwergrind - Milchkühe (7000 kg Milch) - Gülle</v>
      </c>
      <c r="C142" s="137" t="s">
        <v>1312</v>
      </c>
      <c r="D142" s="44">
        <v>44.85</v>
      </c>
      <c r="E142" s="44"/>
      <c r="F142" s="44"/>
      <c r="G142" s="44"/>
      <c r="H142" s="150"/>
      <c r="I142" s="151">
        <v>5.8250000000000002</v>
      </c>
      <c r="J142" s="44">
        <v>0</v>
      </c>
      <c r="K142" s="46">
        <v>0</v>
      </c>
      <c r="L142" s="50">
        <v>0.5</v>
      </c>
      <c r="M142" s="51">
        <v>1</v>
      </c>
      <c r="N142" s="151">
        <v>18.7</v>
      </c>
      <c r="O142" s="4">
        <v>0</v>
      </c>
      <c r="P142" s="4">
        <v>0</v>
      </c>
      <c r="Q142" s="45">
        <v>0</v>
      </c>
      <c r="R142" s="152">
        <v>0</v>
      </c>
      <c r="S142" s="43">
        <v>89.35</v>
      </c>
      <c r="T142" s="45">
        <v>0</v>
      </c>
      <c r="U142" s="45">
        <v>0</v>
      </c>
      <c r="V142" s="45">
        <v>0</v>
      </c>
      <c r="W142" s="152">
        <v>0</v>
      </c>
      <c r="X142" s="914"/>
      <c r="Y142" s="915"/>
      <c r="Z142" s="915"/>
      <c r="AA142" s="916"/>
      <c r="AB142" s="915"/>
      <c r="AC142" s="915"/>
      <c r="AD142" s="915"/>
      <c r="AE142" s="916"/>
      <c r="AF142" s="40">
        <v>39.019500000000001</v>
      </c>
      <c r="AG142" s="40"/>
      <c r="AH142" s="40"/>
      <c r="AI142" s="53" t="s">
        <v>1312</v>
      </c>
      <c r="AJ142" s="55"/>
      <c r="AK142" s="116"/>
      <c r="AL142"/>
      <c r="AM142" s="907"/>
      <c r="AP142" s="3"/>
      <c r="AQ142" s="3"/>
      <c r="AR142" s="3"/>
    </row>
    <row r="143" spans="1:44">
      <c r="A143" s="1">
        <v>133</v>
      </c>
      <c r="B143" s="47" t="str">
        <f t="shared" si="67"/>
        <v>Zwergrind - Milchkühe (7000 kg Milch) - Mist/Jauche</v>
      </c>
      <c r="C143" s="137" t="s">
        <v>1313</v>
      </c>
      <c r="D143" s="44"/>
      <c r="E143" s="44"/>
      <c r="F143" s="44"/>
      <c r="G143" s="44">
        <v>12.3</v>
      </c>
      <c r="H143" s="150">
        <v>24.65</v>
      </c>
      <c r="I143" s="151">
        <v>0</v>
      </c>
      <c r="J143" s="44">
        <v>1.925</v>
      </c>
      <c r="K143" s="46">
        <v>3.75</v>
      </c>
      <c r="L143" s="50">
        <v>0.5</v>
      </c>
      <c r="M143" s="51">
        <v>1</v>
      </c>
      <c r="N143" s="151">
        <v>0</v>
      </c>
      <c r="O143" s="4">
        <v>0</v>
      </c>
      <c r="P143" s="4">
        <v>0</v>
      </c>
      <c r="Q143" s="45">
        <v>0.93500000000000005</v>
      </c>
      <c r="R143" s="152">
        <v>17.765000000000001</v>
      </c>
      <c r="S143" s="43">
        <v>0</v>
      </c>
      <c r="T143" s="45">
        <v>0</v>
      </c>
      <c r="U143" s="45">
        <v>0</v>
      </c>
      <c r="V143" s="45">
        <v>29.485500000000002</v>
      </c>
      <c r="W143" s="152">
        <v>59.8645</v>
      </c>
      <c r="X143" s="914"/>
      <c r="Y143" s="915"/>
      <c r="Z143" s="915"/>
      <c r="AA143" s="916"/>
      <c r="AB143" s="915"/>
      <c r="AC143" s="915"/>
      <c r="AD143" s="915"/>
      <c r="AE143" s="916"/>
      <c r="AF143" s="40"/>
      <c r="AG143" s="40">
        <v>10.701000000000001</v>
      </c>
      <c r="AH143" s="40">
        <v>22.4315</v>
      </c>
      <c r="AI143" s="53" t="s">
        <v>1313</v>
      </c>
      <c r="AJ143" s="55"/>
      <c r="AK143" s="116"/>
      <c r="AL143"/>
      <c r="AM143" s="907"/>
      <c r="AP143" s="3"/>
      <c r="AQ143" s="3"/>
      <c r="AR143" s="3"/>
    </row>
    <row r="144" spans="1:44">
      <c r="A144" s="1">
        <v>134</v>
      </c>
      <c r="B144" s="47" t="str">
        <f t="shared" si="67"/>
        <v>Zwergrind - Milchkühe (7000 kg Milch) - Tiefstallmist</v>
      </c>
      <c r="C144" s="137" t="s">
        <v>1314</v>
      </c>
      <c r="D144" s="44"/>
      <c r="E144" s="44"/>
      <c r="F144" s="44"/>
      <c r="G144" s="44"/>
      <c r="H144" s="150">
        <v>36.950000000000003</v>
      </c>
      <c r="I144" s="151">
        <v>0</v>
      </c>
      <c r="J144" s="44">
        <v>0</v>
      </c>
      <c r="K144" s="46">
        <v>6</v>
      </c>
      <c r="L144" s="50">
        <v>0.5</v>
      </c>
      <c r="M144" s="51">
        <v>1</v>
      </c>
      <c r="N144" s="151">
        <v>0</v>
      </c>
      <c r="O144" s="4">
        <v>0</v>
      </c>
      <c r="P144" s="4">
        <v>0</v>
      </c>
      <c r="Q144" s="45">
        <v>0</v>
      </c>
      <c r="R144" s="152">
        <v>18.7</v>
      </c>
      <c r="S144" s="43">
        <v>0</v>
      </c>
      <c r="T144" s="45">
        <v>0</v>
      </c>
      <c r="U144" s="45">
        <v>0</v>
      </c>
      <c r="V144" s="45">
        <v>0</v>
      </c>
      <c r="W144" s="152">
        <v>89.35</v>
      </c>
      <c r="X144" s="914"/>
      <c r="Y144" s="915"/>
      <c r="Z144" s="915"/>
      <c r="AA144" s="916"/>
      <c r="AB144" s="915"/>
      <c r="AC144" s="915"/>
      <c r="AD144" s="915"/>
      <c r="AE144" s="916"/>
      <c r="AF144" s="40"/>
      <c r="AG144" s="40"/>
      <c r="AH144" s="40">
        <v>33.624500000000005</v>
      </c>
      <c r="AI144" s="53" t="s">
        <v>1314</v>
      </c>
      <c r="AJ144" s="55"/>
      <c r="AK144" s="116"/>
      <c r="AL144"/>
      <c r="AM144" s="907"/>
      <c r="AP144" s="3"/>
      <c r="AQ144" s="3"/>
      <c r="AR144" s="3"/>
    </row>
    <row r="145" spans="1:44">
      <c r="A145" s="1">
        <v>135</v>
      </c>
      <c r="B145" s="47" t="str">
        <f t="shared" si="67"/>
        <v>Zwergrind - Milchkühe (8000 kg Milch) - Gülle</v>
      </c>
      <c r="C145" s="137" t="s">
        <v>1315</v>
      </c>
      <c r="D145" s="44">
        <v>48.65</v>
      </c>
      <c r="E145" s="44"/>
      <c r="F145" s="44"/>
      <c r="G145" s="44"/>
      <c r="H145" s="150"/>
      <c r="I145" s="151">
        <v>5.9749999999999996</v>
      </c>
      <c r="J145" s="44">
        <v>0</v>
      </c>
      <c r="K145" s="46">
        <v>0</v>
      </c>
      <c r="L145" s="50">
        <v>0.5</v>
      </c>
      <c r="M145" s="51">
        <v>1</v>
      </c>
      <c r="N145" s="151">
        <v>20.95</v>
      </c>
      <c r="O145" s="4">
        <v>0</v>
      </c>
      <c r="P145" s="4">
        <v>0</v>
      </c>
      <c r="Q145" s="45">
        <v>0</v>
      </c>
      <c r="R145" s="152">
        <v>0</v>
      </c>
      <c r="S145" s="43">
        <v>96.8</v>
      </c>
      <c r="T145" s="45">
        <v>0</v>
      </c>
      <c r="U145" s="45">
        <v>0</v>
      </c>
      <c r="V145" s="45">
        <v>0</v>
      </c>
      <c r="W145" s="152">
        <v>0</v>
      </c>
      <c r="X145" s="914"/>
      <c r="Y145" s="915"/>
      <c r="Z145" s="915"/>
      <c r="AA145" s="916"/>
      <c r="AB145" s="915"/>
      <c r="AC145" s="915"/>
      <c r="AD145" s="915"/>
      <c r="AE145" s="916"/>
      <c r="AF145" s="40">
        <v>42.325499999999998</v>
      </c>
      <c r="AG145" s="40"/>
      <c r="AH145" s="40"/>
      <c r="AI145" s="53" t="s">
        <v>1315</v>
      </c>
      <c r="AJ145" s="55"/>
      <c r="AK145" s="116"/>
      <c r="AL145"/>
      <c r="AM145" s="907"/>
      <c r="AP145" s="3"/>
      <c r="AQ145" s="3"/>
      <c r="AR145" s="3"/>
    </row>
    <row r="146" spans="1:44">
      <c r="A146" s="1">
        <v>136</v>
      </c>
      <c r="B146" s="47" t="str">
        <f t="shared" si="67"/>
        <v>Zwergrind - Milchkühe (8000 kg Milch) - Mist/Jauche</v>
      </c>
      <c r="C146" s="137" t="s">
        <v>1316</v>
      </c>
      <c r="D146" s="44"/>
      <c r="E146" s="44"/>
      <c r="F146" s="44"/>
      <c r="G146" s="44">
        <v>13.35</v>
      </c>
      <c r="H146" s="150">
        <v>26.75</v>
      </c>
      <c r="I146" s="151">
        <v>0</v>
      </c>
      <c r="J146" s="44">
        <v>1.9750000000000001</v>
      </c>
      <c r="K146" s="46">
        <v>3.8</v>
      </c>
      <c r="L146" s="50">
        <v>0.5</v>
      </c>
      <c r="M146" s="51">
        <v>1</v>
      </c>
      <c r="N146" s="151">
        <v>0</v>
      </c>
      <c r="O146" s="4">
        <v>0</v>
      </c>
      <c r="P146" s="4">
        <v>0</v>
      </c>
      <c r="Q146" s="45">
        <v>1.0475000000000001</v>
      </c>
      <c r="R146" s="152">
        <v>19.9025</v>
      </c>
      <c r="S146" s="43">
        <v>0</v>
      </c>
      <c r="T146" s="45">
        <v>0</v>
      </c>
      <c r="U146" s="45">
        <v>0</v>
      </c>
      <c r="V146" s="45">
        <v>31.943999999999999</v>
      </c>
      <c r="W146" s="152">
        <v>64.855999999999995</v>
      </c>
      <c r="X146" s="914"/>
      <c r="Y146" s="915"/>
      <c r="Z146" s="915"/>
      <c r="AA146" s="916"/>
      <c r="AB146" s="915"/>
      <c r="AC146" s="915"/>
      <c r="AD146" s="915"/>
      <c r="AE146" s="916"/>
      <c r="AF146" s="40"/>
      <c r="AG146" s="40">
        <v>11.6145</v>
      </c>
      <c r="AH146" s="40">
        <v>24.342500000000001</v>
      </c>
      <c r="AI146" s="53" t="s">
        <v>1316</v>
      </c>
      <c r="AJ146" s="55"/>
      <c r="AK146" s="116"/>
      <c r="AL146"/>
      <c r="AM146" s="907"/>
      <c r="AP146" s="3"/>
      <c r="AQ146" s="3"/>
      <c r="AR146" s="3"/>
    </row>
    <row r="147" spans="1:44">
      <c r="A147" s="1">
        <v>137</v>
      </c>
      <c r="B147" s="47" t="str">
        <f t="shared" si="67"/>
        <v>Zwergrind - Milchkühe (8000 kg Milch) - Tiefstallmist</v>
      </c>
      <c r="C147" s="137" t="s">
        <v>1317</v>
      </c>
      <c r="D147" s="44"/>
      <c r="E147" s="44"/>
      <c r="F147" s="44"/>
      <c r="G147" s="44"/>
      <c r="H147" s="150">
        <v>40.1</v>
      </c>
      <c r="I147" s="151">
        <v>0</v>
      </c>
      <c r="J147" s="44">
        <v>0</v>
      </c>
      <c r="K147" s="46">
        <v>6.15</v>
      </c>
      <c r="L147" s="50">
        <v>0.5</v>
      </c>
      <c r="M147" s="51">
        <v>1</v>
      </c>
      <c r="N147" s="151">
        <v>0</v>
      </c>
      <c r="O147" s="4">
        <v>0</v>
      </c>
      <c r="P147" s="4">
        <v>0</v>
      </c>
      <c r="Q147" s="45">
        <v>0</v>
      </c>
      <c r="R147" s="152">
        <v>20.95</v>
      </c>
      <c r="S147" s="43">
        <v>0</v>
      </c>
      <c r="T147" s="45">
        <v>0</v>
      </c>
      <c r="U147" s="45">
        <v>0</v>
      </c>
      <c r="V147" s="45">
        <v>0</v>
      </c>
      <c r="W147" s="152">
        <v>96.8</v>
      </c>
      <c r="X147" s="914"/>
      <c r="Y147" s="915"/>
      <c r="Z147" s="915"/>
      <c r="AA147" s="916"/>
      <c r="AB147" s="915"/>
      <c r="AC147" s="915"/>
      <c r="AD147" s="915"/>
      <c r="AE147" s="916"/>
      <c r="AF147" s="40"/>
      <c r="AG147" s="40"/>
      <c r="AH147" s="40">
        <v>36.491</v>
      </c>
      <c r="AI147" s="53" t="s">
        <v>1317</v>
      </c>
      <c r="AJ147" s="55"/>
      <c r="AK147" s="116"/>
      <c r="AL147"/>
      <c r="AM147" s="907"/>
      <c r="AP147" s="3"/>
      <c r="AQ147" s="3"/>
      <c r="AR147" s="3"/>
    </row>
    <row r="148" spans="1:44">
      <c r="A148" s="1">
        <v>138</v>
      </c>
      <c r="B148" s="47" t="str">
        <f t="shared" si="67"/>
        <v>Zwergrind - Milchkühe (9000 kg Milch) - Gülle</v>
      </c>
      <c r="C148" s="137" t="s">
        <v>1318</v>
      </c>
      <c r="D148" s="44">
        <v>52.5</v>
      </c>
      <c r="E148" s="44"/>
      <c r="F148" s="44"/>
      <c r="G148" s="44"/>
      <c r="H148" s="150"/>
      <c r="I148" s="151">
        <v>6.15</v>
      </c>
      <c r="J148" s="44">
        <v>0</v>
      </c>
      <c r="K148" s="46">
        <v>0</v>
      </c>
      <c r="L148" s="50">
        <v>0.5</v>
      </c>
      <c r="M148" s="51">
        <v>1</v>
      </c>
      <c r="N148" s="151">
        <v>23.25</v>
      </c>
      <c r="O148" s="4">
        <v>0</v>
      </c>
      <c r="P148" s="4">
        <v>0</v>
      </c>
      <c r="Q148" s="45">
        <v>0</v>
      </c>
      <c r="R148" s="152">
        <v>0</v>
      </c>
      <c r="S148" s="43">
        <v>104.25</v>
      </c>
      <c r="T148" s="45">
        <v>0</v>
      </c>
      <c r="U148" s="45">
        <v>0</v>
      </c>
      <c r="V148" s="45">
        <v>0</v>
      </c>
      <c r="W148" s="152">
        <v>0</v>
      </c>
      <c r="X148" s="914"/>
      <c r="Y148" s="915"/>
      <c r="Z148" s="915"/>
      <c r="AA148" s="916"/>
      <c r="AB148" s="915"/>
      <c r="AC148" s="915"/>
      <c r="AD148" s="915"/>
      <c r="AE148" s="916"/>
      <c r="AF148" s="40">
        <v>45.674999999999997</v>
      </c>
      <c r="AG148" s="40"/>
      <c r="AH148" s="40"/>
      <c r="AI148" s="53" t="s">
        <v>1318</v>
      </c>
      <c r="AJ148" s="55"/>
      <c r="AK148" s="116"/>
      <c r="AL148"/>
      <c r="AM148" s="907"/>
      <c r="AP148" s="3"/>
      <c r="AQ148" s="3"/>
      <c r="AR148" s="3"/>
    </row>
    <row r="149" spans="1:44">
      <c r="A149" s="1">
        <v>139</v>
      </c>
      <c r="B149" s="47" t="str">
        <f t="shared" si="67"/>
        <v>Zwergrind - Milchkühe (9000 kg Milch) - Mist/Jauche</v>
      </c>
      <c r="C149" s="137" t="s">
        <v>1319</v>
      </c>
      <c r="D149" s="44"/>
      <c r="E149" s="44"/>
      <c r="F149" s="44"/>
      <c r="G149" s="44">
        <v>14.4</v>
      </c>
      <c r="H149" s="150">
        <v>28.85</v>
      </c>
      <c r="I149" s="151">
        <v>0</v>
      </c>
      <c r="J149" s="44">
        <v>2.0249999999999999</v>
      </c>
      <c r="K149" s="46">
        <v>3.95</v>
      </c>
      <c r="L149" s="50">
        <v>0.5</v>
      </c>
      <c r="M149" s="51">
        <v>1</v>
      </c>
      <c r="N149" s="151">
        <v>0</v>
      </c>
      <c r="O149" s="4">
        <v>0</v>
      </c>
      <c r="P149" s="4">
        <v>0</v>
      </c>
      <c r="Q149" s="45">
        <v>1.1625000000000001</v>
      </c>
      <c r="R149" s="152">
        <v>22.087499999999999</v>
      </c>
      <c r="S149" s="43">
        <v>0</v>
      </c>
      <c r="T149" s="45">
        <v>0</v>
      </c>
      <c r="U149" s="45">
        <v>0</v>
      </c>
      <c r="V149" s="45">
        <v>34.402500000000003</v>
      </c>
      <c r="W149" s="152">
        <v>69.847499999999997</v>
      </c>
      <c r="X149" s="914"/>
      <c r="Y149" s="915"/>
      <c r="Z149" s="915"/>
      <c r="AA149" s="916"/>
      <c r="AB149" s="915"/>
      <c r="AC149" s="915"/>
      <c r="AD149" s="915"/>
      <c r="AE149" s="916"/>
      <c r="AF149" s="40"/>
      <c r="AG149" s="40">
        <v>12.528</v>
      </c>
      <c r="AH149" s="40">
        <v>26.253500000000003</v>
      </c>
      <c r="AI149" s="53" t="s">
        <v>1319</v>
      </c>
      <c r="AJ149" s="55"/>
      <c r="AK149" s="116"/>
      <c r="AL149"/>
      <c r="AM149" s="907"/>
      <c r="AP149" s="3"/>
      <c r="AQ149" s="3"/>
      <c r="AR149" s="3"/>
    </row>
    <row r="150" spans="1:44">
      <c r="A150" s="1">
        <v>140</v>
      </c>
      <c r="B150" s="47" t="str">
        <f t="shared" si="67"/>
        <v>Zwergrind - Milchkühe (9000 kg Milch) - Tiefstallmist</v>
      </c>
      <c r="C150" s="137" t="s">
        <v>1320</v>
      </c>
      <c r="D150" s="44"/>
      <c r="E150" s="44"/>
      <c r="F150" s="44"/>
      <c r="G150" s="44"/>
      <c r="H150" s="150">
        <v>43.25</v>
      </c>
      <c r="I150" s="151">
        <v>0</v>
      </c>
      <c r="J150" s="44">
        <v>0</v>
      </c>
      <c r="K150" s="46">
        <v>6.3</v>
      </c>
      <c r="L150" s="50">
        <v>0.5</v>
      </c>
      <c r="M150" s="51">
        <v>1</v>
      </c>
      <c r="N150" s="151">
        <v>0</v>
      </c>
      <c r="O150" s="4">
        <v>0</v>
      </c>
      <c r="P150" s="4">
        <v>0</v>
      </c>
      <c r="Q150" s="45">
        <v>0</v>
      </c>
      <c r="R150" s="152">
        <v>23.25</v>
      </c>
      <c r="S150" s="43">
        <v>0</v>
      </c>
      <c r="T150" s="45">
        <v>0</v>
      </c>
      <c r="U150" s="45">
        <v>0</v>
      </c>
      <c r="V150" s="45">
        <v>0</v>
      </c>
      <c r="W150" s="152">
        <v>104.25</v>
      </c>
      <c r="X150" s="914"/>
      <c r="Y150" s="915"/>
      <c r="Z150" s="915"/>
      <c r="AA150" s="916"/>
      <c r="AB150" s="915"/>
      <c r="AC150" s="915"/>
      <c r="AD150" s="915"/>
      <c r="AE150" s="916"/>
      <c r="AF150" s="40"/>
      <c r="AG150" s="40"/>
      <c r="AH150" s="40">
        <v>39.357500000000002</v>
      </c>
      <c r="AI150" s="53" t="s">
        <v>1320</v>
      </c>
      <c r="AJ150" s="55"/>
      <c r="AK150" s="116"/>
      <c r="AL150"/>
      <c r="AM150" s="907"/>
      <c r="AP150" s="3"/>
      <c r="AQ150" s="3"/>
      <c r="AR150" s="3"/>
    </row>
    <row r="151" spans="1:44">
      <c r="A151" s="1">
        <v>141</v>
      </c>
      <c r="B151" s="47" t="str">
        <f t="shared" si="67"/>
        <v>Zwergrind - Milchkühe (&gt; 10.000 kg Milch) - Gülle</v>
      </c>
      <c r="C151" s="137" t="s">
        <v>1321</v>
      </c>
      <c r="D151" s="44">
        <v>56.3</v>
      </c>
      <c r="E151" s="44"/>
      <c r="F151" s="44"/>
      <c r="G151" s="44"/>
      <c r="H151" s="150"/>
      <c r="I151" s="151">
        <v>6.35</v>
      </c>
      <c r="J151" s="44">
        <v>0</v>
      </c>
      <c r="K151" s="46">
        <v>0</v>
      </c>
      <c r="L151" s="50">
        <v>0.5</v>
      </c>
      <c r="M151" s="51">
        <v>1</v>
      </c>
      <c r="N151" s="151">
        <v>25.55</v>
      </c>
      <c r="O151" s="4">
        <v>0</v>
      </c>
      <c r="P151" s="4">
        <v>0</v>
      </c>
      <c r="Q151" s="45">
        <v>0</v>
      </c>
      <c r="R151" s="152">
        <v>0</v>
      </c>
      <c r="S151" s="43">
        <v>111.7</v>
      </c>
      <c r="T151" s="45">
        <v>0</v>
      </c>
      <c r="U151" s="45">
        <v>0</v>
      </c>
      <c r="V151" s="45">
        <v>0</v>
      </c>
      <c r="W151" s="152">
        <v>0</v>
      </c>
      <c r="X151" s="914"/>
      <c r="Y151" s="915"/>
      <c r="Z151" s="915"/>
      <c r="AA151" s="916"/>
      <c r="AB151" s="915"/>
      <c r="AC151" s="915"/>
      <c r="AD151" s="915"/>
      <c r="AE151" s="916"/>
      <c r="AF151" s="40">
        <v>48.980999999999995</v>
      </c>
      <c r="AG151" s="40"/>
      <c r="AH151" s="40"/>
      <c r="AI151" s="53" t="s">
        <v>1321</v>
      </c>
      <c r="AJ151" s="55"/>
      <c r="AK151" s="116"/>
      <c r="AL151"/>
      <c r="AM151" s="907"/>
      <c r="AP151" s="3"/>
      <c r="AQ151" s="3"/>
      <c r="AR151" s="3"/>
    </row>
    <row r="152" spans="1:44">
      <c r="A152" s="1">
        <v>142</v>
      </c>
      <c r="B152" s="47" t="str">
        <f t="shared" si="67"/>
        <v>Zwergrind - Milchkühe (&gt; 10.000 kg Milch) - Mist/Jauche</v>
      </c>
      <c r="C152" s="137" t="s">
        <v>1322</v>
      </c>
      <c r="D152" s="44"/>
      <c r="E152" s="44"/>
      <c r="F152" s="44"/>
      <c r="G152" s="44">
        <v>15.45</v>
      </c>
      <c r="H152" s="150">
        <v>30.95</v>
      </c>
      <c r="I152" s="151">
        <v>0</v>
      </c>
      <c r="J152" s="44">
        <v>2.1</v>
      </c>
      <c r="K152" s="46">
        <v>4.05</v>
      </c>
      <c r="L152" s="50">
        <v>0.5</v>
      </c>
      <c r="M152" s="51">
        <v>1</v>
      </c>
      <c r="N152" s="151">
        <v>0</v>
      </c>
      <c r="O152" s="4">
        <v>0</v>
      </c>
      <c r="P152" s="4">
        <v>0</v>
      </c>
      <c r="Q152" s="45">
        <v>1.2775000000000001</v>
      </c>
      <c r="R152" s="152">
        <v>24.272500000000001</v>
      </c>
      <c r="S152" s="43">
        <v>0</v>
      </c>
      <c r="T152" s="45">
        <v>0</v>
      </c>
      <c r="U152" s="45">
        <v>0</v>
      </c>
      <c r="V152" s="45">
        <v>36.860999999999997</v>
      </c>
      <c r="W152" s="152">
        <v>74.838999999999999</v>
      </c>
      <c r="X152" s="914"/>
      <c r="Y152" s="915"/>
      <c r="Z152" s="915"/>
      <c r="AA152" s="916"/>
      <c r="AB152" s="915"/>
      <c r="AC152" s="915"/>
      <c r="AD152" s="915"/>
      <c r="AE152" s="916"/>
      <c r="AF152" s="40"/>
      <c r="AG152" s="40">
        <v>13.4415</v>
      </c>
      <c r="AH152" s="40">
        <v>28.1645</v>
      </c>
      <c r="AI152" s="53" t="s">
        <v>1322</v>
      </c>
      <c r="AJ152" s="55"/>
      <c r="AK152" s="116"/>
      <c r="AL152"/>
      <c r="AM152" s="907"/>
      <c r="AP152" s="3"/>
      <c r="AQ152" s="3"/>
      <c r="AR152" s="3"/>
    </row>
    <row r="153" spans="1:44" ht="13.8" thickBot="1">
      <c r="A153" s="1">
        <v>143</v>
      </c>
      <c r="B153" s="47" t="str">
        <f t="shared" si="67"/>
        <v>Zwergrind - Milchkühe (&gt; 10.000 kg Milch) - Tiefstallmist</v>
      </c>
      <c r="C153" s="137" t="s">
        <v>1323</v>
      </c>
      <c r="D153" s="44"/>
      <c r="E153" s="44"/>
      <c r="F153" s="44"/>
      <c r="G153" s="44"/>
      <c r="H153" s="150">
        <v>46.4</v>
      </c>
      <c r="I153" s="151">
        <v>0</v>
      </c>
      <c r="J153" s="44">
        <v>0</v>
      </c>
      <c r="K153" s="46">
        <v>6.5</v>
      </c>
      <c r="L153" s="50">
        <v>0.5</v>
      </c>
      <c r="M153" s="51">
        <v>1</v>
      </c>
      <c r="N153" s="151">
        <v>0</v>
      </c>
      <c r="O153" s="4">
        <v>0</v>
      </c>
      <c r="P153" s="4">
        <v>0</v>
      </c>
      <c r="Q153" s="45">
        <v>0</v>
      </c>
      <c r="R153" s="152">
        <v>25.55</v>
      </c>
      <c r="S153" s="43">
        <v>0</v>
      </c>
      <c r="T153" s="45">
        <v>0</v>
      </c>
      <c r="U153" s="45">
        <v>0</v>
      </c>
      <c r="V153" s="45">
        <v>0</v>
      </c>
      <c r="W153" s="152">
        <v>111.7</v>
      </c>
      <c r="X153" s="914"/>
      <c r="Y153" s="915"/>
      <c r="Z153" s="915"/>
      <c r="AA153" s="916"/>
      <c r="AB153" s="915"/>
      <c r="AC153" s="915"/>
      <c r="AD153" s="915"/>
      <c r="AE153" s="916"/>
      <c r="AF153" s="40"/>
      <c r="AG153" s="40"/>
      <c r="AH153" s="40">
        <v>42.223999999999997</v>
      </c>
      <c r="AI153" s="53" t="s">
        <v>1323</v>
      </c>
      <c r="AJ153" s="55"/>
      <c r="AK153" s="116"/>
      <c r="AL153"/>
      <c r="AM153" s="907"/>
      <c r="AP153" s="3"/>
      <c r="AQ153" s="3"/>
      <c r="AR153" s="3"/>
    </row>
    <row r="154" spans="1:44" ht="13.8" thickBot="1">
      <c r="A154"/>
      <c r="B154" s="11"/>
      <c r="C154" s="113"/>
      <c r="D154" s="13">
        <v>3</v>
      </c>
      <c r="E154" s="13">
        <v>4</v>
      </c>
      <c r="F154" s="13">
        <v>5</v>
      </c>
      <c r="G154" s="13">
        <v>6</v>
      </c>
      <c r="H154" s="20">
        <v>7</v>
      </c>
      <c r="I154" s="14">
        <v>8</v>
      </c>
      <c r="J154" s="15">
        <v>9</v>
      </c>
      <c r="K154" s="16">
        <v>10</v>
      </c>
      <c r="L154" s="14">
        <v>14</v>
      </c>
      <c r="M154" s="16">
        <v>15</v>
      </c>
      <c r="N154" s="14"/>
      <c r="O154" s="15"/>
      <c r="P154" s="15"/>
      <c r="Q154" s="15"/>
      <c r="R154" s="16"/>
      <c r="S154" s="14"/>
      <c r="T154" s="15"/>
      <c r="U154" s="15"/>
      <c r="V154" s="15"/>
      <c r="W154" s="16"/>
      <c r="X154" s="805"/>
      <c r="Y154" s="806"/>
      <c r="Z154" s="806"/>
      <c r="AA154" s="806"/>
      <c r="AB154" s="806"/>
      <c r="AC154" s="806"/>
      <c r="AD154" s="806"/>
      <c r="AE154" s="807"/>
      <c r="AF154" s="14">
        <v>11</v>
      </c>
      <c r="AG154" s="15">
        <v>12</v>
      </c>
      <c r="AH154" s="16">
        <v>13</v>
      </c>
      <c r="AI154" s="114"/>
      <c r="AJ154" s="115"/>
      <c r="AK154" s="116"/>
      <c r="AL154"/>
      <c r="AM154" s="907"/>
      <c r="AP154" s="3"/>
      <c r="AQ154" s="3"/>
      <c r="AR154" s="3"/>
    </row>
    <row r="155" spans="1:44">
      <c r="A155"/>
      <c r="B155" s="803"/>
      <c r="C155" s="803"/>
      <c r="D155" s="911"/>
      <c r="E155" s="911"/>
      <c r="F155" s="911"/>
      <c r="G155" s="911"/>
      <c r="H155" s="911"/>
      <c r="I155" s="912"/>
      <c r="J155" s="912"/>
      <c r="K155" s="912"/>
      <c r="L155" s="912"/>
      <c r="M155" s="912"/>
      <c r="N155" s="912" t="s">
        <v>1324</v>
      </c>
      <c r="O155" s="912"/>
      <c r="P155" s="912"/>
      <c r="Q155" s="912"/>
      <c r="R155" s="912"/>
      <c r="S155" s="912"/>
      <c r="T155" s="912"/>
      <c r="U155" s="912"/>
      <c r="V155" s="912"/>
      <c r="W155" s="912"/>
      <c r="X155" s="912"/>
      <c r="Y155" s="912"/>
      <c r="Z155" s="912"/>
      <c r="AA155" s="912"/>
      <c r="AB155" s="912"/>
      <c r="AC155" s="912"/>
      <c r="AD155" s="912"/>
      <c r="AE155" s="912"/>
      <c r="AF155" s="912"/>
      <c r="AG155" s="912"/>
      <c r="AH155" s="912"/>
      <c r="AI155" s="913"/>
      <c r="AJ155" s="3"/>
      <c r="AK155" s="116"/>
      <c r="AL155"/>
      <c r="AM155" s="907"/>
      <c r="AP155" s="3"/>
      <c r="AQ155" s="3"/>
      <c r="AR155" s="3"/>
    </row>
    <row r="156" spans="1:44" ht="13.8" thickBot="1">
      <c r="A156" s="153"/>
      <c r="B156" s="214"/>
      <c r="C156" s="214"/>
      <c r="D156" s="667"/>
      <c r="E156" s="667"/>
      <c r="F156" s="667"/>
      <c r="G156" s="667"/>
      <c r="H156" s="667"/>
      <c r="I156" s="817"/>
      <c r="J156" s="817"/>
      <c r="K156" s="817"/>
      <c r="L156" s="817"/>
      <c r="M156" s="817"/>
      <c r="N156" s="817"/>
      <c r="O156" s="817"/>
      <c r="P156" s="817"/>
      <c r="Q156" s="817"/>
      <c r="R156" s="817"/>
      <c r="S156" s="817"/>
      <c r="T156" s="817"/>
      <c r="U156" s="817"/>
      <c r="V156" s="817"/>
      <c r="W156" s="817"/>
      <c r="X156" s="817"/>
      <c r="Y156" s="817"/>
      <c r="Z156" s="817"/>
      <c r="AA156" s="817"/>
      <c r="AB156" s="817"/>
      <c r="AC156" s="817"/>
      <c r="AD156" s="817"/>
      <c r="AE156" s="817"/>
      <c r="AF156" s="817"/>
      <c r="AG156" s="817"/>
      <c r="AH156" s="817"/>
      <c r="AI156" s="817"/>
      <c r="AJ156" s="663"/>
      <c r="AK156" s="116"/>
      <c r="AL156"/>
      <c r="AM156" s="907"/>
      <c r="AP156" s="3"/>
      <c r="AQ156" s="3"/>
      <c r="AR156" s="3"/>
    </row>
    <row r="157" spans="1:44" ht="42.75" customHeight="1">
      <c r="A157"/>
      <c r="B157" s="417"/>
      <c r="C157" s="881" t="s">
        <v>1325</v>
      </c>
      <c r="D157" s="882" t="s">
        <v>1143</v>
      </c>
      <c r="E157" s="883" t="s">
        <v>1326</v>
      </c>
      <c r="F157" s="882" t="s">
        <v>1124</v>
      </c>
      <c r="G157" s="884" t="s">
        <v>1327</v>
      </c>
      <c r="H157" s="878" t="s">
        <v>1328</v>
      </c>
      <c r="I157" s="879" t="s">
        <v>1099</v>
      </c>
      <c r="J157" s="880" t="s">
        <v>1100</v>
      </c>
      <c r="K157" s="885" t="s">
        <v>1329</v>
      </c>
      <c r="L157" s="882" t="s">
        <v>1330</v>
      </c>
      <c r="M157" s="884" t="s">
        <v>1331</v>
      </c>
      <c r="N157" s="878" t="s">
        <v>1332</v>
      </c>
      <c r="O157" s="879" t="s">
        <v>1333</v>
      </c>
      <c r="P157" s="880" t="s">
        <v>1334</v>
      </c>
      <c r="Q157" s="214"/>
      <c r="R157" s="214"/>
      <c r="S157" s="869" t="s">
        <v>1335</v>
      </c>
      <c r="T157" s="717"/>
      <c r="U157" s="870" t="s">
        <v>1143</v>
      </c>
      <c r="V157" s="870" t="s">
        <v>1336</v>
      </c>
      <c r="W157" s="871" t="s">
        <v>1326</v>
      </c>
      <c r="X157" s="872" t="s">
        <v>1124</v>
      </c>
      <c r="Y157" s="873" t="s">
        <v>1337</v>
      </c>
      <c r="Z157" s="874" t="s">
        <v>1338</v>
      </c>
      <c r="AA157" s="875" t="s">
        <v>1339</v>
      </c>
      <c r="AB157" s="876" t="s">
        <v>1340</v>
      </c>
      <c r="AC157" s="872" t="s">
        <v>1329</v>
      </c>
      <c r="AD157" s="877" t="s">
        <v>1330</v>
      </c>
      <c r="AE157" s="873" t="s">
        <v>1331</v>
      </c>
      <c r="AF157" s="878" t="s">
        <v>1332</v>
      </c>
      <c r="AG157" s="879" t="s">
        <v>1333</v>
      </c>
      <c r="AH157" s="880" t="s">
        <v>1334</v>
      </c>
      <c r="AI157" s="880" t="s">
        <v>677</v>
      </c>
      <c r="AJ157" s="817"/>
      <c r="AK157" s="214"/>
      <c r="AO157" s="3"/>
      <c r="AQ157" s="3"/>
      <c r="AR157" s="3"/>
    </row>
    <row r="158" spans="1:44">
      <c r="A158"/>
      <c r="B158" s="813"/>
      <c r="C158" s="818">
        <v>1</v>
      </c>
      <c r="D158" s="662">
        <v>2</v>
      </c>
      <c r="E158" s="818">
        <v>3</v>
      </c>
      <c r="F158" s="662">
        <v>4</v>
      </c>
      <c r="G158" s="818">
        <v>5</v>
      </c>
      <c r="H158" s="662">
        <v>6</v>
      </c>
      <c r="I158" s="818">
        <v>7</v>
      </c>
      <c r="J158" s="662">
        <v>8</v>
      </c>
      <c r="K158" s="818">
        <v>9</v>
      </c>
      <c r="L158" s="662">
        <v>10</v>
      </c>
      <c r="M158" s="818">
        <v>11</v>
      </c>
      <c r="N158" s="662">
        <v>12</v>
      </c>
      <c r="O158" s="818">
        <v>13</v>
      </c>
      <c r="P158" s="662">
        <v>14</v>
      </c>
      <c r="Q158" s="819">
        <v>15</v>
      </c>
      <c r="R158" s="214"/>
      <c r="S158" s="214"/>
      <c r="T158" s="817">
        <v>1</v>
      </c>
      <c r="U158" s="817">
        <v>2</v>
      </c>
      <c r="V158" s="817">
        <v>3</v>
      </c>
      <c r="W158" s="820">
        <v>4</v>
      </c>
      <c r="X158" s="817">
        <v>5</v>
      </c>
      <c r="Y158" s="817">
        <v>6</v>
      </c>
      <c r="Z158" s="821">
        <v>7</v>
      </c>
      <c r="AA158" s="822">
        <v>8</v>
      </c>
      <c r="AB158" s="823">
        <v>9</v>
      </c>
      <c r="AC158" s="817">
        <v>10</v>
      </c>
      <c r="AD158" s="817">
        <v>11</v>
      </c>
      <c r="AE158" s="817">
        <v>12</v>
      </c>
      <c r="AF158" s="817">
        <v>13</v>
      </c>
      <c r="AG158" s="817">
        <v>14</v>
      </c>
      <c r="AH158" s="817">
        <v>15</v>
      </c>
      <c r="AI158" s="817">
        <v>16</v>
      </c>
      <c r="AJ158" s="817"/>
      <c r="AK158" s="214"/>
      <c r="AO158" s="3"/>
      <c r="AQ158" s="3"/>
      <c r="AR158" s="3"/>
    </row>
    <row r="159" spans="1:44">
      <c r="A159"/>
      <c r="B159" s="813"/>
      <c r="C159" s="818" t="str">
        <f>IF(ISBLANK(Hofdung!B13),Hofdung!A13,Hofdung!B13)</f>
        <v>Milchviehgülle</v>
      </c>
      <c r="D159" s="22">
        <f>Hofdung!F13</f>
        <v>0</v>
      </c>
      <c r="E159" s="22">
        <f>Hofdung!F13-Hofdung!G13</f>
        <v>0</v>
      </c>
      <c r="F159" s="824">
        <f>Hofdung!H13</f>
        <v>0</v>
      </c>
      <c r="G159" s="825">
        <f>Hofdung!I13</f>
        <v>0</v>
      </c>
      <c r="H159" s="826">
        <f>Hofdung!J13</f>
        <v>0</v>
      </c>
      <c r="I159" s="824">
        <f>Hofdung!K13</f>
        <v>0</v>
      </c>
      <c r="J159" s="827">
        <f>Hofdung!L13</f>
        <v>0</v>
      </c>
      <c r="K159" s="828">
        <f>Hofdung!M13</f>
        <v>0</v>
      </c>
      <c r="L159" s="824">
        <f>Hofdung!N13</f>
        <v>1</v>
      </c>
      <c r="M159" s="825" t="str">
        <f>Hofdung!O13</f>
        <v>WD</v>
      </c>
      <c r="N159" s="829">
        <f>IFERROR($E159*H159,0)</f>
        <v>0</v>
      </c>
      <c r="O159" s="695">
        <f>IFERROR($E159*I159,0)</f>
        <v>0</v>
      </c>
      <c r="P159" s="830">
        <f>IFERROR($E159*J159,0)</f>
        <v>0</v>
      </c>
      <c r="Q159" s="214"/>
      <c r="R159" s="214"/>
      <c r="S159" s="831"/>
      <c r="T159" s="832">
        <f>Düngeplanung!Y8</f>
        <v>0</v>
      </c>
      <c r="U159" s="154">
        <f>IF(T159=0,0,VLOOKUP(T159,$C$158:$P$204,2,0))</f>
        <v>0</v>
      </c>
      <c r="V159" s="155">
        <f>IF(ISNA($U159),0,U159)</f>
        <v>0</v>
      </c>
      <c r="W159" s="820">
        <f>IF($T159=0,0,VLOOKUP(T159,$C$158:$P$204,3,0))</f>
        <v>0</v>
      </c>
      <c r="X159" s="154">
        <f>IF($T159=0,0,VLOOKUP(T159,$C$158:$P$204,4,0))</f>
        <v>0</v>
      </c>
      <c r="Y159" s="155">
        <f>IF($T159=0,0,VLOOKUP(T159,$C$158:$P$204,5,0))</f>
        <v>0</v>
      </c>
      <c r="Z159" s="833">
        <f>IF($T159=0,0,VLOOKUP(T159,$C$158:$P$204,6,0))</f>
        <v>0</v>
      </c>
      <c r="AA159" s="834">
        <f>IF($T159=0,0,VLOOKUP(T159,$C$158:$P$204,7,0))</f>
        <v>0</v>
      </c>
      <c r="AB159" s="835">
        <f>IF($T159=0,0,VLOOKUP(T159,$C$158:$P$204,8,0))</f>
        <v>0</v>
      </c>
      <c r="AC159" s="155">
        <f>IF($T159=0,0,VLOOKUP(T159,$C$158:$P$204,9,0))</f>
        <v>0</v>
      </c>
      <c r="AD159" s="156">
        <f>IF($T159=0,0,VLOOKUP(T159,$C$158:$P$204,10,0))</f>
        <v>0</v>
      </c>
      <c r="AE159" s="155">
        <f>IF($T159=0,0,VLOOKUP(T159,$C$158:$P$204,11,0))</f>
        <v>0</v>
      </c>
      <c r="AF159" s="829">
        <f t="shared" ref="AF159:AH162" si="68">$W159*Z159</f>
        <v>0</v>
      </c>
      <c r="AG159" s="695">
        <f t="shared" si="68"/>
        <v>0</v>
      </c>
      <c r="AH159" s="830">
        <f t="shared" si="68"/>
        <v>0</v>
      </c>
      <c r="AI159" s="830">
        <f>Düngeplanung!AA8</f>
        <v>0</v>
      </c>
      <c r="AJ159" s="663">
        <f>Düngeplanung!Y8</f>
        <v>0</v>
      </c>
      <c r="AK159" s="214"/>
      <c r="AO159" s="3"/>
      <c r="AQ159" s="3"/>
      <c r="AR159" s="3"/>
    </row>
    <row r="160" spans="1:44">
      <c r="A160"/>
      <c r="B160" s="813"/>
      <c r="C160" s="818" t="str">
        <f>IF(ISBLANK(Hofdung!B14),Hofdung!A14,Hofdung!B14)</f>
        <v>Schweinegülle</v>
      </c>
      <c r="D160" s="22">
        <f>Hofdung!F14</f>
        <v>0</v>
      </c>
      <c r="E160" s="22">
        <f>Hofdung!F14-Hofdung!G14</f>
        <v>0</v>
      </c>
      <c r="F160" s="824">
        <f>Hofdung!H14</f>
        <v>0</v>
      </c>
      <c r="G160" s="825">
        <f>Hofdung!I14</f>
        <v>0</v>
      </c>
      <c r="H160" s="826">
        <f>Hofdung!J14</f>
        <v>0</v>
      </c>
      <c r="I160" s="824">
        <f>Hofdung!K14</f>
        <v>0</v>
      </c>
      <c r="J160" s="827">
        <f>Hofdung!L14</f>
        <v>0</v>
      </c>
      <c r="K160" s="828">
        <f>Hofdung!M14</f>
        <v>0</v>
      </c>
      <c r="L160" s="824">
        <f>Hofdung!N14</f>
        <v>1</v>
      </c>
      <c r="M160" s="831" t="s">
        <v>1341</v>
      </c>
      <c r="N160" s="829">
        <f t="shared" ref="N160:N178" si="69">IFERROR($E160*H160,0)</f>
        <v>0</v>
      </c>
      <c r="O160" s="695">
        <f t="shared" ref="O160:O203" si="70">IFERROR($E160*I160,0)</f>
        <v>0</v>
      </c>
      <c r="P160" s="830">
        <f t="shared" ref="P160:P203" si="71">IFERROR($E160*J160,0)</f>
        <v>0</v>
      </c>
      <c r="Q160" s="214"/>
      <c r="R160" s="214"/>
      <c r="S160" s="831"/>
      <c r="T160" s="832">
        <f>Düngeplanung!Y9</f>
        <v>0</v>
      </c>
      <c r="U160" s="154">
        <f>IF(T160=0,0,VLOOKUP(T160,$C$158:$P$204,2,0))</f>
        <v>0</v>
      </c>
      <c r="V160" s="155">
        <f>IF(ISNA($U160),0,U160)</f>
        <v>0</v>
      </c>
      <c r="W160" s="820">
        <f>IF($T160=0,0,VLOOKUP(T160,$C$158:$P$204,3,0))</f>
        <v>0</v>
      </c>
      <c r="X160" s="154">
        <f>IF($T160=0,0,VLOOKUP(T160,$C$158:$P$204,4,0))</f>
        <v>0</v>
      </c>
      <c r="Y160" s="155">
        <f>IF($T160=0,0,VLOOKUP(T160,$C$158:$P$204,5,0))</f>
        <v>0</v>
      </c>
      <c r="Z160" s="833">
        <f>IF($T160=0,0,VLOOKUP(T160,$C$158:$P$204,6,0))</f>
        <v>0</v>
      </c>
      <c r="AA160" s="834">
        <f>IF($T160=0,0,VLOOKUP(T160,$C$158:$P$204,7,0))</f>
        <v>0</v>
      </c>
      <c r="AB160" s="835">
        <f>IF($T160=0,0,VLOOKUP(T160,$C$158:$P$204,8,0))</f>
        <v>0</v>
      </c>
      <c r="AC160" s="155">
        <f>IF($T160=0,0,VLOOKUP(T160,$C$158:$P$204,9,0))</f>
        <v>0</v>
      </c>
      <c r="AD160" s="156">
        <f>IF($T160=0,0,VLOOKUP(T160,$C$158:$P$204,10,0))</f>
        <v>0</v>
      </c>
      <c r="AE160" s="155">
        <f>IF($T160=0,0,VLOOKUP(T160,$C$158:$P$204,11,0))</f>
        <v>0</v>
      </c>
      <c r="AF160" s="829">
        <f t="shared" si="68"/>
        <v>0</v>
      </c>
      <c r="AG160" s="695">
        <f t="shared" si="68"/>
        <v>0</v>
      </c>
      <c r="AH160" s="830">
        <f t="shared" si="68"/>
        <v>0</v>
      </c>
      <c r="AI160" s="830">
        <f>Düngeplanung!AA9</f>
        <v>0</v>
      </c>
      <c r="AJ160" s="663">
        <f>Düngeplanung!Y9</f>
        <v>0</v>
      </c>
      <c r="AK160" s="214"/>
      <c r="AO160" s="3"/>
      <c r="AQ160" s="3"/>
      <c r="AR160" s="3"/>
    </row>
    <row r="161" spans="1:44">
      <c r="A161"/>
      <c r="B161" s="813"/>
      <c r="C161" s="818" t="str">
        <f>IF(ISBLANK(Hofdung!B15),Hofdung!A15,Hofdung!B15)</f>
        <v>Geflügelgülle</v>
      </c>
      <c r="D161" s="22">
        <f>Hofdung!F15</f>
        <v>0</v>
      </c>
      <c r="E161" s="22">
        <f>Hofdung!F15-Hofdung!G15</f>
        <v>0</v>
      </c>
      <c r="F161" s="824">
        <f>Hofdung!H15</f>
        <v>0</v>
      </c>
      <c r="G161" s="825">
        <f>Hofdung!I15</f>
        <v>0</v>
      </c>
      <c r="H161" s="826">
        <f>Hofdung!J15</f>
        <v>0</v>
      </c>
      <c r="I161" s="824">
        <f>Hofdung!K15</f>
        <v>0</v>
      </c>
      <c r="J161" s="827">
        <f>Hofdung!L15</f>
        <v>0</v>
      </c>
      <c r="K161" s="828">
        <f>Hofdung!M15</f>
        <v>0</v>
      </c>
      <c r="L161" s="824">
        <f>Hofdung!N15</f>
        <v>1</v>
      </c>
      <c r="M161" s="831" t="s">
        <v>1341</v>
      </c>
      <c r="N161" s="829">
        <f t="shared" si="69"/>
        <v>0</v>
      </c>
      <c r="O161" s="695">
        <f t="shared" si="70"/>
        <v>0</v>
      </c>
      <c r="P161" s="830">
        <f t="shared" si="71"/>
        <v>0</v>
      </c>
      <c r="Q161" s="214"/>
      <c r="R161" s="214"/>
      <c r="S161" s="831"/>
      <c r="T161" s="832">
        <f>Düngeplanung!Y10</f>
        <v>0</v>
      </c>
      <c r="U161" s="154">
        <f>IF(T161=0,0,VLOOKUP(T161,$C$158:$P$204,2,0))</f>
        <v>0</v>
      </c>
      <c r="V161" s="155">
        <f>IF(ISNA($U161),0,U161)</f>
        <v>0</v>
      </c>
      <c r="W161" s="820">
        <f>IF($T161=0,0,VLOOKUP(T161,$C$158:$P$204,3,0))</f>
        <v>0</v>
      </c>
      <c r="X161" s="154">
        <f>IF($T161=0,0,VLOOKUP(T161,$C$158:$P$204,4,0))</f>
        <v>0</v>
      </c>
      <c r="Y161" s="155">
        <f>IF($T161=0,0,VLOOKUP(T161,$C$158:$P$204,5,0))</f>
        <v>0</v>
      </c>
      <c r="Z161" s="833">
        <f>IF($T161=0,0,VLOOKUP(T161,$C$158:$P$204,6,0))</f>
        <v>0</v>
      </c>
      <c r="AA161" s="834">
        <f>IF($T161=0,0,VLOOKUP(T161,$C$158:$P$204,7,0))</f>
        <v>0</v>
      </c>
      <c r="AB161" s="835">
        <f>IF($T161=0,0,VLOOKUP(T161,$C$158:$P$204,8,0))</f>
        <v>0</v>
      </c>
      <c r="AC161" s="155">
        <f>IF($T161=0,0,VLOOKUP(T161,$C$158:$P$204,9,0))</f>
        <v>0</v>
      </c>
      <c r="AD161" s="156">
        <f>IF($T161=0,0,VLOOKUP(T161,$C$158:$P$204,10,0))</f>
        <v>0</v>
      </c>
      <c r="AE161" s="155">
        <f>IF($T161=0,0,VLOOKUP(T161,$C$158:$P$204,11,0))</f>
        <v>0</v>
      </c>
      <c r="AF161" s="829">
        <f t="shared" si="68"/>
        <v>0</v>
      </c>
      <c r="AG161" s="695">
        <f t="shared" si="68"/>
        <v>0</v>
      </c>
      <c r="AH161" s="830">
        <f t="shared" si="68"/>
        <v>0</v>
      </c>
      <c r="AI161" s="830">
        <f>Düngeplanung!AA10</f>
        <v>0</v>
      </c>
      <c r="AJ161" s="663">
        <f>Düngeplanung!Y10</f>
        <v>0</v>
      </c>
      <c r="AK161" s="214"/>
      <c r="AO161" s="3"/>
      <c r="AQ161" s="3"/>
      <c r="AR161" s="3"/>
    </row>
    <row r="162" spans="1:44">
      <c r="A162"/>
      <c r="B162" s="813"/>
      <c r="C162" s="818" t="str">
        <f>IF(ISBLANK(Hofdung!B16),Hofdung!A16,Hofdung!B16)</f>
        <v>Jauche</v>
      </c>
      <c r="D162" s="22">
        <f>Hofdung!F16</f>
        <v>0</v>
      </c>
      <c r="E162" s="22">
        <f>Hofdung!F16-Hofdung!G16</f>
        <v>0</v>
      </c>
      <c r="F162" s="824">
        <f>Hofdung!H16</f>
        <v>0</v>
      </c>
      <c r="G162" s="825">
        <f>Hofdung!I16</f>
        <v>0</v>
      </c>
      <c r="H162" s="826">
        <f>Hofdung!J16</f>
        <v>0</v>
      </c>
      <c r="I162" s="824">
        <f>Hofdung!K16</f>
        <v>0</v>
      </c>
      <c r="J162" s="827">
        <f>Hofdung!L16</f>
        <v>0</v>
      </c>
      <c r="K162" s="828">
        <f>Hofdung!M16</f>
        <v>0</v>
      </c>
      <c r="L162" s="824">
        <f>Hofdung!N16</f>
        <v>1</v>
      </c>
      <c r="M162" s="831" t="s">
        <v>1341</v>
      </c>
      <c r="N162" s="829">
        <f t="shared" si="69"/>
        <v>0</v>
      </c>
      <c r="O162" s="695">
        <f t="shared" si="70"/>
        <v>0</v>
      </c>
      <c r="P162" s="830">
        <f t="shared" si="71"/>
        <v>0</v>
      </c>
      <c r="Q162" s="214"/>
      <c r="R162" s="214"/>
      <c r="S162" s="831"/>
      <c r="T162" s="832">
        <f>Düngeplanung!Y11</f>
        <v>0</v>
      </c>
      <c r="U162" s="154">
        <f>IF(T162=0,0,VLOOKUP(T162,$C$158:$P$204,2,0))</f>
        <v>0</v>
      </c>
      <c r="V162" s="155">
        <f>IF(ISNA($U162),0,U162)</f>
        <v>0</v>
      </c>
      <c r="W162" s="820">
        <f>IF($T162=0,0,VLOOKUP(T162,$C$158:$P$204,3,0))</f>
        <v>0</v>
      </c>
      <c r="X162" s="154">
        <f>IF($T162=0,0,VLOOKUP(T162,$C$158:$P$204,4,0))</f>
        <v>0</v>
      </c>
      <c r="Y162" s="155">
        <f>IF($T162=0,0,VLOOKUP(T162,$C$158:$P$204,5,0))</f>
        <v>0</v>
      </c>
      <c r="Z162" s="833">
        <f>IF($T162=0,0,VLOOKUP(T162,$C$158:$P$204,6,0))</f>
        <v>0</v>
      </c>
      <c r="AA162" s="834">
        <f>IF($T162=0,0,VLOOKUP(T162,$C$158:$P$204,7,0))</f>
        <v>0</v>
      </c>
      <c r="AB162" s="835">
        <f>IF($T162=0,0,VLOOKUP(T162,$C$158:$P$204,8,0))</f>
        <v>0</v>
      </c>
      <c r="AC162" s="155">
        <f>IF($T162=0,0,VLOOKUP(T162,$C$158:$P$204,9,0))</f>
        <v>0</v>
      </c>
      <c r="AD162" s="156">
        <f>IF($T162=0,0,VLOOKUP(T162,$C$158:$P$204,10,0))</f>
        <v>0</v>
      </c>
      <c r="AE162" s="155">
        <f>IF($T162=0,0,VLOOKUP(T162,$C$158:$P$204,11,0))</f>
        <v>0</v>
      </c>
      <c r="AF162" s="829">
        <f t="shared" si="68"/>
        <v>0</v>
      </c>
      <c r="AG162" s="695">
        <f t="shared" si="68"/>
        <v>0</v>
      </c>
      <c r="AH162" s="830">
        <f t="shared" si="68"/>
        <v>0</v>
      </c>
      <c r="AI162" s="830">
        <f>Düngeplanung!AA11</f>
        <v>0</v>
      </c>
      <c r="AJ162" s="663">
        <f>Düngeplanung!Y11</f>
        <v>0</v>
      </c>
      <c r="AK162" s="214"/>
      <c r="AO162" s="3"/>
      <c r="AQ162" s="3"/>
      <c r="AR162" s="3"/>
    </row>
    <row r="163" spans="1:44">
      <c r="A163"/>
      <c r="B163" s="813"/>
      <c r="C163" s="818" t="str">
        <f>IF(ISBLANK(Hofdung!B17),Hofdung!A17,Hofdung!B17)</f>
        <v xml:space="preserve">Mist  </v>
      </c>
      <c r="D163" s="22">
        <f>Hofdung!F17</f>
        <v>0</v>
      </c>
      <c r="E163" s="22">
        <f>Hofdung!F17-Hofdung!G17</f>
        <v>0</v>
      </c>
      <c r="F163" s="824">
        <f>Hofdung!H17</f>
        <v>0</v>
      </c>
      <c r="G163" s="825">
        <f>Hofdung!I17</f>
        <v>0</v>
      </c>
      <c r="H163" s="826">
        <f>Hofdung!J17</f>
        <v>0</v>
      </c>
      <c r="I163" s="824">
        <f>Hofdung!K17</f>
        <v>0</v>
      </c>
      <c r="J163" s="827">
        <f>Hofdung!L17</f>
        <v>0</v>
      </c>
      <c r="K163" s="836">
        <f>Hofdung!M17</f>
        <v>0.15</v>
      </c>
      <c r="L163" s="824">
        <f>Hofdung!N17</f>
        <v>1</v>
      </c>
      <c r="M163" s="831" t="s">
        <v>1341</v>
      </c>
      <c r="N163" s="829">
        <f t="shared" si="69"/>
        <v>0</v>
      </c>
      <c r="O163" s="695">
        <f t="shared" si="70"/>
        <v>0</v>
      </c>
      <c r="P163" s="830">
        <f t="shared" si="71"/>
        <v>0</v>
      </c>
      <c r="Q163" s="214"/>
      <c r="R163" s="214"/>
      <c r="S163" s="831"/>
      <c r="T163" s="832">
        <f>Düngeplanung!Y12</f>
        <v>0</v>
      </c>
      <c r="U163" s="154">
        <f>IF(T163=0,0,VLOOKUP(T163,$C$158:$P$204,2,0))</f>
        <v>0</v>
      </c>
      <c r="V163" s="155">
        <f>IF(ISNA($U163),0,U163)</f>
        <v>0</v>
      </c>
      <c r="W163" s="820">
        <f>IF($T163=0,0,VLOOKUP(T163,$C$158:$P$204,3,0))</f>
        <v>0</v>
      </c>
      <c r="X163" s="154">
        <f>IF($T163=0,0,VLOOKUP(T163,$C$158:$P$204,4,0))</f>
        <v>0</v>
      </c>
      <c r="Y163" s="155">
        <f>IF($T163=0,0,VLOOKUP(T163,$C$158:$P$204,5,0))</f>
        <v>0</v>
      </c>
      <c r="Z163" s="833">
        <f>IF($T163=0,0,VLOOKUP(T163,$C$158:$P$204,6,0))</f>
        <v>0</v>
      </c>
      <c r="AA163" s="834">
        <f>IF($T163=0,0,VLOOKUP(T163,$C$158:$P$204,7,0))</f>
        <v>0</v>
      </c>
      <c r="AB163" s="835">
        <f>IF($T163=0,0,VLOOKUP(T163,$C$158:$P$204,8,0))</f>
        <v>0</v>
      </c>
      <c r="AC163" s="155">
        <f>IF($T163=0,0,VLOOKUP(T163,$C$158:$P$204,9,0))</f>
        <v>0</v>
      </c>
      <c r="AD163" s="156">
        <f>IF($T163=0,0,VLOOKUP(T163,$C$158:$P$204,10,0))</f>
        <v>0</v>
      </c>
      <c r="AE163" s="155">
        <f>IF($T163=0,0,VLOOKUP(T163,$C$158:$P$204,11,0))</f>
        <v>0</v>
      </c>
      <c r="AF163" s="829">
        <f>$W163*Z163</f>
        <v>0</v>
      </c>
      <c r="AG163" s="695">
        <f>$W163*AA163</f>
        <v>0</v>
      </c>
      <c r="AH163" s="830">
        <f>$W163*AB163</f>
        <v>0</v>
      </c>
      <c r="AI163" s="830">
        <f>Düngeplanung!AA12</f>
        <v>0</v>
      </c>
      <c r="AJ163" s="663">
        <f>Düngeplanung!Y12</f>
        <v>0</v>
      </c>
      <c r="AK163" s="667"/>
      <c r="AO163" s="3"/>
      <c r="AQ163" s="3"/>
      <c r="AR163" s="3"/>
    </row>
    <row r="164" spans="1:44">
      <c r="A164"/>
      <c r="B164" s="813"/>
      <c r="C164" s="818" t="str">
        <f>IF(ISBLANK(Hofdung!B18),Hofdung!A18,Hofdung!B18)</f>
        <v>Mist 2</v>
      </c>
      <c r="D164" s="22">
        <f>Hofdung!F18</f>
        <v>0</v>
      </c>
      <c r="E164" s="22">
        <f>Hofdung!F18-Hofdung!G18</f>
        <v>0</v>
      </c>
      <c r="F164" s="824">
        <f>Hofdung!H18</f>
        <v>0</v>
      </c>
      <c r="G164" s="825">
        <f>Hofdung!I18</f>
        <v>0</v>
      </c>
      <c r="H164" s="826">
        <f>Hofdung!J18</f>
        <v>0</v>
      </c>
      <c r="I164" s="824">
        <f>Hofdung!K18</f>
        <v>0</v>
      </c>
      <c r="J164" s="827">
        <f>Hofdung!L18</f>
        <v>0</v>
      </c>
      <c r="K164" s="836">
        <f>Hofdung!M18</f>
        <v>0.15</v>
      </c>
      <c r="L164" s="824">
        <f>Hofdung!N18</f>
        <v>1</v>
      </c>
      <c r="M164" s="831" t="s">
        <v>1341</v>
      </c>
      <c r="N164" s="829">
        <f t="shared" si="69"/>
        <v>0</v>
      </c>
      <c r="O164" s="695">
        <f t="shared" si="70"/>
        <v>0</v>
      </c>
      <c r="P164" s="830">
        <f t="shared" si="71"/>
        <v>0</v>
      </c>
      <c r="Q164" s="214"/>
      <c r="R164" s="214"/>
      <c r="S164" s="892"/>
      <c r="T164" s="893" t="s">
        <v>1687</v>
      </c>
      <c r="U164" s="892"/>
      <c r="V164" s="892"/>
      <c r="W164" s="892"/>
      <c r="X164" s="892"/>
      <c r="Y164" s="892"/>
      <c r="Z164" s="892"/>
      <c r="AA164" s="892"/>
      <c r="AB164" s="892"/>
      <c r="AC164" s="892"/>
      <c r="AD164" s="892"/>
      <c r="AE164" s="892"/>
      <c r="AF164" s="894"/>
      <c r="AG164" s="895"/>
      <c r="AH164" s="896"/>
      <c r="AI164" s="896"/>
      <c r="AJ164" s="837" t="str">
        <f>Düngeplanung!Y13</f>
        <v>Geplante / vorhandene Mineraldünger</v>
      </c>
      <c r="AK164" s="214"/>
      <c r="AO164" s="3"/>
      <c r="AQ164" s="3"/>
      <c r="AR164" s="3"/>
    </row>
    <row r="165" spans="1:44">
      <c r="A165" s="1">
        <v>4</v>
      </c>
      <c r="B165" s="813"/>
      <c r="C165" s="818" t="str">
        <f>IF(ISTEXT(Hofdung!B21),Hofdung!B21,Hofdung!A21)</f>
        <v>Biogasgülle 1</v>
      </c>
      <c r="D165" s="22">
        <f>Hofdung!F21</f>
        <v>0</v>
      </c>
      <c r="E165" s="22">
        <f t="shared" ref="E165:E193" si="72">D165</f>
        <v>0</v>
      </c>
      <c r="F165" s="824">
        <f>Hofdung!H21</f>
        <v>0</v>
      </c>
      <c r="G165" s="825">
        <f>Hofdung!I21</f>
        <v>0</v>
      </c>
      <c r="H165" s="826">
        <f>Hofdung!J21</f>
        <v>0</v>
      </c>
      <c r="I165" s="824">
        <f>Hofdung!K21</f>
        <v>0</v>
      </c>
      <c r="J165" s="827">
        <f>Hofdung!L21</f>
        <v>0</v>
      </c>
      <c r="K165" s="828">
        <f>Hofdung!M21</f>
        <v>0</v>
      </c>
      <c r="L165" s="824">
        <f>Hofdung!N21</f>
        <v>0</v>
      </c>
      <c r="M165" s="825" t="str">
        <f>Hofdung!O21</f>
        <v>WD</v>
      </c>
      <c r="N165" s="829">
        <f t="shared" si="69"/>
        <v>0</v>
      </c>
      <c r="O165" s="695">
        <f t="shared" si="70"/>
        <v>0</v>
      </c>
      <c r="P165" s="830">
        <f t="shared" si="71"/>
        <v>0</v>
      </c>
      <c r="Q165" s="667"/>
      <c r="R165" s="667"/>
      <c r="S165" s="838"/>
      <c r="T165" s="832">
        <f>Düngeplanung!Y14</f>
        <v>0</v>
      </c>
      <c r="U165" s="154">
        <f t="shared" ref="U165:U172" si="73">IF(T165=0,0,VLOOKUP(T165,$C$158:$P$204,2,0))</f>
        <v>0</v>
      </c>
      <c r="V165" s="155">
        <f t="shared" ref="V165:V172" si="74">IF(ISNA($U165),0,U165)</f>
        <v>0</v>
      </c>
      <c r="W165" s="820">
        <f t="shared" ref="W165:W172" si="75">IF($T165=0,0,VLOOKUP(T165,$C$158:$P$204,3,0))</f>
        <v>0</v>
      </c>
      <c r="X165" s="154">
        <f t="shared" ref="X165:X172" si="76">IF($T165=0,0,VLOOKUP(T165,$C$158:$P$204,4,0))</f>
        <v>0</v>
      </c>
      <c r="Y165" s="155">
        <f t="shared" ref="Y165:Y172" si="77">IF($T165=0,0,VLOOKUP(T165,$C$158:$P$204,5,0))</f>
        <v>0</v>
      </c>
      <c r="Z165" s="833">
        <f t="shared" ref="Z165:Z172" si="78">IF($T165=0,0,VLOOKUP(T165,$C$158:$P$204,6,0))</f>
        <v>0</v>
      </c>
      <c r="AA165" s="834">
        <f t="shared" ref="AA165:AA172" si="79">IF($T165=0,0,VLOOKUP(T165,$C$158:$P$204,7,0))</f>
        <v>0</v>
      </c>
      <c r="AB165" s="835">
        <f t="shared" ref="AB165:AB172" si="80">IF($T165=0,0,VLOOKUP(T165,$C$158:$P$204,8,0))</f>
        <v>0</v>
      </c>
      <c r="AC165" s="155">
        <f t="shared" ref="AC165:AC172" si="81">IF($T165=0,0,VLOOKUP(T165,$C$158:$P$204,9,0))</f>
        <v>0</v>
      </c>
      <c r="AD165" s="156">
        <f t="shared" ref="AD165:AD172" si="82">IF($T165=0,0,VLOOKUP(T165,$C$158:$P$204,10,0))</f>
        <v>0</v>
      </c>
      <c r="AE165" s="155">
        <f t="shared" ref="AE165:AE172" si="83">IF($T165=0,0,VLOOKUP(T165,$C$158:$P$204,11,0))</f>
        <v>0</v>
      </c>
      <c r="AF165" s="829">
        <f t="shared" ref="AF165:AH172" si="84">$W165*Z165</f>
        <v>0</v>
      </c>
      <c r="AG165" s="695">
        <f t="shared" si="84"/>
        <v>0</v>
      </c>
      <c r="AH165" s="830">
        <f t="shared" si="84"/>
        <v>0</v>
      </c>
      <c r="AI165" s="830">
        <f>Düngeplanung!AA14</f>
        <v>0</v>
      </c>
      <c r="AJ165" s="817"/>
      <c r="AK165" s="214"/>
      <c r="AO165" s="3"/>
      <c r="AQ165" s="3"/>
      <c r="AR165" s="3"/>
    </row>
    <row r="166" spans="1:44" ht="12.75" customHeight="1">
      <c r="A166" s="1">
        <v>5</v>
      </c>
      <c r="B166" s="813"/>
      <c r="C166" s="818" t="str">
        <f>IF(ISTEXT(Hofdung!B22),Hofdung!B22,Hofdung!A22)</f>
        <v>…</v>
      </c>
      <c r="D166" s="22">
        <f>Hofdung!F22</f>
        <v>0</v>
      </c>
      <c r="E166" s="22">
        <f t="shared" si="72"/>
        <v>0</v>
      </c>
      <c r="F166" s="824">
        <f>Hofdung!H22</f>
        <v>0</v>
      </c>
      <c r="G166" s="825">
        <f>Hofdung!I22</f>
        <v>0</v>
      </c>
      <c r="H166" s="826">
        <f>Hofdung!J22</f>
        <v>0</v>
      </c>
      <c r="I166" s="824">
        <f>Hofdung!K22</f>
        <v>0</v>
      </c>
      <c r="J166" s="827">
        <f>Hofdung!L22</f>
        <v>0</v>
      </c>
      <c r="K166" s="828">
        <f>Hofdung!M22</f>
        <v>0</v>
      </c>
      <c r="L166" s="824">
        <f>Hofdung!N22</f>
        <v>0</v>
      </c>
      <c r="M166" s="825" t="str">
        <f>Hofdung!O22</f>
        <v>WD</v>
      </c>
      <c r="N166" s="829">
        <f t="shared" si="69"/>
        <v>0</v>
      </c>
      <c r="O166" s="695">
        <f t="shared" si="70"/>
        <v>0</v>
      </c>
      <c r="P166" s="830">
        <f t="shared" si="71"/>
        <v>0</v>
      </c>
      <c r="Q166" s="667"/>
      <c r="R166" s="667"/>
      <c r="S166" s="838"/>
      <c r="T166" s="832">
        <f>Düngeplanung!Y15</f>
        <v>0</v>
      </c>
      <c r="U166" s="154">
        <f t="shared" si="73"/>
        <v>0</v>
      </c>
      <c r="V166" s="155">
        <f t="shared" si="74"/>
        <v>0</v>
      </c>
      <c r="W166" s="820">
        <f t="shared" si="75"/>
        <v>0</v>
      </c>
      <c r="X166" s="154">
        <f t="shared" si="76"/>
        <v>0</v>
      </c>
      <c r="Y166" s="155">
        <f t="shared" si="77"/>
        <v>0</v>
      </c>
      <c r="Z166" s="833">
        <f t="shared" si="78"/>
        <v>0</v>
      </c>
      <c r="AA166" s="834">
        <f t="shared" si="79"/>
        <v>0</v>
      </c>
      <c r="AB166" s="835">
        <f t="shared" si="80"/>
        <v>0</v>
      </c>
      <c r="AC166" s="155">
        <f t="shared" si="81"/>
        <v>0</v>
      </c>
      <c r="AD166" s="156">
        <f t="shared" si="82"/>
        <v>0</v>
      </c>
      <c r="AE166" s="155">
        <f t="shared" si="83"/>
        <v>0</v>
      </c>
      <c r="AF166" s="829">
        <f t="shared" si="84"/>
        <v>0</v>
      </c>
      <c r="AG166" s="695">
        <f t="shared" si="84"/>
        <v>0</v>
      </c>
      <c r="AH166" s="830">
        <f t="shared" si="84"/>
        <v>0</v>
      </c>
      <c r="AI166" s="830">
        <f>Düngeplanung!AA15</f>
        <v>0</v>
      </c>
      <c r="AJ166" s="817"/>
      <c r="AK166" s="214"/>
      <c r="AO166" s="3"/>
      <c r="AQ166" s="3"/>
      <c r="AR166" s="3"/>
    </row>
    <row r="167" spans="1:44">
      <c r="A167" s="1">
        <v>6</v>
      </c>
      <c r="B167" s="813"/>
      <c r="C167" s="818" t="str">
        <f>IF(ISTEXT(Hofdung!B23),Hofdung!B23,Hofdung!A23)</f>
        <v>…</v>
      </c>
      <c r="D167" s="22">
        <f>Hofdung!F23</f>
        <v>0</v>
      </c>
      <c r="E167" s="22">
        <f t="shared" si="72"/>
        <v>0</v>
      </c>
      <c r="F167" s="824">
        <f>Hofdung!H23</f>
        <v>0</v>
      </c>
      <c r="G167" s="825">
        <f>Hofdung!I23</f>
        <v>0</v>
      </c>
      <c r="H167" s="826">
        <f>Hofdung!J23</f>
        <v>0</v>
      </c>
      <c r="I167" s="824">
        <f>Hofdung!K23</f>
        <v>0</v>
      </c>
      <c r="J167" s="827">
        <f>Hofdung!L23</f>
        <v>0</v>
      </c>
      <c r="K167" s="828">
        <f>Hofdung!M23</f>
        <v>0</v>
      </c>
      <c r="L167" s="824">
        <f>Hofdung!N23</f>
        <v>0</v>
      </c>
      <c r="M167" s="825" t="str">
        <f>Hofdung!O23</f>
        <v>WD</v>
      </c>
      <c r="N167" s="829">
        <f t="shared" si="69"/>
        <v>0</v>
      </c>
      <c r="O167" s="695">
        <f t="shared" si="70"/>
        <v>0</v>
      </c>
      <c r="P167" s="830">
        <f t="shared" si="71"/>
        <v>0</v>
      </c>
      <c r="Q167" s="667"/>
      <c r="R167" s="667"/>
      <c r="S167" s="838"/>
      <c r="T167" s="832">
        <f>Düngeplanung!Y16</f>
        <v>0</v>
      </c>
      <c r="U167" s="154">
        <f t="shared" si="73"/>
        <v>0</v>
      </c>
      <c r="V167" s="155">
        <f t="shared" si="74"/>
        <v>0</v>
      </c>
      <c r="W167" s="820">
        <f t="shared" si="75"/>
        <v>0</v>
      </c>
      <c r="X167" s="154">
        <f t="shared" si="76"/>
        <v>0</v>
      </c>
      <c r="Y167" s="155">
        <f t="shared" si="77"/>
        <v>0</v>
      </c>
      <c r="Z167" s="833">
        <f t="shared" si="78"/>
        <v>0</v>
      </c>
      <c r="AA167" s="834">
        <f t="shared" si="79"/>
        <v>0</v>
      </c>
      <c r="AB167" s="835">
        <f t="shared" si="80"/>
        <v>0</v>
      </c>
      <c r="AC167" s="155">
        <f t="shared" si="81"/>
        <v>0</v>
      </c>
      <c r="AD167" s="156">
        <f t="shared" si="82"/>
        <v>0</v>
      </c>
      <c r="AE167" s="155">
        <f t="shared" si="83"/>
        <v>0</v>
      </c>
      <c r="AF167" s="829">
        <f t="shared" si="84"/>
        <v>0</v>
      </c>
      <c r="AG167" s="695">
        <f t="shared" si="84"/>
        <v>0</v>
      </c>
      <c r="AH167" s="830">
        <f t="shared" si="84"/>
        <v>0</v>
      </c>
      <c r="AI167" s="830">
        <f>Düngeplanung!AA16</f>
        <v>0</v>
      </c>
      <c r="AJ167" s="817"/>
      <c r="AK167" s="214"/>
      <c r="AO167" s="3"/>
      <c r="AQ167" s="3"/>
      <c r="AR167" s="3"/>
    </row>
    <row r="168" spans="1:44">
      <c r="A168" s="1">
        <v>7</v>
      </c>
      <c r="B168" s="813"/>
      <c r="C168" s="818" t="str">
        <f>IF(ISTEXT(Hofdung!B24),Hofdung!B24,Hofdung!A24)</f>
        <v>…</v>
      </c>
      <c r="D168" s="22">
        <f>Hofdung!F24</f>
        <v>0</v>
      </c>
      <c r="E168" s="22">
        <f t="shared" si="72"/>
        <v>0</v>
      </c>
      <c r="F168" s="824">
        <f>Hofdung!H24</f>
        <v>0</v>
      </c>
      <c r="G168" s="825">
        <f>Hofdung!I24</f>
        <v>0</v>
      </c>
      <c r="H168" s="826">
        <f>Hofdung!J24</f>
        <v>0</v>
      </c>
      <c r="I168" s="824">
        <f>Hofdung!K24</f>
        <v>0</v>
      </c>
      <c r="J168" s="827">
        <f>Hofdung!L24</f>
        <v>0</v>
      </c>
      <c r="K168" s="828">
        <f>Hofdung!M24</f>
        <v>0</v>
      </c>
      <c r="L168" s="824">
        <f>Hofdung!N24</f>
        <v>0</v>
      </c>
      <c r="M168" s="825" t="str">
        <f>Hofdung!O24</f>
        <v>WD</v>
      </c>
      <c r="N168" s="829">
        <f t="shared" si="69"/>
        <v>0</v>
      </c>
      <c r="O168" s="695">
        <f t="shared" si="70"/>
        <v>0</v>
      </c>
      <c r="P168" s="830">
        <f t="shared" si="71"/>
        <v>0</v>
      </c>
      <c r="Q168" s="667"/>
      <c r="R168" s="667"/>
      <c r="S168" s="838"/>
      <c r="T168" s="832">
        <f>Düngeplanung!Y17</f>
        <v>0</v>
      </c>
      <c r="U168" s="154">
        <f t="shared" si="73"/>
        <v>0</v>
      </c>
      <c r="V168" s="155">
        <f t="shared" si="74"/>
        <v>0</v>
      </c>
      <c r="W168" s="820">
        <f t="shared" si="75"/>
        <v>0</v>
      </c>
      <c r="X168" s="154">
        <f t="shared" si="76"/>
        <v>0</v>
      </c>
      <c r="Y168" s="155">
        <f t="shared" si="77"/>
        <v>0</v>
      </c>
      <c r="Z168" s="833">
        <f t="shared" si="78"/>
        <v>0</v>
      </c>
      <c r="AA168" s="834">
        <f t="shared" si="79"/>
        <v>0</v>
      </c>
      <c r="AB168" s="835">
        <f t="shared" si="80"/>
        <v>0</v>
      </c>
      <c r="AC168" s="155">
        <f t="shared" si="81"/>
        <v>0</v>
      </c>
      <c r="AD168" s="156">
        <f t="shared" si="82"/>
        <v>0</v>
      </c>
      <c r="AE168" s="155">
        <f t="shared" si="83"/>
        <v>0</v>
      </c>
      <c r="AF168" s="829">
        <f t="shared" si="84"/>
        <v>0</v>
      </c>
      <c r="AG168" s="695">
        <f t="shared" si="84"/>
        <v>0</v>
      </c>
      <c r="AH168" s="830">
        <f t="shared" si="84"/>
        <v>0</v>
      </c>
      <c r="AI168" s="830">
        <f>Düngeplanung!AA17</f>
        <v>0</v>
      </c>
      <c r="AJ168" s="839"/>
      <c r="AK168" s="214"/>
      <c r="AO168" s="3"/>
      <c r="AQ168" s="3"/>
      <c r="AR168" s="3"/>
    </row>
    <row r="169" spans="1:44">
      <c r="A169" s="1">
        <v>8</v>
      </c>
      <c r="B169" s="813"/>
      <c r="C169" s="818" t="str">
        <f>IF(ISTEXT(Hofdung!B25),Hofdung!B25,Hofdung!A25)</f>
        <v>Feststoff 1</v>
      </c>
      <c r="D169" s="22">
        <f>Hofdung!F25</f>
        <v>0</v>
      </c>
      <c r="E169" s="22">
        <f t="shared" si="72"/>
        <v>0</v>
      </c>
      <c r="F169" s="824">
        <f>Hofdung!H25</f>
        <v>0</v>
      </c>
      <c r="G169" s="825">
        <f>Hofdung!I25</f>
        <v>0</v>
      </c>
      <c r="H169" s="826">
        <f>Hofdung!J25</f>
        <v>0</v>
      </c>
      <c r="I169" s="824">
        <f>Hofdung!K25</f>
        <v>0</v>
      </c>
      <c r="J169" s="827">
        <f>Hofdung!L25</f>
        <v>0</v>
      </c>
      <c r="K169" s="828">
        <f>Hofdung!M25</f>
        <v>0</v>
      </c>
      <c r="L169" s="824">
        <f>Hofdung!N25</f>
        <v>0</v>
      </c>
      <c r="M169" s="825" t="str">
        <f>Hofdung!O25</f>
        <v>WD</v>
      </c>
      <c r="N169" s="829">
        <f t="shared" si="69"/>
        <v>0</v>
      </c>
      <c r="O169" s="695">
        <f t="shared" si="70"/>
        <v>0</v>
      </c>
      <c r="P169" s="830">
        <f t="shared" si="71"/>
        <v>0</v>
      </c>
      <c r="Q169" s="667"/>
      <c r="R169" s="667"/>
      <c r="S169" s="838"/>
      <c r="T169" s="832">
        <f>Düngeplanung!Y18</f>
        <v>0</v>
      </c>
      <c r="U169" s="154">
        <f t="shared" si="73"/>
        <v>0</v>
      </c>
      <c r="V169" s="155">
        <f t="shared" si="74"/>
        <v>0</v>
      </c>
      <c r="W169" s="820">
        <f t="shared" si="75"/>
        <v>0</v>
      </c>
      <c r="X169" s="154">
        <f t="shared" si="76"/>
        <v>0</v>
      </c>
      <c r="Y169" s="155">
        <f t="shared" si="77"/>
        <v>0</v>
      </c>
      <c r="Z169" s="833">
        <f t="shared" si="78"/>
        <v>0</v>
      </c>
      <c r="AA169" s="834">
        <f t="shared" si="79"/>
        <v>0</v>
      </c>
      <c r="AB169" s="835">
        <f t="shared" si="80"/>
        <v>0</v>
      </c>
      <c r="AC169" s="155">
        <f t="shared" si="81"/>
        <v>0</v>
      </c>
      <c r="AD169" s="156">
        <f t="shared" si="82"/>
        <v>0</v>
      </c>
      <c r="AE169" s="155">
        <f t="shared" si="83"/>
        <v>0</v>
      </c>
      <c r="AF169" s="829">
        <f t="shared" si="84"/>
        <v>0</v>
      </c>
      <c r="AG169" s="695">
        <f t="shared" si="84"/>
        <v>0</v>
      </c>
      <c r="AH169" s="830">
        <f t="shared" si="84"/>
        <v>0</v>
      </c>
      <c r="AI169" s="830">
        <f>Düngeplanung!AA18</f>
        <v>0</v>
      </c>
      <c r="AJ169" s="839"/>
      <c r="AK169" s="214"/>
      <c r="AO169" s="3"/>
      <c r="AQ169" s="3"/>
      <c r="AR169" s="3"/>
    </row>
    <row r="170" spans="1:44">
      <c r="A170" s="1">
        <v>9</v>
      </c>
      <c r="B170" s="813"/>
      <c r="C170" s="818" t="str">
        <f>IF(ISTEXT(Hofdung!B26),Hofdung!B26,Hofdung!A26)</f>
        <v>……</v>
      </c>
      <c r="D170" s="22">
        <f>Hofdung!F26</f>
        <v>0</v>
      </c>
      <c r="E170" s="22">
        <f t="shared" si="72"/>
        <v>0</v>
      </c>
      <c r="F170" s="824">
        <f>Hofdung!H26</f>
        <v>0</v>
      </c>
      <c r="G170" s="825">
        <f>Hofdung!I26</f>
        <v>0</v>
      </c>
      <c r="H170" s="826">
        <f>Hofdung!J26</f>
        <v>0</v>
      </c>
      <c r="I170" s="824">
        <f>Hofdung!K26</f>
        <v>0</v>
      </c>
      <c r="J170" s="827">
        <f>Hofdung!L26</f>
        <v>0</v>
      </c>
      <c r="K170" s="828">
        <f>Hofdung!M26</f>
        <v>0</v>
      </c>
      <c r="L170" s="824">
        <f>Hofdung!N26</f>
        <v>0</v>
      </c>
      <c r="M170" s="825" t="str">
        <f>Hofdung!O26</f>
        <v>WD</v>
      </c>
      <c r="N170" s="829">
        <f t="shared" si="69"/>
        <v>0</v>
      </c>
      <c r="O170" s="695">
        <f t="shared" si="70"/>
        <v>0</v>
      </c>
      <c r="P170" s="830">
        <f t="shared" si="71"/>
        <v>0</v>
      </c>
      <c r="Q170" s="667"/>
      <c r="R170" s="667"/>
      <c r="S170" s="838"/>
      <c r="T170" s="832">
        <f>Düngeplanung!Y19</f>
        <v>0</v>
      </c>
      <c r="U170" s="154">
        <f t="shared" si="73"/>
        <v>0</v>
      </c>
      <c r="V170" s="155">
        <f t="shared" si="74"/>
        <v>0</v>
      </c>
      <c r="W170" s="820">
        <f t="shared" si="75"/>
        <v>0</v>
      </c>
      <c r="X170" s="154">
        <f t="shared" si="76"/>
        <v>0</v>
      </c>
      <c r="Y170" s="155">
        <f t="shared" si="77"/>
        <v>0</v>
      </c>
      <c r="Z170" s="833">
        <f t="shared" si="78"/>
        <v>0</v>
      </c>
      <c r="AA170" s="834">
        <f t="shared" si="79"/>
        <v>0</v>
      </c>
      <c r="AB170" s="835">
        <f t="shared" si="80"/>
        <v>0</v>
      </c>
      <c r="AC170" s="155">
        <f t="shared" si="81"/>
        <v>0</v>
      </c>
      <c r="AD170" s="156">
        <f t="shared" si="82"/>
        <v>0</v>
      </c>
      <c r="AE170" s="155">
        <f t="shared" si="83"/>
        <v>0</v>
      </c>
      <c r="AF170" s="829">
        <f t="shared" si="84"/>
        <v>0</v>
      </c>
      <c r="AG170" s="695">
        <f t="shared" si="84"/>
        <v>0</v>
      </c>
      <c r="AH170" s="830">
        <f t="shared" si="84"/>
        <v>0</v>
      </c>
      <c r="AI170" s="830">
        <f>Düngeplanung!AA19</f>
        <v>0</v>
      </c>
      <c r="AJ170" s="839"/>
      <c r="AK170" s="214"/>
      <c r="AO170" s="3"/>
      <c r="AQ170" s="3"/>
      <c r="AR170" s="3"/>
    </row>
    <row r="171" spans="1:44">
      <c r="A171" s="1">
        <v>10</v>
      </c>
      <c r="B171" s="813"/>
      <c r="C171" s="818" t="str">
        <f>IF(ISTEXT(Hofdung!B27),Hofdung!B27,Hofdung!A27)</f>
        <v>……</v>
      </c>
      <c r="D171" s="22">
        <f>Hofdung!F27</f>
        <v>0</v>
      </c>
      <c r="E171" s="22">
        <f t="shared" si="72"/>
        <v>0</v>
      </c>
      <c r="F171" s="824">
        <f>Hofdung!H27</f>
        <v>0</v>
      </c>
      <c r="G171" s="825">
        <f>Hofdung!I27</f>
        <v>0</v>
      </c>
      <c r="H171" s="826">
        <f>Hofdung!J27</f>
        <v>0</v>
      </c>
      <c r="I171" s="824">
        <f>Hofdung!K27</f>
        <v>0</v>
      </c>
      <c r="J171" s="827">
        <f>Hofdung!L27</f>
        <v>0</v>
      </c>
      <c r="K171" s="828">
        <f>Hofdung!M27</f>
        <v>0</v>
      </c>
      <c r="L171" s="824">
        <f>Hofdung!N27</f>
        <v>0</v>
      </c>
      <c r="M171" s="825" t="str">
        <f>Hofdung!O27</f>
        <v>WD</v>
      </c>
      <c r="N171" s="829">
        <f t="shared" si="69"/>
        <v>0</v>
      </c>
      <c r="O171" s="695">
        <f t="shared" si="70"/>
        <v>0</v>
      </c>
      <c r="P171" s="830">
        <f t="shared" si="71"/>
        <v>0</v>
      </c>
      <c r="Q171" s="667"/>
      <c r="R171" s="667"/>
      <c r="S171" s="838"/>
      <c r="T171" s="832">
        <f>Düngeplanung!Y20</f>
        <v>0</v>
      </c>
      <c r="U171" s="154">
        <f t="shared" si="73"/>
        <v>0</v>
      </c>
      <c r="V171" s="155">
        <f t="shared" si="74"/>
        <v>0</v>
      </c>
      <c r="W171" s="820">
        <f t="shared" si="75"/>
        <v>0</v>
      </c>
      <c r="X171" s="154">
        <f t="shared" si="76"/>
        <v>0</v>
      </c>
      <c r="Y171" s="155">
        <f t="shared" si="77"/>
        <v>0</v>
      </c>
      <c r="Z171" s="833">
        <f t="shared" si="78"/>
        <v>0</v>
      </c>
      <c r="AA171" s="834">
        <f t="shared" si="79"/>
        <v>0</v>
      </c>
      <c r="AB171" s="835">
        <f t="shared" si="80"/>
        <v>0</v>
      </c>
      <c r="AC171" s="155">
        <f t="shared" si="81"/>
        <v>0</v>
      </c>
      <c r="AD171" s="156">
        <f t="shared" si="82"/>
        <v>0</v>
      </c>
      <c r="AE171" s="155">
        <f t="shared" si="83"/>
        <v>0</v>
      </c>
      <c r="AF171" s="829">
        <f t="shared" si="84"/>
        <v>0</v>
      </c>
      <c r="AG171" s="695">
        <f t="shared" si="84"/>
        <v>0</v>
      </c>
      <c r="AH171" s="830">
        <f t="shared" si="84"/>
        <v>0</v>
      </c>
      <c r="AI171" s="830">
        <f>Düngeplanung!AA20</f>
        <v>0</v>
      </c>
      <c r="AJ171" s="839"/>
      <c r="AK171" s="214"/>
      <c r="AO171" s="3"/>
      <c r="AQ171" s="3"/>
      <c r="AR171" s="3"/>
    </row>
    <row r="172" spans="1:44" ht="13.8" thickBot="1">
      <c r="A172" s="1">
        <v>11</v>
      </c>
      <c r="B172" s="813"/>
      <c r="C172" s="818" t="str">
        <f>IF(ISTEXT(Hofdung!B28),Hofdung!B28,Hofdung!A28)</f>
        <v>…..</v>
      </c>
      <c r="D172" s="22">
        <f>Hofdung!F28</f>
        <v>0</v>
      </c>
      <c r="E172" s="22">
        <f t="shared" si="72"/>
        <v>0</v>
      </c>
      <c r="F172" s="824">
        <f>Hofdung!H28</f>
        <v>0</v>
      </c>
      <c r="G172" s="825">
        <f>Hofdung!I28</f>
        <v>0</v>
      </c>
      <c r="H172" s="826">
        <f>Hofdung!J28</f>
        <v>0</v>
      </c>
      <c r="I172" s="824">
        <f>Hofdung!K28</f>
        <v>0</v>
      </c>
      <c r="J172" s="827">
        <f>Hofdung!L28</f>
        <v>0</v>
      </c>
      <c r="K172" s="828">
        <f>Hofdung!M28</f>
        <v>0</v>
      </c>
      <c r="L172" s="824">
        <f>Hofdung!N28</f>
        <v>0</v>
      </c>
      <c r="M172" s="825" t="str">
        <f>Hofdung!O28</f>
        <v>WD</v>
      </c>
      <c r="N172" s="829">
        <f t="shared" si="69"/>
        <v>0</v>
      </c>
      <c r="O172" s="695">
        <f t="shared" si="70"/>
        <v>0</v>
      </c>
      <c r="P172" s="830">
        <f t="shared" si="71"/>
        <v>0</v>
      </c>
      <c r="Q172" s="667"/>
      <c r="R172" s="667"/>
      <c r="S172" s="838"/>
      <c r="T172" s="832">
        <f>Düngeplanung!Y21</f>
        <v>0</v>
      </c>
      <c r="U172" s="154">
        <f t="shared" si="73"/>
        <v>0</v>
      </c>
      <c r="V172" s="155">
        <f t="shared" si="74"/>
        <v>0</v>
      </c>
      <c r="W172" s="820">
        <f t="shared" si="75"/>
        <v>0</v>
      </c>
      <c r="X172" s="154">
        <f t="shared" si="76"/>
        <v>0</v>
      </c>
      <c r="Y172" s="155">
        <f t="shared" si="77"/>
        <v>0</v>
      </c>
      <c r="Z172" s="833">
        <f t="shared" si="78"/>
        <v>0</v>
      </c>
      <c r="AA172" s="834">
        <f t="shared" si="79"/>
        <v>0</v>
      </c>
      <c r="AB172" s="835">
        <f t="shared" si="80"/>
        <v>0</v>
      </c>
      <c r="AC172" s="155">
        <f t="shared" si="81"/>
        <v>0</v>
      </c>
      <c r="AD172" s="156">
        <f t="shared" si="82"/>
        <v>0</v>
      </c>
      <c r="AE172" s="155">
        <f t="shared" si="83"/>
        <v>0</v>
      </c>
      <c r="AF172" s="829">
        <f t="shared" si="84"/>
        <v>0</v>
      </c>
      <c r="AG172" s="695">
        <f t="shared" si="84"/>
        <v>0</v>
      </c>
      <c r="AH172" s="830">
        <f t="shared" si="84"/>
        <v>0</v>
      </c>
      <c r="AI172" s="830">
        <f>Düngeplanung!AA21</f>
        <v>0</v>
      </c>
      <c r="AJ172" s="839"/>
      <c r="AK172" s="214"/>
      <c r="AO172" s="3"/>
      <c r="AQ172" s="3"/>
      <c r="AR172" s="3"/>
    </row>
    <row r="173" spans="1:44">
      <c r="A173" s="1">
        <v>12</v>
      </c>
      <c r="B173" s="813"/>
      <c r="C173" s="818" t="str">
        <f>IF(ISTEXT(Hofdung!B29),Hofdung!B29,Hofdung!A29)</f>
        <v>…..</v>
      </c>
      <c r="D173" s="22">
        <f>Hofdung!F29</f>
        <v>0</v>
      </c>
      <c r="E173" s="22">
        <f t="shared" si="72"/>
        <v>0</v>
      </c>
      <c r="F173" s="824">
        <f>Hofdung!H29</f>
        <v>0</v>
      </c>
      <c r="G173" s="825">
        <f>Hofdung!I29</f>
        <v>0</v>
      </c>
      <c r="H173" s="826">
        <f>Hofdung!J29</f>
        <v>0</v>
      </c>
      <c r="I173" s="824">
        <f>Hofdung!K29</f>
        <v>0</v>
      </c>
      <c r="J173" s="827">
        <f>Hofdung!L29</f>
        <v>0</v>
      </c>
      <c r="K173" s="828">
        <f>Hofdung!M29</f>
        <v>0</v>
      </c>
      <c r="L173" s="824">
        <f>Hofdung!N29</f>
        <v>0</v>
      </c>
      <c r="M173" s="825" t="str">
        <f>Hofdung!O29</f>
        <v>WD</v>
      </c>
      <c r="N173" s="829">
        <f t="shared" si="69"/>
        <v>0</v>
      </c>
      <c r="O173" s="695">
        <f t="shared" si="70"/>
        <v>0</v>
      </c>
      <c r="P173" s="830">
        <f t="shared" si="71"/>
        <v>0</v>
      </c>
      <c r="Q173" s="886" t="s">
        <v>1342</v>
      </c>
      <c r="R173" s="887" t="s">
        <v>1343</v>
      </c>
      <c r="S173" s="893"/>
      <c r="T173" s="893" t="s">
        <v>681</v>
      </c>
      <c r="U173" s="892"/>
      <c r="V173" s="892"/>
      <c r="W173" s="892"/>
      <c r="X173" s="892"/>
      <c r="Y173" s="892"/>
      <c r="Z173" s="892"/>
      <c r="AA173" s="892"/>
      <c r="AB173" s="892"/>
      <c r="AC173" s="892"/>
      <c r="AD173" s="892"/>
      <c r="AE173" s="892"/>
      <c r="AF173" s="894"/>
      <c r="AG173" s="895"/>
      <c r="AH173" s="896"/>
      <c r="AI173" s="896"/>
      <c r="AJ173" s="837" t="str">
        <f>Düngeplanung!Y22</f>
        <v>Sonstige organische Dünger</v>
      </c>
      <c r="AK173" s="214"/>
      <c r="AO173" s="3"/>
      <c r="AQ173" s="3"/>
      <c r="AR173" s="3"/>
    </row>
    <row r="174" spans="1:44">
      <c r="A174" s="1">
        <v>13</v>
      </c>
      <c r="B174" s="813"/>
      <c r="C174" s="818" t="str">
        <f>IF(ISTEXT(Hofdung!B30),Hofdung!B30,Hofdung!A30)</f>
        <v>….</v>
      </c>
      <c r="D174" s="22">
        <f>Hofdung!F30</f>
        <v>0</v>
      </c>
      <c r="E174" s="22">
        <f t="shared" si="72"/>
        <v>0</v>
      </c>
      <c r="F174" s="824">
        <f>Hofdung!H30</f>
        <v>0</v>
      </c>
      <c r="G174" s="825">
        <f>Hofdung!I30</f>
        <v>0</v>
      </c>
      <c r="H174" s="826">
        <f>Hofdung!J30</f>
        <v>0</v>
      </c>
      <c r="I174" s="824">
        <f>Hofdung!K30</f>
        <v>0</v>
      </c>
      <c r="J174" s="827">
        <f>Hofdung!L30</f>
        <v>0</v>
      </c>
      <c r="K174" s="828">
        <f>Hofdung!M30</f>
        <v>0</v>
      </c>
      <c r="L174" s="824">
        <f>Hofdung!N30</f>
        <v>0</v>
      </c>
      <c r="M174" s="825" t="str">
        <f>Hofdung!O30</f>
        <v>WD</v>
      </c>
      <c r="N174" s="829">
        <f t="shared" si="69"/>
        <v>0</v>
      </c>
      <c r="O174" s="695">
        <f t="shared" si="70"/>
        <v>0</v>
      </c>
      <c r="P174" s="830">
        <f t="shared" si="71"/>
        <v>0</v>
      </c>
      <c r="Q174" s="2765" t="s">
        <v>679</v>
      </c>
      <c r="R174" s="2766"/>
      <c r="S174" s="671"/>
      <c r="T174" s="832">
        <f>Düngeplanung!Y23</f>
        <v>0</v>
      </c>
      <c r="U174" s="154">
        <f>IF(T174=0,0,VLOOKUP(T174,$C$158:$P$204,2,0))</f>
        <v>0</v>
      </c>
      <c r="V174" s="155">
        <f>IF(ISNA($U174),0,U174)</f>
        <v>0</v>
      </c>
      <c r="W174" s="820">
        <f>IF($T174=0,0,VLOOKUP(T174,$C$158:$P$204,3,0))</f>
        <v>0</v>
      </c>
      <c r="X174" s="154">
        <f>IF($T174=0,0,VLOOKUP(T174,$C$158:$P$204,4,0))</f>
        <v>0</v>
      </c>
      <c r="Y174" s="155">
        <f>IF($T174=0,0,VLOOKUP(T174,$C$158:$P$204,5,0))</f>
        <v>0</v>
      </c>
      <c r="Z174" s="833">
        <f>IF($T174=0,0,VLOOKUP(T174,$C$158:$P$204,6,0))</f>
        <v>0</v>
      </c>
      <c r="AA174" s="834">
        <f>IF($T174=0,0,VLOOKUP(T174,$C$158:$P$204,7,0))</f>
        <v>0</v>
      </c>
      <c r="AB174" s="835">
        <f>IF($T174=0,0,VLOOKUP(T174,$C$158:$P$204,8,0))</f>
        <v>0</v>
      </c>
      <c r="AC174" s="155">
        <f>IF($T174=0,0,VLOOKUP(T174,$C$158:$P$204,9,0))</f>
        <v>0</v>
      </c>
      <c r="AD174" s="156">
        <f>IF($T174=0,0,VLOOKUP(T174,$C$158:$P$204,10,0))</f>
        <v>0</v>
      </c>
      <c r="AE174" s="155">
        <f>IF($T174=0,0,VLOOKUP(T174,$C$158:$P$204,11,0))</f>
        <v>0</v>
      </c>
      <c r="AF174" s="829">
        <f t="shared" ref="AF174:AH177" si="85">$W174*Z174</f>
        <v>0</v>
      </c>
      <c r="AG174" s="695">
        <f t="shared" si="85"/>
        <v>0</v>
      </c>
      <c r="AH174" s="830">
        <f t="shared" si="85"/>
        <v>0</v>
      </c>
      <c r="AI174" s="830">
        <f>Düngeplanung!AA23</f>
        <v>0</v>
      </c>
      <c r="AJ174" s="663">
        <f>Düngeplanung!Y23</f>
        <v>0</v>
      </c>
      <c r="AK174" s="214"/>
      <c r="AO174" s="3"/>
      <c r="AQ174" s="3"/>
      <c r="AR174" s="3"/>
    </row>
    <row r="175" spans="1:44" ht="15" customHeight="1">
      <c r="A175" s="1">
        <v>14</v>
      </c>
      <c r="B175" s="813"/>
      <c r="C175" s="818" t="str">
        <f>CONCATENATE(A175," - ",Hofdung!B31)</f>
        <v>14 - …..</v>
      </c>
      <c r="D175" s="22">
        <f>Hofdung!F31</f>
        <v>0</v>
      </c>
      <c r="E175" s="22">
        <f t="shared" si="72"/>
        <v>0</v>
      </c>
      <c r="F175" s="824">
        <f>Hofdung!H31</f>
        <v>0</v>
      </c>
      <c r="G175" s="825">
        <f>Hofdung!I31</f>
        <v>0</v>
      </c>
      <c r="H175" s="826">
        <f>Hofdung!J31</f>
        <v>0</v>
      </c>
      <c r="I175" s="824">
        <f>Hofdung!K31</f>
        <v>0</v>
      </c>
      <c r="J175" s="827">
        <f>Hofdung!L31</f>
        <v>0</v>
      </c>
      <c r="K175" s="836">
        <f>Hofdung!M31</f>
        <v>0.5</v>
      </c>
      <c r="L175" s="824">
        <f>Hofdung!N31</f>
        <v>0</v>
      </c>
      <c r="M175" s="825" t="str">
        <f>Hofdung!O31</f>
        <v>WD</v>
      </c>
      <c r="N175" s="829">
        <f t="shared" si="69"/>
        <v>0</v>
      </c>
      <c r="O175" s="695">
        <f t="shared" si="70"/>
        <v>0</v>
      </c>
      <c r="P175" s="830">
        <f t="shared" si="71"/>
        <v>0</v>
      </c>
      <c r="Q175" s="2767"/>
      <c r="R175" s="2768"/>
      <c r="S175" s="671"/>
      <c r="T175" s="832">
        <f>Düngeplanung!Y24</f>
        <v>0</v>
      </c>
      <c r="U175" s="154">
        <f>IF(T175=0,0,VLOOKUP(T175,$C$158:$P$204,2,0))</f>
        <v>0</v>
      </c>
      <c r="V175" s="155">
        <f>IF(ISNA($U175),0,U175)</f>
        <v>0</v>
      </c>
      <c r="W175" s="820">
        <f>IF($T175=0,0,VLOOKUP(T175,$C$158:$P$204,3,0))</f>
        <v>0</v>
      </c>
      <c r="X175" s="154">
        <f>IF($T175=0,0,VLOOKUP(T175,$C$158:$P$204,4,0))</f>
        <v>0</v>
      </c>
      <c r="Y175" s="155">
        <f>IF($T175=0,0,VLOOKUP(T175,$C$158:$P$204,5,0))</f>
        <v>0</v>
      </c>
      <c r="Z175" s="833">
        <f>IF($T175=0,0,VLOOKUP(T175,$C$158:$P$204,6,0))</f>
        <v>0</v>
      </c>
      <c r="AA175" s="834">
        <f>IF($T175=0,0,VLOOKUP(T175,$C$158:$P$204,7,0))</f>
        <v>0</v>
      </c>
      <c r="AB175" s="835">
        <f>IF($T175=0,0,VLOOKUP(T175,$C$158:$P$204,8,0))</f>
        <v>0</v>
      </c>
      <c r="AC175" s="155">
        <f>IF($T175=0,0,VLOOKUP(T175,$C$158:$P$204,9,0))</f>
        <v>0</v>
      </c>
      <c r="AD175" s="156">
        <f>IF($T175=0,0,VLOOKUP(T175,$C$158:$P$204,10,0))</f>
        <v>0</v>
      </c>
      <c r="AE175" s="155">
        <f>IF($T175=0,0,VLOOKUP(T175,$C$158:$P$204,11,0))</f>
        <v>0</v>
      </c>
      <c r="AF175" s="829">
        <f t="shared" si="85"/>
        <v>0</v>
      </c>
      <c r="AG175" s="695">
        <f t="shared" si="85"/>
        <v>0</v>
      </c>
      <c r="AH175" s="830">
        <f t="shared" si="85"/>
        <v>0</v>
      </c>
      <c r="AI175" s="830">
        <f>Düngeplanung!AA24</f>
        <v>0</v>
      </c>
      <c r="AJ175" s="663">
        <f>Düngeplanung!Y24</f>
        <v>0</v>
      </c>
      <c r="AK175" s="214"/>
      <c r="AO175" s="3"/>
      <c r="AQ175" s="3"/>
      <c r="AR175" s="3"/>
    </row>
    <row r="176" spans="1:44" ht="15" customHeight="1">
      <c r="A176" s="1">
        <v>15</v>
      </c>
      <c r="B176" s="813"/>
      <c r="C176" s="818" t="str">
        <f>CONCATENATE(A176," - ",Hofdung!B32)</f>
        <v>15 - …..</v>
      </c>
      <c r="D176" s="22">
        <f>Hofdung!F32</f>
        <v>0</v>
      </c>
      <c r="E176" s="22">
        <f t="shared" si="72"/>
        <v>0</v>
      </c>
      <c r="F176" s="824">
        <f>Hofdung!H32</f>
        <v>0</v>
      </c>
      <c r="G176" s="825">
        <f>Hofdung!I32</f>
        <v>0</v>
      </c>
      <c r="H176" s="826">
        <f>Hofdung!J32</f>
        <v>0</v>
      </c>
      <c r="I176" s="824">
        <f>Hofdung!K32</f>
        <v>0</v>
      </c>
      <c r="J176" s="827">
        <f>Hofdung!L32</f>
        <v>0</v>
      </c>
      <c r="K176" s="836">
        <f>Hofdung!M32</f>
        <v>0.15</v>
      </c>
      <c r="L176" s="824">
        <f>Hofdung!N32</f>
        <v>0</v>
      </c>
      <c r="M176" s="825" t="str">
        <f>Hofdung!O32</f>
        <v>WD</v>
      </c>
      <c r="N176" s="829">
        <f t="shared" si="69"/>
        <v>0</v>
      </c>
      <c r="O176" s="695">
        <f t="shared" si="70"/>
        <v>0</v>
      </c>
      <c r="P176" s="830">
        <f t="shared" si="71"/>
        <v>0</v>
      </c>
      <c r="Q176" s="2767"/>
      <c r="R176" s="2768"/>
      <c r="S176" s="671"/>
      <c r="T176" s="832">
        <f>Düngeplanung!Y25</f>
        <v>0</v>
      </c>
      <c r="U176" s="154">
        <f>IF(T176=0,0,VLOOKUP(T176,$C$158:$P$204,2,0))</f>
        <v>0</v>
      </c>
      <c r="V176" s="155">
        <f>IF(ISNA($U176),0,U176)</f>
        <v>0</v>
      </c>
      <c r="W176" s="820">
        <f>IF($T176=0,0,VLOOKUP(T176,$C$158:$P$204,3,0))</f>
        <v>0</v>
      </c>
      <c r="X176" s="154">
        <f>IF($T176=0,0,VLOOKUP(T176,$C$158:$P$204,4,0))</f>
        <v>0</v>
      </c>
      <c r="Y176" s="155">
        <f>IF($T176=0,0,VLOOKUP(T176,$C$158:$P$204,5,0))</f>
        <v>0</v>
      </c>
      <c r="Z176" s="833">
        <f>IF($T176=0,0,VLOOKUP(T176,$C$158:$P$204,6,0))</f>
        <v>0</v>
      </c>
      <c r="AA176" s="834">
        <f>IF($T176=0,0,VLOOKUP(T176,$C$158:$P$204,7,0))</f>
        <v>0</v>
      </c>
      <c r="AB176" s="835">
        <f>IF($T176=0,0,VLOOKUP(T176,$C$158:$P$204,8,0))</f>
        <v>0</v>
      </c>
      <c r="AC176" s="155">
        <f>IF($T176=0,0,VLOOKUP(T176,$C$158:$P$204,9,0))</f>
        <v>0</v>
      </c>
      <c r="AD176" s="156">
        <f>IF($T176=0,0,VLOOKUP(T176,$C$158:$P$204,10,0))</f>
        <v>0</v>
      </c>
      <c r="AE176" s="155">
        <f>IF($T176=0,0,VLOOKUP(T176,$C$158:$P$204,11,0))</f>
        <v>0</v>
      </c>
      <c r="AF176" s="829">
        <f t="shared" si="85"/>
        <v>0</v>
      </c>
      <c r="AG176" s="695">
        <f t="shared" si="85"/>
        <v>0</v>
      </c>
      <c r="AH176" s="830">
        <f t="shared" si="85"/>
        <v>0</v>
      </c>
      <c r="AI176" s="830">
        <f>Düngeplanung!AA25</f>
        <v>0</v>
      </c>
      <c r="AJ176" s="663">
        <f>Düngeplanung!Y25</f>
        <v>0</v>
      </c>
      <c r="AK176" s="214"/>
      <c r="AO176" s="3"/>
      <c r="AQ176" s="3"/>
      <c r="AR176" s="3"/>
    </row>
    <row r="177" spans="1:44" ht="15" customHeight="1" thickBot="1">
      <c r="A177" s="1">
        <v>16</v>
      </c>
      <c r="B177" s="813"/>
      <c r="C177" s="818" t="str">
        <f>CONCATENATE(A177," - ",Hofdung!B33)</f>
        <v>16 - …..</v>
      </c>
      <c r="D177" s="22">
        <f>Hofdung!F33</f>
        <v>0</v>
      </c>
      <c r="E177" s="22">
        <f t="shared" si="72"/>
        <v>0</v>
      </c>
      <c r="F177" s="824">
        <f>Hofdung!H33</f>
        <v>0</v>
      </c>
      <c r="G177" s="825">
        <f>Hofdung!I33</f>
        <v>0</v>
      </c>
      <c r="H177" s="826">
        <f>Hofdung!J33</f>
        <v>0</v>
      </c>
      <c r="I177" s="824">
        <f>Hofdung!K33</f>
        <v>0</v>
      </c>
      <c r="J177" s="827">
        <f>Hofdung!L33</f>
        <v>0</v>
      </c>
      <c r="K177" s="836">
        <f>Hofdung!M33</f>
        <v>0.15</v>
      </c>
      <c r="L177" s="824">
        <f>Hofdung!N33</f>
        <v>0</v>
      </c>
      <c r="M177" s="825" t="str">
        <f>Hofdung!O33</f>
        <v>WD</v>
      </c>
      <c r="N177" s="829">
        <f t="shared" si="69"/>
        <v>0</v>
      </c>
      <c r="O177" s="695">
        <f t="shared" si="70"/>
        <v>0</v>
      </c>
      <c r="P177" s="830">
        <f t="shared" si="71"/>
        <v>0</v>
      </c>
      <c r="Q177" s="888">
        <f>SUM(O165:O178)</f>
        <v>0</v>
      </c>
      <c r="R177" s="889">
        <f>SUM(P165:P178)</f>
        <v>0</v>
      </c>
      <c r="S177" s="671"/>
      <c r="T177" s="832">
        <f>Düngeplanung!Y26</f>
        <v>0</v>
      </c>
      <c r="U177" s="154">
        <f>IF(T177=0,0,VLOOKUP(T177,$C$158:$P$204,2,0))</f>
        <v>0</v>
      </c>
      <c r="V177" s="155">
        <f>IF(ISNA($U177),0,U177)</f>
        <v>0</v>
      </c>
      <c r="W177" s="820">
        <f>IF($T177=0,0,VLOOKUP(T177,$C$158:$P$204,3,0))</f>
        <v>0</v>
      </c>
      <c r="X177" s="154">
        <f>IF($T177=0,0,VLOOKUP(T177,$C$158:$P$204,4,0))</f>
        <v>0</v>
      </c>
      <c r="Y177" s="155">
        <f>IF($T177=0,0,VLOOKUP(T177,$C$158:$P$204,5,0))</f>
        <v>0</v>
      </c>
      <c r="Z177" s="833">
        <f>IF($T177=0,0,VLOOKUP(T177,$C$158:$P$204,6,0))</f>
        <v>0</v>
      </c>
      <c r="AA177" s="834">
        <f>IF($T177=0,0,VLOOKUP(T177,$C$158:$P$204,7,0))</f>
        <v>0</v>
      </c>
      <c r="AB177" s="835">
        <f>IF($T177=0,0,VLOOKUP(T177,$C$158:$P$204,8,0))</f>
        <v>0</v>
      </c>
      <c r="AC177" s="155">
        <f>IF($T177=0,0,VLOOKUP(T177,$C$158:$P$204,9,0))</f>
        <v>0</v>
      </c>
      <c r="AD177" s="156">
        <f>IF($T177=0,0,VLOOKUP(T177,$C$158:$P$204,10,0))</f>
        <v>0</v>
      </c>
      <c r="AE177" s="155">
        <f>IF($T177=0,0,VLOOKUP(T177,$C$158:$P$204,11,0))</f>
        <v>0</v>
      </c>
      <c r="AF177" s="829">
        <f t="shared" si="85"/>
        <v>0</v>
      </c>
      <c r="AG177" s="695">
        <f t="shared" si="85"/>
        <v>0</v>
      </c>
      <c r="AH177" s="830">
        <f t="shared" si="85"/>
        <v>0</v>
      </c>
      <c r="AI177" s="830">
        <f>Düngeplanung!AA26</f>
        <v>0</v>
      </c>
      <c r="AJ177" s="663">
        <f>Düngeplanung!Y26</f>
        <v>0</v>
      </c>
      <c r="AK177" s="214"/>
      <c r="AO177" s="3"/>
      <c r="AQ177" s="3"/>
      <c r="AR177" s="3"/>
    </row>
    <row r="178" spans="1:44">
      <c r="A178" s="1">
        <v>17</v>
      </c>
      <c r="B178" s="813"/>
      <c r="C178" s="818" t="str">
        <f>CONCATENATE(A178," - ",Hofdung!B34)</f>
        <v>17 - …..</v>
      </c>
      <c r="D178" s="22">
        <f>Hofdung!F34</f>
        <v>0</v>
      </c>
      <c r="E178" s="22">
        <f t="shared" si="72"/>
        <v>0</v>
      </c>
      <c r="F178" s="824">
        <f>Hofdung!H34</f>
        <v>0</v>
      </c>
      <c r="G178" s="825">
        <f>Hofdung!I34</f>
        <v>0</v>
      </c>
      <c r="H178" s="826">
        <f>Hofdung!J34</f>
        <v>0</v>
      </c>
      <c r="I178" s="824">
        <f>Hofdung!K34</f>
        <v>0</v>
      </c>
      <c r="J178" s="827">
        <f>Hofdung!L34</f>
        <v>0</v>
      </c>
      <c r="K178" s="836">
        <f>Hofdung!M34</f>
        <v>0.01</v>
      </c>
      <c r="L178" s="824">
        <f>Hofdung!N34</f>
        <v>0</v>
      </c>
      <c r="M178" s="825" t="str">
        <f>Hofdung!O34</f>
        <v>WD</v>
      </c>
      <c r="N178" s="829">
        <f t="shared" si="69"/>
        <v>0</v>
      </c>
      <c r="O178" s="695">
        <f t="shared" si="70"/>
        <v>0</v>
      </c>
      <c r="P178" s="830">
        <f t="shared" si="71"/>
        <v>0</v>
      </c>
      <c r="Q178" s="890" t="s">
        <v>680</v>
      </c>
      <c r="R178" s="891"/>
      <c r="S178" s="671"/>
      <c r="T178" s="832"/>
      <c r="U178" s="154"/>
      <c r="V178" s="155"/>
      <c r="W178" s="820"/>
      <c r="X178" s="154"/>
      <c r="Y178" s="155"/>
      <c r="Z178" s="833"/>
      <c r="AA178" s="834"/>
      <c r="AB178" s="835"/>
      <c r="AC178" s="155"/>
      <c r="AD178" s="156"/>
      <c r="AE178" s="155"/>
      <c r="AF178" s="155"/>
      <c r="AG178" s="155"/>
      <c r="AH178" s="155"/>
      <c r="AI178" s="155"/>
      <c r="AJ178" s="663"/>
      <c r="AK178" s="214"/>
      <c r="AO178" s="3"/>
      <c r="AQ178" s="3"/>
      <c r="AR178" s="3"/>
    </row>
    <row r="179" spans="1:44">
      <c r="A179" s="1">
        <v>18</v>
      </c>
      <c r="B179" s="813"/>
      <c r="C179" s="818">
        <f>Mineral!A3</f>
        <v>0</v>
      </c>
      <c r="D179" s="611">
        <f>IFERROR(VLOOKUP(C179,Mineral!$R$3:$AA$48,3,0),0)</f>
        <v>0</v>
      </c>
      <c r="E179" s="662">
        <f t="shared" si="72"/>
        <v>0</v>
      </c>
      <c r="F179" s="840">
        <f t="shared" ref="F179:F193" si="86">H179</f>
        <v>0</v>
      </c>
      <c r="G179" s="841">
        <f t="shared" ref="G179:G193" si="87">H179</f>
        <v>0</v>
      </c>
      <c r="H179" s="842">
        <f>IFERROR(VLOOKUP(C179,Mineral!$A$3:$J$27,4,0),0)</f>
        <v>0</v>
      </c>
      <c r="I179" s="843">
        <f>IFERROR(VLOOKUP(C179,Mineral!$A$3:$J$27,5,0),0)</f>
        <v>0</v>
      </c>
      <c r="J179" s="844">
        <f>IFERROR(VLOOKUP(C179,Mineral!$A$3:$J$27,6,0),0)</f>
        <v>0</v>
      </c>
      <c r="K179" s="856">
        <f>Mineral!J3</f>
        <v>1</v>
      </c>
      <c r="L179" s="662"/>
      <c r="M179" s="831" t="s">
        <v>1344</v>
      </c>
      <c r="N179" s="829">
        <f>IFERROR($E179*H179,0)</f>
        <v>0</v>
      </c>
      <c r="O179" s="695">
        <f t="shared" si="70"/>
        <v>0</v>
      </c>
      <c r="P179" s="830">
        <f t="shared" si="71"/>
        <v>0</v>
      </c>
      <c r="Q179" s="845">
        <f t="shared" ref="Q179:Q193" si="88">VLOOKUP(C179,$T$165:$AI$172,16,FALSE)</f>
        <v>0</v>
      </c>
      <c r="R179" s="214"/>
      <c r="S179" s="671"/>
      <c r="T179" s="832"/>
      <c r="U179" s="154"/>
      <c r="V179" s="155"/>
      <c r="W179" s="820"/>
      <c r="X179" s="154"/>
      <c r="Y179" s="155"/>
      <c r="Z179" s="833"/>
      <c r="AA179" s="834"/>
      <c r="AB179" s="835"/>
      <c r="AC179" s="155"/>
      <c r="AD179" s="156"/>
      <c r="AE179" s="155"/>
      <c r="AF179" s="155"/>
      <c r="AG179" s="155"/>
      <c r="AH179" s="155"/>
      <c r="AI179" s="155"/>
      <c r="AJ179" s="817"/>
      <c r="AK179" s="214"/>
      <c r="AO179" s="3"/>
      <c r="AQ179" s="3"/>
      <c r="AR179" s="3"/>
    </row>
    <row r="180" spans="1:44">
      <c r="A180" s="1">
        <v>19</v>
      </c>
      <c r="B180" s="813"/>
      <c r="C180" s="818">
        <f>Mineral!A4</f>
        <v>0</v>
      </c>
      <c r="D180" s="611">
        <f>IFERROR(VLOOKUP(C180,Mineral!$R$3:$AA$48,3,0),0)</f>
        <v>0</v>
      </c>
      <c r="E180" s="662">
        <f t="shared" si="72"/>
        <v>0</v>
      </c>
      <c r="F180" s="840">
        <f t="shared" si="86"/>
        <v>0</v>
      </c>
      <c r="G180" s="841">
        <f t="shared" si="87"/>
        <v>0</v>
      </c>
      <c r="H180" s="842">
        <f>IFERROR(VLOOKUP(C180,Mineral!$A$3:$J$27,4,0),0)</f>
        <v>0</v>
      </c>
      <c r="I180" s="843">
        <f>IFERROR(VLOOKUP(C180,Mineral!$A$3:$J$27,5,0),0)</f>
        <v>0</v>
      </c>
      <c r="J180" s="844">
        <f>IFERROR(VLOOKUP(C180,Mineral!$A$3:$J$27,6,0),0)</f>
        <v>0</v>
      </c>
      <c r="K180" s="856">
        <f>Mineral!J4</f>
        <v>1</v>
      </c>
      <c r="L180" s="662"/>
      <c r="M180" s="831" t="s">
        <v>1344</v>
      </c>
      <c r="N180" s="829">
        <f t="shared" ref="N180:N203" si="89">IFERROR($E180*H180,0)</f>
        <v>0</v>
      </c>
      <c r="O180" s="695">
        <f t="shared" si="70"/>
        <v>0</v>
      </c>
      <c r="P180" s="830">
        <f t="shared" si="71"/>
        <v>0</v>
      </c>
      <c r="Q180" s="845">
        <f t="shared" si="88"/>
        <v>0</v>
      </c>
      <c r="R180" s="214"/>
      <c r="S180" s="831"/>
      <c r="T180" s="832"/>
      <c r="U180" s="154"/>
      <c r="V180" s="155"/>
      <c r="W180" s="846"/>
      <c r="X180" s="154"/>
      <c r="Y180" s="155"/>
      <c r="Z180" s="833"/>
      <c r="AA180" s="834"/>
      <c r="AB180" s="835"/>
      <c r="AC180" s="155"/>
      <c r="AD180" s="156"/>
      <c r="AE180" s="155"/>
      <c r="AF180" s="829"/>
      <c r="AG180" s="695"/>
      <c r="AH180" s="830"/>
      <c r="AI180" s="663"/>
      <c r="AJ180" s="817"/>
      <c r="AK180" s="214"/>
      <c r="AO180" s="3"/>
      <c r="AQ180" s="3"/>
      <c r="AR180" s="3"/>
    </row>
    <row r="181" spans="1:44">
      <c r="A181" s="1">
        <v>20</v>
      </c>
      <c r="B181" s="813"/>
      <c r="C181" s="818">
        <f>Mineral!A5</f>
        <v>0</v>
      </c>
      <c r="D181" s="611">
        <f>IFERROR(VLOOKUP(C181,Mineral!$R$3:$AA$48,3,0),0)</f>
        <v>0</v>
      </c>
      <c r="E181" s="662">
        <f t="shared" si="72"/>
        <v>0</v>
      </c>
      <c r="F181" s="840">
        <f t="shared" si="86"/>
        <v>0</v>
      </c>
      <c r="G181" s="841">
        <f t="shared" si="87"/>
        <v>0</v>
      </c>
      <c r="H181" s="842">
        <f>IFERROR(VLOOKUP(C181,Mineral!$A$3:$J$27,4,0),0)</f>
        <v>0</v>
      </c>
      <c r="I181" s="843">
        <f>IFERROR(VLOOKUP(C181,Mineral!$A$3:$J$27,5,0),0)</f>
        <v>0</v>
      </c>
      <c r="J181" s="844">
        <f>IFERROR(VLOOKUP(C181,Mineral!$A$3:$J$27,6,0),0)</f>
        <v>0</v>
      </c>
      <c r="K181" s="856">
        <f>Mineral!J5</f>
        <v>1</v>
      </c>
      <c r="L181" s="662"/>
      <c r="M181" s="831" t="s">
        <v>1344</v>
      </c>
      <c r="N181" s="829">
        <f t="shared" si="89"/>
        <v>0</v>
      </c>
      <c r="O181" s="695">
        <f t="shared" si="70"/>
        <v>0</v>
      </c>
      <c r="P181" s="830">
        <f t="shared" si="71"/>
        <v>0</v>
      </c>
      <c r="Q181" s="845">
        <f t="shared" si="88"/>
        <v>0</v>
      </c>
      <c r="R181" s="214"/>
      <c r="S181" s="831"/>
      <c r="T181" s="832"/>
      <c r="U181" s="154"/>
      <c r="V181" s="155"/>
      <c r="W181" s="846"/>
      <c r="X181" s="154"/>
      <c r="Y181" s="155"/>
      <c r="Z181" s="833"/>
      <c r="AA181" s="834"/>
      <c r="AB181" s="835"/>
      <c r="AC181" s="155"/>
      <c r="AD181" s="156"/>
      <c r="AE181" s="155"/>
      <c r="AF181" s="829"/>
      <c r="AG181" s="695"/>
      <c r="AH181" s="830"/>
      <c r="AI181" s="663"/>
      <c r="AJ181" s="817"/>
      <c r="AK181" s="214"/>
      <c r="AO181" s="3"/>
      <c r="AQ181" s="3"/>
      <c r="AR181" s="3"/>
    </row>
    <row r="182" spans="1:44">
      <c r="A182" s="1">
        <v>21</v>
      </c>
      <c r="B182" s="813"/>
      <c r="C182" s="818">
        <f>Mineral!A6</f>
        <v>0</v>
      </c>
      <c r="D182" s="611">
        <f>IFERROR(VLOOKUP(C182,Mineral!$R$3:$AA$48,3,0),0)</f>
        <v>0</v>
      </c>
      <c r="E182" s="662">
        <f t="shared" si="72"/>
        <v>0</v>
      </c>
      <c r="F182" s="840">
        <f t="shared" si="86"/>
        <v>0</v>
      </c>
      <c r="G182" s="841">
        <f t="shared" si="87"/>
        <v>0</v>
      </c>
      <c r="H182" s="842">
        <f>IFERROR(VLOOKUP(C182,Mineral!$A$3:$J$27,4,0),0)</f>
        <v>0</v>
      </c>
      <c r="I182" s="843">
        <f>IFERROR(VLOOKUP(C182,Mineral!$A$3:$J$27,5,0),0)</f>
        <v>0</v>
      </c>
      <c r="J182" s="844">
        <f>IFERROR(VLOOKUP(C182,Mineral!$A$3:$J$27,6,0),0)</f>
        <v>0</v>
      </c>
      <c r="K182" s="856">
        <f>Mineral!J6</f>
        <v>1</v>
      </c>
      <c r="L182" s="662"/>
      <c r="M182" s="831" t="s">
        <v>1344</v>
      </c>
      <c r="N182" s="829">
        <f t="shared" si="89"/>
        <v>0</v>
      </c>
      <c r="O182" s="695">
        <f>IFERROR($E182*I182,0)</f>
        <v>0</v>
      </c>
      <c r="P182" s="830">
        <f t="shared" si="71"/>
        <v>0</v>
      </c>
      <c r="Q182" s="845">
        <f t="shared" si="88"/>
        <v>0</v>
      </c>
      <c r="R182" s="214"/>
      <c r="S182" s="831"/>
      <c r="T182" s="832"/>
      <c r="U182" s="154"/>
      <c r="V182" s="155"/>
      <c r="W182" s="846"/>
      <c r="X182" s="154"/>
      <c r="Y182" s="155"/>
      <c r="Z182" s="833"/>
      <c r="AA182" s="834"/>
      <c r="AB182" s="835"/>
      <c r="AC182" s="155"/>
      <c r="AD182" s="156"/>
      <c r="AE182" s="155"/>
      <c r="AF182" s="829"/>
      <c r="AG182" s="695"/>
      <c r="AH182" s="830"/>
      <c r="AI182" s="663"/>
      <c r="AJ182" s="817"/>
      <c r="AK182" s="214"/>
      <c r="AO182" s="3"/>
      <c r="AQ182" s="3"/>
      <c r="AR182" s="3"/>
    </row>
    <row r="183" spans="1:44">
      <c r="A183" s="1">
        <v>22</v>
      </c>
      <c r="B183" s="813"/>
      <c r="C183" s="818">
        <f>Mineral!A7</f>
        <v>0</v>
      </c>
      <c r="D183" s="611">
        <f>IFERROR(VLOOKUP(C183,Mineral!$R$3:$AA$48,3,0),0)</f>
        <v>0</v>
      </c>
      <c r="E183" s="662">
        <f t="shared" si="72"/>
        <v>0</v>
      </c>
      <c r="F183" s="840">
        <f t="shared" si="86"/>
        <v>0</v>
      </c>
      <c r="G183" s="841">
        <f t="shared" si="87"/>
        <v>0</v>
      </c>
      <c r="H183" s="842">
        <f>IFERROR(VLOOKUP(C183,Mineral!$A$3:$J$27,4,0),0)</f>
        <v>0</v>
      </c>
      <c r="I183" s="843">
        <f>IFERROR(VLOOKUP(C183,Mineral!$A$3:$J$27,5,0),0)</f>
        <v>0</v>
      </c>
      <c r="J183" s="844">
        <f>IFERROR(VLOOKUP(C183,Mineral!$A$3:$J$27,6,0),0)</f>
        <v>0</v>
      </c>
      <c r="K183" s="856">
        <f>Mineral!J7</f>
        <v>1</v>
      </c>
      <c r="L183" s="662"/>
      <c r="M183" s="831" t="s">
        <v>1344</v>
      </c>
      <c r="N183" s="829">
        <f t="shared" si="89"/>
        <v>0</v>
      </c>
      <c r="O183" s="695">
        <f t="shared" si="70"/>
        <v>0</v>
      </c>
      <c r="P183" s="830">
        <f t="shared" si="71"/>
        <v>0</v>
      </c>
      <c r="Q183" s="845">
        <f t="shared" si="88"/>
        <v>0</v>
      </c>
      <c r="R183" s="214"/>
      <c r="S183" s="831"/>
      <c r="T183" s="832"/>
      <c r="U183" s="154"/>
      <c r="V183" s="155"/>
      <c r="W183" s="846"/>
      <c r="X183" s="154"/>
      <c r="Y183" s="155"/>
      <c r="Z183" s="833"/>
      <c r="AA183" s="834"/>
      <c r="AB183" s="835"/>
      <c r="AC183" s="155"/>
      <c r="AD183" s="156"/>
      <c r="AE183" s="155"/>
      <c r="AF183" s="829"/>
      <c r="AG183" s="695"/>
      <c r="AH183" s="830"/>
      <c r="AI183" s="663"/>
      <c r="AJ183" s="817"/>
      <c r="AK183" s="214"/>
      <c r="AO183" s="3"/>
      <c r="AQ183" s="3"/>
      <c r="AR183" s="3"/>
    </row>
    <row r="184" spans="1:44">
      <c r="A184" s="1">
        <v>23</v>
      </c>
      <c r="B184" s="813"/>
      <c r="C184" s="818">
        <f>Mineral!A8</f>
        <v>0</v>
      </c>
      <c r="D184" s="611">
        <f>IFERROR(VLOOKUP(C184,Mineral!$R$3:$AA$48,3,0),0)</f>
        <v>0</v>
      </c>
      <c r="E184" s="662">
        <f t="shared" si="72"/>
        <v>0</v>
      </c>
      <c r="F184" s="840">
        <f t="shared" si="86"/>
        <v>0</v>
      </c>
      <c r="G184" s="841">
        <f t="shared" si="87"/>
        <v>0</v>
      </c>
      <c r="H184" s="842">
        <f>IFERROR(VLOOKUP(C184,Mineral!$A$3:$J$27,4,0),0)</f>
        <v>0</v>
      </c>
      <c r="I184" s="843">
        <f>IFERROR(VLOOKUP(C184,Mineral!$A$3:$J$27,5,0),0)</f>
        <v>0</v>
      </c>
      <c r="J184" s="844">
        <f>IFERROR(VLOOKUP(C184,Mineral!$A$3:$J$27,6,0),0)</f>
        <v>0</v>
      </c>
      <c r="K184" s="856">
        <f>Mineral!J8</f>
        <v>1</v>
      </c>
      <c r="L184" s="662"/>
      <c r="M184" s="831" t="s">
        <v>1344</v>
      </c>
      <c r="N184" s="829">
        <f t="shared" si="89"/>
        <v>0</v>
      </c>
      <c r="O184" s="695">
        <f t="shared" si="70"/>
        <v>0</v>
      </c>
      <c r="P184" s="830">
        <f t="shared" si="71"/>
        <v>0</v>
      </c>
      <c r="Q184" s="845">
        <f t="shared" si="88"/>
        <v>0</v>
      </c>
      <c r="R184" s="214"/>
      <c r="S184" s="831"/>
      <c r="T184" s="832"/>
      <c r="U184" s="154"/>
      <c r="V184" s="155"/>
      <c r="W184" s="846"/>
      <c r="X184" s="154"/>
      <c r="Y184" s="155"/>
      <c r="Z184" s="833"/>
      <c r="AA184" s="834"/>
      <c r="AB184" s="835"/>
      <c r="AC184" s="155"/>
      <c r="AD184" s="156"/>
      <c r="AE184" s="155"/>
      <c r="AF184" s="829"/>
      <c r="AG184" s="695"/>
      <c r="AH184" s="830"/>
      <c r="AI184" s="663"/>
      <c r="AJ184" s="817"/>
      <c r="AK184" s="214"/>
      <c r="AO184" s="3"/>
      <c r="AQ184" s="3"/>
      <c r="AR184" s="3"/>
    </row>
    <row r="185" spans="1:44" ht="13.8" thickBot="1">
      <c r="A185" s="1">
        <v>24</v>
      </c>
      <c r="B185" s="813"/>
      <c r="C185" s="818">
        <f>Mineral!A9</f>
        <v>0</v>
      </c>
      <c r="D185" s="611">
        <f>IFERROR(VLOOKUP(C185,Mineral!$R$3:$AA$48,3,0),0)</f>
        <v>0</v>
      </c>
      <c r="E185" s="662">
        <f t="shared" si="72"/>
        <v>0</v>
      </c>
      <c r="F185" s="840">
        <f t="shared" si="86"/>
        <v>0</v>
      </c>
      <c r="G185" s="841">
        <f t="shared" si="87"/>
        <v>0</v>
      </c>
      <c r="H185" s="842">
        <f>IFERROR(VLOOKUP(C185,Mineral!$A$3:$J$27,4,0),0)</f>
        <v>0</v>
      </c>
      <c r="I185" s="843">
        <f>IFERROR(VLOOKUP(C185,Mineral!$A$3:$J$27,5,0),0)</f>
        <v>0</v>
      </c>
      <c r="J185" s="844">
        <f>IFERROR(VLOOKUP(C185,Mineral!$A$3:$J$27,6,0),0)</f>
        <v>0</v>
      </c>
      <c r="K185" s="856">
        <f>Mineral!J9</f>
        <v>1</v>
      </c>
      <c r="L185" s="662"/>
      <c r="M185" s="831" t="s">
        <v>1344</v>
      </c>
      <c r="N185" s="829">
        <f t="shared" si="89"/>
        <v>0</v>
      </c>
      <c r="O185" s="695">
        <f t="shared" si="70"/>
        <v>0</v>
      </c>
      <c r="P185" s="830">
        <f t="shared" si="71"/>
        <v>0</v>
      </c>
      <c r="Q185" s="845">
        <f t="shared" si="88"/>
        <v>0</v>
      </c>
      <c r="R185" s="214"/>
      <c r="S185" s="831"/>
      <c r="T185" s="832"/>
      <c r="U185" s="154"/>
      <c r="V185" s="155"/>
      <c r="W185" s="847"/>
      <c r="X185" s="154"/>
      <c r="Y185" s="155"/>
      <c r="Z185" s="848"/>
      <c r="AA185" s="849"/>
      <c r="AB185" s="850"/>
      <c r="AC185" s="155"/>
      <c r="AD185" s="156"/>
      <c r="AE185" s="155"/>
      <c r="AF185" s="829"/>
      <c r="AG185" s="695"/>
      <c r="AH185" s="830"/>
      <c r="AI185" s="663"/>
      <c r="AJ185" s="817"/>
      <c r="AK185" s="214"/>
      <c r="AO185" s="3"/>
      <c r="AQ185" s="3"/>
      <c r="AR185" s="3"/>
    </row>
    <row r="186" spans="1:44" ht="13.8" thickBot="1">
      <c r="A186" s="1">
        <v>25</v>
      </c>
      <c r="B186" s="813"/>
      <c r="C186" s="818">
        <f>Mineral!A10</f>
        <v>0</v>
      </c>
      <c r="D186" s="611">
        <f>IFERROR(VLOOKUP(C186,Mineral!$R$3:$AA$48,3,0),0)</f>
        <v>0</v>
      </c>
      <c r="E186" s="662">
        <f t="shared" si="72"/>
        <v>0</v>
      </c>
      <c r="F186" s="840">
        <f t="shared" si="86"/>
        <v>0</v>
      </c>
      <c r="G186" s="841">
        <f t="shared" si="87"/>
        <v>0</v>
      </c>
      <c r="H186" s="842">
        <f>IFERROR(VLOOKUP(C186,Mineral!$A$3:$J$27,4,0),0)</f>
        <v>0</v>
      </c>
      <c r="I186" s="843">
        <f>IFERROR(VLOOKUP(C186,Mineral!$A$3:$J$27,5,0),0)</f>
        <v>0</v>
      </c>
      <c r="J186" s="844">
        <f>IFERROR(VLOOKUP(C186,Mineral!$A$3:$J$27,6,0),0)</f>
        <v>0</v>
      </c>
      <c r="K186" s="856">
        <f>Mineral!J10</f>
        <v>1</v>
      </c>
      <c r="L186" s="662"/>
      <c r="M186" s="831" t="s">
        <v>1344</v>
      </c>
      <c r="N186" s="829">
        <f t="shared" si="89"/>
        <v>0</v>
      </c>
      <c r="O186" s="695">
        <f t="shared" si="70"/>
        <v>0</v>
      </c>
      <c r="P186" s="830">
        <f t="shared" si="71"/>
        <v>0</v>
      </c>
      <c r="Q186" s="845">
        <f t="shared" si="88"/>
        <v>0</v>
      </c>
      <c r="R186" s="214"/>
      <c r="S186" s="214"/>
      <c r="T186" s="214"/>
      <c r="U186" s="667"/>
      <c r="V186" s="667"/>
      <c r="W186" s="667"/>
      <c r="X186" s="667"/>
      <c r="Y186" s="214"/>
      <c r="Z186" s="214"/>
      <c r="AA186" s="214"/>
      <c r="AB186" s="214"/>
      <c r="AC186" s="214"/>
      <c r="AD186" s="214"/>
      <c r="AE186" s="737" t="s">
        <v>1033</v>
      </c>
      <c r="AF186" s="897">
        <f>SUM(AF159:AF185)</f>
        <v>0</v>
      </c>
      <c r="AG186" s="898">
        <f>SUM(AG159:AG185)</f>
        <v>0</v>
      </c>
      <c r="AH186" s="899">
        <f>SUM(AH159:AH185)</f>
        <v>0</v>
      </c>
      <c r="AI186" s="663"/>
      <c r="AJ186" s="817"/>
      <c r="AK186" s="214"/>
      <c r="AO186" s="3"/>
      <c r="AQ186" s="3"/>
      <c r="AR186" s="3"/>
    </row>
    <row r="187" spans="1:44" ht="16.2" thickBot="1">
      <c r="A187" s="1">
        <v>26</v>
      </c>
      <c r="B187" s="813"/>
      <c r="C187" s="818">
        <f>Mineral!A11</f>
        <v>0</v>
      </c>
      <c r="D187" s="611">
        <f>IFERROR(VLOOKUP(C187,Mineral!$R$3:$AA$48,3,0),0)</f>
        <v>0</v>
      </c>
      <c r="E187" s="662">
        <f t="shared" si="72"/>
        <v>0</v>
      </c>
      <c r="F187" s="840">
        <f t="shared" si="86"/>
        <v>0</v>
      </c>
      <c r="G187" s="841">
        <f t="shared" si="87"/>
        <v>0</v>
      </c>
      <c r="H187" s="842">
        <f>IFERROR(VLOOKUP(C187,Mineral!$A$3:$J$27,4,0),0)</f>
        <v>0</v>
      </c>
      <c r="I187" s="843">
        <f>IFERROR(VLOOKUP(C187,Mineral!$A$3:$J$27,5,0),0)</f>
        <v>0</v>
      </c>
      <c r="J187" s="844">
        <f>IFERROR(VLOOKUP(C187,Mineral!$A$3:$J$27,6,0),0)</f>
        <v>0</v>
      </c>
      <c r="K187" s="856">
        <f>Mineral!J11</f>
        <v>1</v>
      </c>
      <c r="L187" s="662"/>
      <c r="M187" s="831" t="s">
        <v>1344</v>
      </c>
      <c r="N187" s="829">
        <f t="shared" si="89"/>
        <v>0</v>
      </c>
      <c r="O187" s="695">
        <f t="shared" si="70"/>
        <v>0</v>
      </c>
      <c r="P187" s="830">
        <f t="shared" si="71"/>
        <v>0</v>
      </c>
      <c r="Q187" s="845">
        <f t="shared" si="88"/>
        <v>0</v>
      </c>
      <c r="R187" s="214"/>
      <c r="S187" s="214"/>
      <c r="T187" s="214"/>
      <c r="U187" s="667"/>
      <c r="V187" s="667"/>
      <c r="W187" s="667"/>
      <c r="X187" s="667"/>
      <c r="Y187" s="851" t="s">
        <v>1345</v>
      </c>
      <c r="Z187" s="817"/>
      <c r="AA187" s="817"/>
      <c r="AB187" s="817"/>
      <c r="AC187" s="817"/>
      <c r="AD187" s="817"/>
      <c r="AE187" s="900" t="s">
        <v>1346</v>
      </c>
      <c r="AF187" s="901">
        <f>IF(AF186&lt;N205,-10,IF(AF186=N205,0,IF(AF186&gt;N205,3)))</f>
        <v>0</v>
      </c>
      <c r="AG187" s="901">
        <f>IF(AG186&lt;O205,-10,IF(AG186=O205,0,IF(AG186&gt;O205,3)))</f>
        <v>0</v>
      </c>
      <c r="AH187" s="901">
        <f>IF(AH186&lt;P205,-10,IF(AH186=P205,0,IF(AH186&gt;P205,3)))</f>
        <v>0</v>
      </c>
      <c r="AI187" s="852">
        <f>SUM(AF187:AH187)</f>
        <v>0</v>
      </c>
      <c r="AJ187" s="853"/>
      <c r="AK187" s="853"/>
      <c r="AO187" s="3"/>
      <c r="AQ187" s="3"/>
      <c r="AR187" s="3"/>
    </row>
    <row r="188" spans="1:44" ht="14.4" thickBot="1">
      <c r="A188" s="1">
        <v>27</v>
      </c>
      <c r="B188" s="813"/>
      <c r="C188" s="818">
        <f>Mineral!A12</f>
        <v>0</v>
      </c>
      <c r="D188" s="611">
        <f>IFERROR(VLOOKUP(C188,Mineral!$R$3:$AA$48,3,0),0)</f>
        <v>0</v>
      </c>
      <c r="E188" s="662">
        <f t="shared" si="72"/>
        <v>0</v>
      </c>
      <c r="F188" s="840">
        <f t="shared" si="86"/>
        <v>0</v>
      </c>
      <c r="G188" s="841">
        <f t="shared" si="87"/>
        <v>0</v>
      </c>
      <c r="H188" s="842">
        <f>IFERROR(VLOOKUP(C188,Mineral!$A$3:$J$27,4,0),0)</f>
        <v>0</v>
      </c>
      <c r="I188" s="843">
        <f>IFERROR(VLOOKUP(C188,Mineral!$A$3:$J$27,5,0),0)</f>
        <v>0</v>
      </c>
      <c r="J188" s="844">
        <f>IFERROR(VLOOKUP(C188,Mineral!$A$3:$J$27,6,0),0)</f>
        <v>0</v>
      </c>
      <c r="K188" s="856">
        <f>Mineral!J12</f>
        <v>1</v>
      </c>
      <c r="L188" s="662"/>
      <c r="M188" s="831" t="s">
        <v>1344</v>
      </c>
      <c r="N188" s="829">
        <f t="shared" si="89"/>
        <v>0</v>
      </c>
      <c r="O188" s="695">
        <f t="shared" si="70"/>
        <v>0</v>
      </c>
      <c r="P188" s="830">
        <f t="shared" si="71"/>
        <v>0</v>
      </c>
      <c r="Q188" s="845">
        <f t="shared" si="88"/>
        <v>0</v>
      </c>
      <c r="R188" s="214"/>
      <c r="S188" s="214"/>
      <c r="T188" s="214"/>
      <c r="U188" s="667"/>
      <c r="V188" s="667"/>
      <c r="W188" s="667"/>
      <c r="X188" s="667"/>
      <c r="Y188" s="817"/>
      <c r="Z188" s="817"/>
      <c r="AA188" s="817"/>
      <c r="AB188" s="817"/>
      <c r="AC188" s="817"/>
      <c r="AD188" s="817"/>
      <c r="AE188" s="900" t="s">
        <v>1347</v>
      </c>
      <c r="AF188" s="902">
        <f>AF186-N205</f>
        <v>0</v>
      </c>
      <c r="AG188" s="902">
        <f>AG186-O205</f>
        <v>0</v>
      </c>
      <c r="AH188" s="902">
        <f>AH186-P205</f>
        <v>0</v>
      </c>
      <c r="AI188" s="663"/>
      <c r="AJ188" s="817"/>
      <c r="AK188" s="667"/>
      <c r="AO188" s="3"/>
      <c r="AQ188" s="3"/>
      <c r="AR188" s="3"/>
    </row>
    <row r="189" spans="1:44" ht="13.8">
      <c r="A189" s="1">
        <v>28</v>
      </c>
      <c r="B189" s="813"/>
      <c r="C189" s="818">
        <f>Mineral!A13</f>
        <v>0</v>
      </c>
      <c r="D189" s="611">
        <f>IFERROR(VLOOKUP(C189,Mineral!$R$3:$AA$48,3,0),0)</f>
        <v>0</v>
      </c>
      <c r="E189" s="662">
        <f t="shared" si="72"/>
        <v>0</v>
      </c>
      <c r="F189" s="840">
        <f t="shared" si="86"/>
        <v>0</v>
      </c>
      <c r="G189" s="841">
        <f t="shared" si="87"/>
        <v>0</v>
      </c>
      <c r="H189" s="842">
        <f>IFERROR(VLOOKUP(C189,Mineral!$A$3:$J$27,4,0),0)</f>
        <v>0</v>
      </c>
      <c r="I189" s="843">
        <f>IFERROR(VLOOKUP(C189,Mineral!$A$3:$J$27,5,0),0)</f>
        <v>0</v>
      </c>
      <c r="J189" s="844">
        <f>IFERROR(VLOOKUP(C189,Mineral!$A$3:$J$27,6,0),0)</f>
        <v>0</v>
      </c>
      <c r="K189" s="856">
        <f>Mineral!J13</f>
        <v>1</v>
      </c>
      <c r="L189" s="662"/>
      <c r="M189" s="831" t="s">
        <v>1344</v>
      </c>
      <c r="N189" s="829">
        <f t="shared" si="89"/>
        <v>0</v>
      </c>
      <c r="O189" s="695">
        <f t="shared" si="70"/>
        <v>0</v>
      </c>
      <c r="P189" s="830">
        <f t="shared" si="71"/>
        <v>0</v>
      </c>
      <c r="Q189" s="845">
        <f t="shared" si="88"/>
        <v>0</v>
      </c>
      <c r="R189" s="214"/>
      <c r="S189" s="214"/>
      <c r="T189" s="214"/>
      <c r="U189" s="667"/>
      <c r="V189" s="667"/>
      <c r="W189" s="667"/>
      <c r="X189" s="667"/>
      <c r="Y189" s="817"/>
      <c r="Z189" s="817"/>
      <c r="AA189" s="817"/>
      <c r="AB189" s="817"/>
      <c r="AC189" s="817"/>
      <c r="AD189" s="817"/>
      <c r="AE189" s="737" t="s">
        <v>1348</v>
      </c>
      <c r="AF189" s="901">
        <f>AX79-AF186</f>
        <v>0</v>
      </c>
      <c r="AG189" s="903" t="s">
        <v>1349</v>
      </c>
      <c r="AH189" s="417"/>
      <c r="AI189" s="663"/>
      <c r="AJ189" s="817"/>
      <c r="AK189" s="667"/>
    </row>
    <row r="190" spans="1:44">
      <c r="A190" s="1">
        <v>29</v>
      </c>
      <c r="B190" s="813"/>
      <c r="C190" s="818">
        <f>Mineral!A14</f>
        <v>0</v>
      </c>
      <c r="D190" s="611">
        <f>IFERROR(VLOOKUP(C190,Mineral!$R$3:$AA$48,3,0),0)</f>
        <v>0</v>
      </c>
      <c r="E190" s="662">
        <f t="shared" si="72"/>
        <v>0</v>
      </c>
      <c r="F190" s="840">
        <f t="shared" si="86"/>
        <v>0</v>
      </c>
      <c r="G190" s="841">
        <f t="shared" si="87"/>
        <v>0</v>
      </c>
      <c r="H190" s="842">
        <f>IFERROR(VLOOKUP(C190,Mineral!$A$3:$J$27,4,0),0)</f>
        <v>0</v>
      </c>
      <c r="I190" s="843">
        <f>IFERROR(VLOOKUP(C190,Mineral!$A$3:$J$27,5,0),0)</f>
        <v>0</v>
      </c>
      <c r="J190" s="844">
        <f>IFERROR(VLOOKUP(C190,Mineral!$A$3:$J$27,6,0),0)</f>
        <v>0</v>
      </c>
      <c r="K190" s="856">
        <f>Mineral!J14</f>
        <v>1</v>
      </c>
      <c r="L190" s="662"/>
      <c r="M190" s="831" t="s">
        <v>1344</v>
      </c>
      <c r="N190" s="829">
        <f t="shared" si="89"/>
        <v>0</v>
      </c>
      <c r="O190" s="695">
        <f t="shared" si="70"/>
        <v>0</v>
      </c>
      <c r="P190" s="830">
        <f t="shared" si="71"/>
        <v>0</v>
      </c>
      <c r="Q190" s="845">
        <f t="shared" si="88"/>
        <v>0</v>
      </c>
      <c r="R190" s="214"/>
      <c r="S190" s="214"/>
      <c r="T190" s="214"/>
      <c r="U190" s="667"/>
      <c r="V190" s="667"/>
      <c r="W190" s="667"/>
      <c r="X190" s="667"/>
      <c r="Y190" s="667"/>
      <c r="Z190" s="667"/>
      <c r="AA190" s="667"/>
      <c r="AB190" s="667"/>
      <c r="AC190" s="667"/>
      <c r="AD190" s="667"/>
      <c r="AE190" s="737" t="s">
        <v>1350</v>
      </c>
      <c r="AF190" s="895">
        <f>AF186+CA22</f>
        <v>0</v>
      </c>
      <c r="AG190" s="895">
        <f>AG186+CI22</f>
        <v>0</v>
      </c>
      <c r="AH190" s="895">
        <f>AH186+CN22</f>
        <v>0</v>
      </c>
      <c r="AI190" s="663"/>
      <c r="AJ190" s="817"/>
      <c r="AK190" s="667"/>
    </row>
    <row r="191" spans="1:44" ht="14.4" thickBot="1">
      <c r="A191" s="1">
        <v>30</v>
      </c>
      <c r="B191" s="813"/>
      <c r="C191" s="818">
        <f>Mineral!A15</f>
        <v>0</v>
      </c>
      <c r="D191" s="611">
        <f>IFERROR(VLOOKUP(C191,Mineral!$R$3:$AA$48,3,0),0)</f>
        <v>0</v>
      </c>
      <c r="E191" s="662">
        <f t="shared" si="72"/>
        <v>0</v>
      </c>
      <c r="F191" s="840">
        <f t="shared" si="86"/>
        <v>0</v>
      </c>
      <c r="G191" s="841">
        <f t="shared" si="87"/>
        <v>0</v>
      </c>
      <c r="H191" s="842">
        <f>IFERROR(VLOOKUP(C191,Mineral!$A$3:$J$27,4,0),0)</f>
        <v>0</v>
      </c>
      <c r="I191" s="843">
        <f>IFERROR(VLOOKUP(C191,Mineral!$A$3:$J$27,5,0),0)</f>
        <v>0</v>
      </c>
      <c r="J191" s="844">
        <f>IFERROR(VLOOKUP(C191,Mineral!$A$3:$J$27,6,0),0)</f>
        <v>0</v>
      </c>
      <c r="K191" s="856">
        <f>Mineral!J15</f>
        <v>1</v>
      </c>
      <c r="L191" s="662"/>
      <c r="M191" s="831" t="s">
        <v>1344</v>
      </c>
      <c r="N191" s="829">
        <f t="shared" si="89"/>
        <v>0</v>
      </c>
      <c r="O191" s="695">
        <f t="shared" si="70"/>
        <v>0</v>
      </c>
      <c r="P191" s="830">
        <f t="shared" si="71"/>
        <v>0</v>
      </c>
      <c r="Q191" s="845">
        <f t="shared" si="88"/>
        <v>0</v>
      </c>
      <c r="R191" s="214"/>
      <c r="S191" s="214"/>
      <c r="T191" s="214"/>
      <c r="U191" s="667"/>
      <c r="V191" s="667"/>
      <c r="W191" s="667"/>
      <c r="X191" s="667"/>
      <c r="Y191" s="667"/>
      <c r="Z191" s="667"/>
      <c r="AA191" s="667"/>
      <c r="AB191" s="667"/>
      <c r="AC191" s="667"/>
      <c r="AD191" s="667"/>
      <c r="AE191" s="904">
        <f>IF(AF190=AX78,1,0)</f>
        <v>1</v>
      </c>
      <c r="AF191" s="905">
        <f>AX78-AF190</f>
        <v>0</v>
      </c>
      <c r="AG191" s="667"/>
      <c r="AH191" s="667"/>
      <c r="AI191" s="663"/>
      <c r="AJ191" s="817"/>
      <c r="AK191" s="667"/>
    </row>
    <row r="192" spans="1:44">
      <c r="A192" s="1">
        <v>31</v>
      </c>
      <c r="B192" s="813"/>
      <c r="C192" s="818">
        <f>Mineral!A16</f>
        <v>0</v>
      </c>
      <c r="D192" s="611">
        <f>IFERROR(VLOOKUP(C192,Mineral!$R$3:$AA$48,3,0),0)</f>
        <v>0</v>
      </c>
      <c r="E192" s="662">
        <f t="shared" si="72"/>
        <v>0</v>
      </c>
      <c r="F192" s="840">
        <f t="shared" si="86"/>
        <v>0</v>
      </c>
      <c r="G192" s="841">
        <f t="shared" si="87"/>
        <v>0</v>
      </c>
      <c r="H192" s="842">
        <f>IFERROR(VLOOKUP(C192,Mineral!$A$3:$J$27,4,0),0)</f>
        <v>0</v>
      </c>
      <c r="I192" s="843">
        <f>IFERROR(VLOOKUP(C192,Mineral!$A$3:$J$27,5,0),0)</f>
        <v>0</v>
      </c>
      <c r="J192" s="844">
        <f>IFERROR(VLOOKUP(C192,Mineral!$A$3:$J$27,6,0),0)</f>
        <v>0</v>
      </c>
      <c r="K192" s="856">
        <f>Mineral!J16</f>
        <v>1</v>
      </c>
      <c r="L192" s="662"/>
      <c r="M192" s="831" t="s">
        <v>1344</v>
      </c>
      <c r="N192" s="829">
        <f t="shared" si="89"/>
        <v>0</v>
      </c>
      <c r="O192" s="695">
        <f t="shared" si="70"/>
        <v>0</v>
      </c>
      <c r="P192" s="830">
        <f t="shared" si="71"/>
        <v>0</v>
      </c>
      <c r="Q192" s="845">
        <f t="shared" si="88"/>
        <v>0</v>
      </c>
      <c r="R192" s="214"/>
      <c r="S192" s="214"/>
      <c r="T192" s="214"/>
      <c r="U192" s="667"/>
      <c r="V192" s="667"/>
      <c r="W192" s="667"/>
      <c r="X192" s="667"/>
      <c r="Y192" s="667"/>
      <c r="Z192" s="667"/>
      <c r="AA192" s="667"/>
      <c r="AB192" s="667"/>
      <c r="AC192" s="667"/>
      <c r="AD192" s="667"/>
      <c r="AE192" s="906" t="s">
        <v>1125</v>
      </c>
      <c r="AF192" s="667"/>
      <c r="AG192" s="667"/>
      <c r="AH192" s="667"/>
      <c r="AI192" s="663"/>
      <c r="AJ192" s="817"/>
      <c r="AK192" s="667"/>
    </row>
    <row r="193" spans="1:37">
      <c r="A193" s="1">
        <v>32</v>
      </c>
      <c r="B193" s="813"/>
      <c r="C193" s="818">
        <f>Mineral!A17</f>
        <v>0</v>
      </c>
      <c r="D193" s="611">
        <f>IFERROR(VLOOKUP(C193,Mineral!$R$3:$AA$48,3,0),0)</f>
        <v>0</v>
      </c>
      <c r="E193" s="662">
        <f t="shared" si="72"/>
        <v>0</v>
      </c>
      <c r="F193" s="840">
        <f t="shared" si="86"/>
        <v>0</v>
      </c>
      <c r="G193" s="841">
        <f t="shared" si="87"/>
        <v>0</v>
      </c>
      <c r="H193" s="842">
        <f>IFERROR(VLOOKUP(C193,Mineral!$A$3:$J$27,4,0),0)</f>
        <v>0</v>
      </c>
      <c r="I193" s="843">
        <f>IFERROR(VLOOKUP(C193,Mineral!$A$3:$J$27,5,0),0)</f>
        <v>0</v>
      </c>
      <c r="J193" s="844">
        <f>IFERROR(VLOOKUP(C193,Mineral!$A$3:$J$27,6,0),0)</f>
        <v>0</v>
      </c>
      <c r="K193" s="856">
        <f>Mineral!J17</f>
        <v>1</v>
      </c>
      <c r="L193" s="662"/>
      <c r="M193" s="831" t="s">
        <v>1344</v>
      </c>
      <c r="N193" s="829">
        <f t="shared" si="89"/>
        <v>0</v>
      </c>
      <c r="O193" s="695">
        <f t="shared" si="70"/>
        <v>0</v>
      </c>
      <c r="P193" s="830">
        <f t="shared" si="71"/>
        <v>0</v>
      </c>
      <c r="Q193" s="845">
        <f t="shared" si="88"/>
        <v>0</v>
      </c>
      <c r="R193" s="214"/>
      <c r="S193" s="214"/>
      <c r="T193" s="214"/>
      <c r="U193" s="667"/>
      <c r="V193" s="667"/>
      <c r="W193" s="667"/>
      <c r="X193" s="667"/>
      <c r="Y193" s="667"/>
      <c r="Z193" s="667"/>
      <c r="AA193" s="667"/>
      <c r="AB193" s="667"/>
      <c r="AC193" s="667"/>
      <c r="AD193" s="667"/>
      <c r="AE193" s="667"/>
      <c r="AF193" s="667"/>
      <c r="AG193" s="667"/>
      <c r="AH193" s="667"/>
      <c r="AI193" s="663"/>
      <c r="AJ193" s="817"/>
      <c r="AK193" s="667"/>
    </row>
    <row r="194" spans="1:37">
      <c r="A194" s="1">
        <v>46</v>
      </c>
      <c r="B194" s="813"/>
      <c r="C194" s="818" t="str">
        <f>Mineral!A18</f>
        <v>Sonstige 1</v>
      </c>
      <c r="D194" s="611">
        <f>IFERROR(VLOOKUP(C194,Mineral!$R$3:$AA$48,3,0),0)</f>
        <v>0</v>
      </c>
      <c r="E194" s="662">
        <f t="shared" ref="E194:E203" si="90">D194</f>
        <v>0</v>
      </c>
      <c r="F194" s="840">
        <f t="shared" ref="F194:F203" si="91">H194</f>
        <v>0</v>
      </c>
      <c r="G194" s="841">
        <f t="shared" ref="G194:G203" si="92">H194</f>
        <v>0</v>
      </c>
      <c r="H194" s="842">
        <f>IFERROR(VLOOKUP(C194,Mineral!$A$3:$J$27,4,0),0)</f>
        <v>0</v>
      </c>
      <c r="I194" s="843">
        <f>IFERROR(VLOOKUP(C194,Mineral!$A$3:$J$27,5,0),0)</f>
        <v>0</v>
      </c>
      <c r="J194" s="844">
        <f>IFERROR(VLOOKUP(C194,Mineral!$A$3:$J$27,6,0),0)</f>
        <v>0</v>
      </c>
      <c r="K194" s="856">
        <f>Mineral!J18</f>
        <v>1</v>
      </c>
      <c r="L194" s="662"/>
      <c r="M194" s="831" t="s">
        <v>1344</v>
      </c>
      <c r="N194" s="829">
        <f t="shared" si="89"/>
        <v>0</v>
      </c>
      <c r="O194" s="695">
        <f t="shared" si="70"/>
        <v>0</v>
      </c>
      <c r="P194" s="830">
        <f t="shared" si="71"/>
        <v>0</v>
      </c>
      <c r="Q194" s="845" t="e">
        <f t="shared" ref="Q194:Q203" si="93">VLOOKUP(C194,$T$165:$AI$172,16,FALSE)</f>
        <v>#N/A</v>
      </c>
      <c r="R194" s="214"/>
      <c r="S194" s="214"/>
      <c r="T194" s="214"/>
      <c r="U194" s="667"/>
      <c r="V194" s="667"/>
      <c r="W194" s="667"/>
      <c r="X194" s="667"/>
      <c r="Y194" s="667"/>
      <c r="Z194" s="667"/>
      <c r="AA194" s="667"/>
      <c r="AB194" s="667"/>
      <c r="AC194" s="667"/>
      <c r="AD194" s="667"/>
      <c r="AE194" s="667"/>
      <c r="AF194" s="667"/>
      <c r="AG194" s="667"/>
      <c r="AH194" s="667"/>
      <c r="AI194" s="663"/>
      <c r="AJ194" s="817"/>
      <c r="AK194" s="667"/>
    </row>
    <row r="195" spans="1:37">
      <c r="A195" s="1">
        <v>47</v>
      </c>
      <c r="B195" s="813"/>
      <c r="C195" s="818" t="str">
        <f>Mineral!A19</f>
        <v>Sonstige 2</v>
      </c>
      <c r="D195" s="611">
        <f>IFERROR(VLOOKUP(C195,Mineral!$R$3:$AA$48,3,0),0)</f>
        <v>0</v>
      </c>
      <c r="E195" s="662">
        <f t="shared" si="90"/>
        <v>0</v>
      </c>
      <c r="F195" s="840">
        <f t="shared" si="91"/>
        <v>0</v>
      </c>
      <c r="G195" s="841">
        <f t="shared" si="92"/>
        <v>0</v>
      </c>
      <c r="H195" s="842">
        <f>IFERROR(VLOOKUP(C195,Mineral!$A$3:$J$27,4,0),0)</f>
        <v>0</v>
      </c>
      <c r="I195" s="843">
        <f>IFERROR(VLOOKUP(C195,Mineral!$A$3:$J$27,5,0),0)</f>
        <v>0</v>
      </c>
      <c r="J195" s="844">
        <f>IFERROR(VLOOKUP(C195,Mineral!$A$3:$J$27,6,0),0)</f>
        <v>0</v>
      </c>
      <c r="K195" s="856">
        <f>Mineral!J19</f>
        <v>1</v>
      </c>
      <c r="L195" s="662"/>
      <c r="M195" s="831" t="s">
        <v>1344</v>
      </c>
      <c r="N195" s="829">
        <f t="shared" si="89"/>
        <v>0</v>
      </c>
      <c r="O195" s="695">
        <f t="shared" si="70"/>
        <v>0</v>
      </c>
      <c r="P195" s="830">
        <f t="shared" si="71"/>
        <v>0</v>
      </c>
      <c r="Q195" s="845" t="e">
        <f t="shared" si="93"/>
        <v>#N/A</v>
      </c>
      <c r="R195" s="214"/>
      <c r="S195" s="214"/>
      <c r="T195" s="214"/>
      <c r="U195" s="667"/>
      <c r="V195" s="667"/>
      <c r="W195" s="667"/>
      <c r="X195" s="667"/>
      <c r="Y195" s="667"/>
      <c r="Z195" s="667"/>
      <c r="AA195" s="667"/>
      <c r="AB195" s="667"/>
      <c r="AC195" s="667"/>
      <c r="AD195" s="667"/>
      <c r="AE195" s="667"/>
      <c r="AF195" s="667"/>
      <c r="AG195" s="667"/>
      <c r="AH195" s="667"/>
      <c r="AI195" s="663"/>
      <c r="AJ195" s="817"/>
      <c r="AK195" s="667"/>
    </row>
    <row r="196" spans="1:37">
      <c r="A196" s="1">
        <v>48</v>
      </c>
      <c r="B196" s="813"/>
      <c r="C196" s="818" t="str">
        <f>Mineral!A20</f>
        <v>Sonstige 3</v>
      </c>
      <c r="D196" s="611">
        <f>IFERROR(VLOOKUP(C196,Mineral!$R$3:$AA$48,3,0),0)</f>
        <v>0</v>
      </c>
      <c r="E196" s="662">
        <f t="shared" si="90"/>
        <v>0</v>
      </c>
      <c r="F196" s="840">
        <f t="shared" si="91"/>
        <v>0</v>
      </c>
      <c r="G196" s="841">
        <f t="shared" si="92"/>
        <v>0</v>
      </c>
      <c r="H196" s="842">
        <f>IFERROR(VLOOKUP(C196,Mineral!$A$3:$J$27,4,0),0)</f>
        <v>0</v>
      </c>
      <c r="I196" s="843">
        <f>IFERROR(VLOOKUP(C196,Mineral!$A$3:$J$27,5,0),0)</f>
        <v>0</v>
      </c>
      <c r="J196" s="844">
        <f>IFERROR(VLOOKUP(C196,Mineral!$A$3:$J$27,6,0),0)</f>
        <v>0</v>
      </c>
      <c r="K196" s="856">
        <f>Mineral!J20</f>
        <v>1</v>
      </c>
      <c r="L196" s="662"/>
      <c r="M196" s="831" t="s">
        <v>1344</v>
      </c>
      <c r="N196" s="829">
        <f t="shared" si="89"/>
        <v>0</v>
      </c>
      <c r="O196" s="695">
        <f t="shared" si="70"/>
        <v>0</v>
      </c>
      <c r="P196" s="830">
        <f t="shared" si="71"/>
        <v>0</v>
      </c>
      <c r="Q196" s="845" t="e">
        <f t="shared" si="93"/>
        <v>#N/A</v>
      </c>
      <c r="R196" s="214"/>
      <c r="S196" s="214"/>
      <c r="T196" s="214"/>
      <c r="U196" s="667"/>
      <c r="V196" s="667"/>
      <c r="W196" s="667"/>
      <c r="X196" s="667"/>
      <c r="Y196" s="667"/>
      <c r="Z196" s="667"/>
      <c r="AA196" s="667"/>
      <c r="AB196" s="667"/>
      <c r="AC196" s="667"/>
      <c r="AD196" s="667"/>
      <c r="AE196" s="667"/>
      <c r="AF196" s="667"/>
      <c r="AG196" s="667"/>
      <c r="AH196" s="667"/>
      <c r="AI196" s="663"/>
      <c r="AJ196" s="817"/>
      <c r="AK196" s="667"/>
    </row>
    <row r="197" spans="1:37">
      <c r="A197" s="1">
        <v>49</v>
      </c>
      <c r="B197" s="813"/>
      <c r="C197" s="818" t="str">
        <f>Mineral!A21</f>
        <v>Sonstige</v>
      </c>
      <c r="D197" s="611">
        <f>IFERROR(VLOOKUP(C197,Mineral!$R$3:$AA$48,3,0),0)</f>
        <v>0</v>
      </c>
      <c r="E197" s="662">
        <f t="shared" si="90"/>
        <v>0</v>
      </c>
      <c r="F197" s="840">
        <f t="shared" si="91"/>
        <v>0</v>
      </c>
      <c r="G197" s="841">
        <f t="shared" si="92"/>
        <v>0</v>
      </c>
      <c r="H197" s="842">
        <f>IFERROR(VLOOKUP(C197,Mineral!$A$3:$J$27,4,0),0)</f>
        <v>0</v>
      </c>
      <c r="I197" s="843">
        <f>IFERROR(VLOOKUP(C197,Mineral!$A$3:$J$27,5,0),0)</f>
        <v>0</v>
      </c>
      <c r="J197" s="844">
        <f>IFERROR(VLOOKUP(C197,Mineral!$A$3:$J$27,6,0),0)</f>
        <v>0</v>
      </c>
      <c r="K197" s="856">
        <f>Mineral!J21</f>
        <v>1</v>
      </c>
      <c r="L197" s="662"/>
      <c r="M197" s="831" t="s">
        <v>1344</v>
      </c>
      <c r="N197" s="829">
        <f t="shared" si="89"/>
        <v>0</v>
      </c>
      <c r="O197" s="695">
        <f t="shared" si="70"/>
        <v>0</v>
      </c>
      <c r="P197" s="830">
        <f t="shared" si="71"/>
        <v>0</v>
      </c>
      <c r="Q197" s="845" t="e">
        <f t="shared" si="93"/>
        <v>#N/A</v>
      </c>
      <c r="R197" s="214"/>
      <c r="S197" s="214"/>
      <c r="T197" s="214"/>
      <c r="U197" s="667"/>
      <c r="V197" s="667"/>
      <c r="W197" s="667"/>
      <c r="X197" s="667"/>
      <c r="Y197" s="667"/>
      <c r="Z197" s="667"/>
      <c r="AA197" s="667"/>
      <c r="AB197" s="667"/>
      <c r="AC197" s="667"/>
      <c r="AD197" s="667"/>
      <c r="AE197" s="667"/>
      <c r="AF197" s="667"/>
      <c r="AG197" s="667"/>
      <c r="AH197" s="667"/>
      <c r="AI197" s="663"/>
      <c r="AJ197" s="817"/>
      <c r="AK197" s="667"/>
    </row>
    <row r="198" spans="1:37">
      <c r="A198" s="1">
        <v>50</v>
      </c>
      <c r="B198" s="813"/>
      <c r="C198" s="818" t="str">
        <f>Mineral!A22</f>
        <v>Sonstige</v>
      </c>
      <c r="D198" s="611">
        <f>IFERROR(VLOOKUP(C198,Mineral!$R$3:$AA$48,3,0),0)</f>
        <v>0</v>
      </c>
      <c r="E198" s="662">
        <f t="shared" si="90"/>
        <v>0</v>
      </c>
      <c r="F198" s="840">
        <f t="shared" si="91"/>
        <v>0</v>
      </c>
      <c r="G198" s="841">
        <f t="shared" si="92"/>
        <v>0</v>
      </c>
      <c r="H198" s="842">
        <f>IFERROR(VLOOKUP(C198,Mineral!$A$3:$J$27,4,0),0)</f>
        <v>0</v>
      </c>
      <c r="I198" s="843">
        <f>IFERROR(VLOOKUP(C198,Mineral!$A$3:$J$27,5,0),0)</f>
        <v>0</v>
      </c>
      <c r="J198" s="844">
        <f>IFERROR(VLOOKUP(C198,Mineral!$A$3:$J$27,6,0),0)</f>
        <v>0</v>
      </c>
      <c r="K198" s="856">
        <f>Mineral!J22</f>
        <v>1</v>
      </c>
      <c r="L198" s="662"/>
      <c r="M198" s="831" t="s">
        <v>1344</v>
      </c>
      <c r="N198" s="829">
        <f t="shared" si="89"/>
        <v>0</v>
      </c>
      <c r="O198" s="695">
        <f t="shared" si="70"/>
        <v>0</v>
      </c>
      <c r="P198" s="830">
        <f t="shared" si="71"/>
        <v>0</v>
      </c>
      <c r="Q198" s="845" t="e">
        <f t="shared" si="93"/>
        <v>#N/A</v>
      </c>
      <c r="R198" s="214"/>
      <c r="S198" s="214"/>
      <c r="T198" s="214"/>
      <c r="U198" s="667"/>
      <c r="V198" s="667"/>
      <c r="W198" s="667"/>
      <c r="X198" s="667"/>
      <c r="Y198" s="667"/>
      <c r="Z198" s="667"/>
      <c r="AA198" s="667"/>
      <c r="AB198" s="667"/>
      <c r="AC198" s="667"/>
      <c r="AD198" s="667"/>
      <c r="AE198" s="667"/>
      <c r="AF198" s="667"/>
      <c r="AG198" s="667"/>
      <c r="AH198" s="667"/>
      <c r="AI198" s="663"/>
      <c r="AJ198" s="817"/>
      <c r="AK198" s="667"/>
    </row>
    <row r="199" spans="1:37">
      <c r="A199" s="1">
        <v>51</v>
      </c>
      <c r="B199" s="813"/>
      <c r="C199" s="818" t="str">
        <f>Mineral!A23</f>
        <v>Sonstige</v>
      </c>
      <c r="D199" s="611">
        <f>IFERROR(VLOOKUP(C199,Mineral!$R$3:$AA$48,3,0),0)</f>
        <v>0</v>
      </c>
      <c r="E199" s="662">
        <f t="shared" si="90"/>
        <v>0</v>
      </c>
      <c r="F199" s="854">
        <f t="shared" si="91"/>
        <v>0</v>
      </c>
      <c r="G199" s="855">
        <f t="shared" si="92"/>
        <v>0</v>
      </c>
      <c r="H199" s="842">
        <f>IFERROR(VLOOKUP(C199,Mineral!$A$3:$J$27,4,0),0)</f>
        <v>0</v>
      </c>
      <c r="I199" s="843">
        <f>IFERROR(VLOOKUP(C199,Mineral!$A$3:$J$27,5,0),0)</f>
        <v>0</v>
      </c>
      <c r="J199" s="844">
        <f>IFERROR(VLOOKUP(C199,Mineral!$A$3:$J$27,6,0),0)</f>
        <v>0</v>
      </c>
      <c r="K199" s="856">
        <f>Mineral!J23</f>
        <v>1</v>
      </c>
      <c r="L199" s="662"/>
      <c r="M199" s="831" t="s">
        <v>1344</v>
      </c>
      <c r="N199" s="829">
        <f t="shared" si="89"/>
        <v>0</v>
      </c>
      <c r="O199" s="695">
        <f t="shared" si="70"/>
        <v>0</v>
      </c>
      <c r="P199" s="830">
        <f t="shared" si="71"/>
        <v>0</v>
      </c>
      <c r="Q199" s="845" t="e">
        <f t="shared" si="93"/>
        <v>#N/A</v>
      </c>
      <c r="R199" s="214"/>
      <c r="S199" s="214"/>
      <c r="T199" s="214"/>
      <c r="U199" s="667"/>
      <c r="V199" s="667"/>
      <c r="W199" s="667"/>
      <c r="X199" s="667"/>
      <c r="Y199" s="667"/>
      <c r="Z199" s="667"/>
      <c r="AA199" s="667"/>
      <c r="AB199" s="667"/>
      <c r="AC199" s="667"/>
      <c r="AD199" s="667"/>
      <c r="AE199" s="667"/>
      <c r="AF199" s="667"/>
      <c r="AG199" s="667"/>
      <c r="AH199" s="667"/>
      <c r="AI199" s="663"/>
      <c r="AJ199" s="817"/>
      <c r="AK199" s="667"/>
    </row>
    <row r="200" spans="1:37">
      <c r="A200" s="1">
        <v>52</v>
      </c>
      <c r="B200" s="813"/>
      <c r="C200" s="818" t="str">
        <f>Mineral!A24</f>
        <v>Sonstige</v>
      </c>
      <c r="D200" s="611">
        <f>IFERROR(VLOOKUP(C200,Mineral!$R$3:$AA$48,3,0),0)</f>
        <v>0</v>
      </c>
      <c r="E200" s="662">
        <f t="shared" si="90"/>
        <v>0</v>
      </c>
      <c r="F200" s="854">
        <f t="shared" si="91"/>
        <v>0</v>
      </c>
      <c r="G200" s="855">
        <f t="shared" si="92"/>
        <v>0</v>
      </c>
      <c r="H200" s="842">
        <f>IFERROR(VLOOKUP(C200,Mineral!$A$3:$J$27,4,0),0)</f>
        <v>0</v>
      </c>
      <c r="I200" s="843">
        <f>IFERROR(VLOOKUP(C200,Mineral!$A$3:$J$27,5,0),0)</f>
        <v>0</v>
      </c>
      <c r="J200" s="844">
        <f>IFERROR(VLOOKUP(C200,Mineral!$A$3:$J$27,6,0),0)</f>
        <v>0</v>
      </c>
      <c r="K200" s="856">
        <f>Mineral!J24</f>
        <v>1</v>
      </c>
      <c r="L200" s="662"/>
      <c r="M200" s="831" t="s">
        <v>1344</v>
      </c>
      <c r="N200" s="829">
        <f t="shared" si="89"/>
        <v>0</v>
      </c>
      <c r="O200" s="695">
        <f t="shared" si="70"/>
        <v>0</v>
      </c>
      <c r="P200" s="830">
        <f t="shared" si="71"/>
        <v>0</v>
      </c>
      <c r="Q200" s="845" t="e">
        <f t="shared" si="93"/>
        <v>#N/A</v>
      </c>
      <c r="R200" s="214"/>
      <c r="S200" s="214"/>
      <c r="T200" s="214"/>
      <c r="U200" s="667"/>
      <c r="V200" s="667"/>
      <c r="W200" s="667"/>
      <c r="X200" s="667"/>
      <c r="Y200" s="667"/>
      <c r="Z200" s="667"/>
      <c r="AA200" s="667"/>
      <c r="AB200" s="667"/>
      <c r="AC200" s="667"/>
      <c r="AD200" s="667"/>
      <c r="AE200" s="667"/>
      <c r="AF200" s="667"/>
      <c r="AG200" s="667"/>
      <c r="AH200" s="667"/>
      <c r="AI200" s="663"/>
      <c r="AJ200" s="817"/>
      <c r="AK200" s="667"/>
    </row>
    <row r="201" spans="1:37">
      <c r="A201" s="1">
        <v>53</v>
      </c>
      <c r="B201" s="813"/>
      <c r="C201" s="818" t="str">
        <f>Mineral!A25</f>
        <v>Sonstige</v>
      </c>
      <c r="D201" s="611">
        <f>IFERROR(VLOOKUP(C201,Mineral!$R$3:$AA$48,3,0),0)</f>
        <v>0</v>
      </c>
      <c r="E201" s="662">
        <f t="shared" si="90"/>
        <v>0</v>
      </c>
      <c r="F201" s="854">
        <f t="shared" si="91"/>
        <v>0</v>
      </c>
      <c r="G201" s="855">
        <f t="shared" si="92"/>
        <v>0</v>
      </c>
      <c r="H201" s="842">
        <f>IFERROR(VLOOKUP(C201,Mineral!$A$3:$J$27,4,0),0)</f>
        <v>0</v>
      </c>
      <c r="I201" s="843">
        <f>IFERROR(VLOOKUP(C201,Mineral!$A$3:$J$27,5,0),0)</f>
        <v>0</v>
      </c>
      <c r="J201" s="844">
        <f>IFERROR(VLOOKUP(C201,Mineral!$A$3:$J$27,6,0),0)</f>
        <v>0</v>
      </c>
      <c r="K201" s="856">
        <f>Mineral!J25</f>
        <v>1</v>
      </c>
      <c r="L201" s="662"/>
      <c r="M201" s="831" t="s">
        <v>1344</v>
      </c>
      <c r="N201" s="829">
        <f t="shared" si="89"/>
        <v>0</v>
      </c>
      <c r="O201" s="695">
        <f t="shared" si="70"/>
        <v>0</v>
      </c>
      <c r="P201" s="830">
        <f t="shared" si="71"/>
        <v>0</v>
      </c>
      <c r="Q201" s="845" t="e">
        <f t="shared" si="93"/>
        <v>#N/A</v>
      </c>
      <c r="R201" s="214"/>
      <c r="S201" s="667"/>
      <c r="T201" s="667"/>
      <c r="U201" s="667"/>
      <c r="V201" s="667"/>
      <c r="W201" s="667"/>
      <c r="X201" s="667"/>
      <c r="Y201" s="667"/>
      <c r="Z201" s="667"/>
      <c r="AA201" s="667"/>
      <c r="AB201" s="667"/>
      <c r="AC201" s="667"/>
      <c r="AD201" s="667"/>
      <c r="AE201" s="667"/>
      <c r="AF201" s="667"/>
      <c r="AG201" s="667"/>
      <c r="AH201" s="667"/>
      <c r="AI201" s="667"/>
      <c r="AJ201" s="817"/>
      <c r="AK201" s="667"/>
    </row>
    <row r="202" spans="1:37">
      <c r="A202" s="1">
        <v>54</v>
      </c>
      <c r="B202" s="813"/>
      <c r="C202" s="818" t="str">
        <f>Mineral!A26</f>
        <v>Sonstige</v>
      </c>
      <c r="D202" s="611">
        <f>IFERROR(VLOOKUP(C202,Mineral!$R$3:$AA$48,3,0),0)</f>
        <v>0</v>
      </c>
      <c r="E202" s="662">
        <f t="shared" si="90"/>
        <v>0</v>
      </c>
      <c r="F202" s="854">
        <f t="shared" si="91"/>
        <v>0</v>
      </c>
      <c r="G202" s="855">
        <f t="shared" si="92"/>
        <v>0</v>
      </c>
      <c r="H202" s="842">
        <f>IFERROR(VLOOKUP(C202,Mineral!$A$3:$J$27,4,0),0)</f>
        <v>0</v>
      </c>
      <c r="I202" s="843">
        <f>IFERROR(VLOOKUP(C202,Mineral!$A$3:$J$27,5,0),0)</f>
        <v>0</v>
      </c>
      <c r="J202" s="844">
        <f>IFERROR(VLOOKUP(C202,Mineral!$A$3:$J$27,6,0),0)</f>
        <v>0</v>
      </c>
      <c r="K202" s="856">
        <f>Mineral!J26</f>
        <v>1</v>
      </c>
      <c r="L202" s="662"/>
      <c r="M202" s="831" t="s">
        <v>1344</v>
      </c>
      <c r="N202" s="829">
        <f t="shared" si="89"/>
        <v>0</v>
      </c>
      <c r="O202" s="695">
        <f t="shared" si="70"/>
        <v>0</v>
      </c>
      <c r="P202" s="830">
        <f t="shared" si="71"/>
        <v>0</v>
      </c>
      <c r="Q202" s="845" t="e">
        <f t="shared" si="93"/>
        <v>#N/A</v>
      </c>
      <c r="R202" s="214"/>
      <c r="S202" s="667"/>
      <c r="T202" s="667"/>
      <c r="U202" s="667"/>
      <c r="V202" s="667"/>
      <c r="W202" s="667"/>
      <c r="X202" s="667"/>
      <c r="Y202" s="667"/>
      <c r="Z202" s="667"/>
      <c r="AA202" s="667"/>
      <c r="AB202" s="667"/>
      <c r="AC202" s="667"/>
      <c r="AD202" s="667"/>
      <c r="AE202" s="667"/>
      <c r="AF202" s="667"/>
      <c r="AG202" s="667"/>
      <c r="AH202" s="667"/>
      <c r="AI202" s="667"/>
      <c r="AJ202" s="817"/>
      <c r="AK202" s="667"/>
    </row>
    <row r="203" spans="1:37">
      <c r="A203" s="1">
        <v>55</v>
      </c>
      <c r="B203" s="813"/>
      <c r="C203" s="818" t="str">
        <f>Mineral!A27</f>
        <v>Sonstige</v>
      </c>
      <c r="D203" s="611">
        <f>IFERROR(VLOOKUP(C203,Mineral!$R$3:$AA$48,3,0),0)</f>
        <v>0</v>
      </c>
      <c r="E203" s="662">
        <f t="shared" si="90"/>
        <v>0</v>
      </c>
      <c r="F203" s="854">
        <f t="shared" si="91"/>
        <v>0</v>
      </c>
      <c r="G203" s="855">
        <f t="shared" si="92"/>
        <v>0</v>
      </c>
      <c r="H203" s="842">
        <f>IFERROR(VLOOKUP(C203,Mineral!$A$3:$J$27,4,0),0)</f>
        <v>0</v>
      </c>
      <c r="I203" s="843">
        <f>IFERROR(VLOOKUP(C203,Mineral!$A$3:$J$27,5,0),0)</f>
        <v>0</v>
      </c>
      <c r="J203" s="844">
        <f>IFERROR(VLOOKUP(C203,Mineral!$A$3:$J$27,6,0),0)</f>
        <v>0</v>
      </c>
      <c r="K203" s="856">
        <f>Mineral!J27</f>
        <v>1</v>
      </c>
      <c r="L203" s="662"/>
      <c r="M203" s="831" t="s">
        <v>1344</v>
      </c>
      <c r="N203" s="829">
        <f t="shared" si="89"/>
        <v>0</v>
      </c>
      <c r="O203" s="695">
        <f t="shared" si="70"/>
        <v>0</v>
      </c>
      <c r="P203" s="830">
        <f t="shared" si="71"/>
        <v>0</v>
      </c>
      <c r="Q203" s="845" t="e">
        <f t="shared" si="93"/>
        <v>#N/A</v>
      </c>
      <c r="R203" s="214"/>
      <c r="S203" s="667"/>
      <c r="T203" s="667"/>
      <c r="U203" s="667"/>
      <c r="V203" s="667"/>
      <c r="W203" s="667"/>
      <c r="X203" s="667"/>
      <c r="Y203" s="667"/>
      <c r="Z203" s="667"/>
      <c r="AA203" s="667"/>
      <c r="AB203" s="667"/>
      <c r="AC203" s="667"/>
      <c r="AD203" s="667"/>
      <c r="AE203" s="667"/>
      <c r="AF203" s="667"/>
      <c r="AG203" s="667"/>
      <c r="AH203" s="667"/>
      <c r="AI203" s="667"/>
      <c r="AJ203" s="817"/>
      <c r="AK203" s="667"/>
    </row>
    <row r="204" spans="1:37" ht="14.4" thickBot="1">
      <c r="A204" s="1">
        <v>64</v>
      </c>
      <c r="B204" s="813"/>
      <c r="C204" s="818"/>
      <c r="D204" s="212"/>
      <c r="E204" s="212"/>
      <c r="F204" s="857" t="s">
        <v>1155</v>
      </c>
      <c r="G204" s="858" t="s">
        <v>1155</v>
      </c>
      <c r="H204" s="859" t="s">
        <v>1351</v>
      </c>
      <c r="I204" s="860" t="s">
        <v>1099</v>
      </c>
      <c r="J204" s="861" t="s">
        <v>1100</v>
      </c>
      <c r="K204" s="862" t="s">
        <v>1352</v>
      </c>
      <c r="L204" s="611"/>
      <c r="M204" s="831"/>
      <c r="N204" s="863"/>
      <c r="O204" s="864"/>
      <c r="P204" s="865"/>
      <c r="Q204" s="667"/>
      <c r="R204" s="214"/>
      <c r="S204" s="667"/>
      <c r="T204" s="667"/>
      <c r="U204" s="667"/>
      <c r="V204" s="667"/>
      <c r="W204" s="667"/>
      <c r="X204" s="667"/>
      <c r="Y204" s="667"/>
      <c r="Z204" s="667"/>
      <c r="AA204" s="667"/>
      <c r="AB204" s="667"/>
      <c r="AC204" s="667"/>
      <c r="AD204" s="667"/>
      <c r="AE204" s="667"/>
      <c r="AF204" s="667"/>
      <c r="AG204" s="667"/>
      <c r="AH204" s="667"/>
      <c r="AI204" s="667"/>
      <c r="AJ204" s="817"/>
      <c r="AK204" s="667"/>
    </row>
    <row r="205" spans="1:37" ht="13.8" thickBot="1">
      <c r="B205" s="214"/>
      <c r="C205" s="214"/>
      <c r="D205" s="667"/>
      <c r="E205" s="667"/>
      <c r="F205" s="667"/>
      <c r="G205" s="667"/>
      <c r="H205" s="667"/>
      <c r="I205" s="667"/>
      <c r="J205" s="667"/>
      <c r="K205" s="667"/>
      <c r="L205" s="667"/>
      <c r="M205" s="817" t="s">
        <v>1353</v>
      </c>
      <c r="N205" s="866">
        <f>SUM(N159:N204)</f>
        <v>0</v>
      </c>
      <c r="O205" s="867">
        <f>SUM(O159:O204)</f>
        <v>0</v>
      </c>
      <c r="P205" s="868">
        <f>SUM(P159:P204)</f>
        <v>0</v>
      </c>
      <c r="Q205" s="667"/>
      <c r="R205" s="214"/>
      <c r="S205" s="667"/>
      <c r="T205" s="667"/>
      <c r="U205" s="667"/>
      <c r="V205" s="667"/>
      <c r="W205" s="667"/>
      <c r="X205" s="667"/>
      <c r="Y205" s="667"/>
      <c r="Z205" s="667"/>
      <c r="AA205" s="667"/>
      <c r="AB205" s="667"/>
      <c r="AC205" s="667"/>
      <c r="AD205" s="667"/>
      <c r="AE205" s="667"/>
      <c r="AF205" s="667"/>
      <c r="AG205" s="667"/>
      <c r="AH205" s="667"/>
      <c r="AI205" s="667"/>
      <c r="AJ205" s="817"/>
      <c r="AK205" s="667"/>
    </row>
    <row r="206" spans="1:37">
      <c r="A206" s="2423"/>
      <c r="B206" s="2424"/>
      <c r="C206" s="2425"/>
      <c r="D206" s="2426"/>
      <c r="E206" s="2427"/>
      <c r="F206" s="2425"/>
      <c r="G206" s="2426"/>
      <c r="H206" s="2427"/>
      <c r="I206" s="2425"/>
      <c r="J206" s="2426"/>
      <c r="K206" s="2427"/>
      <c r="L206" s="2425"/>
      <c r="M206" s="2426"/>
      <c r="N206" s="2427"/>
      <c r="O206" s="2425"/>
      <c r="P206" s="2426"/>
      <c r="Q206" s="2427"/>
      <c r="R206" s="214"/>
      <c r="S206" s="667"/>
      <c r="T206" s="667"/>
      <c r="U206" s="667"/>
      <c r="V206" s="667"/>
      <c r="W206" s="667"/>
      <c r="X206" s="667"/>
      <c r="Y206" s="667"/>
      <c r="Z206" s="667"/>
      <c r="AA206" s="667"/>
      <c r="AB206" s="667"/>
      <c r="AC206" s="667"/>
      <c r="AD206" s="667"/>
      <c r="AE206" s="667"/>
      <c r="AF206" s="667"/>
      <c r="AG206" s="667"/>
      <c r="AH206" s="667"/>
      <c r="AI206" s="667"/>
      <c r="AJ206" s="817"/>
      <c r="AK206" s="667"/>
    </row>
    <row r="207" spans="1:37">
      <c r="A207" s="2423"/>
      <c r="B207" s="458"/>
      <c r="C207" s="2428"/>
      <c r="D207" s="509"/>
      <c r="E207" s="2429"/>
      <c r="F207" s="2430"/>
      <c r="G207" s="2430"/>
      <c r="H207" s="2430"/>
      <c r="I207" s="2430"/>
      <c r="J207" s="2430"/>
      <c r="K207" s="2431"/>
      <c r="L207" s="2429"/>
      <c r="M207" s="2429"/>
      <c r="N207" s="2432"/>
      <c r="O207" s="2433"/>
      <c r="P207" s="2433"/>
      <c r="Q207" s="569"/>
      <c r="R207" s="214"/>
      <c r="S207" s="667"/>
      <c r="T207" s="667"/>
      <c r="U207" s="667"/>
      <c r="V207" s="667"/>
      <c r="W207" s="667"/>
      <c r="X207" s="667"/>
      <c r="Y207" s="667"/>
      <c r="Z207" s="667"/>
      <c r="AA207" s="667"/>
      <c r="AB207" s="667"/>
      <c r="AC207" s="667"/>
      <c r="AD207" s="667"/>
      <c r="AE207" s="667"/>
      <c r="AF207" s="667"/>
      <c r="AG207" s="667"/>
      <c r="AH207" s="667"/>
      <c r="AI207" s="667"/>
      <c r="AJ207" s="817"/>
      <c r="AK207" s="667"/>
    </row>
    <row r="208" spans="1:37">
      <c r="A208" s="2423"/>
      <c r="B208" s="458"/>
      <c r="C208" s="2428"/>
      <c r="D208" s="509"/>
      <c r="E208" s="2429"/>
      <c r="F208" s="2430"/>
      <c r="G208" s="2430"/>
      <c r="H208" s="2430"/>
      <c r="I208" s="2430"/>
      <c r="J208" s="2430"/>
      <c r="K208" s="2431"/>
      <c r="L208" s="2429"/>
      <c r="M208" s="2429"/>
      <c r="N208" s="2432"/>
      <c r="O208" s="2433"/>
      <c r="P208" s="2433"/>
      <c r="Q208" s="569"/>
      <c r="R208" s="214"/>
      <c r="S208" s="667"/>
      <c r="T208" s="667"/>
      <c r="U208" s="667"/>
      <c r="V208" s="667"/>
      <c r="W208" s="667"/>
      <c r="X208" s="667"/>
      <c r="Y208" s="667"/>
      <c r="Z208" s="667"/>
      <c r="AA208" s="667"/>
      <c r="AB208" s="667"/>
      <c r="AC208" s="667"/>
      <c r="AD208" s="667"/>
      <c r="AE208" s="667"/>
      <c r="AF208" s="667"/>
      <c r="AG208" s="667"/>
      <c r="AH208" s="667"/>
      <c r="AI208" s="667"/>
      <c r="AJ208" s="817"/>
      <c r="AK208" s="667"/>
    </row>
    <row r="209" spans="1:37">
      <c r="A209" s="2423"/>
      <c r="B209" s="458"/>
      <c r="C209" s="2428"/>
      <c r="D209" s="509"/>
      <c r="E209" s="2429"/>
      <c r="F209" s="2430"/>
      <c r="G209" s="2430"/>
      <c r="H209" s="2430"/>
      <c r="I209" s="2430"/>
      <c r="J209" s="2430"/>
      <c r="K209" s="2431"/>
      <c r="L209" s="2429"/>
      <c r="M209" s="2429"/>
      <c r="N209" s="2432"/>
      <c r="O209" s="2433"/>
      <c r="P209" s="2433"/>
      <c r="Q209" s="569"/>
      <c r="R209" s="214"/>
      <c r="S209" s="214"/>
      <c r="T209" s="214"/>
      <c r="U209" s="667"/>
      <c r="V209" s="667"/>
      <c r="W209" s="667"/>
      <c r="X209" s="667"/>
      <c r="Y209" s="667"/>
      <c r="Z209" s="667"/>
      <c r="AA209" s="667"/>
      <c r="AB209" s="667"/>
      <c r="AC209" s="667"/>
      <c r="AD209" s="667"/>
      <c r="AE209" s="667"/>
      <c r="AF209" s="667"/>
      <c r="AG209" s="667"/>
      <c r="AH209" s="667"/>
      <c r="AI209" s="663"/>
      <c r="AJ209" s="817"/>
      <c r="AK209" s="667"/>
    </row>
    <row r="210" spans="1:37">
      <c r="A210" s="2423"/>
      <c r="B210" s="458"/>
      <c r="C210" s="2428"/>
      <c r="D210" s="509"/>
      <c r="E210" s="2429"/>
      <c r="F210" s="2430"/>
      <c r="G210" s="2430"/>
      <c r="H210" s="2430"/>
      <c r="I210" s="2430"/>
      <c r="J210" s="2430"/>
      <c r="K210" s="2431"/>
      <c r="L210" s="2429"/>
      <c r="M210" s="2429"/>
      <c r="N210" s="2432"/>
      <c r="O210" s="2433"/>
      <c r="P210" s="2433"/>
      <c r="Q210" s="569"/>
      <c r="R210" s="214"/>
      <c r="S210" s="214"/>
      <c r="T210" s="214"/>
      <c r="U210" s="667"/>
      <c r="V210" s="667"/>
      <c r="W210" s="667"/>
      <c r="X210" s="667"/>
      <c r="Y210" s="667"/>
      <c r="Z210" s="667"/>
      <c r="AA210" s="667"/>
      <c r="AB210" s="667"/>
      <c r="AC210" s="667"/>
      <c r="AD210" s="667"/>
      <c r="AE210" s="667"/>
      <c r="AF210" s="667"/>
      <c r="AG210" s="667"/>
      <c r="AH210" s="667"/>
      <c r="AI210" s="663"/>
      <c r="AJ210" s="817"/>
      <c r="AK210" s="667"/>
    </row>
    <row r="211" spans="1:37" ht="15" customHeight="1">
      <c r="A211" s="2423"/>
      <c r="B211" s="458"/>
      <c r="C211" s="2428"/>
      <c r="D211" s="509"/>
      <c r="E211" s="2429"/>
      <c r="F211" s="2430"/>
      <c r="G211" s="2430"/>
      <c r="H211" s="2430"/>
      <c r="I211" s="2430"/>
      <c r="J211" s="2430"/>
      <c r="K211" s="2431"/>
      <c r="L211" s="509"/>
      <c r="M211" s="2429"/>
      <c r="N211" s="2432"/>
      <c r="O211" s="2433"/>
      <c r="P211" s="2433"/>
      <c r="Q211" s="569"/>
      <c r="R211" s="214"/>
      <c r="S211" s="214"/>
      <c r="T211" s="214"/>
      <c r="U211" s="667"/>
      <c r="V211" s="667"/>
      <c r="W211" s="667"/>
      <c r="X211" s="667"/>
      <c r="Y211" s="667"/>
      <c r="Z211" s="667"/>
      <c r="AA211" s="667"/>
      <c r="AB211" s="667"/>
      <c r="AC211" s="667"/>
      <c r="AD211" s="667"/>
      <c r="AE211" s="667"/>
      <c r="AF211" s="667"/>
      <c r="AG211" s="667"/>
      <c r="AH211" s="667"/>
      <c r="AI211" s="663"/>
      <c r="AJ211" s="817"/>
      <c r="AK211" s="667"/>
    </row>
    <row r="212" spans="1:37">
      <c r="R212" s="214"/>
      <c r="S212" s="214"/>
      <c r="T212" s="214"/>
      <c r="U212" s="667"/>
      <c r="V212" s="667"/>
      <c r="W212" s="667"/>
      <c r="X212" s="667"/>
      <c r="Y212" s="667"/>
      <c r="Z212" s="667"/>
      <c r="AA212" s="667"/>
      <c r="AB212" s="667"/>
      <c r="AC212" s="667"/>
      <c r="AD212" s="667"/>
      <c r="AE212" s="667"/>
      <c r="AF212" s="667"/>
      <c r="AG212" s="667"/>
      <c r="AH212" s="667"/>
      <c r="AI212" s="663"/>
      <c r="AJ212" s="817"/>
      <c r="AK212" s="667"/>
    </row>
    <row r="213" spans="1:37">
      <c r="R213" s="214"/>
      <c r="S213" s="214"/>
      <c r="T213" s="214"/>
      <c r="U213" s="667"/>
      <c r="V213" s="667"/>
      <c r="W213" s="667"/>
      <c r="X213" s="667"/>
      <c r="Y213" s="667"/>
      <c r="Z213" s="667"/>
      <c r="AA213" s="667"/>
      <c r="AB213" s="667"/>
      <c r="AC213" s="667"/>
      <c r="AD213" s="667"/>
      <c r="AE213" s="667"/>
      <c r="AF213" s="667"/>
      <c r="AG213" s="667"/>
      <c r="AH213" s="667"/>
      <c r="AI213" s="663"/>
      <c r="AJ213" s="817"/>
      <c r="AK213" s="667"/>
    </row>
    <row r="214" spans="1:37">
      <c r="R214" s="214"/>
      <c r="S214" s="214"/>
      <c r="T214" s="214"/>
      <c r="U214" s="667"/>
      <c r="V214" s="667"/>
      <c r="W214" s="667"/>
      <c r="X214" s="667"/>
      <c r="Y214" s="667"/>
      <c r="Z214" s="667"/>
      <c r="AA214" s="667"/>
      <c r="AB214" s="667"/>
      <c r="AC214" s="667"/>
      <c r="AD214" s="667"/>
      <c r="AE214" s="667"/>
      <c r="AF214" s="667"/>
      <c r="AG214" s="667"/>
      <c r="AH214" s="667"/>
      <c r="AI214" s="663"/>
      <c r="AJ214" s="817"/>
      <c r="AK214" s="667"/>
    </row>
    <row r="215" spans="1:37">
      <c r="R215" s="214"/>
      <c r="S215" s="214"/>
      <c r="T215" s="214"/>
      <c r="U215" s="667"/>
      <c r="V215" s="667"/>
      <c r="W215" s="667"/>
      <c r="X215" s="667"/>
      <c r="Y215" s="667"/>
      <c r="Z215" s="667"/>
      <c r="AA215" s="667"/>
      <c r="AB215" s="667"/>
      <c r="AC215" s="667"/>
      <c r="AD215" s="667"/>
      <c r="AE215" s="667"/>
      <c r="AF215" s="667"/>
      <c r="AG215" s="667"/>
      <c r="AH215" s="667"/>
      <c r="AI215" s="663"/>
      <c r="AJ215" s="817"/>
      <c r="AK215" s="667"/>
    </row>
    <row r="216" spans="1:37">
      <c r="R216" s="214"/>
      <c r="S216" s="214"/>
      <c r="T216" s="214"/>
      <c r="U216" s="667"/>
      <c r="V216" s="667"/>
      <c r="W216" s="667"/>
      <c r="X216" s="667"/>
      <c r="Y216" s="667"/>
      <c r="Z216" s="667"/>
      <c r="AA216" s="667"/>
      <c r="AB216" s="667"/>
      <c r="AC216" s="667"/>
      <c r="AD216" s="667"/>
      <c r="AE216" s="667"/>
      <c r="AF216" s="667"/>
      <c r="AG216" s="667"/>
      <c r="AH216" s="667"/>
      <c r="AI216" s="663"/>
      <c r="AJ216" s="817"/>
      <c r="AK216" s="667"/>
    </row>
    <row r="217" spans="1:37">
      <c r="R217" s="214"/>
      <c r="S217" s="214"/>
      <c r="T217" s="214"/>
      <c r="U217" s="667"/>
      <c r="V217" s="667"/>
      <c r="W217" s="667"/>
      <c r="X217" s="667"/>
      <c r="Y217" s="667"/>
      <c r="Z217" s="667"/>
      <c r="AA217" s="667"/>
      <c r="AB217" s="667"/>
      <c r="AC217" s="667"/>
      <c r="AD217" s="667"/>
      <c r="AE217" s="667"/>
      <c r="AF217" s="667"/>
      <c r="AG217" s="667"/>
      <c r="AH217" s="667"/>
      <c r="AI217" s="663"/>
      <c r="AJ217" s="817"/>
      <c r="AK217" s="667"/>
    </row>
    <row r="218" spans="1:37">
      <c r="R218" s="214"/>
      <c r="S218" s="214"/>
      <c r="T218" s="214"/>
      <c r="U218" s="667"/>
      <c r="V218" s="667"/>
      <c r="W218" s="667"/>
      <c r="X218" s="667"/>
      <c r="Y218" s="667"/>
      <c r="Z218" s="667"/>
      <c r="AA218" s="667"/>
      <c r="AB218" s="667"/>
      <c r="AC218" s="667"/>
      <c r="AD218" s="667"/>
      <c r="AE218" s="667"/>
      <c r="AF218" s="667"/>
      <c r="AG218" s="667"/>
      <c r="AH218" s="667"/>
      <c r="AI218" s="663"/>
      <c r="AJ218" s="817"/>
      <c r="AK218" s="667"/>
    </row>
    <row r="219" spans="1:37">
      <c r="R219" s="214"/>
      <c r="S219" s="214"/>
      <c r="T219" s="214"/>
      <c r="U219" s="667"/>
      <c r="V219" s="667"/>
      <c r="W219" s="667"/>
      <c r="X219" s="667"/>
      <c r="Y219" s="667"/>
      <c r="Z219" s="667"/>
      <c r="AA219" s="667"/>
      <c r="AB219" s="667"/>
      <c r="AC219" s="667"/>
      <c r="AD219" s="667"/>
      <c r="AE219" s="667"/>
      <c r="AF219" s="667"/>
      <c r="AG219" s="667"/>
      <c r="AH219" s="667"/>
      <c r="AI219" s="663"/>
      <c r="AJ219" s="817"/>
      <c r="AK219" s="667"/>
    </row>
    <row r="220" spans="1:37">
      <c r="R220" s="214"/>
      <c r="S220" s="214"/>
      <c r="T220" s="214"/>
      <c r="U220" s="667"/>
      <c r="V220" s="667"/>
      <c r="W220" s="667"/>
      <c r="X220" s="667"/>
      <c r="Y220" s="667"/>
      <c r="Z220" s="667"/>
      <c r="AA220" s="667"/>
      <c r="AB220" s="667"/>
      <c r="AC220" s="667"/>
      <c r="AD220" s="667"/>
      <c r="AE220" s="667"/>
      <c r="AF220" s="667"/>
      <c r="AG220" s="667"/>
      <c r="AH220" s="667"/>
      <c r="AI220" s="663"/>
      <c r="AJ220" s="817"/>
      <c r="AK220" s="667"/>
    </row>
    <row r="221" spans="1:37">
      <c r="R221" s="214"/>
      <c r="S221" s="214"/>
      <c r="T221" s="214"/>
      <c r="U221" s="667"/>
      <c r="V221" s="667"/>
      <c r="W221" s="667"/>
      <c r="X221" s="667"/>
      <c r="Y221" s="667"/>
      <c r="Z221" s="667"/>
      <c r="AA221" s="667"/>
      <c r="AB221" s="667"/>
      <c r="AC221" s="667"/>
      <c r="AD221" s="667"/>
      <c r="AE221" s="667"/>
      <c r="AF221" s="667"/>
      <c r="AG221" s="667"/>
      <c r="AH221" s="667"/>
      <c r="AI221" s="663"/>
      <c r="AJ221" s="817"/>
      <c r="AK221" s="667"/>
    </row>
    <row r="222" spans="1:37">
      <c r="R222" s="214"/>
      <c r="S222" s="214"/>
      <c r="T222" s="214"/>
      <c r="U222" s="667"/>
      <c r="V222" s="667"/>
      <c r="W222" s="667"/>
      <c r="X222" s="667"/>
      <c r="Y222" s="667"/>
      <c r="Z222" s="667"/>
      <c r="AA222" s="667"/>
      <c r="AB222" s="667"/>
      <c r="AC222" s="667"/>
      <c r="AD222" s="667"/>
      <c r="AE222" s="667"/>
      <c r="AF222" s="667"/>
      <c r="AG222" s="667"/>
      <c r="AH222" s="667"/>
      <c r="AI222" s="663"/>
      <c r="AJ222" s="817"/>
      <c r="AK222" s="667"/>
    </row>
    <row r="223" spans="1:37">
      <c r="R223" s="667"/>
      <c r="S223" s="667"/>
      <c r="T223" s="667"/>
      <c r="U223" s="667"/>
      <c r="V223" s="667"/>
      <c r="W223" s="667"/>
      <c r="X223" s="667"/>
      <c r="Y223" s="667"/>
      <c r="Z223" s="667"/>
      <c r="AA223" s="667"/>
      <c r="AB223" s="667"/>
      <c r="AC223" s="667"/>
      <c r="AD223" s="667"/>
      <c r="AE223" s="667"/>
      <c r="AF223" s="667"/>
      <c r="AG223" s="667"/>
      <c r="AH223" s="667"/>
      <c r="AI223" s="663"/>
      <c r="AJ223" s="817"/>
      <c r="AK223" s="667"/>
    </row>
    <row r="224" spans="1:37">
      <c r="R224" s="667"/>
      <c r="S224" s="667"/>
      <c r="T224" s="667"/>
      <c r="U224" s="667"/>
      <c r="V224" s="667"/>
      <c r="W224" s="667"/>
      <c r="X224" s="667"/>
      <c r="Y224" s="667"/>
      <c r="Z224" s="667"/>
      <c r="AA224" s="667"/>
      <c r="AB224" s="667"/>
      <c r="AC224" s="667"/>
      <c r="AD224" s="667"/>
      <c r="AE224" s="667"/>
      <c r="AF224" s="667"/>
      <c r="AG224" s="667"/>
      <c r="AH224" s="667"/>
      <c r="AI224" s="663"/>
      <c r="AJ224" s="817"/>
      <c r="AK224" s="667"/>
    </row>
    <row r="225" spans="18:37">
      <c r="R225" s="667"/>
      <c r="S225" s="667"/>
      <c r="T225" s="667"/>
      <c r="U225" s="667"/>
      <c r="V225" s="667"/>
      <c r="W225" s="667"/>
      <c r="X225" s="667"/>
      <c r="Y225" s="667"/>
      <c r="Z225" s="667"/>
      <c r="AA225" s="667"/>
      <c r="AB225" s="667"/>
      <c r="AC225" s="667"/>
      <c r="AD225" s="667"/>
      <c r="AE225" s="667"/>
      <c r="AF225" s="667"/>
      <c r="AG225" s="667"/>
      <c r="AH225" s="667"/>
      <c r="AI225" s="663"/>
      <c r="AJ225" s="817"/>
      <c r="AK225" s="667"/>
    </row>
    <row r="226" spans="18:37">
      <c r="R226" s="667"/>
      <c r="S226" s="667"/>
      <c r="T226" s="667"/>
      <c r="U226" s="667"/>
      <c r="V226" s="667"/>
      <c r="W226" s="667"/>
      <c r="X226" s="667"/>
      <c r="Y226" s="667"/>
      <c r="Z226" s="667"/>
      <c r="AA226" s="667"/>
      <c r="AB226" s="667"/>
      <c r="AC226" s="667"/>
      <c r="AD226" s="667"/>
      <c r="AE226" s="667"/>
      <c r="AF226" s="667"/>
      <c r="AG226" s="667"/>
      <c r="AH226" s="667"/>
      <c r="AI226" s="663"/>
      <c r="AJ226" s="817"/>
      <c r="AK226" s="667"/>
    </row>
  </sheetData>
  <sheetProtection password="CAEF" sheet="1" formatCells="0" formatColumns="0" formatRows="0" insertColumns="0" insertRows="0"/>
  <mergeCells count="25">
    <mergeCell ref="D2:H2"/>
    <mergeCell ref="I2:K2"/>
    <mergeCell ref="AJ2:AJ3"/>
    <mergeCell ref="AK2:AK3"/>
    <mergeCell ref="AR3:AR4"/>
    <mergeCell ref="DC3:DC4"/>
    <mergeCell ref="AJ4:AK4"/>
    <mergeCell ref="CB3:CF3"/>
    <mergeCell ref="CH3:CL3"/>
    <mergeCell ref="CM3:CQ3"/>
    <mergeCell ref="BR3:BR4"/>
    <mergeCell ref="BS3:BS4"/>
    <mergeCell ref="BT3:BU3"/>
    <mergeCell ref="AS3:AW3"/>
    <mergeCell ref="CR3:CV3"/>
    <mergeCell ref="CW3:DA3"/>
    <mergeCell ref="BJ3:BN3"/>
    <mergeCell ref="BP3:BP4"/>
    <mergeCell ref="BQ3:BQ4"/>
    <mergeCell ref="BV3:BZ3"/>
    <mergeCell ref="Q174:R176"/>
    <mergeCell ref="AY3:BA3"/>
    <mergeCell ref="BC3:BC4"/>
    <mergeCell ref="BD3:BH3"/>
    <mergeCell ref="AY35:BA37"/>
  </mergeCells>
  <phoneticPr fontId="38" type="noConversion"/>
  <printOptions headings="1"/>
  <pageMargins left="0.31527777777777777" right="0.27569444444444446" top="0.39374999999999999" bottom="0.39374999999999999" header="0.51180555555555551" footer="0.51180555555555551"/>
  <pageSetup paperSize="9" firstPageNumber="0" orientation="landscape" horizontalDpi="300" verticalDpi="300" r:id="rId1"/>
  <headerFooter alignWithMargins="0"/>
  <rowBreaks count="2" manualBreakCount="2">
    <brk id="39" max="16383" man="1"/>
    <brk id="156" max="16383" man="1"/>
  </rowBreaks>
  <colBreaks count="3" manualBreakCount="3">
    <brk id="19" max="1048575" man="1"/>
    <brk id="41" max="1048575" man="1"/>
    <brk id="54" max="104857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8">
    <tabColor theme="9" tint="0.39997558519241921"/>
    <pageSetUpPr fitToPage="1"/>
  </sheetPr>
  <dimension ref="A1:AA128"/>
  <sheetViews>
    <sheetView showZeros="0" zoomScale="75" zoomScaleNormal="75" workbookViewId="0">
      <selection activeCell="B4" sqref="B4"/>
    </sheetView>
  </sheetViews>
  <sheetFormatPr baseColWidth="10" defaultColWidth="12.33203125" defaultRowHeight="13.2"/>
  <cols>
    <col min="1" max="1" width="2.88671875" customWidth="1"/>
    <col min="2" max="2" width="22.44140625" customWidth="1"/>
    <col min="3" max="6" width="11.44140625" customWidth="1"/>
    <col min="7" max="7" width="13" customWidth="1"/>
    <col min="8" max="8" width="12" customWidth="1"/>
    <col min="9" max="9" width="11.6640625" customWidth="1"/>
    <col min="10" max="10" width="10.44140625" customWidth="1"/>
    <col min="11" max="11" width="9.6640625" customWidth="1"/>
    <col min="12" max="13" width="9.88671875" customWidth="1"/>
    <col min="14" max="14" width="20.88671875" customWidth="1"/>
    <col min="15" max="15" width="4" customWidth="1"/>
    <col min="16" max="16" width="18.88671875" customWidth="1"/>
    <col min="17" max="17" width="6.6640625" customWidth="1"/>
    <col min="19" max="19" width="15.88671875" customWidth="1"/>
    <col min="20" max="20" width="10.88671875" customWidth="1"/>
    <col min="22" max="22" width="14.6640625" customWidth="1"/>
    <col min="23" max="23" width="13.6640625" customWidth="1"/>
    <col min="25" max="27" width="0" hidden="1" customWidth="1"/>
  </cols>
  <sheetData>
    <row r="1" spans="1:27" ht="28.5" customHeight="1">
      <c r="A1" s="214"/>
      <c r="B1" s="1486" t="s">
        <v>1447</v>
      </c>
      <c r="C1" s="1487"/>
      <c r="D1" s="1487"/>
      <c r="E1" s="1487"/>
      <c r="F1" s="1488"/>
      <c r="G1" s="1489"/>
      <c r="H1" s="1489"/>
      <c r="I1" s="1489"/>
      <c r="J1" s="1489"/>
      <c r="K1" s="1489"/>
      <c r="L1" s="2796" t="s">
        <v>1383</v>
      </c>
      <c r="M1" s="2796"/>
      <c r="N1" s="1490" t="s">
        <v>1355</v>
      </c>
      <c r="O1" s="458"/>
      <c r="P1" s="458"/>
      <c r="Q1" s="458"/>
      <c r="R1" s="458"/>
      <c r="S1" s="458"/>
      <c r="T1" s="458"/>
      <c r="U1" s="458"/>
      <c r="V1" s="458"/>
      <c r="W1" s="458"/>
      <c r="X1" s="214"/>
      <c r="Y1" s="197"/>
      <c r="Z1" s="197"/>
      <c r="AA1" s="197"/>
    </row>
    <row r="2" spans="1:27" ht="23.25" customHeight="1">
      <c r="A2" s="214"/>
      <c r="B2" s="1949" t="s">
        <v>1448</v>
      </c>
      <c r="C2" s="1950"/>
      <c r="D2" s="1950"/>
      <c r="E2" s="1950"/>
      <c r="F2" s="1950"/>
      <c r="G2" s="1950"/>
      <c r="H2" s="1950"/>
      <c r="I2" s="1950" t="s">
        <v>1033</v>
      </c>
      <c r="J2" s="1950"/>
      <c r="K2" s="1950"/>
      <c r="L2" s="1950"/>
      <c r="M2" s="1950"/>
      <c r="N2" s="1951" t="s">
        <v>1449</v>
      </c>
      <c r="O2" s="458"/>
      <c r="P2" s="458"/>
      <c r="Q2" s="458"/>
      <c r="R2" s="1432" t="s">
        <v>1450</v>
      </c>
      <c r="S2" s="1433"/>
      <c r="T2" s="1433"/>
      <c r="U2" s="1433"/>
      <c r="V2" s="1434" t="s">
        <v>1451</v>
      </c>
      <c r="W2" s="1433"/>
      <c r="X2" s="214"/>
      <c r="Y2" s="197"/>
      <c r="Z2" s="197"/>
      <c r="AA2" s="197"/>
    </row>
    <row r="3" spans="1:27" ht="27.75" customHeight="1">
      <c r="A3" s="214"/>
      <c r="B3" s="1952" t="s">
        <v>774</v>
      </c>
      <c r="C3" s="1953" t="s">
        <v>1143</v>
      </c>
      <c r="D3" s="1953" t="s">
        <v>1452</v>
      </c>
      <c r="E3" s="1953" t="s">
        <v>998</v>
      </c>
      <c r="F3" s="1953" t="s">
        <v>999</v>
      </c>
      <c r="G3" s="1818" t="s">
        <v>1453</v>
      </c>
      <c r="H3" s="1953" t="s">
        <v>1000</v>
      </c>
      <c r="I3" s="1953" t="s">
        <v>1143</v>
      </c>
      <c r="J3" s="1953" t="s">
        <v>1454</v>
      </c>
      <c r="K3" s="1953" t="s">
        <v>1455</v>
      </c>
      <c r="L3" s="1953" t="s">
        <v>938</v>
      </c>
      <c r="M3" s="1953" t="s">
        <v>1001</v>
      </c>
      <c r="N3" s="1954" t="s">
        <v>1456</v>
      </c>
      <c r="O3" s="458"/>
      <c r="P3" s="458"/>
      <c r="Q3" s="458"/>
      <c r="R3" s="474" t="s">
        <v>1457</v>
      </c>
      <c r="S3" s="458"/>
      <c r="T3" s="458"/>
      <c r="U3" s="458"/>
      <c r="V3" s="458"/>
      <c r="W3" s="458"/>
      <c r="X3" s="214"/>
      <c r="Y3" s="197"/>
      <c r="Z3" s="197"/>
      <c r="AA3" s="197"/>
    </row>
    <row r="4" spans="1:27" ht="29.25" customHeight="1">
      <c r="A4" s="214"/>
      <c r="B4" s="1491" t="s">
        <v>1548</v>
      </c>
      <c r="C4" s="1492"/>
      <c r="D4" s="1493"/>
      <c r="E4" s="1493"/>
      <c r="F4" s="1493"/>
      <c r="G4" s="1494"/>
      <c r="H4" s="1495"/>
      <c r="I4" s="1496">
        <f>C4</f>
        <v>0</v>
      </c>
      <c r="J4" s="1497">
        <f t="shared" ref="J4:L7" si="0">$C4*D4</f>
        <v>0</v>
      </c>
      <c r="K4" s="1497">
        <f t="shared" si="0"/>
        <v>0</v>
      </c>
      <c r="L4" s="1497">
        <f t="shared" si="0"/>
        <v>0</v>
      </c>
      <c r="M4" s="1498">
        <f>IF(D4=0,0,H4/D4)</f>
        <v>0</v>
      </c>
      <c r="N4" s="1963" t="str">
        <f>IF(L58&gt;0,P58,IF(L59&gt;0,P59,IF(L60&gt;0,P60,IF(L61&gt;0,P61,IF(L62&gt;0,P62,"")))))</f>
        <v/>
      </c>
      <c r="O4" s="458"/>
      <c r="P4" s="458"/>
      <c r="Q4" s="458"/>
      <c r="R4" s="474" t="s">
        <v>1458</v>
      </c>
      <c r="S4" s="458"/>
      <c r="T4" s="458"/>
      <c r="U4" s="458"/>
      <c r="V4" s="458"/>
      <c r="W4" s="458"/>
      <c r="X4" s="214"/>
      <c r="Y4" s="197"/>
      <c r="Z4" s="197"/>
      <c r="AA4" s="197"/>
    </row>
    <row r="5" spans="1:27" ht="29.25" customHeight="1">
      <c r="A5" s="214"/>
      <c r="B5" s="1491" t="s">
        <v>827</v>
      </c>
      <c r="C5" s="1492"/>
      <c r="D5" s="1493"/>
      <c r="E5" s="1493"/>
      <c r="F5" s="1493"/>
      <c r="G5" s="1494"/>
      <c r="H5" s="1495"/>
      <c r="I5" s="1496">
        <f>C5</f>
        <v>0</v>
      </c>
      <c r="J5" s="1497">
        <f t="shared" si="0"/>
        <v>0</v>
      </c>
      <c r="K5" s="1497">
        <f t="shared" si="0"/>
        <v>0</v>
      </c>
      <c r="L5" s="1497">
        <f t="shared" si="0"/>
        <v>0</v>
      </c>
      <c r="M5" s="1498">
        <f>IF(D5=0,0,H5/D5)</f>
        <v>0</v>
      </c>
      <c r="N5" s="1963" t="str">
        <f>IF(L64&gt;0,P64,IF(L65&gt;0,P65,IF(L66&gt;0,P66,IF(L67&gt;0,P67,IF(L68&gt;0,P68,"")))))</f>
        <v/>
      </c>
      <c r="O5" s="458"/>
      <c r="P5" s="458"/>
      <c r="Q5" s="458"/>
      <c r="R5" s="474" t="s">
        <v>1459</v>
      </c>
      <c r="S5" s="458"/>
      <c r="T5" s="458"/>
      <c r="U5" s="458"/>
      <c r="V5" s="458"/>
      <c r="W5" s="458"/>
      <c r="X5" s="214"/>
      <c r="Y5" s="197"/>
      <c r="Z5" s="197"/>
      <c r="AA5" s="197"/>
    </row>
    <row r="6" spans="1:27" ht="23.25" customHeight="1">
      <c r="A6" s="214"/>
      <c r="B6" s="1491" t="s">
        <v>827</v>
      </c>
      <c r="C6" s="1492"/>
      <c r="D6" s="1493"/>
      <c r="E6" s="1493"/>
      <c r="F6" s="1493"/>
      <c r="G6" s="1494"/>
      <c r="H6" s="1495"/>
      <c r="I6" s="1496">
        <f>C6</f>
        <v>0</v>
      </c>
      <c r="J6" s="1497">
        <f t="shared" si="0"/>
        <v>0</v>
      </c>
      <c r="K6" s="1497">
        <f t="shared" si="0"/>
        <v>0</v>
      </c>
      <c r="L6" s="1497">
        <f t="shared" si="0"/>
        <v>0</v>
      </c>
      <c r="M6" s="1498">
        <f>IF(D6=0,0,H6/D6)</f>
        <v>0</v>
      </c>
      <c r="N6" s="1963" t="str">
        <f>IF(L70&gt;0,P70,IF(L71&gt;0,P71,IF(L72&gt;0,P72,IF(L73&gt;0,P73,IF(L74&gt;0,P74,"")))))</f>
        <v/>
      </c>
      <c r="O6" s="458"/>
      <c r="P6" s="458"/>
      <c r="Q6" s="458"/>
      <c r="R6" s="527" t="s">
        <v>1460</v>
      </c>
      <c r="S6" s="458"/>
      <c r="T6" s="458"/>
      <c r="U6" s="458"/>
      <c r="V6" s="458"/>
      <c r="W6" s="458"/>
      <c r="X6" s="214"/>
      <c r="Y6" s="197"/>
      <c r="Z6" s="197"/>
      <c r="AA6" s="197"/>
    </row>
    <row r="7" spans="1:27" ht="23.25" customHeight="1">
      <c r="A7" s="214"/>
      <c r="B7" s="1491" t="s">
        <v>827</v>
      </c>
      <c r="C7" s="1492"/>
      <c r="D7" s="1493"/>
      <c r="E7" s="1493"/>
      <c r="F7" s="1493"/>
      <c r="G7" s="1494"/>
      <c r="H7" s="1495"/>
      <c r="I7" s="1496">
        <f>C7</f>
        <v>0</v>
      </c>
      <c r="J7" s="1497">
        <f t="shared" si="0"/>
        <v>0</v>
      </c>
      <c r="K7" s="1499">
        <f t="shared" si="0"/>
        <v>0</v>
      </c>
      <c r="L7" s="1497">
        <f t="shared" si="0"/>
        <v>0</v>
      </c>
      <c r="M7" s="1498">
        <f>IF(D7=0,0,H7/D7)</f>
        <v>0</v>
      </c>
      <c r="N7" s="1963" t="str">
        <f>IF(L76&gt;0,P76,IF(L77&gt;0,P77,IF(L78&gt;0,P78,IF(L79&gt;0,P79,IF(L80&gt;0,P80,"")))))</f>
        <v/>
      </c>
      <c r="O7" s="458"/>
      <c r="P7" s="458"/>
      <c r="Q7" s="458"/>
      <c r="R7" s="1155" t="s">
        <v>1461</v>
      </c>
      <c r="S7" s="1155" t="s">
        <v>1462</v>
      </c>
      <c r="T7" s="1155" t="s">
        <v>1463</v>
      </c>
      <c r="U7" s="1155" t="s">
        <v>1464</v>
      </c>
      <c r="V7" s="1155" t="s">
        <v>1465</v>
      </c>
      <c r="W7" s="1155" t="s">
        <v>1466</v>
      </c>
      <c r="X7" s="214"/>
      <c r="Y7" s="197"/>
      <c r="Z7" s="197"/>
      <c r="AA7" s="197"/>
    </row>
    <row r="8" spans="1:27" ht="23.25" customHeight="1">
      <c r="A8" s="214"/>
      <c r="B8" s="1955" t="s">
        <v>1467</v>
      </c>
      <c r="C8" s="1950"/>
      <c r="D8" s="1950"/>
      <c r="E8" s="1950"/>
      <c r="F8" s="1950"/>
      <c r="G8" s="1950"/>
      <c r="H8" s="1950"/>
      <c r="I8" s="1950" t="s">
        <v>1033</v>
      </c>
      <c r="J8" s="1950"/>
      <c r="K8" s="1950"/>
      <c r="L8" s="1956"/>
      <c r="M8" s="1956"/>
      <c r="N8" s="1957"/>
      <c r="O8" s="458"/>
      <c r="P8" s="458"/>
      <c r="Q8" s="458"/>
      <c r="R8" s="1192"/>
      <c r="S8" s="1193"/>
      <c r="T8" s="1196">
        <f>R8*S8/10000</f>
        <v>0</v>
      </c>
      <c r="U8" s="1194">
        <f>S8/100*R8*10</f>
        <v>0</v>
      </c>
      <c r="V8" s="1192"/>
      <c r="W8" s="1194">
        <f>U8*V8</f>
        <v>0</v>
      </c>
      <c r="X8" s="214"/>
      <c r="Y8" s="197"/>
      <c r="Z8" s="197"/>
      <c r="AA8" s="197"/>
    </row>
    <row r="9" spans="1:27" ht="22.5" customHeight="1">
      <c r="A9" s="214"/>
      <c r="B9" s="1500" t="s">
        <v>778</v>
      </c>
      <c r="C9" s="1492"/>
      <c r="D9" s="1493"/>
      <c r="E9" s="1493"/>
      <c r="F9" s="1493"/>
      <c r="G9" s="1494"/>
      <c r="H9" s="1495"/>
      <c r="I9" s="1496">
        <f>C9</f>
        <v>0</v>
      </c>
      <c r="J9" s="1497">
        <f t="shared" ref="J9:L11" si="1">$C9*D9</f>
        <v>0</v>
      </c>
      <c r="K9" s="1497">
        <f t="shared" si="1"/>
        <v>0</v>
      </c>
      <c r="L9" s="1497">
        <f t="shared" si="1"/>
        <v>0</v>
      </c>
      <c r="M9" s="1498">
        <f>IF(D9=0,0,H9/D9)</f>
        <v>0</v>
      </c>
      <c r="N9" s="1963" t="str">
        <f>IF(L82&gt;0,P82,IF(L83&gt;0,P83,IF(L84&gt;0,P84,"")))</f>
        <v/>
      </c>
      <c r="O9" s="458"/>
      <c r="P9" s="458"/>
      <c r="Q9" s="458"/>
      <c r="R9" s="568" t="s">
        <v>1468</v>
      </c>
      <c r="S9" s="569"/>
      <c r="T9" s="569"/>
      <c r="U9" s="569"/>
      <c r="V9" s="569"/>
      <c r="W9" s="569"/>
      <c r="X9" s="214"/>
      <c r="Y9" s="197"/>
      <c r="Z9" s="197"/>
      <c r="AA9" s="197"/>
    </row>
    <row r="10" spans="1:27" ht="22.5" customHeight="1">
      <c r="A10" s="214"/>
      <c r="B10" s="1491" t="s">
        <v>776</v>
      </c>
      <c r="C10" s="1492"/>
      <c r="D10" s="1493"/>
      <c r="E10" s="1493"/>
      <c r="F10" s="1493"/>
      <c r="G10" s="1494"/>
      <c r="H10" s="1495"/>
      <c r="I10" s="1496">
        <f>C10</f>
        <v>0</v>
      </c>
      <c r="J10" s="1497">
        <f t="shared" si="1"/>
        <v>0</v>
      </c>
      <c r="K10" s="1497">
        <f t="shared" si="1"/>
        <v>0</v>
      </c>
      <c r="L10" s="1497">
        <f t="shared" si="1"/>
        <v>0</v>
      </c>
      <c r="M10" s="1498">
        <f>IF(D10=0,0,H10/D10)</f>
        <v>0</v>
      </c>
      <c r="N10" s="1963" t="str">
        <f>IF(L86&gt;0,P86,IF(L87&gt;0,P87,IF(L88&gt;0,P88,"")))</f>
        <v/>
      </c>
      <c r="O10" s="458"/>
      <c r="P10" s="458"/>
      <c r="Q10" s="458"/>
      <c r="R10" s="1189" t="s">
        <v>1461</v>
      </c>
      <c r="S10" s="1189" t="s">
        <v>1462</v>
      </c>
      <c r="T10" s="1189" t="s">
        <v>1463</v>
      </c>
      <c r="U10" s="1189" t="s">
        <v>1464</v>
      </c>
      <c r="V10" s="1189" t="s">
        <v>1469</v>
      </c>
      <c r="W10" s="1189" t="s">
        <v>1466</v>
      </c>
      <c r="X10" s="214"/>
      <c r="Y10" s="197"/>
      <c r="Z10" s="197"/>
      <c r="AA10" s="197"/>
    </row>
    <row r="11" spans="1:27" ht="22.5" customHeight="1">
      <c r="A11" s="214"/>
      <c r="B11" s="1491" t="s">
        <v>776</v>
      </c>
      <c r="C11" s="1492"/>
      <c r="D11" s="1493"/>
      <c r="E11" s="1493"/>
      <c r="F11" s="1493"/>
      <c r="G11" s="1494"/>
      <c r="H11" s="1495"/>
      <c r="I11" s="1496">
        <f>C11</f>
        <v>0</v>
      </c>
      <c r="J11" s="1497">
        <f t="shared" si="1"/>
        <v>0</v>
      </c>
      <c r="K11" s="1497">
        <f t="shared" si="1"/>
        <v>0</v>
      </c>
      <c r="L11" s="1497">
        <f t="shared" si="1"/>
        <v>0</v>
      </c>
      <c r="M11" s="1498">
        <f>IF(D11=0,0,H11/D11)</f>
        <v>0</v>
      </c>
      <c r="N11" s="1963" t="str">
        <f>IF(L90&gt;0,P90,IF(L91&gt;0,P91,IF(L92&gt;0,P92,"")))</f>
        <v/>
      </c>
      <c r="O11" s="458"/>
      <c r="P11" s="458"/>
      <c r="Q11" s="458"/>
      <c r="R11" s="1195"/>
      <c r="S11" s="1190"/>
      <c r="T11" s="1196">
        <f>R11*S11</f>
        <v>0</v>
      </c>
      <c r="U11" s="1194">
        <f>S11*R11*1000</f>
        <v>0</v>
      </c>
      <c r="V11" s="1192"/>
      <c r="W11" s="1194">
        <f>U11*V11</f>
        <v>0</v>
      </c>
      <c r="X11" s="214"/>
      <c r="Y11" s="197"/>
      <c r="Z11" s="197"/>
      <c r="AA11" s="197"/>
    </row>
    <row r="12" spans="1:27" ht="23.25" customHeight="1">
      <c r="A12" s="214"/>
      <c r="B12" s="1955" t="s">
        <v>1470</v>
      </c>
      <c r="C12" s="1950"/>
      <c r="D12" s="1950" t="s">
        <v>1471</v>
      </c>
      <c r="E12" s="1950"/>
      <c r="F12" s="1950"/>
      <c r="G12" s="1950"/>
      <c r="H12" s="1950"/>
      <c r="I12" s="1950" t="s">
        <v>1033</v>
      </c>
      <c r="J12" s="1958"/>
      <c r="K12" s="1958"/>
      <c r="L12" s="1958"/>
      <c r="M12" s="1958"/>
      <c r="N12" s="1957"/>
      <c r="O12" s="458"/>
      <c r="P12" s="458"/>
      <c r="Q12" s="458"/>
      <c r="R12" s="568" t="s">
        <v>1472</v>
      </c>
      <c r="S12" s="569"/>
      <c r="T12" s="569"/>
      <c r="U12" s="569"/>
      <c r="V12" s="569"/>
      <c r="W12" s="569"/>
      <c r="X12" s="214"/>
      <c r="Y12" s="197"/>
      <c r="Z12" s="197"/>
      <c r="AA12" s="197"/>
    </row>
    <row r="13" spans="1:27" ht="25.65" customHeight="1">
      <c r="A13" s="214"/>
      <c r="B13" s="1500" t="s">
        <v>777</v>
      </c>
      <c r="C13" s="1492"/>
      <c r="D13" s="1493"/>
      <c r="E13" s="1493"/>
      <c r="F13" s="1493"/>
      <c r="G13" s="1494"/>
      <c r="H13" s="1495"/>
      <c r="I13" s="1496">
        <f>C13</f>
        <v>0</v>
      </c>
      <c r="J13" s="1497">
        <f t="shared" ref="J13:L15" si="2">$C13*D13</f>
        <v>0</v>
      </c>
      <c r="K13" s="1497">
        <f t="shared" si="2"/>
        <v>0</v>
      </c>
      <c r="L13" s="1497">
        <f t="shared" si="2"/>
        <v>0</v>
      </c>
      <c r="M13" s="1498">
        <f>IF(D13=0,0,H13/D13)</f>
        <v>0</v>
      </c>
      <c r="N13" s="1963" t="str">
        <f>IF(L94&gt;0,P94,IF(L95&gt;0,P95,IF(L96&gt;0,P96,IF(L97&gt;0,P97,IF(L98&gt;0,P98,IF(L99&gt;0,P99,IF(L100&gt;0,P100,IF(L101&gt;0,P101,""))))))))</f>
        <v/>
      </c>
      <c r="O13" s="458"/>
      <c r="P13" s="458"/>
      <c r="Q13" s="458"/>
      <c r="R13" s="1189"/>
      <c r="S13" s="2790" t="s">
        <v>1473</v>
      </c>
      <c r="T13" s="2790"/>
      <c r="U13" s="1189" t="s">
        <v>1464</v>
      </c>
      <c r="V13" s="1189" t="s">
        <v>1469</v>
      </c>
      <c r="W13" s="1189" t="s">
        <v>1466</v>
      </c>
      <c r="X13" s="214"/>
      <c r="Y13" s="197"/>
      <c r="Z13" s="197"/>
      <c r="AA13" s="197"/>
    </row>
    <row r="14" spans="1:27" ht="25.65" customHeight="1">
      <c r="A14" s="214"/>
      <c r="B14" s="1500" t="s">
        <v>777</v>
      </c>
      <c r="C14" s="1492"/>
      <c r="D14" s="1493"/>
      <c r="E14" s="1493"/>
      <c r="F14" s="1493"/>
      <c r="G14" s="1494"/>
      <c r="H14" s="1495"/>
      <c r="I14" s="1496">
        <f>C14</f>
        <v>0</v>
      </c>
      <c r="J14" s="1497">
        <f t="shared" si="2"/>
        <v>0</v>
      </c>
      <c r="K14" s="1497">
        <f t="shared" si="2"/>
        <v>0</v>
      </c>
      <c r="L14" s="1497">
        <f t="shared" si="2"/>
        <v>0</v>
      </c>
      <c r="M14" s="1498">
        <f>IF(D14=0,0,H14/D14)</f>
        <v>0</v>
      </c>
      <c r="N14" s="1963" t="str">
        <f>IF(L103&gt;0,P103,IF(L104&gt;0,P104,IF(L105&gt;0,P105,IF(L106&gt;0,P106,IF(L107&gt;0,P107,IF(L108&gt;0,P108,IF(L109&gt;0,P109,IF(L110&gt;0,P110,""))))))))</f>
        <v/>
      </c>
      <c r="O14" s="458"/>
      <c r="P14" s="458"/>
      <c r="Q14" s="458"/>
      <c r="R14" s="1189" t="s">
        <v>1474</v>
      </c>
      <c r="S14" s="2791"/>
      <c r="T14" s="2791"/>
      <c r="U14" s="1191">
        <f>S14*1000</f>
        <v>0</v>
      </c>
      <c r="V14" s="1192"/>
      <c r="W14" s="1191">
        <f>U14*V14</f>
        <v>0</v>
      </c>
      <c r="X14" s="214"/>
      <c r="Y14" s="197"/>
      <c r="Z14" s="197"/>
      <c r="AA14" s="197"/>
    </row>
    <row r="15" spans="1:27" ht="25.65" customHeight="1">
      <c r="A15" s="214"/>
      <c r="B15" s="1491" t="s">
        <v>779</v>
      </c>
      <c r="C15" s="1492"/>
      <c r="D15" s="1493"/>
      <c r="E15" s="1493"/>
      <c r="F15" s="1493"/>
      <c r="G15" s="1494"/>
      <c r="H15" s="1495"/>
      <c r="I15" s="1496">
        <f>C15</f>
        <v>0</v>
      </c>
      <c r="J15" s="1497">
        <f t="shared" si="2"/>
        <v>0</v>
      </c>
      <c r="K15" s="1497">
        <f t="shared" si="2"/>
        <v>0</v>
      </c>
      <c r="L15" s="1497">
        <f t="shared" si="2"/>
        <v>0</v>
      </c>
      <c r="M15" s="1498">
        <f>IF(D15=0,0,H15/D15)</f>
        <v>0</v>
      </c>
      <c r="N15" s="1963" t="str">
        <f>IF(L112&gt;0,P112,IF(L113&gt;0,P113,IF(L114&gt;0,P114,IF(L115&gt;0,P115,IF(L116&gt;0,P116,IF(L117&gt;0,P117,IF(L118&gt;0,P118,IF(L119&gt;0,P119,""))))))))</f>
        <v/>
      </c>
      <c r="O15" s="458"/>
      <c r="P15" s="458"/>
      <c r="Q15" s="458"/>
      <c r="R15" s="1189" t="s">
        <v>1475</v>
      </c>
      <c r="S15" s="2792"/>
      <c r="T15" s="2792"/>
      <c r="U15" s="1194">
        <f>S15</f>
        <v>0</v>
      </c>
      <c r="V15" s="1192"/>
      <c r="W15" s="1191">
        <f>U15*V15</f>
        <v>0</v>
      </c>
      <c r="X15" s="214"/>
      <c r="Y15" s="197"/>
      <c r="Z15" s="197"/>
      <c r="AA15" s="197"/>
    </row>
    <row r="16" spans="1:27" ht="20.25" customHeight="1">
      <c r="A16" s="214"/>
      <c r="B16" s="1955" t="s">
        <v>1476</v>
      </c>
      <c r="C16" s="1950"/>
      <c r="D16" s="1950"/>
      <c r="E16" s="1950"/>
      <c r="F16" s="1950"/>
      <c r="G16" s="1956"/>
      <c r="H16" s="1956"/>
      <c r="I16" s="1950" t="s">
        <v>1033</v>
      </c>
      <c r="J16" s="1956"/>
      <c r="K16" s="1958"/>
      <c r="L16" s="1958"/>
      <c r="M16" s="1958"/>
      <c r="N16" s="1959"/>
      <c r="O16" s="458"/>
      <c r="P16" s="458"/>
      <c r="Q16" s="458"/>
      <c r="R16" s="527" t="s">
        <v>781</v>
      </c>
      <c r="S16" s="458"/>
      <c r="T16" s="458"/>
      <c r="U16" s="458"/>
      <c r="V16" s="458"/>
      <c r="W16" s="458"/>
      <c r="X16" s="214"/>
      <c r="Y16" s="197"/>
      <c r="Z16" s="197"/>
      <c r="AA16" s="197"/>
    </row>
    <row r="17" spans="1:27" ht="34.5" customHeight="1">
      <c r="A17" s="214"/>
      <c r="B17" s="1960" t="s">
        <v>775</v>
      </c>
      <c r="C17" s="1961" t="s">
        <v>1477</v>
      </c>
      <c r="D17" s="1961" t="s">
        <v>1478</v>
      </c>
      <c r="E17" s="1961" t="s">
        <v>1002</v>
      </c>
      <c r="F17" s="1961" t="s">
        <v>1003</v>
      </c>
      <c r="G17" s="2794" t="s">
        <v>1004</v>
      </c>
      <c r="H17" s="2795"/>
      <c r="I17" s="1962" t="s">
        <v>1143</v>
      </c>
      <c r="J17" s="1962" t="s">
        <v>1454</v>
      </c>
      <c r="K17" s="1962" t="s">
        <v>1455</v>
      </c>
      <c r="L17" s="1962" t="s">
        <v>938</v>
      </c>
      <c r="M17" s="2764" t="s">
        <v>1456</v>
      </c>
      <c r="N17" s="2764"/>
      <c r="O17" s="458"/>
      <c r="P17" s="458"/>
      <c r="Q17" s="458"/>
      <c r="R17" s="1181"/>
      <c r="S17" s="1181"/>
      <c r="T17" s="1181"/>
      <c r="U17" s="1181"/>
      <c r="V17" s="1182" t="s">
        <v>1479</v>
      </c>
      <c r="W17" s="1182" t="s">
        <v>1480</v>
      </c>
      <c r="X17" s="214"/>
      <c r="Y17" s="197"/>
      <c r="Z17" s="197"/>
      <c r="AA17" s="197"/>
    </row>
    <row r="18" spans="1:27" ht="34.5" customHeight="1">
      <c r="A18" s="214"/>
      <c r="B18" s="1491" t="s">
        <v>777</v>
      </c>
      <c r="C18" s="1492"/>
      <c r="D18" s="1493"/>
      <c r="E18" s="1493"/>
      <c r="F18" s="1493"/>
      <c r="G18" s="2706" t="s">
        <v>1481</v>
      </c>
      <c r="H18" s="2706"/>
      <c r="I18" s="1501">
        <f>C18</f>
        <v>0</v>
      </c>
      <c r="J18" s="1180">
        <f t="shared" ref="J18:L21" si="3">$C18*D18</f>
        <v>0</v>
      </c>
      <c r="K18" s="1180">
        <f t="shared" si="3"/>
        <v>0</v>
      </c>
      <c r="L18" s="1180">
        <f t="shared" si="3"/>
        <v>0</v>
      </c>
      <c r="M18" s="2764" t="s">
        <v>1005</v>
      </c>
      <c r="N18" s="2764"/>
      <c r="O18" s="458"/>
      <c r="P18" s="458"/>
      <c r="Q18" s="458"/>
      <c r="R18" s="1183" t="s">
        <v>1482</v>
      </c>
      <c r="S18" s="1184"/>
      <c r="T18" s="1184"/>
      <c r="U18" s="1184"/>
      <c r="V18" s="1185">
        <v>1</v>
      </c>
      <c r="W18" s="1185">
        <v>1</v>
      </c>
      <c r="X18" s="214"/>
      <c r="Y18" s="197"/>
      <c r="Z18" s="197"/>
      <c r="AA18" s="197"/>
    </row>
    <row r="19" spans="1:27" ht="34.5" customHeight="1">
      <c r="A19" s="214"/>
      <c r="B19" s="1491" t="s">
        <v>777</v>
      </c>
      <c r="C19" s="1492"/>
      <c r="D19" s="1493"/>
      <c r="E19" s="1493"/>
      <c r="F19" s="1493"/>
      <c r="G19" s="2789" t="s">
        <v>1483</v>
      </c>
      <c r="H19" s="2789"/>
      <c r="I19" s="1501">
        <f>C19</f>
        <v>0</v>
      </c>
      <c r="J19" s="1180">
        <f t="shared" si="3"/>
        <v>0</v>
      </c>
      <c r="K19" s="1180">
        <f t="shared" si="3"/>
        <v>0</v>
      </c>
      <c r="L19" s="1180">
        <f t="shared" si="3"/>
        <v>0</v>
      </c>
      <c r="M19" s="2764" t="s">
        <v>1006</v>
      </c>
      <c r="N19" s="2764"/>
      <c r="O19" s="458"/>
      <c r="P19" s="458"/>
      <c r="Q19" s="458"/>
      <c r="R19" s="1183" t="s">
        <v>1484</v>
      </c>
      <c r="S19" s="1184"/>
      <c r="T19" s="1184"/>
      <c r="U19" s="1184"/>
      <c r="V19" s="1185">
        <v>0.5</v>
      </c>
      <c r="W19" s="1185">
        <v>2</v>
      </c>
      <c r="X19" s="214"/>
      <c r="Y19" s="197"/>
      <c r="Z19" s="197"/>
      <c r="AA19" s="197"/>
    </row>
    <row r="20" spans="1:27" ht="34.5" customHeight="1">
      <c r="A20" s="214"/>
      <c r="B20" s="1491" t="s">
        <v>777</v>
      </c>
      <c r="C20" s="1492"/>
      <c r="D20" s="1493"/>
      <c r="E20" s="1493"/>
      <c r="F20" s="1493"/>
      <c r="G20" s="2789"/>
      <c r="H20" s="2789"/>
      <c r="I20" s="1501">
        <f>C20</f>
        <v>0</v>
      </c>
      <c r="J20" s="1180">
        <f t="shared" si="3"/>
        <v>0</v>
      </c>
      <c r="K20" s="1180">
        <f t="shared" si="3"/>
        <v>0</v>
      </c>
      <c r="L20" s="1180">
        <f t="shared" si="3"/>
        <v>0</v>
      </c>
      <c r="M20" s="2764"/>
      <c r="N20" s="2764"/>
      <c r="O20" s="458"/>
      <c r="P20" s="458"/>
      <c r="Q20" s="458"/>
      <c r="R20" s="1183" t="s">
        <v>1485</v>
      </c>
      <c r="S20" s="1184"/>
      <c r="T20" s="1184"/>
      <c r="U20" s="1184"/>
      <c r="V20" s="1185">
        <v>0.83</v>
      </c>
      <c r="W20" s="1185">
        <v>1.2</v>
      </c>
      <c r="X20" s="214"/>
      <c r="Y20" s="197"/>
      <c r="Z20" s="197"/>
      <c r="AA20" s="197"/>
    </row>
    <row r="21" spans="1:27" ht="33" customHeight="1">
      <c r="A21" s="214"/>
      <c r="B21" s="1491" t="s">
        <v>777</v>
      </c>
      <c r="C21" s="1492"/>
      <c r="D21" s="1493"/>
      <c r="E21" s="1493"/>
      <c r="F21" s="1493"/>
      <c r="G21" s="2789" t="s">
        <v>1486</v>
      </c>
      <c r="H21" s="2789"/>
      <c r="I21" s="1501">
        <f>C21</f>
        <v>0</v>
      </c>
      <c r="J21" s="1180">
        <f t="shared" si="3"/>
        <v>0</v>
      </c>
      <c r="K21" s="1180">
        <f t="shared" si="3"/>
        <v>0</v>
      </c>
      <c r="L21" s="1180">
        <f t="shared" si="3"/>
        <v>0</v>
      </c>
      <c r="M21" s="2764" t="s">
        <v>1487</v>
      </c>
      <c r="N21" s="2764"/>
      <c r="O21" s="458"/>
      <c r="P21" s="458"/>
      <c r="Q21" s="458"/>
      <c r="R21" s="1183" t="s">
        <v>1488</v>
      </c>
      <c r="S21" s="1184"/>
      <c r="T21" s="1184"/>
      <c r="U21" s="1184"/>
      <c r="V21" s="1185">
        <v>0.91</v>
      </c>
      <c r="W21" s="1185">
        <v>1.1000000000000001</v>
      </c>
      <c r="X21" s="214"/>
      <c r="Y21" s="197"/>
      <c r="Z21" s="197"/>
      <c r="AA21" s="197"/>
    </row>
    <row r="22" spans="1:27" ht="20.25" customHeight="1">
      <c r="A22" s="214"/>
      <c r="B22" s="1964"/>
      <c r="C22" s="1964"/>
      <c r="D22" s="1964"/>
      <c r="E22" s="1964"/>
      <c r="F22" s="1964"/>
      <c r="G22" s="1964"/>
      <c r="H22" s="1964"/>
      <c r="I22" s="1965" t="s">
        <v>780</v>
      </c>
      <c r="J22" s="1966">
        <f>SUM(J4:J21)</f>
        <v>0</v>
      </c>
      <c r="K22" s="1966">
        <f>SUM(K4:K21)</f>
        <v>0</v>
      </c>
      <c r="L22" s="1966">
        <f>SUM(L4:L21)</f>
        <v>0</v>
      </c>
      <c r="M22" s="2799"/>
      <c r="N22" s="2799"/>
      <c r="O22" s="458"/>
      <c r="P22" s="458"/>
      <c r="Q22" s="458"/>
      <c r="R22" s="1186" t="s">
        <v>1489</v>
      </c>
      <c r="S22" s="1187"/>
      <c r="T22" s="1187"/>
      <c r="U22" s="1187"/>
      <c r="V22" s="1188">
        <v>0.5</v>
      </c>
      <c r="W22" s="1188">
        <v>2</v>
      </c>
      <c r="X22" s="214"/>
      <c r="Y22" s="197"/>
      <c r="Z22" s="197"/>
      <c r="AA22" s="197"/>
    </row>
    <row r="23" spans="1:27" ht="17.399999999999999" customHeight="1">
      <c r="A23" s="214"/>
      <c r="B23" s="458"/>
      <c r="C23" s="458"/>
      <c r="D23" s="458"/>
      <c r="E23" s="458"/>
      <c r="F23" s="458"/>
      <c r="G23" s="458"/>
      <c r="H23" s="458"/>
      <c r="I23" s="458"/>
      <c r="J23" s="458"/>
      <c r="K23" s="458"/>
      <c r="L23" s="458"/>
      <c r="M23" s="1971"/>
      <c r="N23" s="1971"/>
      <c r="O23" s="458"/>
      <c r="P23" s="458"/>
      <c r="Q23" s="458"/>
      <c r="R23" s="1186" t="s">
        <v>1490</v>
      </c>
      <c r="S23" s="1187"/>
      <c r="T23" s="1187"/>
      <c r="U23" s="1187"/>
      <c r="V23" s="1188">
        <v>0.5</v>
      </c>
      <c r="W23" s="1188">
        <v>2</v>
      </c>
      <c r="X23" s="214"/>
      <c r="Y23" s="197"/>
      <c r="Z23" s="197"/>
      <c r="AA23" s="197"/>
    </row>
    <row r="24" spans="1:27" ht="35.4" customHeight="1">
      <c r="A24" s="214"/>
      <c r="B24" s="2788" t="s">
        <v>1135</v>
      </c>
      <c r="C24" s="1967" t="s">
        <v>1137</v>
      </c>
      <c r="D24" s="1968" t="s">
        <v>1138</v>
      </c>
      <c r="E24" s="1967" t="s">
        <v>1139</v>
      </c>
      <c r="F24" s="1967" t="s">
        <v>926</v>
      </c>
      <c r="G24" s="1967" t="s">
        <v>927</v>
      </c>
      <c r="H24" s="1967" t="s">
        <v>1141</v>
      </c>
      <c r="I24" s="1967" t="s">
        <v>1142</v>
      </c>
      <c r="J24" s="1967" t="s">
        <v>1033</v>
      </c>
      <c r="K24" s="458"/>
      <c r="L24" s="458"/>
      <c r="M24" s="458"/>
      <c r="N24" s="458"/>
      <c r="O24" s="458"/>
      <c r="P24" s="458"/>
      <c r="Q24" s="458"/>
      <c r="R24" s="1186" t="s">
        <v>1491</v>
      </c>
      <c r="S24" s="1187"/>
      <c r="T24" s="1187"/>
      <c r="U24" s="1187"/>
      <c r="V24" s="1188">
        <v>0.7</v>
      </c>
      <c r="W24" s="1188">
        <v>1.4</v>
      </c>
      <c r="X24" s="214"/>
      <c r="Y24" s="197"/>
      <c r="Z24" s="197"/>
      <c r="AA24" s="197"/>
    </row>
    <row r="25" spans="1:27" ht="18" customHeight="1">
      <c r="A25" s="214"/>
      <c r="B25" s="2788"/>
      <c r="C25" s="1969">
        <f>M59+M65+M71+M77+M82+M83+M86+M87+M90+M91+M98+M107+M116+J18</f>
        <v>0</v>
      </c>
      <c r="D25" s="1969">
        <f>M58+M61+M64+M67+M70+M73+M76+M79+M94+M100+M103+M109+M112+M118</f>
        <v>0</v>
      </c>
      <c r="E25" s="1969">
        <f>M60+M66+M72+M78+M99+M108+M117</f>
        <v>0</v>
      </c>
      <c r="F25" s="1969">
        <f>M62+M68+M74+M80+M101+M110+M119</f>
        <v>0</v>
      </c>
      <c r="G25" s="1969">
        <f>M84+M88+M92+M97+M106+M115+J19+J20</f>
        <v>0</v>
      </c>
      <c r="H25" s="1969">
        <f>M96+M105+M114</f>
        <v>0</v>
      </c>
      <c r="I25" s="1969">
        <f>M95+M104+M113+J21</f>
        <v>0</v>
      </c>
      <c r="J25" s="1969">
        <f>SUM(C25:I25)</f>
        <v>0</v>
      </c>
      <c r="K25" s="458"/>
      <c r="L25" s="458"/>
      <c r="M25" s="458"/>
      <c r="N25" s="458"/>
      <c r="O25" s="458"/>
      <c r="P25" s="458"/>
      <c r="Q25" s="458"/>
      <c r="R25" s="1186" t="s">
        <v>1492</v>
      </c>
      <c r="S25" s="1187"/>
      <c r="T25" s="1187"/>
      <c r="U25" s="1187"/>
      <c r="V25" s="1188">
        <v>0.8</v>
      </c>
      <c r="W25" s="1188">
        <v>1.2</v>
      </c>
      <c r="X25" s="214"/>
      <c r="Y25" s="197"/>
      <c r="Z25" s="197"/>
      <c r="AA25" s="197"/>
    </row>
    <row r="26" spans="1:27" ht="18" customHeight="1">
      <c r="A26" s="214"/>
      <c r="B26" s="1970" t="s">
        <v>1150</v>
      </c>
      <c r="C26" s="1180">
        <f t="shared" ref="C26:I26" si="4">C126</f>
        <v>0</v>
      </c>
      <c r="D26" s="1180">
        <f t="shared" si="4"/>
        <v>0</v>
      </c>
      <c r="E26" s="1180">
        <f t="shared" si="4"/>
        <v>0</v>
      </c>
      <c r="F26" s="1180">
        <f t="shared" si="4"/>
        <v>0</v>
      </c>
      <c r="G26" s="1180">
        <f t="shared" si="4"/>
        <v>0</v>
      </c>
      <c r="H26" s="1180">
        <f t="shared" si="4"/>
        <v>0</v>
      </c>
      <c r="I26" s="1180">
        <f t="shared" si="4"/>
        <v>0</v>
      </c>
      <c r="J26" s="1180">
        <f>SUM(C26:I26)</f>
        <v>0</v>
      </c>
      <c r="K26" s="458"/>
      <c r="L26" s="458"/>
      <c r="M26" s="458"/>
      <c r="N26" s="458"/>
      <c r="O26" s="458"/>
      <c r="P26" s="458"/>
      <c r="Q26" s="458"/>
      <c r="R26" s="1186" t="s">
        <v>1493</v>
      </c>
      <c r="S26" s="1187"/>
      <c r="T26" s="1187"/>
      <c r="U26" s="1187"/>
      <c r="V26" s="1188">
        <v>0.7</v>
      </c>
      <c r="W26" s="1188">
        <v>1.4</v>
      </c>
      <c r="X26" s="214"/>
      <c r="Y26" s="197"/>
      <c r="Z26" s="197"/>
      <c r="AA26" s="197"/>
    </row>
    <row r="27" spans="1:27" ht="18" customHeight="1">
      <c r="A27" s="214"/>
      <c r="B27" s="1970" t="s">
        <v>1160</v>
      </c>
      <c r="C27" s="1180">
        <f t="shared" ref="C27:I27" si="5">C25-C26</f>
        <v>0</v>
      </c>
      <c r="D27" s="1180">
        <f t="shared" si="5"/>
        <v>0</v>
      </c>
      <c r="E27" s="1180">
        <f t="shared" si="5"/>
        <v>0</v>
      </c>
      <c r="F27" s="1180">
        <f t="shared" si="5"/>
        <v>0</v>
      </c>
      <c r="G27" s="1180">
        <f t="shared" si="5"/>
        <v>0</v>
      </c>
      <c r="H27" s="1180">
        <f t="shared" si="5"/>
        <v>0</v>
      </c>
      <c r="I27" s="1180">
        <f t="shared" si="5"/>
        <v>0</v>
      </c>
      <c r="J27" s="1180">
        <f>SUM(C27:I27)</f>
        <v>0</v>
      </c>
      <c r="K27" s="458"/>
      <c r="L27" s="458"/>
      <c r="M27" s="458"/>
      <c r="N27" s="458"/>
      <c r="O27" s="458"/>
      <c r="P27" s="458"/>
      <c r="Q27" s="458"/>
      <c r="R27" s="458" t="s">
        <v>1494</v>
      </c>
      <c r="S27" s="458"/>
      <c r="T27" s="458"/>
      <c r="U27" s="458"/>
      <c r="V27" s="458"/>
      <c r="W27" s="458"/>
      <c r="X27" s="214"/>
      <c r="Y27" s="197"/>
      <c r="Z27" s="197"/>
      <c r="AA27" s="197"/>
    </row>
    <row r="28" spans="1:27">
      <c r="A28" s="214"/>
      <c r="B28" s="214"/>
      <c r="C28" s="214"/>
      <c r="D28" s="214"/>
      <c r="E28" s="214"/>
      <c r="F28" s="214"/>
      <c r="G28" s="214"/>
      <c r="H28" s="214"/>
      <c r="I28" s="214"/>
      <c r="J28" s="214"/>
      <c r="K28" s="214"/>
      <c r="L28" s="214"/>
      <c r="M28" s="214"/>
      <c r="N28" s="214"/>
      <c r="O28" s="214"/>
      <c r="P28" s="214"/>
      <c r="Q28" s="214"/>
      <c r="R28" s="214"/>
      <c r="S28" s="214"/>
      <c r="T28" s="214"/>
      <c r="U28" s="214"/>
      <c r="V28" s="214"/>
      <c r="W28" s="214"/>
      <c r="X28" s="214"/>
      <c r="Y28" s="197"/>
      <c r="Z28" s="197"/>
      <c r="AA28" s="197"/>
    </row>
    <row r="29" spans="1:27" ht="30" customHeight="1">
      <c r="A29" s="214"/>
      <c r="B29" s="547" t="s">
        <v>1495</v>
      </c>
      <c r="C29" s="548"/>
      <c r="D29" s="549"/>
      <c r="E29" s="2786" t="s">
        <v>1496</v>
      </c>
      <c r="F29" s="2786"/>
      <c r="G29" s="2786" t="s">
        <v>1497</v>
      </c>
      <c r="H29" s="2786"/>
      <c r="I29" s="2786" t="s">
        <v>1498</v>
      </c>
      <c r="J29" s="2786"/>
      <c r="K29" s="2797" t="s">
        <v>1499</v>
      </c>
      <c r="L29" s="2798"/>
      <c r="M29" s="2793" t="s">
        <v>1500</v>
      </c>
      <c r="N29" s="2793"/>
      <c r="O29" s="214"/>
      <c r="P29" s="1029" t="s">
        <v>882</v>
      </c>
      <c r="Q29" s="550"/>
      <c r="R29" s="1029" t="s">
        <v>880</v>
      </c>
      <c r="S29" s="1029" t="s">
        <v>881</v>
      </c>
      <c r="U29" s="214"/>
      <c r="V29" s="214"/>
      <c r="W29" s="214"/>
      <c r="X29" s="214"/>
      <c r="Y29" s="197"/>
      <c r="Z29" s="197"/>
      <c r="AA29" s="197"/>
    </row>
    <row r="30" spans="1:27" ht="18" customHeight="1">
      <c r="A30" s="214"/>
      <c r="B30" s="551" t="s">
        <v>1501</v>
      </c>
      <c r="C30" s="548"/>
      <c r="D30" s="549"/>
      <c r="E30" s="552">
        <v>0.87</v>
      </c>
      <c r="F30" s="553"/>
      <c r="G30" s="552">
        <v>0.5</v>
      </c>
      <c r="H30" s="553"/>
      <c r="I30" s="552">
        <v>0.7</v>
      </c>
      <c r="J30" s="553"/>
      <c r="K30" s="2786" t="s">
        <v>1502</v>
      </c>
      <c r="L30" s="2787"/>
      <c r="M30" s="2793"/>
      <c r="N30" s="2793"/>
      <c r="O30" s="214"/>
      <c r="P30" s="550"/>
      <c r="Q30" s="550"/>
      <c r="R30" s="550"/>
      <c r="S30" s="550"/>
      <c r="U30" s="214"/>
      <c r="V30" s="214"/>
      <c r="W30" s="214"/>
      <c r="X30" s="214"/>
      <c r="Y30" s="197"/>
      <c r="Z30" s="197"/>
      <c r="AA30" s="197"/>
    </row>
    <row r="31" spans="1:27" ht="18" customHeight="1">
      <c r="A31" s="214"/>
      <c r="B31" s="555" t="s">
        <v>1503</v>
      </c>
      <c r="C31" s="548"/>
      <c r="D31" s="549"/>
      <c r="E31" s="552">
        <v>0.87</v>
      </c>
      <c r="F31" s="553"/>
      <c r="G31" s="552">
        <v>0.6</v>
      </c>
      <c r="H31" s="553"/>
      <c r="I31" s="552">
        <v>0.85</v>
      </c>
      <c r="J31" s="553"/>
      <c r="K31" s="2786" t="s">
        <v>1504</v>
      </c>
      <c r="L31" s="2787"/>
      <c r="M31" s="2793"/>
      <c r="N31" s="2793"/>
      <c r="O31" s="214"/>
      <c r="P31" s="550"/>
      <c r="Q31" s="550"/>
      <c r="R31" s="550"/>
      <c r="S31" s="550"/>
      <c r="U31" s="214"/>
      <c r="V31" s="214"/>
      <c r="W31" s="214"/>
      <c r="X31" s="214"/>
      <c r="Y31" s="197"/>
      <c r="Z31" s="197"/>
      <c r="AA31" s="197"/>
    </row>
    <row r="32" spans="1:27" ht="18" customHeight="1">
      <c r="A32" s="214"/>
      <c r="B32" s="555" t="s">
        <v>1505</v>
      </c>
      <c r="C32" s="548"/>
      <c r="D32" s="549"/>
      <c r="E32" s="552">
        <v>0.87</v>
      </c>
      <c r="F32" s="553"/>
      <c r="G32" s="552">
        <v>0.65</v>
      </c>
      <c r="H32" s="553"/>
      <c r="I32" s="552">
        <v>0.8</v>
      </c>
      <c r="J32" s="553"/>
      <c r="K32" s="2786" t="s">
        <v>1506</v>
      </c>
      <c r="L32" s="2787"/>
      <c r="M32" s="2793"/>
      <c r="N32" s="2793"/>
      <c r="O32" s="214"/>
      <c r="P32" s="550"/>
      <c r="Q32" s="550"/>
      <c r="R32" s="550"/>
      <c r="S32" s="550"/>
      <c r="U32" s="214"/>
      <c r="V32" s="214"/>
      <c r="W32" s="214"/>
      <c r="X32" s="214"/>
      <c r="Y32" s="197"/>
      <c r="Z32" s="197"/>
      <c r="AA32" s="197"/>
    </row>
    <row r="33" spans="1:27" ht="18" customHeight="1">
      <c r="A33" s="214"/>
      <c r="B33" s="551" t="s">
        <v>1507</v>
      </c>
      <c r="C33" s="548"/>
      <c r="D33" s="549"/>
      <c r="E33" s="552">
        <v>0.87</v>
      </c>
      <c r="F33" s="553"/>
      <c r="G33" s="552">
        <v>0.9</v>
      </c>
      <c r="H33" s="553"/>
      <c r="I33" s="552">
        <v>1</v>
      </c>
      <c r="J33" s="553"/>
      <c r="K33" s="2786" t="s">
        <v>1508</v>
      </c>
      <c r="L33" s="2787"/>
      <c r="M33" s="2793"/>
      <c r="N33" s="2793"/>
      <c r="O33" s="214"/>
      <c r="P33" s="550"/>
      <c r="Q33" s="550"/>
      <c r="R33" s="550"/>
      <c r="S33" s="550"/>
      <c r="U33" s="214"/>
      <c r="V33" s="214"/>
      <c r="W33" s="214"/>
      <c r="X33" s="214"/>
      <c r="Y33" s="197"/>
      <c r="Z33" s="197"/>
      <c r="AA33" s="197"/>
    </row>
    <row r="34" spans="1:27" ht="18" customHeight="1">
      <c r="A34" s="214"/>
      <c r="B34" s="551" t="s">
        <v>1509</v>
      </c>
      <c r="C34" s="548"/>
      <c r="D34" s="549"/>
      <c r="E34" s="552">
        <v>0.91</v>
      </c>
      <c r="F34" s="553"/>
      <c r="G34" s="552">
        <v>0.15</v>
      </c>
      <c r="H34" s="553"/>
      <c r="I34" s="552">
        <v>0.5</v>
      </c>
      <c r="J34" s="553"/>
      <c r="K34" s="2786" t="s">
        <v>1510</v>
      </c>
      <c r="L34" s="2787"/>
      <c r="M34" s="2793" t="s">
        <v>1511</v>
      </c>
      <c r="N34" s="2793"/>
      <c r="O34" s="214"/>
      <c r="P34" s="550">
        <v>3</v>
      </c>
      <c r="Q34" s="550"/>
      <c r="R34" s="550">
        <v>9</v>
      </c>
      <c r="S34" s="550"/>
      <c r="U34" s="214"/>
      <c r="V34" s="214"/>
      <c r="W34" s="214"/>
      <c r="X34" s="214"/>
      <c r="Y34" s="197"/>
      <c r="Z34" s="197"/>
      <c r="AA34" s="197"/>
    </row>
    <row r="35" spans="1:27" ht="18" customHeight="1">
      <c r="A35" s="214"/>
      <c r="B35" s="551" t="s">
        <v>1512</v>
      </c>
      <c r="C35" s="548"/>
      <c r="D35" s="549"/>
      <c r="E35" s="552">
        <v>0.91</v>
      </c>
      <c r="F35" s="553"/>
      <c r="G35" s="552">
        <v>0.15</v>
      </c>
      <c r="H35" s="553"/>
      <c r="I35" s="552">
        <v>0.5</v>
      </c>
      <c r="J35" s="553"/>
      <c r="K35" s="2786" t="s">
        <v>1510</v>
      </c>
      <c r="L35" s="2787"/>
      <c r="M35" s="2793"/>
      <c r="N35" s="2793"/>
      <c r="O35" s="214"/>
      <c r="P35" s="550"/>
      <c r="Q35" s="550"/>
      <c r="R35" s="550"/>
      <c r="S35" s="550"/>
      <c r="U35" s="214"/>
      <c r="V35" s="214"/>
      <c r="W35" s="214"/>
      <c r="X35" s="214"/>
      <c r="Y35" s="197"/>
      <c r="Z35" s="197"/>
      <c r="AA35" s="197"/>
    </row>
    <row r="36" spans="1:27" ht="18" customHeight="1">
      <c r="A36" s="214"/>
      <c r="B36" s="551" t="s">
        <v>1513</v>
      </c>
      <c r="C36" s="548"/>
      <c r="D36" s="549"/>
      <c r="E36" s="552">
        <v>0.91</v>
      </c>
      <c r="F36" s="553"/>
      <c r="G36" s="552">
        <v>0.15</v>
      </c>
      <c r="H36" s="553"/>
      <c r="I36" s="552">
        <v>0.5</v>
      </c>
      <c r="J36" s="553"/>
      <c r="K36" s="2786" t="s">
        <v>1510</v>
      </c>
      <c r="L36" s="2787"/>
      <c r="M36" s="2793" t="s">
        <v>1513</v>
      </c>
      <c r="N36" s="2793"/>
      <c r="O36" s="214"/>
      <c r="P36" s="550" t="s">
        <v>1514</v>
      </c>
      <c r="Q36" s="550"/>
      <c r="R36" s="550">
        <v>13</v>
      </c>
      <c r="S36" s="550">
        <v>83</v>
      </c>
      <c r="U36" s="214"/>
      <c r="V36" s="214"/>
      <c r="W36" s="214"/>
      <c r="X36" s="214"/>
      <c r="Y36" s="197"/>
      <c r="Z36" s="197"/>
      <c r="AA36" s="197"/>
    </row>
    <row r="37" spans="1:27" ht="18" customHeight="1">
      <c r="A37" s="214"/>
      <c r="B37" s="551" t="s">
        <v>1515</v>
      </c>
      <c r="C37" s="548"/>
      <c r="D37" s="549"/>
      <c r="E37" s="552">
        <v>0.91</v>
      </c>
      <c r="F37" s="553"/>
      <c r="G37" s="552">
        <v>0.15</v>
      </c>
      <c r="H37" s="553"/>
      <c r="I37" s="552">
        <v>0.5</v>
      </c>
      <c r="J37" s="553"/>
      <c r="K37" s="2786" t="s">
        <v>1510</v>
      </c>
      <c r="L37" s="2787"/>
      <c r="M37" s="2793"/>
      <c r="N37" s="2793"/>
      <c r="O37" s="214"/>
      <c r="P37" s="550"/>
      <c r="Q37" s="550"/>
      <c r="R37" s="550"/>
      <c r="S37" s="550"/>
      <c r="U37" s="214"/>
      <c r="V37" s="214"/>
      <c r="W37" s="214"/>
      <c r="X37" s="214"/>
      <c r="Y37" s="197"/>
      <c r="Z37" s="197"/>
      <c r="AA37" s="197"/>
    </row>
    <row r="38" spans="1:27" ht="18" customHeight="1">
      <c r="A38" s="214"/>
      <c r="B38" s="551" t="s">
        <v>1516</v>
      </c>
      <c r="C38" s="548"/>
      <c r="D38" s="549"/>
      <c r="E38" s="552">
        <v>0.87</v>
      </c>
      <c r="F38" s="553"/>
      <c r="G38" s="552">
        <v>0.5</v>
      </c>
      <c r="H38" s="553"/>
      <c r="I38" s="552">
        <v>0.7</v>
      </c>
      <c r="J38" s="553"/>
      <c r="K38" s="2786" t="s">
        <v>1502</v>
      </c>
      <c r="L38" s="2787"/>
      <c r="M38" s="2793"/>
      <c r="N38" s="2793"/>
      <c r="O38" s="214"/>
      <c r="P38" s="550"/>
      <c r="Q38" s="550"/>
      <c r="R38" s="550"/>
      <c r="S38" s="550"/>
      <c r="U38" s="214"/>
      <c r="V38" s="214"/>
      <c r="W38" s="214"/>
      <c r="X38" s="214"/>
      <c r="Y38" s="197"/>
      <c r="Z38" s="197"/>
      <c r="AA38" s="197"/>
    </row>
    <row r="39" spans="1:27" ht="18" customHeight="1">
      <c r="A39" s="214"/>
      <c r="B39" s="551" t="s">
        <v>1517</v>
      </c>
      <c r="C39" s="548"/>
      <c r="D39" s="549"/>
      <c r="E39" s="552">
        <v>0.91</v>
      </c>
      <c r="F39" s="553"/>
      <c r="G39" s="552">
        <v>0.15</v>
      </c>
      <c r="H39" s="553"/>
      <c r="I39" s="552">
        <v>0.5</v>
      </c>
      <c r="J39" s="553"/>
      <c r="K39" s="2786" t="s">
        <v>1510</v>
      </c>
      <c r="L39" s="2787"/>
      <c r="M39" s="2793"/>
      <c r="N39" s="2793"/>
      <c r="O39" s="214"/>
      <c r="P39" s="550"/>
      <c r="Q39" s="550"/>
      <c r="R39" s="550"/>
      <c r="S39" s="550"/>
      <c r="U39" s="214"/>
      <c r="V39" s="214"/>
      <c r="W39" s="214"/>
      <c r="X39" s="214"/>
      <c r="Y39" s="197"/>
      <c r="Z39" s="197"/>
      <c r="AA39" s="197"/>
    </row>
    <row r="40" spans="1:27" ht="18" customHeight="1">
      <c r="A40" s="214"/>
      <c r="B40" s="551" t="s">
        <v>1518</v>
      </c>
      <c r="C40" s="548"/>
      <c r="D40" s="549"/>
      <c r="E40" s="552">
        <v>0.91</v>
      </c>
      <c r="F40" s="553"/>
      <c r="G40" s="552">
        <v>0.01</v>
      </c>
      <c r="H40" s="553"/>
      <c r="I40" s="552">
        <v>0.1</v>
      </c>
      <c r="J40" s="553"/>
      <c r="K40" s="2786" t="s">
        <v>1519</v>
      </c>
      <c r="L40" s="2787"/>
      <c r="M40" s="2793"/>
      <c r="N40" s="2793"/>
      <c r="O40" s="214"/>
      <c r="P40" s="550"/>
      <c r="Q40" s="550"/>
      <c r="R40" s="550"/>
      <c r="S40" s="550"/>
      <c r="U40" s="214"/>
      <c r="V40" s="214"/>
      <c r="W40" s="214"/>
      <c r="X40" s="214"/>
      <c r="Y40" s="197"/>
      <c r="Z40" s="197"/>
      <c r="AA40" s="197"/>
    </row>
    <row r="41" spans="1:27" ht="18" customHeight="1">
      <c r="A41" s="214"/>
      <c r="B41" s="551" t="s">
        <v>1142</v>
      </c>
      <c r="C41" s="548"/>
      <c r="D41" s="549"/>
      <c r="E41" s="552">
        <v>0.91</v>
      </c>
      <c r="F41" s="553"/>
      <c r="G41" s="552">
        <v>0.01</v>
      </c>
      <c r="H41" s="553"/>
      <c r="I41" s="552">
        <v>0.1</v>
      </c>
      <c r="J41" s="553"/>
      <c r="K41" s="2786" t="s">
        <v>1519</v>
      </c>
      <c r="L41" s="2787"/>
      <c r="M41" s="2793"/>
      <c r="N41" s="2793"/>
      <c r="O41" s="214"/>
      <c r="P41" s="550"/>
      <c r="Q41" s="550"/>
      <c r="R41" s="550"/>
      <c r="S41" s="550"/>
      <c r="U41" s="214"/>
      <c r="V41" s="214"/>
      <c r="W41" s="214"/>
      <c r="X41" s="214"/>
      <c r="Y41" s="197"/>
      <c r="Z41" s="197"/>
      <c r="AA41" s="197"/>
    </row>
    <row r="42" spans="1:27" ht="18" customHeight="1">
      <c r="A42" s="214"/>
      <c r="B42" s="551" t="s">
        <v>1520</v>
      </c>
      <c r="C42" s="548"/>
      <c r="D42" s="549"/>
      <c r="E42" s="552">
        <v>0.91</v>
      </c>
      <c r="F42" s="553"/>
      <c r="G42" s="552">
        <v>0.15</v>
      </c>
      <c r="H42" s="553"/>
      <c r="I42" s="552">
        <v>0.5</v>
      </c>
      <c r="J42" s="553"/>
      <c r="K42" s="2786" t="s">
        <v>1510</v>
      </c>
      <c r="L42" s="2787"/>
      <c r="M42" s="2793"/>
      <c r="N42" s="2793"/>
      <c r="O42" s="214"/>
      <c r="P42" s="550"/>
      <c r="Q42" s="550"/>
      <c r="R42" s="550"/>
      <c r="S42" s="550"/>
      <c r="U42" s="214"/>
      <c r="V42" s="214"/>
      <c r="W42" s="214"/>
      <c r="X42" s="214"/>
      <c r="Y42" s="197"/>
      <c r="Z42" s="197"/>
      <c r="AA42" s="197"/>
    </row>
    <row r="43" spans="1:27" ht="18" customHeight="1">
      <c r="A43" s="214"/>
      <c r="B43" s="551" t="s">
        <v>1521</v>
      </c>
      <c r="C43" s="548"/>
      <c r="D43" s="549"/>
      <c r="E43" s="552">
        <v>0.87</v>
      </c>
      <c r="F43" s="553"/>
      <c r="G43" s="552">
        <v>0.5</v>
      </c>
      <c r="H43" s="553"/>
      <c r="I43" s="552">
        <v>0.7</v>
      </c>
      <c r="J43" s="553"/>
      <c r="K43" s="2786" t="s">
        <v>1502</v>
      </c>
      <c r="L43" s="2787"/>
      <c r="M43" s="2793"/>
      <c r="N43" s="2793"/>
      <c r="O43" s="214"/>
      <c r="P43" s="550"/>
      <c r="Q43" s="550"/>
      <c r="R43" s="550"/>
      <c r="S43" s="550"/>
      <c r="U43" s="214"/>
      <c r="V43" s="214"/>
      <c r="W43" s="214"/>
      <c r="X43" s="214"/>
      <c r="Y43" s="197"/>
      <c r="Z43" s="197"/>
      <c r="AA43" s="197"/>
    </row>
    <row r="44" spans="1:27" ht="18" customHeight="1">
      <c r="A44" s="214"/>
      <c r="B44" s="551" t="s">
        <v>1522</v>
      </c>
      <c r="C44" s="548"/>
      <c r="D44" s="549"/>
      <c r="E44" s="552">
        <v>0.91</v>
      </c>
      <c r="F44" s="553"/>
      <c r="G44" s="552">
        <v>0.15</v>
      </c>
      <c r="H44" s="553"/>
      <c r="I44" s="552">
        <v>0.5</v>
      </c>
      <c r="J44" s="553"/>
      <c r="K44" s="2786" t="s">
        <v>1510</v>
      </c>
      <c r="L44" s="2787"/>
      <c r="M44" s="2793"/>
      <c r="N44" s="2793"/>
      <c r="O44" s="214"/>
      <c r="P44" s="550"/>
      <c r="Q44" s="550"/>
      <c r="R44" s="550"/>
      <c r="S44" s="550"/>
      <c r="U44" s="214"/>
      <c r="V44" s="214"/>
      <c r="W44" s="214"/>
      <c r="X44" s="214"/>
      <c r="Y44" s="197"/>
      <c r="Z44" s="197"/>
      <c r="AA44" s="197"/>
    </row>
    <row r="45" spans="1:27" ht="18" customHeight="1">
      <c r="A45" s="214"/>
      <c r="B45" s="551" t="s">
        <v>1523</v>
      </c>
      <c r="C45" s="548"/>
      <c r="D45" s="549"/>
      <c r="E45" s="552">
        <v>0.91</v>
      </c>
      <c r="F45" s="553"/>
      <c r="G45" s="552">
        <v>0.15</v>
      </c>
      <c r="H45" s="553"/>
      <c r="I45" s="552">
        <v>0.5</v>
      </c>
      <c r="J45" s="553"/>
      <c r="K45" s="2786" t="s">
        <v>1510</v>
      </c>
      <c r="L45" s="2787"/>
      <c r="M45" s="2793" t="s">
        <v>1523</v>
      </c>
      <c r="N45" s="2793"/>
      <c r="O45" s="214"/>
      <c r="P45" s="550">
        <v>20</v>
      </c>
      <c r="Q45" s="550"/>
      <c r="R45" s="550"/>
      <c r="S45" s="550">
        <v>100</v>
      </c>
      <c r="U45" s="214"/>
      <c r="V45" s="214"/>
      <c r="W45" s="214"/>
      <c r="X45" s="214"/>
      <c r="Y45" s="197"/>
      <c r="Z45" s="197"/>
      <c r="AA45" s="197"/>
    </row>
    <row r="46" spans="1:27" ht="18" customHeight="1">
      <c r="A46" s="214"/>
      <c r="B46" s="551" t="s">
        <v>1524</v>
      </c>
      <c r="C46" s="548"/>
      <c r="D46" s="549"/>
      <c r="E46" s="552">
        <v>0.91</v>
      </c>
      <c r="F46" s="553"/>
      <c r="G46" s="552">
        <v>0.15</v>
      </c>
      <c r="H46" s="553"/>
      <c r="I46" s="552">
        <v>0.5</v>
      </c>
      <c r="J46" s="553"/>
      <c r="K46" s="2786" t="s">
        <v>1510</v>
      </c>
      <c r="L46" s="2787"/>
      <c r="M46" s="2793" t="s">
        <v>1525</v>
      </c>
      <c r="N46" s="2793"/>
      <c r="O46" s="214"/>
      <c r="P46" s="550">
        <v>2</v>
      </c>
      <c r="Q46" s="550"/>
      <c r="R46" s="550"/>
      <c r="S46" s="550">
        <v>2</v>
      </c>
      <c r="U46" s="214"/>
      <c r="V46" s="214"/>
      <c r="W46" s="214"/>
      <c r="X46" s="214"/>
      <c r="Y46" s="197"/>
      <c r="Z46" s="197"/>
      <c r="AA46" s="197"/>
    </row>
    <row r="47" spans="1:27" ht="18" customHeight="1">
      <c r="A47" s="214"/>
      <c r="B47" s="551" t="s">
        <v>1526</v>
      </c>
      <c r="C47" s="548"/>
      <c r="D47" s="549"/>
      <c r="E47" s="552">
        <v>0.91</v>
      </c>
      <c r="F47" s="553"/>
      <c r="G47" s="552">
        <v>0.15</v>
      </c>
      <c r="H47" s="553"/>
      <c r="I47" s="552">
        <v>0.5</v>
      </c>
      <c r="J47" s="553"/>
      <c r="K47" s="2786" t="s">
        <v>1510</v>
      </c>
      <c r="L47" s="2787"/>
      <c r="M47" s="2793" t="s">
        <v>1527</v>
      </c>
      <c r="N47" s="2793"/>
      <c r="O47" s="214"/>
      <c r="P47" s="550">
        <v>50</v>
      </c>
      <c r="Q47" s="550"/>
      <c r="R47" s="550">
        <v>20</v>
      </c>
      <c r="S47" s="550">
        <v>10</v>
      </c>
      <c r="U47" s="214"/>
      <c r="V47" s="214"/>
      <c r="W47" s="214"/>
      <c r="X47" s="214"/>
      <c r="Y47" s="197"/>
      <c r="Z47" s="197"/>
      <c r="AA47" s="197"/>
    </row>
    <row r="48" spans="1:27" ht="18" customHeight="1">
      <c r="A48" s="214"/>
      <c r="B48" s="551" t="s">
        <v>1528</v>
      </c>
      <c r="C48" s="548"/>
      <c r="D48" s="549"/>
      <c r="E48" s="552">
        <v>0.87</v>
      </c>
      <c r="F48" s="553"/>
      <c r="G48" s="552">
        <v>0.9</v>
      </c>
      <c r="H48" s="553"/>
      <c r="I48" s="552">
        <v>1</v>
      </c>
      <c r="J48" s="553"/>
      <c r="K48" s="2786" t="s">
        <v>1508</v>
      </c>
      <c r="L48" s="2787"/>
      <c r="M48" s="2793"/>
      <c r="N48" s="2793"/>
      <c r="O48" s="214"/>
      <c r="P48" s="550" t="s">
        <v>1529</v>
      </c>
      <c r="Q48" s="550"/>
      <c r="R48" s="550"/>
      <c r="S48" s="550"/>
      <c r="U48" s="214"/>
      <c r="V48" s="214"/>
      <c r="W48" s="214"/>
      <c r="X48" s="214"/>
      <c r="Y48" s="197"/>
      <c r="Z48" s="197"/>
      <c r="AA48" s="197"/>
    </row>
    <row r="49" spans="1:27" ht="18" customHeight="1">
      <c r="A49" s="214"/>
      <c r="B49" s="551" t="s">
        <v>1530</v>
      </c>
      <c r="C49" s="548"/>
      <c r="D49" s="549"/>
      <c r="E49" s="552">
        <v>0.91</v>
      </c>
      <c r="F49" s="553"/>
      <c r="G49" s="552">
        <v>0.15</v>
      </c>
      <c r="H49" s="553"/>
      <c r="I49" s="552">
        <v>0.5</v>
      </c>
      <c r="J49" s="553"/>
      <c r="K49" s="2786" t="s">
        <v>1510</v>
      </c>
      <c r="L49" s="2787"/>
      <c r="M49" s="2793" t="s">
        <v>1530</v>
      </c>
      <c r="N49" s="2793"/>
      <c r="O49" s="214"/>
      <c r="P49" s="1109" t="s">
        <v>904</v>
      </c>
      <c r="Q49" s="1110"/>
      <c r="R49" s="1110">
        <v>0.4</v>
      </c>
      <c r="S49" s="1110">
        <v>5.5</v>
      </c>
      <c r="U49" s="214"/>
      <c r="V49" s="214"/>
      <c r="W49" s="214"/>
      <c r="X49" s="214"/>
      <c r="Y49" s="197"/>
      <c r="Z49" s="197"/>
      <c r="AA49" s="197"/>
    </row>
    <row r="50" spans="1:27" ht="18" customHeight="1">
      <c r="A50" s="214"/>
      <c r="B50" s="557" t="s">
        <v>1531</v>
      </c>
      <c r="C50" s="558"/>
      <c r="D50" s="558"/>
      <c r="E50" s="558"/>
      <c r="F50" s="558"/>
      <c r="G50" s="558"/>
      <c r="H50" s="558"/>
      <c r="I50" s="558"/>
      <c r="J50" s="558"/>
      <c r="K50" s="558"/>
      <c r="L50" s="558"/>
      <c r="M50" s="458"/>
      <c r="N50" s="560" t="s">
        <v>1532</v>
      </c>
      <c r="O50" s="214"/>
      <c r="P50" s="214"/>
      <c r="Q50" s="214"/>
      <c r="R50" s="214"/>
      <c r="S50" s="214"/>
      <c r="T50" s="214"/>
      <c r="U50" s="214"/>
      <c r="V50" s="214"/>
      <c r="W50" s="214"/>
      <c r="X50" s="214"/>
      <c r="Y50" s="197"/>
      <c r="Z50" s="197"/>
      <c r="AA50" s="197"/>
    </row>
    <row r="51" spans="1:27" ht="18" customHeight="1">
      <c r="A51" s="214"/>
      <c r="B51" s="559" t="s">
        <v>1533</v>
      </c>
      <c r="C51" s="458"/>
      <c r="D51" s="458"/>
      <c r="E51" s="458"/>
      <c r="F51" s="458"/>
      <c r="G51" s="458"/>
      <c r="H51" s="458"/>
      <c r="I51" s="458"/>
      <c r="J51" s="458"/>
      <c r="K51" s="458"/>
      <c r="L51" s="458"/>
      <c r="M51" s="458"/>
      <c r="N51" s="560" t="s">
        <v>1534</v>
      </c>
      <c r="O51" s="214"/>
      <c r="P51" s="214"/>
      <c r="Q51" s="214"/>
      <c r="R51" s="214"/>
      <c r="S51" s="214"/>
      <c r="T51" s="214"/>
      <c r="U51" s="214"/>
      <c r="V51" s="214"/>
      <c r="W51" s="214"/>
      <c r="X51" s="214"/>
      <c r="Y51" s="197"/>
      <c r="Z51" s="197"/>
      <c r="AA51" s="197"/>
    </row>
    <row r="52" spans="1:27" ht="18" customHeight="1">
      <c r="A52" s="214"/>
      <c r="B52" s="559" t="s">
        <v>1535</v>
      </c>
      <c r="C52" s="458"/>
      <c r="D52" s="458"/>
      <c r="E52" s="458"/>
      <c r="F52" s="458"/>
      <c r="G52" s="458"/>
      <c r="H52" s="458"/>
      <c r="I52" s="458"/>
      <c r="J52" s="458"/>
      <c r="K52" s="458"/>
      <c r="L52" s="458"/>
      <c r="M52" s="458"/>
      <c r="N52" s="554"/>
      <c r="O52" s="214"/>
      <c r="P52" s="214"/>
      <c r="Q52" s="214"/>
      <c r="R52" s="214"/>
      <c r="S52" s="214"/>
      <c r="T52" s="214"/>
      <c r="U52" s="214"/>
      <c r="V52" s="214"/>
      <c r="W52" s="214"/>
      <c r="X52" s="214"/>
      <c r="Y52" s="197"/>
      <c r="Z52" s="197"/>
      <c r="AA52" s="197"/>
    </row>
    <row r="53" spans="1:27" ht="18" customHeight="1">
      <c r="A53" s="214"/>
      <c r="B53" s="559" t="s">
        <v>1536</v>
      </c>
      <c r="C53" s="458"/>
      <c r="D53" s="458"/>
      <c r="E53" s="458"/>
      <c r="F53" s="458"/>
      <c r="G53" s="458"/>
      <c r="H53" s="458"/>
      <c r="I53" s="458"/>
      <c r="J53" s="458"/>
      <c r="K53" s="458"/>
      <c r="L53" s="458"/>
      <c r="M53" s="458"/>
      <c r="N53" s="554"/>
      <c r="O53" s="214"/>
      <c r="P53" s="214"/>
      <c r="Q53" s="214"/>
      <c r="R53" s="214"/>
      <c r="S53" s="214"/>
      <c r="T53" s="214"/>
      <c r="U53" s="214"/>
      <c r="V53" s="214"/>
      <c r="W53" s="214"/>
      <c r="X53" s="214"/>
      <c r="Y53" s="197"/>
      <c r="Z53" s="197"/>
      <c r="AA53" s="197"/>
    </row>
    <row r="54" spans="1:27" ht="18" customHeight="1">
      <c r="A54" s="214"/>
      <c r="B54" s="561" t="s">
        <v>1537</v>
      </c>
      <c r="C54" s="545"/>
      <c r="D54" s="545"/>
      <c r="E54" s="545"/>
      <c r="F54" s="545"/>
      <c r="G54" s="545"/>
      <c r="H54" s="545"/>
      <c r="I54" s="545"/>
      <c r="J54" s="545"/>
      <c r="K54" s="545"/>
      <c r="L54" s="545"/>
      <c r="M54" s="545"/>
      <c r="N54" s="556"/>
      <c r="O54" s="214"/>
      <c r="P54" s="214"/>
      <c r="Q54" s="214"/>
      <c r="R54" s="214"/>
      <c r="S54" s="214"/>
      <c r="T54" s="214"/>
      <c r="U54" s="214"/>
      <c r="V54" s="214"/>
      <c r="W54" s="214"/>
      <c r="X54" s="214"/>
      <c r="Y54" s="197"/>
      <c r="Z54" s="197"/>
      <c r="AA54" s="197"/>
    </row>
    <row r="55" spans="1:27">
      <c r="A55" s="214"/>
      <c r="B55" s="214"/>
      <c r="C55" s="214"/>
      <c r="D55" s="214"/>
      <c r="E55" s="214"/>
      <c r="F55" s="214"/>
      <c r="G55" s="214"/>
      <c r="H55" s="214"/>
      <c r="I55" s="214"/>
      <c r="J55" s="214"/>
      <c r="K55" s="214"/>
      <c r="L55" s="214"/>
      <c r="M55" s="214"/>
      <c r="N55" s="214"/>
      <c r="O55" s="214"/>
      <c r="P55" s="214"/>
      <c r="Q55" s="214"/>
      <c r="R55" s="214"/>
      <c r="S55" s="214"/>
      <c r="T55" s="214"/>
      <c r="U55" s="214"/>
      <c r="V55" s="214"/>
      <c r="W55" s="214"/>
      <c r="X55" s="214"/>
      <c r="Y55" s="197"/>
      <c r="Z55" s="197"/>
      <c r="AA55" s="197"/>
    </row>
    <row r="56" spans="1:27" ht="13.8" hidden="1">
      <c r="A56" s="214"/>
      <c r="B56" s="212"/>
      <c r="C56" s="212" t="s">
        <v>1538</v>
      </c>
      <c r="D56" s="212"/>
      <c r="E56" s="212"/>
      <c r="F56" s="212"/>
      <c r="G56" s="212" t="s">
        <v>1539</v>
      </c>
      <c r="H56" s="212"/>
      <c r="I56" s="212"/>
      <c r="J56" s="212"/>
      <c r="K56" s="212"/>
      <c r="L56" s="212" t="s">
        <v>1456</v>
      </c>
      <c r="M56" s="212"/>
      <c r="N56" s="212"/>
      <c r="O56" s="212"/>
      <c r="P56" s="212" t="s">
        <v>1540</v>
      </c>
      <c r="Q56" s="212"/>
      <c r="R56" s="212" t="s">
        <v>1541</v>
      </c>
      <c r="S56" s="212" t="s">
        <v>1542</v>
      </c>
      <c r="T56" s="212" t="s">
        <v>1543</v>
      </c>
      <c r="U56" s="550" t="s">
        <v>1541</v>
      </c>
      <c r="V56" s="550" t="s">
        <v>1542</v>
      </c>
      <c r="W56" s="550" t="s">
        <v>1544</v>
      </c>
      <c r="X56" s="546"/>
      <c r="Y56" s="200" t="s">
        <v>1545</v>
      </c>
      <c r="Z56" s="200"/>
      <c r="AA56" s="197"/>
    </row>
    <row r="57" spans="1:27" ht="13.8" hidden="1">
      <c r="A57" s="214"/>
      <c r="B57" s="546"/>
      <c r="C57" s="212" t="s">
        <v>1143</v>
      </c>
      <c r="D57" s="212" t="s">
        <v>1155</v>
      </c>
      <c r="E57" s="212" t="s">
        <v>1099</v>
      </c>
      <c r="F57" s="212" t="s">
        <v>1100</v>
      </c>
      <c r="G57" s="212" t="s">
        <v>1143</v>
      </c>
      <c r="H57" s="212" t="s">
        <v>1155</v>
      </c>
      <c r="I57" s="212" t="s">
        <v>1099</v>
      </c>
      <c r="J57" s="212" t="s">
        <v>1100</v>
      </c>
      <c r="K57" s="212" t="s">
        <v>1546</v>
      </c>
      <c r="L57" s="212" t="s">
        <v>1143</v>
      </c>
      <c r="M57" s="212" t="s">
        <v>1155</v>
      </c>
      <c r="N57" s="212" t="s">
        <v>1099</v>
      </c>
      <c r="O57" s="212" t="s">
        <v>1100</v>
      </c>
      <c r="P57" s="546"/>
      <c r="Q57" s="550"/>
      <c r="R57" s="550"/>
      <c r="S57" s="550"/>
      <c r="T57" s="550"/>
      <c r="U57" s="550"/>
      <c r="V57" s="550"/>
      <c r="W57" s="550"/>
      <c r="X57" s="546"/>
      <c r="Y57" s="200" t="s">
        <v>1547</v>
      </c>
      <c r="Z57" s="200"/>
      <c r="AA57" s="197"/>
    </row>
    <row r="58" spans="1:27" ht="19.8" hidden="1">
      <c r="A58" s="214"/>
      <c r="B58" s="546" t="s">
        <v>1548</v>
      </c>
      <c r="C58" s="212">
        <f>C4*$G$4</f>
        <v>0</v>
      </c>
      <c r="D58" s="212">
        <f>$C58*D4</f>
        <v>0</v>
      </c>
      <c r="E58" s="212">
        <f>$C58*E4</f>
        <v>0</v>
      </c>
      <c r="F58" s="212">
        <f>$C58*F4</f>
        <v>0</v>
      </c>
      <c r="G58" s="212">
        <f>C4-C58</f>
        <v>0</v>
      </c>
      <c r="H58" s="212">
        <f>$G58*D4</f>
        <v>0</v>
      </c>
      <c r="I58" s="212">
        <f>$G58*E4</f>
        <v>0</v>
      </c>
      <c r="J58" s="212">
        <f>$G58*F4</f>
        <v>0</v>
      </c>
      <c r="K58" s="212">
        <f>G$4*M58</f>
        <v>0</v>
      </c>
      <c r="L58" s="212">
        <f>IF($M$4=0,I$4,0)</f>
        <v>0</v>
      </c>
      <c r="M58" s="212">
        <f>IF($M$4=0,J$4,0)</f>
        <v>0</v>
      </c>
      <c r="N58" s="212">
        <f>IF($M$4=0,K$4,0)</f>
        <v>0</v>
      </c>
      <c r="O58" s="550">
        <f>IF($M$4=0,L$4,0)</f>
        <v>0</v>
      </c>
      <c r="P58" s="546" t="s">
        <v>1549</v>
      </c>
      <c r="Q58" s="550">
        <v>58</v>
      </c>
      <c r="R58" s="550">
        <f>D$4*0.87</f>
        <v>0</v>
      </c>
      <c r="S58" s="550">
        <f>R58*Y$60</f>
        <v>0</v>
      </c>
      <c r="T58" s="550">
        <v>0.65</v>
      </c>
      <c r="U58" s="550">
        <f>IF(M58=0,0,R58)</f>
        <v>0</v>
      </c>
      <c r="V58" s="562">
        <f>IF(M58=0,0,S58)</f>
        <v>0</v>
      </c>
      <c r="W58" s="562">
        <f>IF(M58=0,0,T58)</f>
        <v>0</v>
      </c>
      <c r="X58" s="546" t="s">
        <v>1548</v>
      </c>
      <c r="Y58" s="202">
        <f>Hofdung!U4</f>
        <v>0.7</v>
      </c>
      <c r="Z58" s="200" t="s">
        <v>1550</v>
      </c>
      <c r="AA58" s="197" t="s">
        <v>1551</v>
      </c>
    </row>
    <row r="59" spans="1:27" ht="13.8" hidden="1">
      <c r="A59" s="214"/>
      <c r="B59" s="546"/>
      <c r="C59" s="212"/>
      <c r="D59" s="212"/>
      <c r="E59" s="212"/>
      <c r="F59" s="212"/>
      <c r="G59" s="212"/>
      <c r="H59" s="212"/>
      <c r="I59" s="212"/>
      <c r="J59" s="212"/>
      <c r="K59" s="212">
        <f>G$4*M59</f>
        <v>0</v>
      </c>
      <c r="L59" s="212">
        <f>IF($M$4=0,0,IF($M$4&lt;0.55,I$4,0))</f>
        <v>0</v>
      </c>
      <c r="M59" s="212">
        <f>IF($M$4=0,0,IF($M$4&lt;0.55,J$4,0))</f>
        <v>0</v>
      </c>
      <c r="N59" s="212">
        <f>IF($M$4=0,0,IF($M$4&lt;0.55,K$4,0))</f>
        <v>0</v>
      </c>
      <c r="O59" s="550">
        <f>IF($M$4=0,0,IF($M$4&lt;0.55,L$4,0))</f>
        <v>0</v>
      </c>
      <c r="P59" s="546" t="s">
        <v>1550</v>
      </c>
      <c r="Q59" s="550">
        <v>59</v>
      </c>
      <c r="R59" s="550">
        <f>D$4*0.87</f>
        <v>0</v>
      </c>
      <c r="S59" s="550">
        <f>R59*Y$58</f>
        <v>0</v>
      </c>
      <c r="T59" s="550">
        <v>0.5</v>
      </c>
      <c r="U59" s="550">
        <f>IF(M59=0,0,R59)</f>
        <v>0</v>
      </c>
      <c r="V59" s="562">
        <f>IF(M59=0,0,S59)</f>
        <v>0</v>
      </c>
      <c r="W59" s="562">
        <f>IF(M59=0,0,T59)</f>
        <v>0</v>
      </c>
      <c r="X59" s="546"/>
      <c r="Y59" s="202">
        <f>Hofdung!U6</f>
        <v>0.85</v>
      </c>
      <c r="Z59" s="200" t="s">
        <v>1552</v>
      </c>
      <c r="AA59" s="197" t="s">
        <v>1553</v>
      </c>
    </row>
    <row r="60" spans="1:27" ht="13.8" hidden="1">
      <c r="A60" s="214"/>
      <c r="B60" s="546"/>
      <c r="C60" s="212"/>
      <c r="D60" s="212"/>
      <c r="E60" s="212"/>
      <c r="F60" s="212"/>
      <c r="G60" s="212"/>
      <c r="H60" s="212"/>
      <c r="I60" s="212"/>
      <c r="J60" s="212"/>
      <c r="K60" s="212">
        <f>G$4*M60</f>
        <v>0</v>
      </c>
      <c r="L60" s="212">
        <f>IF(AND($M$4&gt;=0.55,$M$4&lt;0.625),I$4,0)</f>
        <v>0</v>
      </c>
      <c r="M60" s="212">
        <f>IF(AND($M$4&gt;=0.55,$M$4&lt;0.625),J$4,0)</f>
        <v>0</v>
      </c>
      <c r="N60" s="212">
        <f>IF(AND($M$4&gt;=0.55,$M$4&lt;0.625),K$4,0)</f>
        <v>0</v>
      </c>
      <c r="O60" s="550">
        <f>IF(AND($M$4&gt;=0.55,$M$4&lt;0.625),L$4,0)</f>
        <v>0</v>
      </c>
      <c r="P60" s="546" t="s">
        <v>1552</v>
      </c>
      <c r="Q60" s="550">
        <v>60</v>
      </c>
      <c r="R60" s="550">
        <f>D$4*0.87</f>
        <v>0</v>
      </c>
      <c r="S60" s="550">
        <f>R60*Y$59</f>
        <v>0</v>
      </c>
      <c r="T60" s="550">
        <v>0.6</v>
      </c>
      <c r="U60" s="550">
        <f>IF(M60=0,0,R60)</f>
        <v>0</v>
      </c>
      <c r="V60" s="562">
        <f>IF(M60=0,0,S60)</f>
        <v>0</v>
      </c>
      <c r="W60" s="562">
        <f>IF(M60=0,0,T60)</f>
        <v>0</v>
      </c>
      <c r="X60" s="546"/>
      <c r="Y60" s="202">
        <f>Hofdung!U5</f>
        <v>0.8</v>
      </c>
      <c r="Z60" s="200" t="s">
        <v>1554</v>
      </c>
      <c r="AA60" s="197" t="s">
        <v>1555</v>
      </c>
    </row>
    <row r="61" spans="1:27" ht="13.8" hidden="1">
      <c r="A61" s="214"/>
      <c r="B61" s="546"/>
      <c r="C61" s="212"/>
      <c r="D61" s="212"/>
      <c r="E61" s="212"/>
      <c r="F61" s="212"/>
      <c r="G61" s="212"/>
      <c r="H61" s="212"/>
      <c r="I61" s="212"/>
      <c r="J61" s="212"/>
      <c r="K61" s="212">
        <f>G$4*M61</f>
        <v>0</v>
      </c>
      <c r="L61" s="212">
        <f>IF(AND($M$4&gt;=0.625,$M$4&lt;0.775),I$4,0)</f>
        <v>0</v>
      </c>
      <c r="M61" s="212">
        <f>IF(AND($M$4&gt;=0.625,$M$4&lt;0.775),J$4,0)</f>
        <v>0</v>
      </c>
      <c r="N61" s="212">
        <f>IF(AND($M$4&gt;=0.625,$M$4&lt;0.775),K$4,0)</f>
        <v>0</v>
      </c>
      <c r="O61" s="550">
        <f>IF(AND($M$4&gt;=0.625,$M$4&lt;0.775),L$4,0)</f>
        <v>0</v>
      </c>
      <c r="P61" s="546" t="s">
        <v>1554</v>
      </c>
      <c r="Q61" s="550">
        <v>61</v>
      </c>
      <c r="R61" s="550">
        <f>D$4*0.87</f>
        <v>0</v>
      </c>
      <c r="S61" s="550">
        <f>R61*Y$60</f>
        <v>0</v>
      </c>
      <c r="T61" s="550">
        <v>0.65</v>
      </c>
      <c r="U61" s="550">
        <f>IF(M61=0,0,R61)</f>
        <v>0</v>
      </c>
      <c r="V61" s="562">
        <f>IF(M61=0,0,S61)</f>
        <v>0</v>
      </c>
      <c r="W61" s="562">
        <f>IF(M61=0,0,T61)</f>
        <v>0</v>
      </c>
      <c r="X61" s="546"/>
      <c r="Y61" s="202">
        <f>Hofdung!U7</f>
        <v>1</v>
      </c>
      <c r="Z61" s="200" t="s">
        <v>1556</v>
      </c>
      <c r="AA61" s="197" t="s">
        <v>1557</v>
      </c>
    </row>
    <row r="62" spans="1:27" ht="13.8" hidden="1">
      <c r="A62" s="214"/>
      <c r="B62" s="546"/>
      <c r="C62" s="212"/>
      <c r="D62" s="212"/>
      <c r="E62" s="212"/>
      <c r="F62" s="212"/>
      <c r="G62" s="212"/>
      <c r="H62" s="212"/>
      <c r="I62" s="212"/>
      <c r="J62" s="212"/>
      <c r="K62" s="212">
        <f>G$4*M62</f>
        <v>0</v>
      </c>
      <c r="L62" s="212">
        <f>IF($M$4&gt;=0.775,I$4,0)</f>
        <v>0</v>
      </c>
      <c r="M62" s="212">
        <f>IF($M$4&gt;=0.775,J$4,0)</f>
        <v>0</v>
      </c>
      <c r="N62" s="212">
        <f>IF($M$4&gt;=0.775,K$4,0)</f>
        <v>0</v>
      </c>
      <c r="O62" s="550">
        <f>IF($M$4&gt;=0.775,L$4,0)</f>
        <v>0</v>
      </c>
      <c r="P62" s="546" t="s">
        <v>1556</v>
      </c>
      <c r="Q62" s="550">
        <v>62</v>
      </c>
      <c r="R62" s="550">
        <f>D$4*0.87</f>
        <v>0</v>
      </c>
      <c r="S62" s="550">
        <f>R62*Y$61</f>
        <v>0</v>
      </c>
      <c r="T62" s="550">
        <v>0.9</v>
      </c>
      <c r="U62" s="550">
        <f>IF(M62=0,0,R62)</f>
        <v>0</v>
      </c>
      <c r="V62" s="562">
        <f>IF(M62=0,0,S62)</f>
        <v>0</v>
      </c>
      <c r="W62" s="562">
        <f>IF(M62=0,0,T62)</f>
        <v>0</v>
      </c>
      <c r="X62" s="546"/>
      <c r="Y62" s="202">
        <f>Hofdung!U8</f>
        <v>0.5</v>
      </c>
      <c r="Z62" s="200" t="s">
        <v>1558</v>
      </c>
      <c r="AA62" s="197" t="s">
        <v>1559</v>
      </c>
    </row>
    <row r="63" spans="1:27" ht="13.8" hidden="1">
      <c r="A63" s="214"/>
      <c r="B63" s="546"/>
      <c r="C63" s="212"/>
      <c r="D63" s="212"/>
      <c r="E63" s="212"/>
      <c r="F63" s="212"/>
      <c r="G63" s="212"/>
      <c r="H63" s="212"/>
      <c r="I63" s="212"/>
      <c r="J63" s="212"/>
      <c r="K63" s="212"/>
      <c r="L63" s="212"/>
      <c r="M63" s="212"/>
      <c r="N63" s="212"/>
      <c r="O63" s="550"/>
      <c r="P63" s="546"/>
      <c r="Q63" s="550">
        <v>63</v>
      </c>
      <c r="R63" s="550"/>
      <c r="S63" s="550"/>
      <c r="T63" s="550" t="s">
        <v>1548</v>
      </c>
      <c r="U63" s="550">
        <f>SUM(U58:U62)</f>
        <v>0</v>
      </c>
      <c r="V63" s="562">
        <f>SUM(V58:V62)</f>
        <v>0</v>
      </c>
      <c r="W63" s="562">
        <f>SUM(W58:W62)</f>
        <v>0</v>
      </c>
      <c r="X63" s="546"/>
      <c r="Y63" s="202">
        <f>Hofdung!U9</f>
        <v>0.3</v>
      </c>
      <c r="Z63" s="200" t="s">
        <v>1560</v>
      </c>
      <c r="AA63" s="197" t="s">
        <v>1561</v>
      </c>
    </row>
    <row r="64" spans="1:27" ht="19.8" hidden="1">
      <c r="A64" s="214"/>
      <c r="B64" s="546" t="s">
        <v>1562</v>
      </c>
      <c r="C64" s="212">
        <f>C5*$G$5</f>
        <v>0</v>
      </c>
      <c r="D64" s="212">
        <f>$C64*D5</f>
        <v>0</v>
      </c>
      <c r="E64" s="212">
        <f>$C64*E5</f>
        <v>0</v>
      </c>
      <c r="F64" s="212">
        <f>$C64*F5</f>
        <v>0</v>
      </c>
      <c r="G64" s="212">
        <f>C5-C64</f>
        <v>0</v>
      </c>
      <c r="H64" s="212">
        <f>$G64*D5</f>
        <v>0</v>
      </c>
      <c r="I64" s="212">
        <f>$G64*E5</f>
        <v>0</v>
      </c>
      <c r="J64" s="212">
        <f>$G64*F5</f>
        <v>0</v>
      </c>
      <c r="K64" s="212">
        <f>G$5*M64</f>
        <v>0</v>
      </c>
      <c r="L64" s="212">
        <f>IF($M$5=0,I$5,0)</f>
        <v>0</v>
      </c>
      <c r="M64" s="212">
        <f>IF($M$5=0,J$5,0)</f>
        <v>0</v>
      </c>
      <c r="N64" s="212">
        <f>IF($M$5=0,K$5,0)</f>
        <v>0</v>
      </c>
      <c r="O64" s="550">
        <f>IF($M$5=0,L$5,0)</f>
        <v>0</v>
      </c>
      <c r="P64" s="546" t="s">
        <v>1549</v>
      </c>
      <c r="Q64" s="550">
        <v>64</v>
      </c>
      <c r="R64" s="550">
        <f>D$5*0.87</f>
        <v>0</v>
      </c>
      <c r="S64" s="550">
        <f>R64*Y$60</f>
        <v>0</v>
      </c>
      <c r="T64" s="550">
        <v>0.65</v>
      </c>
      <c r="U64" s="550">
        <f>IF(M64=0,0,R64)</f>
        <v>0</v>
      </c>
      <c r="V64" s="562">
        <f>IF(M64=0,0,S64)</f>
        <v>0</v>
      </c>
      <c r="W64" s="562">
        <f>IF(M64=0,0,T64)</f>
        <v>0</v>
      </c>
      <c r="X64" s="546" t="s">
        <v>1562</v>
      </c>
      <c r="Y64" s="202">
        <f>Hofdung!U10</f>
        <v>0.1</v>
      </c>
      <c r="Z64" s="200" t="s">
        <v>1487</v>
      </c>
      <c r="AA64" s="197" t="s">
        <v>1563</v>
      </c>
    </row>
    <row r="65" spans="1:27" ht="13.8" hidden="1">
      <c r="A65" s="214"/>
      <c r="B65" s="546"/>
      <c r="C65" s="212"/>
      <c r="D65" s="212"/>
      <c r="E65" s="212"/>
      <c r="F65" s="212"/>
      <c r="G65" s="212"/>
      <c r="H65" s="212"/>
      <c r="I65" s="212"/>
      <c r="J65" s="212"/>
      <c r="K65" s="212">
        <f>G$5*M65</f>
        <v>0</v>
      </c>
      <c r="L65" s="212">
        <f>IF($M$5=0,0,IF($M$5&lt;0.55,I$5,0))</f>
        <v>0</v>
      </c>
      <c r="M65" s="212">
        <f>IF($M$5=0,0,IF($M$5&lt;0.55,J$5,0))</f>
        <v>0</v>
      </c>
      <c r="N65" s="212">
        <f>IF($M$5=0,0,IF($M$5&lt;0.55,K$5,0))</f>
        <v>0</v>
      </c>
      <c r="O65" s="550">
        <f>IF($M$5=0,0,IF($M$5&lt;0.55,L$5,0))</f>
        <v>0</v>
      </c>
      <c r="P65" s="546" t="s">
        <v>1550</v>
      </c>
      <c r="Q65" s="550">
        <v>65</v>
      </c>
      <c r="R65" s="550">
        <f>D$5*0.87</f>
        <v>0</v>
      </c>
      <c r="S65" s="550">
        <f>R65*Y$58</f>
        <v>0</v>
      </c>
      <c r="T65" s="550">
        <v>0.5</v>
      </c>
      <c r="U65" s="550">
        <f>IF(M65=0,0,R65)</f>
        <v>0</v>
      </c>
      <c r="V65" s="562">
        <f>IF(M65=0,0,S65)</f>
        <v>0</v>
      </c>
      <c r="W65" s="562">
        <f>IF(M65=0,0,T65)</f>
        <v>0</v>
      </c>
      <c r="X65" s="546"/>
      <c r="Y65" s="200"/>
      <c r="Z65" s="200"/>
      <c r="AA65" s="197"/>
    </row>
    <row r="66" spans="1:27" ht="13.8" hidden="1">
      <c r="A66" s="214"/>
      <c r="B66" s="546"/>
      <c r="C66" s="212"/>
      <c r="D66" s="212"/>
      <c r="E66" s="212"/>
      <c r="F66" s="212"/>
      <c r="G66" s="212"/>
      <c r="H66" s="212"/>
      <c r="I66" s="212"/>
      <c r="J66" s="212"/>
      <c r="K66" s="212">
        <f>G$5*M66</f>
        <v>0</v>
      </c>
      <c r="L66" s="212">
        <f>IF(AND($M$5&gt;=0.55,$M$5&lt;0.625),I$5,0)</f>
        <v>0</v>
      </c>
      <c r="M66" s="212">
        <f>IF(AND($M$5&gt;=0.55,$M$5&lt;0.625),J$5,0)</f>
        <v>0</v>
      </c>
      <c r="N66" s="212">
        <f>IF(AND($M$5&gt;=0.55,$M$5&lt;0.625),K$5,0)</f>
        <v>0</v>
      </c>
      <c r="O66" s="550">
        <f>IF(AND($M$5&gt;=0.55,$M$5&lt;0.625),L$5,0)</f>
        <v>0</v>
      </c>
      <c r="P66" s="546" t="s">
        <v>1552</v>
      </c>
      <c r="Q66" s="550">
        <v>66</v>
      </c>
      <c r="R66" s="550">
        <f>D$5*0.87</f>
        <v>0</v>
      </c>
      <c r="S66" s="550">
        <f>R66*Y$59</f>
        <v>0</v>
      </c>
      <c r="T66" s="550">
        <v>0.6</v>
      </c>
      <c r="U66" s="550">
        <f>IF(M66=0,0,R66)</f>
        <v>0</v>
      </c>
      <c r="V66" s="562">
        <f>IF(M66=0,0,S66)</f>
        <v>0</v>
      </c>
      <c r="W66" s="562">
        <f>IF(M66=0,0,T66)</f>
        <v>0</v>
      </c>
      <c r="X66" s="546"/>
      <c r="Y66" s="200"/>
      <c r="Z66" s="200"/>
      <c r="AA66" s="197"/>
    </row>
    <row r="67" spans="1:27" ht="13.8" hidden="1">
      <c r="A67" s="214"/>
      <c r="B67" s="546"/>
      <c r="C67" s="212"/>
      <c r="D67" s="212"/>
      <c r="E67" s="212"/>
      <c r="F67" s="212"/>
      <c r="G67" s="212"/>
      <c r="H67" s="212"/>
      <c r="I67" s="212"/>
      <c r="J67" s="212"/>
      <c r="K67" s="212">
        <f>G$5*M67</f>
        <v>0</v>
      </c>
      <c r="L67" s="212">
        <f>IF(AND($M$5&gt;=0.625,$M$5&lt;0.775),I$5,0)</f>
        <v>0</v>
      </c>
      <c r="M67" s="212">
        <f>IF(AND($M$5&gt;=0.625,$M$5&lt;0.775),J$5,0)</f>
        <v>0</v>
      </c>
      <c r="N67" s="212">
        <f>IF(AND($M$5&gt;=0.625,$M$5&lt;0.775),K$5,0)</f>
        <v>0</v>
      </c>
      <c r="O67" s="550">
        <f>IF(AND($M$5&gt;=0.625,$M$5&lt;0.775),L$5,0)</f>
        <v>0</v>
      </c>
      <c r="P67" s="546" t="s">
        <v>1554</v>
      </c>
      <c r="Q67" s="550">
        <v>67</v>
      </c>
      <c r="R67" s="550">
        <f>D$5*0.87</f>
        <v>0</v>
      </c>
      <c r="S67" s="550">
        <f>R67*Y$60</f>
        <v>0</v>
      </c>
      <c r="T67" s="550">
        <v>0.65</v>
      </c>
      <c r="U67" s="550">
        <f>IF(M67=0,0,R67)</f>
        <v>0</v>
      </c>
      <c r="V67" s="562">
        <f>IF(M67=0,0,S67)</f>
        <v>0</v>
      </c>
      <c r="W67" s="562">
        <f>IF(M67=0,0,T67)</f>
        <v>0</v>
      </c>
      <c r="X67" s="546"/>
      <c r="Y67" s="200"/>
      <c r="Z67" s="200"/>
      <c r="AA67" s="197"/>
    </row>
    <row r="68" spans="1:27" ht="13.8" hidden="1">
      <c r="A68" s="214"/>
      <c r="B68" s="546"/>
      <c r="C68" s="212"/>
      <c r="D68" s="212"/>
      <c r="E68" s="212"/>
      <c r="F68" s="212"/>
      <c r="G68" s="212"/>
      <c r="H68" s="212"/>
      <c r="I68" s="212"/>
      <c r="J68" s="212"/>
      <c r="K68" s="212">
        <f>G$5*M68</f>
        <v>0</v>
      </c>
      <c r="L68" s="212">
        <f>IF($M$5&gt;=0.775,I$5,0)</f>
        <v>0</v>
      </c>
      <c r="M68" s="212">
        <f>IF($M$5&gt;=0.775,J$5,0)</f>
        <v>0</v>
      </c>
      <c r="N68" s="212">
        <f>IF($M$5&gt;=0.775,K$5,0)</f>
        <v>0</v>
      </c>
      <c r="O68" s="550">
        <f>IF($M$5&gt;=0.775,L$5,0)</f>
        <v>0</v>
      </c>
      <c r="P68" s="546" t="s">
        <v>1556</v>
      </c>
      <c r="Q68" s="550">
        <v>68</v>
      </c>
      <c r="R68" s="550">
        <f>D$5*0.87</f>
        <v>0</v>
      </c>
      <c r="S68" s="550">
        <f>R68*Y$61</f>
        <v>0</v>
      </c>
      <c r="T68" s="550">
        <v>0.9</v>
      </c>
      <c r="U68" s="550">
        <f>IF(M68=0,0,R68)</f>
        <v>0</v>
      </c>
      <c r="V68" s="562">
        <f>IF(M68=0,0,S68)</f>
        <v>0</v>
      </c>
      <c r="W68" s="562">
        <f>IF(M68=0,0,T68)</f>
        <v>0</v>
      </c>
      <c r="X68" s="546"/>
      <c r="Y68" s="200"/>
      <c r="Z68" s="200"/>
      <c r="AA68" s="197"/>
    </row>
    <row r="69" spans="1:27" ht="13.8" hidden="1">
      <c r="A69" s="214"/>
      <c r="B69" s="546"/>
      <c r="C69" s="212"/>
      <c r="D69" s="212"/>
      <c r="E69" s="212"/>
      <c r="F69" s="212"/>
      <c r="G69" s="212"/>
      <c r="H69" s="212"/>
      <c r="I69" s="212"/>
      <c r="J69" s="212"/>
      <c r="K69" s="212"/>
      <c r="L69" s="212"/>
      <c r="M69" s="212"/>
      <c r="N69" s="212"/>
      <c r="O69" s="550"/>
      <c r="P69" s="546"/>
      <c r="Q69" s="550">
        <v>69</v>
      </c>
      <c r="R69" s="550"/>
      <c r="S69" s="550"/>
      <c r="T69" s="550" t="s">
        <v>1562</v>
      </c>
      <c r="U69" s="550">
        <f>SUM(U64:U68)</f>
        <v>0</v>
      </c>
      <c r="V69" s="562">
        <f>SUM(V64:V68)</f>
        <v>0</v>
      </c>
      <c r="W69" s="562">
        <f>SUM(W64:W68)</f>
        <v>0</v>
      </c>
      <c r="X69" s="546"/>
      <c r="Y69" s="200"/>
      <c r="Z69" s="200"/>
      <c r="AA69" s="197"/>
    </row>
    <row r="70" spans="1:27" ht="19.8" hidden="1">
      <c r="A70" s="214"/>
      <c r="B70" s="546" t="s">
        <v>1564</v>
      </c>
      <c r="C70" s="212">
        <f>C6*$G$6</f>
        <v>0</v>
      </c>
      <c r="D70" s="212">
        <f>$C70*D6</f>
        <v>0</v>
      </c>
      <c r="E70" s="212">
        <f>$C70*E6</f>
        <v>0</v>
      </c>
      <c r="F70" s="212">
        <f>$C70*F6</f>
        <v>0</v>
      </c>
      <c r="G70" s="212">
        <f>C6-C70</f>
        <v>0</v>
      </c>
      <c r="H70" s="212">
        <f>$G70*D6</f>
        <v>0</v>
      </c>
      <c r="I70" s="212">
        <f>$G70*E6</f>
        <v>0</v>
      </c>
      <c r="J70" s="212">
        <f>$G70*F6</f>
        <v>0</v>
      </c>
      <c r="K70" s="212">
        <f>G$6*M70</f>
        <v>0</v>
      </c>
      <c r="L70" s="212">
        <f>IF($M$6=0,I$6,0)</f>
        <v>0</v>
      </c>
      <c r="M70" s="212">
        <f>IF($M$6=0,J$6,0)</f>
        <v>0</v>
      </c>
      <c r="N70" s="212">
        <f>IF($M$6=0,K$6,0)</f>
        <v>0</v>
      </c>
      <c r="O70" s="550">
        <f>IF($M$6=0,L$6,0)</f>
        <v>0</v>
      </c>
      <c r="P70" s="546" t="s">
        <v>1549</v>
      </c>
      <c r="Q70" s="550">
        <v>70</v>
      </c>
      <c r="R70" s="550">
        <f>D$6*0.87</f>
        <v>0</v>
      </c>
      <c r="S70" s="550">
        <f>R70*Y$60</f>
        <v>0</v>
      </c>
      <c r="T70" s="550">
        <v>0.65</v>
      </c>
      <c r="U70" s="550">
        <f>IF(M70=0,0,R70)</f>
        <v>0</v>
      </c>
      <c r="V70" s="562">
        <f>IF(M70=0,0,S70)</f>
        <v>0</v>
      </c>
      <c r="W70" s="562">
        <f>IF(M70=0,0,T70)</f>
        <v>0</v>
      </c>
      <c r="X70" s="546" t="s">
        <v>1564</v>
      </c>
      <c r="Y70" s="200"/>
      <c r="Z70" s="200"/>
      <c r="AA70" s="197"/>
    </row>
    <row r="71" spans="1:27" ht="13.8" hidden="1">
      <c r="A71" s="214"/>
      <c r="B71" s="546"/>
      <c r="C71" s="212"/>
      <c r="D71" s="212"/>
      <c r="E71" s="212"/>
      <c r="F71" s="212"/>
      <c r="G71" s="212"/>
      <c r="H71" s="212"/>
      <c r="I71" s="212"/>
      <c r="J71" s="212"/>
      <c r="K71" s="212">
        <f>G$6*M71</f>
        <v>0</v>
      </c>
      <c r="L71" s="212">
        <f>IF($M$6=0,0,IF($M$6&lt;0.55,I$6,0))</f>
        <v>0</v>
      </c>
      <c r="M71" s="212">
        <f>IF($M$6=0,0,IF($M$6&lt;0.55,J$6,0))</f>
        <v>0</v>
      </c>
      <c r="N71" s="212">
        <f>IF($M$6=0,0,IF($M$6&lt;0.55,K$6,0))</f>
        <v>0</v>
      </c>
      <c r="O71" s="550">
        <f>IF($M$6=0,0,IF($M$6&lt;0.55,L$6,0))</f>
        <v>0</v>
      </c>
      <c r="P71" s="546" t="s">
        <v>1550</v>
      </c>
      <c r="Q71" s="550">
        <v>71</v>
      </c>
      <c r="R71" s="550">
        <f>D$6*0.87</f>
        <v>0</v>
      </c>
      <c r="S71" s="550">
        <f>R71*Y$58</f>
        <v>0</v>
      </c>
      <c r="T71" s="550">
        <v>0.5</v>
      </c>
      <c r="U71" s="550">
        <f>IF(M71=0,0,R71)</f>
        <v>0</v>
      </c>
      <c r="V71" s="562">
        <f>IF(M71=0,0,S71)</f>
        <v>0</v>
      </c>
      <c r="W71" s="562">
        <f>IF(M71=0,0,T71)</f>
        <v>0</v>
      </c>
      <c r="X71" s="546"/>
      <c r="Y71" s="200"/>
      <c r="Z71" s="200"/>
      <c r="AA71" s="197"/>
    </row>
    <row r="72" spans="1:27" ht="13.8" hidden="1">
      <c r="A72" s="214"/>
      <c r="B72" s="546"/>
      <c r="C72" s="212"/>
      <c r="D72" s="212"/>
      <c r="E72" s="212"/>
      <c r="F72" s="212"/>
      <c r="G72" s="212"/>
      <c r="H72" s="212"/>
      <c r="I72" s="212"/>
      <c r="J72" s="212"/>
      <c r="K72" s="212">
        <f>G$6*M72</f>
        <v>0</v>
      </c>
      <c r="L72" s="212">
        <f>IF(AND($M$6&gt;=0.55,$M$6&lt;0.625),I$6,0)</f>
        <v>0</v>
      </c>
      <c r="M72" s="212">
        <f>IF(AND($M$6&gt;=0.55,$M$6&lt;0.625),J$6,0)</f>
        <v>0</v>
      </c>
      <c r="N72" s="212">
        <f>IF(AND($M$6&gt;=0.55,$M$6&lt;0.625),K$6,0)</f>
        <v>0</v>
      </c>
      <c r="O72" s="550">
        <f>IF(AND($M$6&gt;=0.55,$M$6&lt;0.625),L$6,0)</f>
        <v>0</v>
      </c>
      <c r="P72" s="546" t="s">
        <v>1552</v>
      </c>
      <c r="Q72" s="550">
        <v>72</v>
      </c>
      <c r="R72" s="550">
        <f>D$6*0.87</f>
        <v>0</v>
      </c>
      <c r="S72" s="550">
        <f>R72*Y$59</f>
        <v>0</v>
      </c>
      <c r="T72" s="550">
        <v>0.6</v>
      </c>
      <c r="U72" s="550">
        <f>IF(M72=0,0,R72)</f>
        <v>0</v>
      </c>
      <c r="V72" s="562">
        <f>IF(M72=0,0,S72)</f>
        <v>0</v>
      </c>
      <c r="W72" s="562">
        <f>IF(M72=0,0,T72)</f>
        <v>0</v>
      </c>
      <c r="X72" s="546"/>
      <c r="Y72" s="200"/>
      <c r="Z72" s="200"/>
      <c r="AA72" s="197"/>
    </row>
    <row r="73" spans="1:27" ht="13.8" hidden="1">
      <c r="A73" s="214"/>
      <c r="B73" s="546"/>
      <c r="C73" s="212"/>
      <c r="D73" s="212"/>
      <c r="E73" s="212"/>
      <c r="F73" s="212"/>
      <c r="G73" s="212"/>
      <c r="H73" s="212"/>
      <c r="I73" s="212"/>
      <c r="J73" s="212"/>
      <c r="K73" s="212">
        <f>G$6*M73</f>
        <v>0</v>
      </c>
      <c r="L73" s="212">
        <f>IF(AND($M$6&gt;=0.625,$M$6&lt;0.775),I$6,0)</f>
        <v>0</v>
      </c>
      <c r="M73" s="212">
        <f>IF(AND($M$6&gt;=0.625,$M$6&lt;0.775),J$6,0)</f>
        <v>0</v>
      </c>
      <c r="N73" s="212">
        <f>IF(AND($M$6&gt;=0.625,$M$6&lt;0.775),K$6,0)</f>
        <v>0</v>
      </c>
      <c r="O73" s="550">
        <f>IF(AND($M$6&gt;=0.625,$M$6&lt;0.775),L$6,0)</f>
        <v>0</v>
      </c>
      <c r="P73" s="546" t="s">
        <v>1554</v>
      </c>
      <c r="Q73" s="550">
        <v>73</v>
      </c>
      <c r="R73" s="550">
        <f>D$6*0.87</f>
        <v>0</v>
      </c>
      <c r="S73" s="550">
        <f>R73*Y$60</f>
        <v>0</v>
      </c>
      <c r="T73" s="550">
        <v>0.65</v>
      </c>
      <c r="U73" s="550">
        <f>IF(M73=0,0,R73)</f>
        <v>0</v>
      </c>
      <c r="V73" s="562">
        <f>IF(M73=0,0,S73)</f>
        <v>0</v>
      </c>
      <c r="W73" s="562">
        <f>IF(M73=0,0,T73)</f>
        <v>0</v>
      </c>
      <c r="X73" s="546"/>
      <c r="Y73" s="200"/>
      <c r="Z73" s="200"/>
      <c r="AA73" s="197"/>
    </row>
    <row r="74" spans="1:27" ht="13.8" hidden="1">
      <c r="A74" s="214"/>
      <c r="B74" s="546"/>
      <c r="C74" s="212"/>
      <c r="D74" s="212"/>
      <c r="E74" s="212"/>
      <c r="F74" s="212"/>
      <c r="G74" s="212"/>
      <c r="H74" s="212"/>
      <c r="I74" s="212"/>
      <c r="J74" s="212"/>
      <c r="K74" s="212">
        <f>G$6*M74</f>
        <v>0</v>
      </c>
      <c r="L74" s="212">
        <f>IF($M$6&gt;=0.775,I$6,0)</f>
        <v>0</v>
      </c>
      <c r="M74" s="212">
        <f>IF($M$6&gt;=0.775,J$6,0)</f>
        <v>0</v>
      </c>
      <c r="N74" s="212">
        <f>IF($M$6&gt;=0.775,K$6,0)</f>
        <v>0</v>
      </c>
      <c r="O74" s="550">
        <f>IF($M$6&gt;=0.775,L$6,0)</f>
        <v>0</v>
      </c>
      <c r="P74" s="546" t="s">
        <v>1556</v>
      </c>
      <c r="Q74" s="550">
        <v>74</v>
      </c>
      <c r="R74" s="550">
        <f>D$6*0.87</f>
        <v>0</v>
      </c>
      <c r="S74" s="550">
        <f>R74*Y$61</f>
        <v>0</v>
      </c>
      <c r="T74" s="550">
        <v>0.9</v>
      </c>
      <c r="U74" s="550">
        <f>IF(M74=0,0,R74)</f>
        <v>0</v>
      </c>
      <c r="V74" s="562">
        <f>IF(M74=0,0,S74)</f>
        <v>0</v>
      </c>
      <c r="W74" s="562">
        <f>IF(M74=0,0,T74)</f>
        <v>0</v>
      </c>
      <c r="X74" s="546"/>
      <c r="Y74" s="200"/>
      <c r="Z74" s="200"/>
      <c r="AA74" s="197"/>
    </row>
    <row r="75" spans="1:27" ht="13.8" hidden="1">
      <c r="A75" s="214"/>
      <c r="B75" s="546"/>
      <c r="C75" s="212"/>
      <c r="D75" s="212"/>
      <c r="E75" s="212"/>
      <c r="F75" s="212"/>
      <c r="G75" s="212"/>
      <c r="H75" s="212"/>
      <c r="I75" s="212"/>
      <c r="J75" s="212"/>
      <c r="K75" s="212"/>
      <c r="L75" s="212"/>
      <c r="M75" s="212"/>
      <c r="N75" s="212"/>
      <c r="O75" s="550"/>
      <c r="P75" s="546"/>
      <c r="Q75" s="550">
        <v>75</v>
      </c>
      <c r="R75" s="550"/>
      <c r="S75" s="550"/>
      <c r="T75" s="550" t="s">
        <v>1564</v>
      </c>
      <c r="U75" s="550">
        <f>SUM(U70:U74)</f>
        <v>0</v>
      </c>
      <c r="V75" s="562">
        <f>SUM(V70:V74)</f>
        <v>0</v>
      </c>
      <c r="W75" s="562">
        <f>SUM(W70:W74)</f>
        <v>0</v>
      </c>
      <c r="X75" s="546"/>
      <c r="Y75" s="200"/>
      <c r="Z75" s="200"/>
      <c r="AA75" s="197"/>
    </row>
    <row r="76" spans="1:27" ht="19.8" hidden="1">
      <c r="A76" s="214"/>
      <c r="B76" s="546" t="s">
        <v>1565</v>
      </c>
      <c r="C76" s="212">
        <f>C7*$G$7</f>
        <v>0</v>
      </c>
      <c r="D76" s="212">
        <f>$C76*D7</f>
        <v>0</v>
      </c>
      <c r="E76" s="212">
        <f>$C76*E7</f>
        <v>0</v>
      </c>
      <c r="F76" s="212">
        <f>$C76*F7</f>
        <v>0</v>
      </c>
      <c r="G76" s="212">
        <f>C7-C76</f>
        <v>0</v>
      </c>
      <c r="H76" s="212">
        <f>$G76*D7</f>
        <v>0</v>
      </c>
      <c r="I76" s="212">
        <f>$G76*E7</f>
        <v>0</v>
      </c>
      <c r="J76" s="212">
        <f>$G76*F7</f>
        <v>0</v>
      </c>
      <c r="K76" s="212">
        <f>G$7*M76</f>
        <v>0</v>
      </c>
      <c r="L76" s="212">
        <f>IF($M$7=0,I$7,0)</f>
        <v>0</v>
      </c>
      <c r="M76" s="212">
        <f>IF($M$7=0,J$7,0)</f>
        <v>0</v>
      </c>
      <c r="N76" s="212">
        <f>IF($M$7=0,K$7,0)</f>
        <v>0</v>
      </c>
      <c r="O76" s="550">
        <f>IF($M$7=0,L$7,0)</f>
        <v>0</v>
      </c>
      <c r="P76" s="546" t="s">
        <v>1549</v>
      </c>
      <c r="Q76" s="550">
        <v>76</v>
      </c>
      <c r="R76" s="550">
        <f>D$7*0.87</f>
        <v>0</v>
      </c>
      <c r="S76" s="550">
        <f>R76*Y$60</f>
        <v>0</v>
      </c>
      <c r="T76" s="550">
        <v>0.65</v>
      </c>
      <c r="U76" s="550">
        <f>IF(M76=0,0,R76)</f>
        <v>0</v>
      </c>
      <c r="V76" s="562">
        <f>IF(M76=0,0,S76)</f>
        <v>0</v>
      </c>
      <c r="W76" s="562">
        <f>IF(M76=0,0,T76)</f>
        <v>0</v>
      </c>
      <c r="X76" s="546" t="s">
        <v>1565</v>
      </c>
      <c r="Y76" s="200"/>
      <c r="Z76" s="200"/>
      <c r="AA76" s="197"/>
    </row>
    <row r="77" spans="1:27" ht="13.8" hidden="1">
      <c r="A77" s="214"/>
      <c r="B77" s="546"/>
      <c r="C77" s="212"/>
      <c r="D77" s="212"/>
      <c r="E77" s="212"/>
      <c r="F77" s="212"/>
      <c r="G77" s="212"/>
      <c r="H77" s="212"/>
      <c r="I77" s="212"/>
      <c r="J77" s="212"/>
      <c r="K77" s="212">
        <f>G$7*M77</f>
        <v>0</v>
      </c>
      <c r="L77" s="212">
        <f>IF($M$7=0,0,IF($M$7&lt;0.55,I$7,0))</f>
        <v>0</v>
      </c>
      <c r="M77" s="212">
        <f>IF($M$7=0,0,IF($M$7&lt;0.55,J$7,0))</f>
        <v>0</v>
      </c>
      <c r="N77" s="212">
        <f>IF($M$7=0,0,IF($M$7&lt;0.55,K$7,0))</f>
        <v>0</v>
      </c>
      <c r="O77" s="550">
        <f>IF($M$7=0,0,IF($M$7&lt;0.55,L$7,0))</f>
        <v>0</v>
      </c>
      <c r="P77" s="546" t="s">
        <v>1550</v>
      </c>
      <c r="Q77" s="550">
        <v>77</v>
      </c>
      <c r="R77" s="550">
        <f>D$7*0.87</f>
        <v>0</v>
      </c>
      <c r="S77" s="550">
        <f>R77*Y$58</f>
        <v>0</v>
      </c>
      <c r="T77" s="550">
        <v>0.5</v>
      </c>
      <c r="U77" s="550">
        <f>IF(M77=0,0,R77)</f>
        <v>0</v>
      </c>
      <c r="V77" s="562">
        <f>IF(M77=0,0,S77)</f>
        <v>0</v>
      </c>
      <c r="W77" s="562">
        <f>IF(M77=0,0,T77)</f>
        <v>0</v>
      </c>
      <c r="X77" s="546"/>
      <c r="Y77" s="200"/>
      <c r="Z77" s="200"/>
      <c r="AA77" s="197"/>
    </row>
    <row r="78" spans="1:27" ht="13.8" hidden="1">
      <c r="A78" s="214"/>
      <c r="B78" s="546"/>
      <c r="C78" s="212"/>
      <c r="D78" s="212"/>
      <c r="E78" s="212"/>
      <c r="F78" s="212"/>
      <c r="G78" s="212"/>
      <c r="H78" s="212"/>
      <c r="I78" s="212"/>
      <c r="J78" s="212"/>
      <c r="K78" s="212">
        <f>G$7*M78</f>
        <v>0</v>
      </c>
      <c r="L78" s="212">
        <f>IF(AND($M$7&gt;=0.55,$M$7&lt;0.625),I$7,0)</f>
        <v>0</v>
      </c>
      <c r="M78" s="212">
        <f>IF(AND($M$7&gt;=0.55,$M$7&lt;0.625),J$7,0)</f>
        <v>0</v>
      </c>
      <c r="N78" s="212">
        <f>IF(AND($M$7&gt;=0.55,$M$7&lt;0.625),K$7,0)</f>
        <v>0</v>
      </c>
      <c r="O78" s="550">
        <f>IF(AND($M$7&gt;=0.55,$M$7&lt;0.625),L$7,0)</f>
        <v>0</v>
      </c>
      <c r="P78" s="546" t="s">
        <v>1552</v>
      </c>
      <c r="Q78" s="550">
        <v>78</v>
      </c>
      <c r="R78" s="550">
        <f>D$7*0.87</f>
        <v>0</v>
      </c>
      <c r="S78" s="550">
        <f>R78*Y$59</f>
        <v>0</v>
      </c>
      <c r="T78" s="550">
        <v>0.6</v>
      </c>
      <c r="U78" s="550">
        <f>IF(M78=0,0,R78)</f>
        <v>0</v>
      </c>
      <c r="V78" s="562">
        <f>IF(M78=0,0,S78)</f>
        <v>0</v>
      </c>
      <c r="W78" s="562">
        <f>IF(M78=0,0,T78)</f>
        <v>0</v>
      </c>
      <c r="X78" s="546"/>
      <c r="Y78" s="200"/>
      <c r="Z78" s="200"/>
      <c r="AA78" s="197"/>
    </row>
    <row r="79" spans="1:27" ht="13.8" hidden="1">
      <c r="A79" s="214"/>
      <c r="B79" s="546"/>
      <c r="C79" s="212"/>
      <c r="D79" s="212"/>
      <c r="E79" s="212"/>
      <c r="F79" s="212"/>
      <c r="G79" s="212"/>
      <c r="H79" s="212"/>
      <c r="I79" s="212"/>
      <c r="J79" s="212"/>
      <c r="K79" s="212">
        <f>G$7*M79</f>
        <v>0</v>
      </c>
      <c r="L79" s="212">
        <f>IF(AND($M$7&gt;=0.625,$M$7&lt;0.775),I$7,0)</f>
        <v>0</v>
      </c>
      <c r="M79" s="212">
        <f>IF(AND($M$7&gt;=0.625,$M$7&lt;0.775),J$7,0)</f>
        <v>0</v>
      </c>
      <c r="N79" s="212">
        <f>IF(AND($M$7&gt;=0.625,$M$7&lt;0.775),K$7,0)</f>
        <v>0</v>
      </c>
      <c r="O79" s="550">
        <f>IF(AND($M$7&gt;=0.625,$M$7&lt;0.775),L$7,0)</f>
        <v>0</v>
      </c>
      <c r="P79" s="546" t="s">
        <v>1554</v>
      </c>
      <c r="Q79" s="550">
        <v>79</v>
      </c>
      <c r="R79" s="550">
        <f>D$7*0.87</f>
        <v>0</v>
      </c>
      <c r="S79" s="550">
        <f>R79*Y$60</f>
        <v>0</v>
      </c>
      <c r="T79" s="550">
        <v>0.65</v>
      </c>
      <c r="U79" s="550">
        <f>IF(M79=0,0,R79)</f>
        <v>0</v>
      </c>
      <c r="V79" s="562">
        <f>IF(M79=0,0,S79)</f>
        <v>0</v>
      </c>
      <c r="W79" s="562">
        <f>IF(M79=0,0,T79)</f>
        <v>0</v>
      </c>
      <c r="X79" s="546"/>
      <c r="Y79" s="200"/>
      <c r="Z79" s="200"/>
      <c r="AA79" s="197"/>
    </row>
    <row r="80" spans="1:27" ht="13.8" hidden="1">
      <c r="A80" s="214"/>
      <c r="B80" s="546"/>
      <c r="C80" s="212"/>
      <c r="D80" s="212"/>
      <c r="E80" s="212"/>
      <c r="F80" s="212"/>
      <c r="G80" s="212"/>
      <c r="H80" s="212"/>
      <c r="I80" s="212"/>
      <c r="J80" s="212"/>
      <c r="K80" s="212">
        <f>G$7*M80</f>
        <v>0</v>
      </c>
      <c r="L80" s="212">
        <f>IF($M$7&gt;=0.775,I$7,0)</f>
        <v>0</v>
      </c>
      <c r="M80" s="212">
        <f>IF($M$7&gt;=0.775,J$7,0)</f>
        <v>0</v>
      </c>
      <c r="N80" s="212">
        <f>IF($M$7&gt;=0.775,K$7,0)</f>
        <v>0</v>
      </c>
      <c r="O80" s="550">
        <f>IF($M$7&gt;=0.775,L$7,0)</f>
        <v>0</v>
      </c>
      <c r="P80" s="546" t="s">
        <v>1556</v>
      </c>
      <c r="Q80" s="550">
        <v>80</v>
      </c>
      <c r="R80" s="550">
        <f>D$7*0.87</f>
        <v>0</v>
      </c>
      <c r="S80" s="550">
        <f>R80*Y$61</f>
        <v>0</v>
      </c>
      <c r="T80" s="550">
        <v>0.9</v>
      </c>
      <c r="U80" s="550">
        <f>IF(M80=0,0,R80)</f>
        <v>0</v>
      </c>
      <c r="V80" s="562">
        <f>IF(M80=0,0,S80)</f>
        <v>0</v>
      </c>
      <c r="W80" s="562">
        <f>IF(M80=0,0,T80)</f>
        <v>0</v>
      </c>
      <c r="X80" s="546"/>
      <c r="Y80" s="200"/>
      <c r="Z80" s="200"/>
      <c r="AA80" s="197"/>
    </row>
    <row r="81" spans="1:27" ht="13.8" hidden="1">
      <c r="A81" s="214"/>
      <c r="B81" s="546"/>
      <c r="C81" s="212"/>
      <c r="D81" s="212"/>
      <c r="E81" s="212"/>
      <c r="F81" s="212"/>
      <c r="G81" s="212"/>
      <c r="H81" s="212"/>
      <c r="I81" s="212"/>
      <c r="J81" s="212"/>
      <c r="K81" s="212"/>
      <c r="L81" s="212"/>
      <c r="M81" s="212"/>
      <c r="N81" s="212"/>
      <c r="O81" s="550"/>
      <c r="P81" s="546"/>
      <c r="Q81" s="550">
        <v>81</v>
      </c>
      <c r="R81" s="550"/>
      <c r="S81" s="550"/>
      <c r="T81" s="550" t="s">
        <v>1565</v>
      </c>
      <c r="U81" s="550">
        <f>SUM(U76:U80)</f>
        <v>0</v>
      </c>
      <c r="V81" s="562">
        <f>SUM(V76:V80)</f>
        <v>0</v>
      </c>
      <c r="W81" s="562">
        <f>SUM(W76:W80)</f>
        <v>0</v>
      </c>
      <c r="X81" s="546"/>
      <c r="Y81" s="200"/>
      <c r="Z81" s="200"/>
      <c r="AA81" s="197"/>
    </row>
    <row r="82" spans="1:27" ht="19.8" hidden="1">
      <c r="A82" s="214"/>
      <c r="B82" s="546" t="s">
        <v>1566</v>
      </c>
      <c r="C82" s="212">
        <f>C9*$G$9</f>
        <v>0</v>
      </c>
      <c r="D82" s="212">
        <f>$C82*D9</f>
        <v>0</v>
      </c>
      <c r="E82" s="212">
        <f>$C82*E9</f>
        <v>0</v>
      </c>
      <c r="F82" s="212">
        <f>$C82*F9</f>
        <v>0</v>
      </c>
      <c r="G82" s="212">
        <f>C9-C82</f>
        <v>0</v>
      </c>
      <c r="H82" s="212">
        <f>$G82*D9</f>
        <v>0</v>
      </c>
      <c r="I82" s="212">
        <f>$G82*E9</f>
        <v>0</v>
      </c>
      <c r="J82" s="212">
        <f>$G82*F9</f>
        <v>0</v>
      </c>
      <c r="K82" s="212">
        <f>G$9*M82</f>
        <v>0</v>
      </c>
      <c r="L82" s="212">
        <f>IF($H$9=0,I$9,0)</f>
        <v>0</v>
      </c>
      <c r="M82" s="212">
        <f>IF($H$9=0,J$9,0)</f>
        <v>0</v>
      </c>
      <c r="N82" s="212">
        <f>IF($H$9=0,K$9,0)</f>
        <v>0</v>
      </c>
      <c r="O82" s="550">
        <f>IF($H$9=0,L$9,0)</f>
        <v>0</v>
      </c>
      <c r="P82" s="546" t="s">
        <v>1567</v>
      </c>
      <c r="Q82" s="550">
        <v>82</v>
      </c>
      <c r="R82" s="550">
        <f>D9*0.87</f>
        <v>0</v>
      </c>
      <c r="S82" s="550">
        <f>R82*Y$58</f>
        <v>0</v>
      </c>
      <c r="T82" s="550">
        <v>0.5</v>
      </c>
      <c r="U82" s="550">
        <f>IF(M82=0,0,R82)</f>
        <v>0</v>
      </c>
      <c r="V82" s="562">
        <f>IF(M82=0,0,S82)</f>
        <v>0</v>
      </c>
      <c r="W82" s="562">
        <f>IF(M82=0,0,T82)</f>
        <v>0</v>
      </c>
      <c r="X82" s="546" t="s">
        <v>1566</v>
      </c>
      <c r="Y82" s="200"/>
      <c r="Z82" s="200"/>
      <c r="AA82" s="197"/>
    </row>
    <row r="83" spans="1:27" ht="13.8" hidden="1">
      <c r="A83" s="214"/>
      <c r="B83" s="546"/>
      <c r="C83" s="212"/>
      <c r="D83" s="212"/>
      <c r="E83" s="212"/>
      <c r="F83" s="212"/>
      <c r="G83" s="212"/>
      <c r="H83" s="212"/>
      <c r="I83" s="212"/>
      <c r="J83" s="212"/>
      <c r="K83" s="212">
        <f>G$9*M83</f>
        <v>0</v>
      </c>
      <c r="L83" s="212">
        <f>IF($M$9&gt;=0.325,I$9,0)</f>
        <v>0</v>
      </c>
      <c r="M83" s="212">
        <f>IF($M$9&gt;=0.325,J$9,0)</f>
        <v>0</v>
      </c>
      <c r="N83" s="212">
        <f>IF($M$9&gt;=0.325,K$9,0)</f>
        <v>0</v>
      </c>
      <c r="O83" s="550">
        <f>IF($M$9&gt;=0.325,L$9,0)</f>
        <v>0</v>
      </c>
      <c r="P83" s="546" t="s">
        <v>1550</v>
      </c>
      <c r="Q83" s="550">
        <v>83</v>
      </c>
      <c r="R83" s="550">
        <f>D9*0.87</f>
        <v>0</v>
      </c>
      <c r="S83" s="550">
        <f>R83*Y$58</f>
        <v>0</v>
      </c>
      <c r="T83" s="550">
        <v>0.5</v>
      </c>
      <c r="U83" s="550">
        <f>IF(M83=0,0,R83)</f>
        <v>0</v>
      </c>
      <c r="V83" s="562">
        <f>IF(M83=0,0,S83)</f>
        <v>0</v>
      </c>
      <c r="W83" s="562">
        <f>IF(M83=0,0,T83)</f>
        <v>0</v>
      </c>
      <c r="X83" s="546"/>
      <c r="Y83" s="200"/>
      <c r="Z83" s="200"/>
      <c r="AA83" s="197"/>
    </row>
    <row r="84" spans="1:27" ht="13.8" hidden="1">
      <c r="A84" s="214"/>
      <c r="B84" s="546"/>
      <c r="C84" s="212"/>
      <c r="D84" s="212"/>
      <c r="E84" s="212"/>
      <c r="F84" s="212"/>
      <c r="G84" s="212"/>
      <c r="H84" s="212"/>
      <c r="I84" s="212"/>
      <c r="J84" s="212"/>
      <c r="K84" s="212">
        <f>G$9*M84</f>
        <v>0</v>
      </c>
      <c r="L84" s="212">
        <f>IF($M$9=0,0,IF($M$9&lt;0.325,I$9,0))</f>
        <v>0</v>
      </c>
      <c r="M84" s="212">
        <f>IF($M$9=0,0,IF($M$9&lt;0.325,J$9,0))</f>
        <v>0</v>
      </c>
      <c r="N84" s="212">
        <f>IF($M$9=0,0,IF($M$9&lt;0.325,K$9,0))</f>
        <v>0</v>
      </c>
      <c r="O84" s="550">
        <f>IF($M$9=0,0,IF($M$9&lt;0.325,L$9,0))</f>
        <v>0</v>
      </c>
      <c r="P84" s="546" t="s">
        <v>1558</v>
      </c>
      <c r="Q84" s="550">
        <v>84</v>
      </c>
      <c r="R84" s="550">
        <f>D9*0.91</f>
        <v>0</v>
      </c>
      <c r="S84" s="550">
        <f>R84*Y$62</f>
        <v>0</v>
      </c>
      <c r="T84" s="550">
        <v>0.15</v>
      </c>
      <c r="U84" s="550">
        <f>IF(M84=0,0,R84)</f>
        <v>0</v>
      </c>
      <c r="V84" s="562">
        <f>IF(M84=0,0,S84)</f>
        <v>0</v>
      </c>
      <c r="W84" s="562">
        <f>IF(M84=0,0,T84)</f>
        <v>0</v>
      </c>
      <c r="X84" s="546"/>
      <c r="Y84" s="200"/>
      <c r="Z84" s="200"/>
      <c r="AA84" s="197"/>
    </row>
    <row r="85" spans="1:27" ht="13.8" hidden="1">
      <c r="A85" s="214"/>
      <c r="B85" s="546"/>
      <c r="C85" s="212"/>
      <c r="D85" s="212"/>
      <c r="E85" s="212"/>
      <c r="F85" s="212"/>
      <c r="G85" s="212"/>
      <c r="H85" s="212"/>
      <c r="I85" s="212"/>
      <c r="J85" s="212"/>
      <c r="K85" s="212"/>
      <c r="L85" s="212"/>
      <c r="M85" s="212"/>
      <c r="N85" s="212"/>
      <c r="O85" s="550"/>
      <c r="P85" s="546"/>
      <c r="Q85" s="550">
        <v>85</v>
      </c>
      <c r="R85" s="550"/>
      <c r="S85" s="550"/>
      <c r="T85" s="550" t="s">
        <v>1566</v>
      </c>
      <c r="U85" s="550">
        <f>SUM(U82:U84)</f>
        <v>0</v>
      </c>
      <c r="V85" s="562">
        <f>SUM(V82:V84)</f>
        <v>0</v>
      </c>
      <c r="W85" s="562">
        <f>SUM(W82:W84)</f>
        <v>0</v>
      </c>
      <c r="X85" s="546"/>
      <c r="Y85" s="200"/>
      <c r="Z85" s="200"/>
      <c r="AA85" s="197"/>
    </row>
    <row r="86" spans="1:27" ht="19.8" hidden="1">
      <c r="A86" s="214"/>
      <c r="B86" s="546" t="s">
        <v>1568</v>
      </c>
      <c r="C86" s="212">
        <f>C10*$G$9</f>
        <v>0</v>
      </c>
      <c r="D86" s="212">
        <f>$C86*D10</f>
        <v>0</v>
      </c>
      <c r="E86" s="212">
        <f>$C86*E10</f>
        <v>0</v>
      </c>
      <c r="F86" s="212">
        <f>$C86*F10</f>
        <v>0</v>
      </c>
      <c r="G86" s="212">
        <f>C10-C86</f>
        <v>0</v>
      </c>
      <c r="H86" s="212">
        <f>$G86*D10</f>
        <v>0</v>
      </c>
      <c r="I86" s="212">
        <f>$G86*E10</f>
        <v>0</v>
      </c>
      <c r="J86" s="212">
        <f>$G86*F10</f>
        <v>0</v>
      </c>
      <c r="K86" s="212">
        <f>G$10*M86</f>
        <v>0</v>
      </c>
      <c r="L86" s="212">
        <f>IF($H$10=0,I$10,0)</f>
        <v>0</v>
      </c>
      <c r="M86" s="212">
        <f>IF($H$10=0,J$10,0)</f>
        <v>0</v>
      </c>
      <c r="N86" s="212">
        <f>IF($H$10=0,K$10,0)</f>
        <v>0</v>
      </c>
      <c r="O86" s="550">
        <f>IF($H$10=0,L$10,0)</f>
        <v>0</v>
      </c>
      <c r="P86" s="546" t="s">
        <v>1567</v>
      </c>
      <c r="Q86" s="550">
        <v>86</v>
      </c>
      <c r="R86" s="550">
        <f>D10*0.87</f>
        <v>0</v>
      </c>
      <c r="S86" s="550">
        <f>R86*Y$58</f>
        <v>0</v>
      </c>
      <c r="T86" s="550">
        <v>0.5</v>
      </c>
      <c r="U86" s="550">
        <f>IF(M86=0,0,R86)</f>
        <v>0</v>
      </c>
      <c r="V86" s="562">
        <f>IF(M86=0,0,S86)</f>
        <v>0</v>
      </c>
      <c r="W86" s="562">
        <f>IF(M86=0,0,T86)</f>
        <v>0</v>
      </c>
      <c r="X86" s="546" t="s">
        <v>1568</v>
      </c>
      <c r="Y86" s="200"/>
      <c r="Z86" s="200"/>
      <c r="AA86" s="197"/>
    </row>
    <row r="87" spans="1:27" ht="13.8" hidden="1">
      <c r="A87" s="214"/>
      <c r="B87" s="546"/>
      <c r="C87" s="212"/>
      <c r="D87" s="212"/>
      <c r="E87" s="212"/>
      <c r="F87" s="212"/>
      <c r="G87" s="212"/>
      <c r="H87" s="212"/>
      <c r="I87" s="212"/>
      <c r="J87" s="212"/>
      <c r="K87" s="212">
        <f>G$10*M87</f>
        <v>0</v>
      </c>
      <c r="L87" s="212">
        <f>IF($M$10&gt;=0.325,I$10,0)</f>
        <v>0</v>
      </c>
      <c r="M87" s="212">
        <f>IF($M$10&gt;=0.325,J$10,0)</f>
        <v>0</v>
      </c>
      <c r="N87" s="212">
        <f>IF($M$10&gt;=0.325,K$10,0)</f>
        <v>0</v>
      </c>
      <c r="O87" s="550">
        <f>IF($M$10&gt;=0.325,L$10,0)</f>
        <v>0</v>
      </c>
      <c r="P87" s="546" t="s">
        <v>1550</v>
      </c>
      <c r="Q87" s="550">
        <v>87</v>
      </c>
      <c r="R87" s="550">
        <f>D10*0.87</f>
        <v>0</v>
      </c>
      <c r="S87" s="550">
        <f>R87*Y$58</f>
        <v>0</v>
      </c>
      <c r="T87" s="550">
        <v>0.5</v>
      </c>
      <c r="U87" s="550">
        <f>IF(M87=0,0,R87)</f>
        <v>0</v>
      </c>
      <c r="V87" s="562">
        <f>IF(M87=0,0,S87)</f>
        <v>0</v>
      </c>
      <c r="W87" s="562">
        <f>IF(M87=0,0,T87)</f>
        <v>0</v>
      </c>
      <c r="X87" s="546"/>
      <c r="Y87" s="200"/>
      <c r="Z87" s="200"/>
      <c r="AA87" s="197"/>
    </row>
    <row r="88" spans="1:27" ht="13.8" hidden="1">
      <c r="A88" s="214"/>
      <c r="B88" s="546"/>
      <c r="C88" s="212"/>
      <c r="D88" s="212"/>
      <c r="E88" s="212"/>
      <c r="F88" s="212"/>
      <c r="G88" s="212"/>
      <c r="H88" s="212"/>
      <c r="I88" s="212"/>
      <c r="J88" s="212"/>
      <c r="K88" s="212">
        <f>G$10*M88</f>
        <v>0</v>
      </c>
      <c r="L88" s="212">
        <f>IF($M$10=0,0,IF($M$10&lt;0.325,I$10,0))</f>
        <v>0</v>
      </c>
      <c r="M88" s="212">
        <f>IF($M$10=0,0,IF($M$10&lt;0.325,J$10,0))</f>
        <v>0</v>
      </c>
      <c r="N88" s="212">
        <f>IF($M$10=0,0,IF($M$10&lt;0.325,K$10,0))</f>
        <v>0</v>
      </c>
      <c r="O88" s="550">
        <f>IF($M$10=0,0,IF($M$10&lt;0.325,L$10,0))</f>
        <v>0</v>
      </c>
      <c r="P88" s="546" t="s">
        <v>1558</v>
      </c>
      <c r="Q88" s="550">
        <v>88</v>
      </c>
      <c r="R88" s="550">
        <f>D10*0.91</f>
        <v>0</v>
      </c>
      <c r="S88" s="550">
        <f>R88*Y$62</f>
        <v>0</v>
      </c>
      <c r="T88" s="550">
        <v>0.15</v>
      </c>
      <c r="U88" s="550">
        <f>IF(M88=0,0,R88)</f>
        <v>0</v>
      </c>
      <c r="V88" s="562">
        <f>IF(M88=0,0,S88)</f>
        <v>0</v>
      </c>
      <c r="W88" s="562">
        <f>IF(M88=0,0,T88)</f>
        <v>0</v>
      </c>
      <c r="X88" s="546"/>
      <c r="Y88" s="200"/>
      <c r="Z88" s="200"/>
      <c r="AA88" s="197"/>
    </row>
    <row r="89" spans="1:27" ht="13.8" hidden="1">
      <c r="A89" s="214"/>
      <c r="B89" s="546"/>
      <c r="C89" s="212"/>
      <c r="D89" s="212"/>
      <c r="E89" s="212"/>
      <c r="F89" s="212"/>
      <c r="G89" s="212"/>
      <c r="H89" s="212"/>
      <c r="I89" s="212"/>
      <c r="J89" s="212"/>
      <c r="K89" s="212"/>
      <c r="L89" s="212"/>
      <c r="M89" s="212"/>
      <c r="N89" s="212"/>
      <c r="O89" s="550"/>
      <c r="P89" s="546"/>
      <c r="Q89" s="550">
        <v>89</v>
      </c>
      <c r="R89" s="550"/>
      <c r="S89" s="550"/>
      <c r="T89" s="550" t="s">
        <v>1568</v>
      </c>
      <c r="U89" s="550">
        <f>SUM(U86:U88)</f>
        <v>0</v>
      </c>
      <c r="V89" s="562">
        <f>SUM(V86:V88)</f>
        <v>0</v>
      </c>
      <c r="W89" s="562">
        <f>SUM(W86:W88)</f>
        <v>0</v>
      </c>
      <c r="X89" s="546"/>
      <c r="Y89" s="200"/>
      <c r="Z89" s="200"/>
      <c r="AA89" s="197"/>
    </row>
    <row r="90" spans="1:27" ht="19.8" hidden="1">
      <c r="A90" s="214"/>
      <c r="B90" s="546" t="s">
        <v>1569</v>
      </c>
      <c r="C90" s="212">
        <f>C11*$G$9</f>
        <v>0</v>
      </c>
      <c r="D90" s="212">
        <f>$C90*D11</f>
        <v>0</v>
      </c>
      <c r="E90" s="212">
        <f>$C90*E11</f>
        <v>0</v>
      </c>
      <c r="F90" s="212">
        <f>$C90*F11</f>
        <v>0</v>
      </c>
      <c r="G90" s="212">
        <f>C11-C90</f>
        <v>0</v>
      </c>
      <c r="H90" s="212">
        <f>$G90*D11</f>
        <v>0</v>
      </c>
      <c r="I90" s="212">
        <f>$G90*E11</f>
        <v>0</v>
      </c>
      <c r="J90" s="212">
        <f>$G90*F11</f>
        <v>0</v>
      </c>
      <c r="K90" s="212">
        <f>G$11*M90</f>
        <v>0</v>
      </c>
      <c r="L90" s="212">
        <f>IF($H$11=0,I$11,0)</f>
        <v>0</v>
      </c>
      <c r="M90" s="212">
        <f>IF($H$11=0,J$11,0)</f>
        <v>0</v>
      </c>
      <c r="N90" s="212">
        <f>IF($H$11=0,K$11,0)</f>
        <v>0</v>
      </c>
      <c r="O90" s="550">
        <f>IF($H$11=0,L$11,0)</f>
        <v>0</v>
      </c>
      <c r="P90" s="546" t="s">
        <v>1567</v>
      </c>
      <c r="Q90" s="550">
        <v>90</v>
      </c>
      <c r="R90" s="550">
        <f>D11*0.87</f>
        <v>0</v>
      </c>
      <c r="S90" s="550">
        <f>R90*Y$58</f>
        <v>0</v>
      </c>
      <c r="T90" s="550">
        <v>0.5</v>
      </c>
      <c r="U90" s="550">
        <f>IF(M90=0,0,R90)</f>
        <v>0</v>
      </c>
      <c r="V90" s="562">
        <f>IF(M90=0,0,S90)</f>
        <v>0</v>
      </c>
      <c r="W90" s="562">
        <f>IF(M90=0,0,T90)</f>
        <v>0</v>
      </c>
      <c r="X90" s="546" t="s">
        <v>1569</v>
      </c>
      <c r="Y90" s="200"/>
      <c r="Z90" s="200"/>
      <c r="AA90" s="197"/>
    </row>
    <row r="91" spans="1:27" ht="13.8" hidden="1">
      <c r="A91" s="214"/>
      <c r="B91" s="546"/>
      <c r="C91" s="212"/>
      <c r="D91" s="212"/>
      <c r="E91" s="212"/>
      <c r="F91" s="212"/>
      <c r="G91" s="212"/>
      <c r="H91" s="212"/>
      <c r="I91" s="212"/>
      <c r="J91" s="212"/>
      <c r="K91" s="212">
        <f>G$11*M91</f>
        <v>0</v>
      </c>
      <c r="L91" s="212">
        <f>IF($M$11&gt;=0.325,I$11,0)</f>
        <v>0</v>
      </c>
      <c r="M91" s="212">
        <f>IF($M$11&gt;=0.325,J$11,0)</f>
        <v>0</v>
      </c>
      <c r="N91" s="212">
        <f>IF($M$11&gt;=0.325,K$11,0)</f>
        <v>0</v>
      </c>
      <c r="O91" s="550">
        <f>IF($M$11&gt;=0.325,L$11,0)</f>
        <v>0</v>
      </c>
      <c r="P91" s="546" t="s">
        <v>1550</v>
      </c>
      <c r="Q91" s="550">
        <v>91</v>
      </c>
      <c r="R91" s="550">
        <f>D11*0.87</f>
        <v>0</v>
      </c>
      <c r="S91" s="550">
        <f>R91*Y$58</f>
        <v>0</v>
      </c>
      <c r="T91" s="550">
        <v>0.5</v>
      </c>
      <c r="U91" s="550">
        <f>IF(M91=0,0,R91)</f>
        <v>0</v>
      </c>
      <c r="V91" s="562">
        <f>IF(O91=0,0,S91)</f>
        <v>0</v>
      </c>
      <c r="W91" s="562">
        <f>IF(O91=0,0,T91)</f>
        <v>0</v>
      </c>
      <c r="X91" s="546"/>
      <c r="Y91" s="200"/>
      <c r="Z91" s="200"/>
      <c r="AA91" s="197"/>
    </row>
    <row r="92" spans="1:27" ht="13.8" hidden="1">
      <c r="A92" s="214"/>
      <c r="B92" s="546"/>
      <c r="C92" s="212"/>
      <c r="D92" s="212"/>
      <c r="E92" s="212"/>
      <c r="F92" s="212"/>
      <c r="G92" s="212"/>
      <c r="H92" s="212"/>
      <c r="I92" s="212"/>
      <c r="J92" s="212"/>
      <c r="K92" s="212">
        <f>G$11*M92</f>
        <v>0</v>
      </c>
      <c r="L92" s="212">
        <f>IF($M$11=0,0,IF($M$11&lt;0.325,I$11,0))</f>
        <v>0</v>
      </c>
      <c r="M92" s="212">
        <f>IF($M$11=0,0,IF($M$11&lt;0.325,J$11,0))</f>
        <v>0</v>
      </c>
      <c r="N92" s="212">
        <f>IF($M$11=0,0,IF($M$11&lt;0.325,K$11,0))</f>
        <v>0</v>
      </c>
      <c r="O92" s="550">
        <f>IF($M$11=0,0,IF($M$11&lt;0.325,L$11,0))</f>
        <v>0</v>
      </c>
      <c r="P92" s="546" t="s">
        <v>1558</v>
      </c>
      <c r="Q92" s="550">
        <v>92</v>
      </c>
      <c r="R92" s="550">
        <f>D11*0.91</f>
        <v>0</v>
      </c>
      <c r="S92" s="550">
        <f>R92*Y$62</f>
        <v>0</v>
      </c>
      <c r="T92" s="550">
        <v>0.15</v>
      </c>
      <c r="U92" s="550">
        <f>IF(M92=0,0,R92)</f>
        <v>0</v>
      </c>
      <c r="V92" s="562">
        <f>IF(O92=0,0,S92)</f>
        <v>0</v>
      </c>
      <c r="W92" s="562">
        <f>IF(O92=0,0,T92)</f>
        <v>0</v>
      </c>
      <c r="X92" s="546"/>
      <c r="Y92" s="200"/>
      <c r="Z92" s="200"/>
      <c r="AA92" s="197"/>
    </row>
    <row r="93" spans="1:27" ht="13.8" hidden="1">
      <c r="A93" s="214"/>
      <c r="B93" s="546"/>
      <c r="C93" s="212"/>
      <c r="D93" s="212"/>
      <c r="E93" s="212"/>
      <c r="F93" s="212"/>
      <c r="G93" s="212"/>
      <c r="H93" s="212"/>
      <c r="I93" s="212"/>
      <c r="J93" s="212"/>
      <c r="K93" s="212"/>
      <c r="L93" s="212"/>
      <c r="M93" s="212"/>
      <c r="N93" s="212"/>
      <c r="O93" s="550"/>
      <c r="P93" s="546"/>
      <c r="Q93" s="550">
        <v>93</v>
      </c>
      <c r="R93" s="550"/>
      <c r="S93" s="550"/>
      <c r="T93" s="550" t="s">
        <v>1569</v>
      </c>
      <c r="U93" s="550">
        <f>SUM(U90:U92)</f>
        <v>0</v>
      </c>
      <c r="V93" s="562">
        <f>SUM(V90:V92)</f>
        <v>0</v>
      </c>
      <c r="W93" s="562">
        <f>SUM(W90:W92)</f>
        <v>0</v>
      </c>
      <c r="X93" s="546"/>
      <c r="Y93" s="200"/>
      <c r="Z93" s="200"/>
      <c r="AA93" s="197"/>
    </row>
    <row r="94" spans="1:27" ht="19.8" hidden="1">
      <c r="A94" s="214"/>
      <c r="B94" s="546" t="s">
        <v>1570</v>
      </c>
      <c r="C94" s="212">
        <f>C13*$G$13</f>
        <v>0</v>
      </c>
      <c r="D94" s="212">
        <f>$C13*D13*$G$13</f>
        <v>0</v>
      </c>
      <c r="E94" s="212">
        <f>$C13*E13*$G$13</f>
        <v>0</v>
      </c>
      <c r="F94" s="212">
        <f>$C13*F13*$G$13</f>
        <v>0</v>
      </c>
      <c r="G94" s="212">
        <f>C13-C94</f>
        <v>0</v>
      </c>
      <c r="H94" s="212">
        <f>$G94*D13</f>
        <v>0</v>
      </c>
      <c r="I94" s="212">
        <f>$G94*E13</f>
        <v>0</v>
      </c>
      <c r="J94" s="212">
        <f>$G94*F13</f>
        <v>0</v>
      </c>
      <c r="K94" s="212">
        <f t="shared" ref="K94:K101" si="6">G$13*M94</f>
        <v>0</v>
      </c>
      <c r="L94" s="212">
        <f>IF($H$13=0,I$13,0)</f>
        <v>0</v>
      </c>
      <c r="M94" s="212">
        <f>IF($H$13=0,J$13,0)</f>
        <v>0</v>
      </c>
      <c r="N94" s="212">
        <f>IF($H$13=0,K$13,0)</f>
        <v>0</v>
      </c>
      <c r="O94" s="550">
        <f>IF($H$13=0,L$13,0)</f>
        <v>0</v>
      </c>
      <c r="P94" s="546" t="s">
        <v>1549</v>
      </c>
      <c r="Q94" s="550">
        <v>94</v>
      </c>
      <c r="R94" s="550">
        <f>D$13*0.87</f>
        <v>0</v>
      </c>
      <c r="S94" s="550">
        <f>R94*Y$60</f>
        <v>0</v>
      </c>
      <c r="T94" s="550">
        <v>0.65</v>
      </c>
      <c r="U94" s="550">
        <f t="shared" ref="U94:U101" si="7">IF(M94=0,0,R94)</f>
        <v>0</v>
      </c>
      <c r="V94" s="562">
        <f t="shared" ref="V94:V101" si="8">IF(M94=0,0,S94)</f>
        <v>0</v>
      </c>
      <c r="W94" s="562">
        <f t="shared" ref="W94:W101" si="9">IF(M94=0,0,T94)</f>
        <v>0</v>
      </c>
      <c r="X94" s="546" t="s">
        <v>1570</v>
      </c>
      <c r="Y94" s="200"/>
      <c r="Z94" s="200"/>
      <c r="AA94" s="197"/>
    </row>
    <row r="95" spans="1:27" ht="13.8" hidden="1">
      <c r="A95" s="214"/>
      <c r="B95" s="546"/>
      <c r="C95" s="212"/>
      <c r="D95" s="212"/>
      <c r="E95" s="212"/>
      <c r="F95" s="212"/>
      <c r="G95" s="212"/>
      <c r="H95" s="212"/>
      <c r="I95" s="212"/>
      <c r="J95" s="212"/>
      <c r="K95" s="212">
        <f t="shared" si="6"/>
        <v>0</v>
      </c>
      <c r="L95" s="212">
        <f>IF($M$13=0,0,IF($M$13&lt;0.03,I$13,0))</f>
        <v>0</v>
      </c>
      <c r="M95" s="212">
        <f>IF($M$13=0,0,IF($M$13&lt;0.03,J$13,0))</f>
        <v>0</v>
      </c>
      <c r="N95" s="212">
        <f>IF($M$13=0,0,IF($M$13&lt;0.03,K$13,0))</f>
        <v>0</v>
      </c>
      <c r="O95" s="550">
        <f>IF($M$13=0,0,IF($M$13&lt;0.03,L$13,0))</f>
        <v>0</v>
      </c>
      <c r="P95" s="546" t="s">
        <v>1487</v>
      </c>
      <c r="Q95" s="550">
        <v>95</v>
      </c>
      <c r="R95" s="550">
        <f>D$13*0.91</f>
        <v>0</v>
      </c>
      <c r="S95" s="550">
        <f>R95*Y$64</f>
        <v>0</v>
      </c>
      <c r="T95" s="550">
        <v>0.01</v>
      </c>
      <c r="U95" s="550">
        <f t="shared" si="7"/>
        <v>0</v>
      </c>
      <c r="V95" s="562">
        <f t="shared" si="8"/>
        <v>0</v>
      </c>
      <c r="W95" s="562">
        <f t="shared" si="9"/>
        <v>0</v>
      </c>
      <c r="X95" s="546"/>
      <c r="Y95" s="200"/>
      <c r="Z95" s="200"/>
      <c r="AA95" s="197"/>
    </row>
    <row r="96" spans="1:27" ht="13.8" hidden="1">
      <c r="A96" s="214"/>
      <c r="B96" s="546"/>
      <c r="C96" s="212"/>
      <c r="D96" s="212"/>
      <c r="E96" s="212"/>
      <c r="F96" s="212"/>
      <c r="G96" s="212"/>
      <c r="H96" s="212"/>
      <c r="I96" s="212"/>
      <c r="J96" s="212"/>
      <c r="K96" s="212">
        <f t="shared" si="6"/>
        <v>0</v>
      </c>
      <c r="L96" s="212">
        <f>IF(AND($M$13&gt;=0.03,$M$13&lt;0.1),I$13,0)</f>
        <v>0</v>
      </c>
      <c r="M96" s="212">
        <f>IF(AND($M$13&gt;=0.03,$M$13&lt;0.1),J$13,0)</f>
        <v>0</v>
      </c>
      <c r="N96" s="212">
        <f>IF(AND($M$13&gt;=0.03,$M$13&lt;0.1),K$13,0)</f>
        <v>0</v>
      </c>
      <c r="O96" s="550">
        <f>IF(AND($M$13&gt;=0.03,$M$13&lt;0.1),L$13,0)</f>
        <v>0</v>
      </c>
      <c r="P96" s="546" t="s">
        <v>1560</v>
      </c>
      <c r="Q96" s="550">
        <v>96</v>
      </c>
      <c r="R96" s="550">
        <f>D$13*0.91</f>
        <v>0</v>
      </c>
      <c r="S96" s="550">
        <f>R96*Y$63</f>
        <v>0</v>
      </c>
      <c r="T96" s="550">
        <v>0.05</v>
      </c>
      <c r="U96" s="550">
        <f t="shared" si="7"/>
        <v>0</v>
      </c>
      <c r="V96" s="562">
        <f t="shared" si="8"/>
        <v>0</v>
      </c>
      <c r="W96" s="562">
        <f t="shared" si="9"/>
        <v>0</v>
      </c>
      <c r="X96" s="546"/>
      <c r="Y96" s="200"/>
      <c r="Z96" s="200"/>
      <c r="AA96" s="197"/>
    </row>
    <row r="97" spans="1:27" ht="13.8" hidden="1">
      <c r="A97" s="214"/>
      <c r="B97" s="546"/>
      <c r="C97" s="212"/>
      <c r="D97" s="212"/>
      <c r="E97" s="212"/>
      <c r="F97" s="212"/>
      <c r="G97" s="212"/>
      <c r="H97" s="212"/>
      <c r="I97" s="212"/>
      <c r="J97" s="212"/>
      <c r="K97" s="212">
        <f t="shared" si="6"/>
        <v>0</v>
      </c>
      <c r="L97" s="212">
        <f>IF(AND($M$13&gt;=0.1,$M$13&lt;0.325),I$13,0)</f>
        <v>0</v>
      </c>
      <c r="M97" s="212">
        <f>IF(AND($M$13&gt;=0.1,$M$13&lt;0.325),J$13,0)</f>
        <v>0</v>
      </c>
      <c r="N97" s="212">
        <f>IF(AND($M$13&gt;=0.1,$M$13&lt;0.325),K$13,0)</f>
        <v>0</v>
      </c>
      <c r="O97" s="550">
        <f>IF(AND($M$13&gt;=0.1,$M$13&lt;0.325),L$13,0)</f>
        <v>0</v>
      </c>
      <c r="P97" s="546" t="s">
        <v>1558</v>
      </c>
      <c r="Q97" s="550">
        <v>97</v>
      </c>
      <c r="R97" s="550">
        <f>D$13*0.91</f>
        <v>0</v>
      </c>
      <c r="S97" s="550">
        <f>R97*Y$62</f>
        <v>0</v>
      </c>
      <c r="T97" s="550">
        <v>0.15</v>
      </c>
      <c r="U97" s="550">
        <f t="shared" si="7"/>
        <v>0</v>
      </c>
      <c r="V97" s="562">
        <f t="shared" si="8"/>
        <v>0</v>
      </c>
      <c r="W97" s="562">
        <f t="shared" si="9"/>
        <v>0</v>
      </c>
      <c r="X97" s="546"/>
      <c r="Y97" s="200"/>
      <c r="Z97" s="200"/>
      <c r="AA97" s="197"/>
    </row>
    <row r="98" spans="1:27" ht="13.8" hidden="1">
      <c r="A98" s="214"/>
      <c r="B98" s="546"/>
      <c r="C98" s="212"/>
      <c r="D98" s="212"/>
      <c r="E98" s="212"/>
      <c r="F98" s="212"/>
      <c r="G98" s="212"/>
      <c r="H98" s="212"/>
      <c r="I98" s="212"/>
      <c r="J98" s="212"/>
      <c r="K98" s="212">
        <f t="shared" si="6"/>
        <v>0</v>
      </c>
      <c r="L98" s="212">
        <f>IF(AND($M$13&gt;=0.325,$M$13&lt;0.55),I$13,0)</f>
        <v>0</v>
      </c>
      <c r="M98" s="212">
        <f>IF(AND($M$13&gt;=0.325,$M$13&lt;0.55),J$13,0)</f>
        <v>0</v>
      </c>
      <c r="N98" s="212">
        <f>IF(AND($M$13&gt;=0.325,$M$13&lt;0.55),K$13,0)</f>
        <v>0</v>
      </c>
      <c r="O98" s="550">
        <f>IF(AND($M$13&gt;=0.325,$M$13&lt;0.55),L$13,0)</f>
        <v>0</v>
      </c>
      <c r="P98" s="546" t="s">
        <v>1571</v>
      </c>
      <c r="Q98" s="550">
        <v>98</v>
      </c>
      <c r="R98" s="550">
        <f>D$13*0.87</f>
        <v>0</v>
      </c>
      <c r="S98" s="550">
        <f>R98*Y$58</f>
        <v>0</v>
      </c>
      <c r="T98" s="550">
        <v>0.5</v>
      </c>
      <c r="U98" s="550">
        <f t="shared" si="7"/>
        <v>0</v>
      </c>
      <c r="V98" s="562">
        <f t="shared" si="8"/>
        <v>0</v>
      </c>
      <c r="W98" s="562">
        <f t="shared" si="9"/>
        <v>0</v>
      </c>
      <c r="X98" s="546"/>
      <c r="Y98" s="200"/>
      <c r="Z98" s="200"/>
      <c r="AA98" s="197"/>
    </row>
    <row r="99" spans="1:27" ht="13.8" hidden="1">
      <c r="A99" s="214"/>
      <c r="B99" s="546"/>
      <c r="C99" s="212"/>
      <c r="D99" s="212"/>
      <c r="E99" s="212"/>
      <c r="F99" s="212"/>
      <c r="G99" s="212"/>
      <c r="H99" s="212"/>
      <c r="I99" s="212"/>
      <c r="J99" s="212"/>
      <c r="K99" s="212">
        <f t="shared" si="6"/>
        <v>0</v>
      </c>
      <c r="L99" s="212">
        <f>IF(AND($M$13&gt;=0.55,$M$13&lt;0.625),I$13,0)</f>
        <v>0</v>
      </c>
      <c r="M99" s="212">
        <f>IF(AND($M$13&gt;=0.55,$M$13&lt;0.625),J$13,0)</f>
        <v>0</v>
      </c>
      <c r="N99" s="212">
        <f>IF(AND($M$13&gt;=0.55,$M$13&lt;0.625),K$13,0)</f>
        <v>0</v>
      </c>
      <c r="O99" s="550">
        <f>IF(AND($M$13&gt;=0.55,$M$13&lt;0.625),L$13,0)</f>
        <v>0</v>
      </c>
      <c r="P99" s="546" t="s">
        <v>1552</v>
      </c>
      <c r="Q99" s="550">
        <v>99</v>
      </c>
      <c r="R99" s="550">
        <f>D$13*0.87</f>
        <v>0</v>
      </c>
      <c r="S99" s="550">
        <f>R99*Y$59</f>
        <v>0</v>
      </c>
      <c r="T99" s="550">
        <v>0.6</v>
      </c>
      <c r="U99" s="550">
        <f t="shared" si="7"/>
        <v>0</v>
      </c>
      <c r="V99" s="562">
        <f t="shared" si="8"/>
        <v>0</v>
      </c>
      <c r="W99" s="562">
        <f t="shared" si="9"/>
        <v>0</v>
      </c>
      <c r="X99" s="546"/>
      <c r="Y99" s="200"/>
      <c r="Z99" s="200"/>
      <c r="AA99" s="197"/>
    </row>
    <row r="100" spans="1:27" ht="13.8" hidden="1">
      <c r="A100" s="214"/>
      <c r="B100" s="546"/>
      <c r="C100" s="212"/>
      <c r="D100" s="212"/>
      <c r="E100" s="212"/>
      <c r="F100" s="212"/>
      <c r="G100" s="212"/>
      <c r="H100" s="212"/>
      <c r="I100" s="212"/>
      <c r="J100" s="212"/>
      <c r="K100" s="212">
        <f t="shared" si="6"/>
        <v>0</v>
      </c>
      <c r="L100" s="212">
        <f>IF(AND($M$13&gt;=0.625,$M$13&lt;0.775),I$13,0)</f>
        <v>0</v>
      </c>
      <c r="M100" s="212">
        <f>IF(AND($M$13&gt;=0.625,$M$13&lt;0.775),J$13,0)</f>
        <v>0</v>
      </c>
      <c r="N100" s="212">
        <f>IF(AND($M$13&gt;=0.625,$M$13&lt;0.775),K$13,0)</f>
        <v>0</v>
      </c>
      <c r="O100" s="550">
        <f>IF(AND($M$13&gt;=0.625,$M$13&lt;0.775),L$13,0)</f>
        <v>0</v>
      </c>
      <c r="P100" s="546" t="s">
        <v>1554</v>
      </c>
      <c r="Q100" s="550">
        <v>100</v>
      </c>
      <c r="R100" s="550">
        <f>D$13*0.87</f>
        <v>0</v>
      </c>
      <c r="S100" s="550">
        <f>R100*Y$60</f>
        <v>0</v>
      </c>
      <c r="T100" s="550">
        <v>0.65</v>
      </c>
      <c r="U100" s="550">
        <f t="shared" si="7"/>
        <v>0</v>
      </c>
      <c r="V100" s="562">
        <f t="shared" si="8"/>
        <v>0</v>
      </c>
      <c r="W100" s="562">
        <f t="shared" si="9"/>
        <v>0</v>
      </c>
      <c r="X100" s="546"/>
      <c r="Y100" s="200"/>
      <c r="Z100" s="200"/>
      <c r="AA100" s="197"/>
    </row>
    <row r="101" spans="1:27" ht="13.8" hidden="1">
      <c r="A101" s="214"/>
      <c r="B101" s="546"/>
      <c r="C101" s="212"/>
      <c r="D101" s="212"/>
      <c r="E101" s="212"/>
      <c r="F101" s="212"/>
      <c r="G101" s="212"/>
      <c r="H101" s="212"/>
      <c r="I101" s="212"/>
      <c r="J101" s="212"/>
      <c r="K101" s="212">
        <f t="shared" si="6"/>
        <v>0</v>
      </c>
      <c r="L101" s="212">
        <f>IF($M$13&gt;=0.775,I$13,0)</f>
        <v>0</v>
      </c>
      <c r="M101" s="212">
        <f>IF($M$13&gt;=0.775,J$13,0)</f>
        <v>0</v>
      </c>
      <c r="N101" s="212">
        <f>IF($M$13&gt;=0.775,K$13,0)</f>
        <v>0</v>
      </c>
      <c r="O101" s="550">
        <f>IF($M$13&gt;=0.775,L$13,0)</f>
        <v>0</v>
      </c>
      <c r="P101" s="546" t="s">
        <v>1556</v>
      </c>
      <c r="Q101" s="550">
        <v>101</v>
      </c>
      <c r="R101" s="550">
        <f>D$13*0.87</f>
        <v>0</v>
      </c>
      <c r="S101" s="550">
        <f>R101*Y$61</f>
        <v>0</v>
      </c>
      <c r="T101" s="550">
        <v>0.9</v>
      </c>
      <c r="U101" s="550">
        <f t="shared" si="7"/>
        <v>0</v>
      </c>
      <c r="V101" s="562">
        <f t="shared" si="8"/>
        <v>0</v>
      </c>
      <c r="W101" s="562">
        <f t="shared" si="9"/>
        <v>0</v>
      </c>
      <c r="X101" s="546"/>
      <c r="Y101" s="200"/>
      <c r="Z101" s="200"/>
      <c r="AA101" s="197"/>
    </row>
    <row r="102" spans="1:27" ht="13.8" hidden="1">
      <c r="A102" s="214"/>
      <c r="B102" s="546"/>
      <c r="C102" s="212"/>
      <c r="D102" s="212"/>
      <c r="E102" s="212"/>
      <c r="F102" s="212"/>
      <c r="G102" s="212"/>
      <c r="H102" s="212"/>
      <c r="I102" s="212"/>
      <c r="J102" s="212"/>
      <c r="K102" s="212"/>
      <c r="L102" s="212"/>
      <c r="M102" s="212"/>
      <c r="N102" s="212"/>
      <c r="O102" s="550"/>
      <c r="P102" s="546"/>
      <c r="Q102" s="550">
        <v>102</v>
      </c>
      <c r="R102" s="550"/>
      <c r="S102" s="550"/>
      <c r="T102" s="550" t="s">
        <v>1570</v>
      </c>
      <c r="U102" s="550">
        <f>SUM(U94:U101)</f>
        <v>0</v>
      </c>
      <c r="V102" s="562">
        <f>SUM(V94:V101)</f>
        <v>0</v>
      </c>
      <c r="W102" s="562">
        <f>SUM(W94:W101)</f>
        <v>0</v>
      </c>
      <c r="X102" s="546"/>
      <c r="Y102" s="200"/>
      <c r="Z102" s="200"/>
      <c r="AA102" s="197"/>
    </row>
    <row r="103" spans="1:27" ht="19.8" hidden="1">
      <c r="A103" s="214"/>
      <c r="B103" s="546" t="s">
        <v>1572</v>
      </c>
      <c r="C103" s="212">
        <f>C14*$G$13</f>
        <v>0</v>
      </c>
      <c r="D103" s="212">
        <f>$C14*D14*$G$13</f>
        <v>0</v>
      </c>
      <c r="E103" s="212">
        <f>$C14*E14*$G$13</f>
        <v>0</v>
      </c>
      <c r="F103" s="212">
        <f>$C14*F14*$G$13</f>
        <v>0</v>
      </c>
      <c r="G103" s="212">
        <f>C14-C103</f>
        <v>0</v>
      </c>
      <c r="H103" s="212">
        <f>$G103*D14</f>
        <v>0</v>
      </c>
      <c r="I103" s="212">
        <f>$G103*E14</f>
        <v>0</v>
      </c>
      <c r="J103" s="212">
        <f>$G103*F14</f>
        <v>0</v>
      </c>
      <c r="K103" s="212">
        <f t="shared" ref="K103:K110" si="10">G$14*M103</f>
        <v>0</v>
      </c>
      <c r="L103" s="212">
        <f>IF($H$14=0,I$14,0)</f>
        <v>0</v>
      </c>
      <c r="M103" s="212">
        <f>IF($H$14=0,J$14,0)</f>
        <v>0</v>
      </c>
      <c r="N103" s="212">
        <f>IF($H$14=0,K$14,0)</f>
        <v>0</v>
      </c>
      <c r="O103" s="550">
        <f>IF($H$14=0,L$14,0)</f>
        <v>0</v>
      </c>
      <c r="P103" s="546" t="s">
        <v>1549</v>
      </c>
      <c r="Q103" s="550">
        <v>103</v>
      </c>
      <c r="R103" s="550">
        <f>D$14*0.87</f>
        <v>0</v>
      </c>
      <c r="S103" s="550">
        <f>R103*Y$60</f>
        <v>0</v>
      </c>
      <c r="T103" s="550">
        <v>0.65</v>
      </c>
      <c r="U103" s="550">
        <f t="shared" ref="U103:U110" si="11">IF(M103=0,0,R103)</f>
        <v>0</v>
      </c>
      <c r="V103" s="562">
        <f t="shared" ref="V103:V110" si="12">IF(M103=0,0,S103)</f>
        <v>0</v>
      </c>
      <c r="W103" s="562">
        <f t="shared" ref="W103:W110" si="13">IF(M103=0,0,T103)</f>
        <v>0</v>
      </c>
      <c r="X103" s="546" t="s">
        <v>1572</v>
      </c>
      <c r="Y103" s="200"/>
      <c r="Z103" s="200"/>
      <c r="AA103" s="197"/>
    </row>
    <row r="104" spans="1:27" ht="13.8" hidden="1">
      <c r="A104" s="214"/>
      <c r="B104" s="546"/>
      <c r="C104" s="212"/>
      <c r="D104" s="212"/>
      <c r="E104" s="212"/>
      <c r="F104" s="212"/>
      <c r="G104" s="212"/>
      <c r="H104" s="212"/>
      <c r="I104" s="212"/>
      <c r="J104" s="212"/>
      <c r="K104" s="212">
        <f t="shared" si="10"/>
        <v>0</v>
      </c>
      <c r="L104" s="212">
        <f>IF($M$14=0,0,IF($M$14&lt;0.03,I$14,0))</f>
        <v>0</v>
      </c>
      <c r="M104" s="212">
        <f>IF($M$14=0,0,IF($M$14&lt;0.03,J$14,0))</f>
        <v>0</v>
      </c>
      <c r="N104" s="212">
        <f>IF($M$14=0,0,IF($M$14&lt;0.03,K$14,0))</f>
        <v>0</v>
      </c>
      <c r="O104" s="550">
        <f>IF($M$14=0,0,IF($M$14&lt;0.03,L$14,0))</f>
        <v>0</v>
      </c>
      <c r="P104" s="546" t="s">
        <v>1487</v>
      </c>
      <c r="Q104" s="550">
        <v>104</v>
      </c>
      <c r="R104" s="550">
        <f>D$14*0.91</f>
        <v>0</v>
      </c>
      <c r="S104" s="550">
        <f>R104*Y$64</f>
        <v>0</v>
      </c>
      <c r="T104" s="550">
        <v>0.01</v>
      </c>
      <c r="U104" s="550">
        <f t="shared" si="11"/>
        <v>0</v>
      </c>
      <c r="V104" s="562">
        <f t="shared" si="12"/>
        <v>0</v>
      </c>
      <c r="W104" s="562">
        <f t="shared" si="13"/>
        <v>0</v>
      </c>
      <c r="X104" s="546"/>
      <c r="Y104" s="200"/>
      <c r="Z104" s="200"/>
      <c r="AA104" s="197"/>
    </row>
    <row r="105" spans="1:27" ht="13.8" hidden="1">
      <c r="A105" s="214"/>
      <c r="B105" s="546"/>
      <c r="C105" s="212"/>
      <c r="D105" s="212"/>
      <c r="E105" s="212"/>
      <c r="F105" s="212"/>
      <c r="G105" s="212"/>
      <c r="H105" s="212"/>
      <c r="I105" s="212"/>
      <c r="J105" s="212"/>
      <c r="K105" s="212">
        <f t="shared" si="10"/>
        <v>0</v>
      </c>
      <c r="L105" s="212">
        <f>IF(AND($M$14&gt;=0.03,$M$14&lt;0.1),I$14,0)</f>
        <v>0</v>
      </c>
      <c r="M105" s="212">
        <f>IF(AND($M$14&gt;=0.03,$M$14&lt;0.1),J$14,0)</f>
        <v>0</v>
      </c>
      <c r="N105" s="212">
        <f>IF(AND($M$14&gt;=0.03,$M$14&lt;0.1),K$14,0)</f>
        <v>0</v>
      </c>
      <c r="O105" s="550">
        <f>IF(AND($M$14&gt;=0.03,$M$14&lt;0.1),L$14,0)</f>
        <v>0</v>
      </c>
      <c r="P105" s="546" t="s">
        <v>1560</v>
      </c>
      <c r="Q105" s="550">
        <v>105</v>
      </c>
      <c r="R105" s="550">
        <f>D$14*0.91</f>
        <v>0</v>
      </c>
      <c r="S105" s="550">
        <f>R105*Y$63</f>
        <v>0</v>
      </c>
      <c r="T105" s="550">
        <v>0.05</v>
      </c>
      <c r="U105" s="550">
        <f t="shared" si="11"/>
        <v>0</v>
      </c>
      <c r="V105" s="562">
        <f t="shared" si="12"/>
        <v>0</v>
      </c>
      <c r="W105" s="562">
        <f t="shared" si="13"/>
        <v>0</v>
      </c>
      <c r="X105" s="546"/>
      <c r="Y105" s="200"/>
      <c r="Z105" s="200"/>
      <c r="AA105" s="197"/>
    </row>
    <row r="106" spans="1:27" ht="13.8" hidden="1">
      <c r="A106" s="214"/>
      <c r="B106" s="546"/>
      <c r="C106" s="212"/>
      <c r="D106" s="212"/>
      <c r="E106" s="212"/>
      <c r="F106" s="212"/>
      <c r="G106" s="212"/>
      <c r="H106" s="212"/>
      <c r="I106" s="212"/>
      <c r="J106" s="212"/>
      <c r="K106" s="212">
        <f t="shared" si="10"/>
        <v>0</v>
      </c>
      <c r="L106" s="212">
        <f>IF(AND($M$14&gt;=0.1,$M$14&lt;0.325),I$14,0)</f>
        <v>0</v>
      </c>
      <c r="M106" s="212">
        <f>IF(AND($M$14&gt;=0.1,$M$14&lt;0.325),J$14,0)</f>
        <v>0</v>
      </c>
      <c r="N106" s="212">
        <f>IF(AND($M$14&gt;=0.1,$M$14&lt;0.325),K$14,0)</f>
        <v>0</v>
      </c>
      <c r="O106" s="550">
        <f>IF(AND($M$14&gt;=0.1,$M$14&lt;0.325),L$14,0)</f>
        <v>0</v>
      </c>
      <c r="P106" s="546" t="s">
        <v>1558</v>
      </c>
      <c r="Q106" s="550">
        <v>106</v>
      </c>
      <c r="R106" s="550">
        <f>D$14*0.91</f>
        <v>0</v>
      </c>
      <c r="S106" s="550">
        <f>R106*Y$62</f>
        <v>0</v>
      </c>
      <c r="T106" s="550">
        <v>0.15</v>
      </c>
      <c r="U106" s="550">
        <f t="shared" si="11"/>
        <v>0</v>
      </c>
      <c r="V106" s="562">
        <f t="shared" si="12"/>
        <v>0</v>
      </c>
      <c r="W106" s="562">
        <f t="shared" si="13"/>
        <v>0</v>
      </c>
      <c r="X106" s="546"/>
      <c r="Y106" s="200"/>
      <c r="Z106" s="200"/>
      <c r="AA106" s="197"/>
    </row>
    <row r="107" spans="1:27" ht="13.8" hidden="1">
      <c r="A107" s="214"/>
      <c r="B107" s="546"/>
      <c r="C107" s="212"/>
      <c r="D107" s="212"/>
      <c r="E107" s="212"/>
      <c r="F107" s="212"/>
      <c r="G107" s="212"/>
      <c r="H107" s="212"/>
      <c r="I107" s="212"/>
      <c r="J107" s="212"/>
      <c r="K107" s="212">
        <f t="shared" si="10"/>
        <v>0</v>
      </c>
      <c r="L107" s="212">
        <f>IF(AND($M$14&gt;=0.325,$M$14&lt;0.55),I$14,0)</f>
        <v>0</v>
      </c>
      <c r="M107" s="212">
        <f>IF(AND($M$14&gt;=0.325,$M$14&lt;0.55),J$14,0)</f>
        <v>0</v>
      </c>
      <c r="N107" s="212">
        <f>IF(AND($M$14&gt;=0.325,$M$14&lt;0.55),K$14,0)</f>
        <v>0</v>
      </c>
      <c r="O107" s="550">
        <f>IF(AND($M$14&gt;=0.325,$M$14&lt;0.55),L$14,0)</f>
        <v>0</v>
      </c>
      <c r="P107" s="546" t="s">
        <v>1571</v>
      </c>
      <c r="Q107" s="550">
        <v>107</v>
      </c>
      <c r="R107" s="550">
        <f>D$14*0.87</f>
        <v>0</v>
      </c>
      <c r="S107" s="550">
        <f>R107*Y$58</f>
        <v>0</v>
      </c>
      <c r="T107" s="550">
        <v>0.5</v>
      </c>
      <c r="U107" s="550">
        <f t="shared" si="11"/>
        <v>0</v>
      </c>
      <c r="V107" s="562">
        <f t="shared" si="12"/>
        <v>0</v>
      </c>
      <c r="W107" s="562">
        <f t="shared" si="13"/>
        <v>0</v>
      </c>
      <c r="X107" s="546"/>
      <c r="Y107" s="200"/>
      <c r="Z107" s="200"/>
      <c r="AA107" s="197"/>
    </row>
    <row r="108" spans="1:27" ht="13.8" hidden="1">
      <c r="A108" s="214"/>
      <c r="B108" s="546"/>
      <c r="C108" s="212"/>
      <c r="D108" s="212"/>
      <c r="E108" s="212"/>
      <c r="F108" s="212"/>
      <c r="G108" s="212"/>
      <c r="H108" s="212"/>
      <c r="I108" s="212"/>
      <c r="J108" s="212"/>
      <c r="K108" s="212">
        <f t="shared" si="10"/>
        <v>0</v>
      </c>
      <c r="L108" s="212">
        <f>IF(AND($M$14&gt;=0.55,$M$14&lt;0.625),I$14,0)</f>
        <v>0</v>
      </c>
      <c r="M108" s="212">
        <f>IF(AND($M$14&gt;=0.55,$M$14&lt;0.625),J$14,0)</f>
        <v>0</v>
      </c>
      <c r="N108" s="212">
        <f>IF(AND($M$14&gt;=0.55,$M$14&lt;0.625),K$14,0)</f>
        <v>0</v>
      </c>
      <c r="O108" s="550">
        <f>IF(AND($M$14&gt;=0.55,$M$14&lt;0.625),L$14,0)</f>
        <v>0</v>
      </c>
      <c r="P108" s="546" t="s">
        <v>1552</v>
      </c>
      <c r="Q108" s="550">
        <v>108</v>
      </c>
      <c r="R108" s="550">
        <f>D$14*0.87</f>
        <v>0</v>
      </c>
      <c r="S108" s="550">
        <f>R108*Y$59</f>
        <v>0</v>
      </c>
      <c r="T108" s="550">
        <v>0.6</v>
      </c>
      <c r="U108" s="550">
        <f t="shared" si="11"/>
        <v>0</v>
      </c>
      <c r="V108" s="562">
        <f t="shared" si="12"/>
        <v>0</v>
      </c>
      <c r="W108" s="562">
        <f t="shared" si="13"/>
        <v>0</v>
      </c>
      <c r="X108" s="546"/>
      <c r="Y108" s="200"/>
      <c r="Z108" s="200"/>
      <c r="AA108" s="197"/>
    </row>
    <row r="109" spans="1:27" ht="13.8" hidden="1">
      <c r="A109" s="214"/>
      <c r="B109" s="546"/>
      <c r="C109" s="212"/>
      <c r="D109" s="212"/>
      <c r="E109" s="212"/>
      <c r="F109" s="212"/>
      <c r="G109" s="212"/>
      <c r="H109" s="212"/>
      <c r="I109" s="212"/>
      <c r="J109" s="212"/>
      <c r="K109" s="212">
        <f t="shared" si="10"/>
        <v>0</v>
      </c>
      <c r="L109" s="212">
        <f>IF(AND($M$14&gt;=0.625,$M$14&lt;0.775),I$14,0)</f>
        <v>0</v>
      </c>
      <c r="M109" s="212">
        <f>IF(AND($M$14&gt;=0.625,$M$14&lt;0.775),J$14,0)</f>
        <v>0</v>
      </c>
      <c r="N109" s="212">
        <f>IF(AND($M$14&gt;=0.625,$M$14&lt;0.775),K$14,0)</f>
        <v>0</v>
      </c>
      <c r="O109" s="550">
        <f>IF(AND($M$14&gt;=0.625,$M$14&lt;0.775),L$14,0)</f>
        <v>0</v>
      </c>
      <c r="P109" s="546" t="s">
        <v>1554</v>
      </c>
      <c r="Q109" s="550">
        <v>109</v>
      </c>
      <c r="R109" s="550">
        <f>D$14*0.87</f>
        <v>0</v>
      </c>
      <c r="S109" s="550">
        <f>R109*Y$60</f>
        <v>0</v>
      </c>
      <c r="T109" s="550">
        <v>0.65</v>
      </c>
      <c r="U109" s="550">
        <f t="shared" si="11"/>
        <v>0</v>
      </c>
      <c r="V109" s="562">
        <f t="shared" si="12"/>
        <v>0</v>
      </c>
      <c r="W109" s="562">
        <f t="shared" si="13"/>
        <v>0</v>
      </c>
      <c r="X109" s="546"/>
      <c r="Y109" s="200"/>
      <c r="Z109" s="200"/>
      <c r="AA109" s="197"/>
    </row>
    <row r="110" spans="1:27" ht="13.8" hidden="1">
      <c r="A110" s="214"/>
      <c r="B110" s="546"/>
      <c r="C110" s="212"/>
      <c r="D110" s="212"/>
      <c r="E110" s="212"/>
      <c r="F110" s="212"/>
      <c r="G110" s="212"/>
      <c r="H110" s="212"/>
      <c r="I110" s="212"/>
      <c r="J110" s="212"/>
      <c r="K110" s="212">
        <f t="shared" si="10"/>
        <v>0</v>
      </c>
      <c r="L110" s="212">
        <f>IF($M$14&gt;=0.775,I$14,0)</f>
        <v>0</v>
      </c>
      <c r="M110" s="212">
        <f>IF($M$14&gt;=0.775,J$14,0)</f>
        <v>0</v>
      </c>
      <c r="N110" s="212">
        <f>IF($M$14&gt;=0.775,K$14,0)</f>
        <v>0</v>
      </c>
      <c r="O110" s="550">
        <f>IF($M$14&gt;=0.775,L$14,0)</f>
        <v>0</v>
      </c>
      <c r="P110" s="546" t="s">
        <v>1556</v>
      </c>
      <c r="Q110" s="550">
        <v>110</v>
      </c>
      <c r="R110" s="550">
        <f>D$14*0.87</f>
        <v>0</v>
      </c>
      <c r="S110" s="550">
        <f>R110*Y$61</f>
        <v>0</v>
      </c>
      <c r="T110" s="550">
        <v>0.9</v>
      </c>
      <c r="U110" s="550">
        <f t="shared" si="11"/>
        <v>0</v>
      </c>
      <c r="V110" s="562">
        <f t="shared" si="12"/>
        <v>0</v>
      </c>
      <c r="W110" s="562">
        <f t="shared" si="13"/>
        <v>0</v>
      </c>
      <c r="X110" s="546"/>
      <c r="Y110" s="200"/>
      <c r="Z110" s="200"/>
      <c r="AA110" s="197"/>
    </row>
    <row r="111" spans="1:27" ht="13.8" hidden="1">
      <c r="A111" s="214"/>
      <c r="B111" s="546"/>
      <c r="C111" s="212"/>
      <c r="D111" s="212"/>
      <c r="E111" s="212"/>
      <c r="F111" s="212"/>
      <c r="G111" s="212"/>
      <c r="H111" s="212"/>
      <c r="I111" s="212"/>
      <c r="J111" s="212"/>
      <c r="K111" s="212"/>
      <c r="L111" s="212"/>
      <c r="M111" s="212"/>
      <c r="N111" s="212"/>
      <c r="O111" s="550"/>
      <c r="P111" s="546"/>
      <c r="Q111" s="550">
        <v>111</v>
      </c>
      <c r="R111" s="550"/>
      <c r="S111" s="550"/>
      <c r="T111" s="550" t="s">
        <v>1572</v>
      </c>
      <c r="U111" s="550">
        <f>SUM(U103:U110)</f>
        <v>0</v>
      </c>
      <c r="V111" s="562">
        <f>SUM(V103:V110)</f>
        <v>0</v>
      </c>
      <c r="W111" s="562">
        <f>SUM(W103:W110)</f>
        <v>0</v>
      </c>
      <c r="X111" s="546"/>
      <c r="Y111" s="200"/>
      <c r="Z111" s="200"/>
      <c r="AA111" s="197"/>
    </row>
    <row r="112" spans="1:27" ht="19.8" hidden="1">
      <c r="A112" s="214"/>
      <c r="B112" s="546" t="s">
        <v>1573</v>
      </c>
      <c r="C112" s="212">
        <f>C15*$G$13</f>
        <v>0</v>
      </c>
      <c r="D112" s="212">
        <f>$C15*D15*$G$13</f>
        <v>0</v>
      </c>
      <c r="E112" s="212">
        <f>$C15*E15*$G$13</f>
        <v>0</v>
      </c>
      <c r="F112" s="212">
        <f>$C15*F15*$G$13</f>
        <v>0</v>
      </c>
      <c r="G112" s="212">
        <f>C15-C112</f>
        <v>0</v>
      </c>
      <c r="H112" s="212">
        <f>$G112*D15</f>
        <v>0</v>
      </c>
      <c r="I112" s="212">
        <f>$G112*E15</f>
        <v>0</v>
      </c>
      <c r="J112" s="212">
        <f>$G112*F15</f>
        <v>0</v>
      </c>
      <c r="K112" s="212">
        <f t="shared" ref="K112:K119" si="14">G$15*M112</f>
        <v>0</v>
      </c>
      <c r="L112" s="212">
        <f>IF($H$15=0,I$15,0)</f>
        <v>0</v>
      </c>
      <c r="M112" s="212">
        <f>IF($H$15=0,J$15,0)</f>
        <v>0</v>
      </c>
      <c r="N112" s="212">
        <f>IF($H$15=0,K$15,0)</f>
        <v>0</v>
      </c>
      <c r="O112" s="550">
        <f>IF($H$15=0,L$15,0)</f>
        <v>0</v>
      </c>
      <c r="P112" s="546" t="s">
        <v>1549</v>
      </c>
      <c r="Q112" s="550">
        <v>112</v>
      </c>
      <c r="R112" s="550">
        <f>D$15*0.87</f>
        <v>0</v>
      </c>
      <c r="S112" s="550">
        <f>R112*Y$60</f>
        <v>0</v>
      </c>
      <c r="T112" s="550">
        <v>0.65</v>
      </c>
      <c r="U112" s="550">
        <f t="shared" ref="U112:U119" si="15">IF(M112=0,0,R112)</f>
        <v>0</v>
      </c>
      <c r="V112" s="562">
        <f t="shared" ref="V112:V119" si="16">IF(M112=0,0,S112)</f>
        <v>0</v>
      </c>
      <c r="W112" s="562">
        <f t="shared" ref="W112:W119" si="17">IF(M112=0,0,T112)</f>
        <v>0</v>
      </c>
      <c r="X112" s="546" t="s">
        <v>1573</v>
      </c>
      <c r="Y112" s="200"/>
      <c r="Z112" s="200"/>
      <c r="AA112" s="197"/>
    </row>
    <row r="113" spans="1:27" ht="13.8" hidden="1">
      <c r="A113" s="214"/>
      <c r="B113" s="546"/>
      <c r="C113" s="212"/>
      <c r="D113" s="212"/>
      <c r="E113" s="212"/>
      <c r="F113" s="212"/>
      <c r="G113" s="212"/>
      <c r="H113" s="212"/>
      <c r="I113" s="212"/>
      <c r="J113" s="212"/>
      <c r="K113" s="212">
        <f t="shared" si="14"/>
        <v>0</v>
      </c>
      <c r="L113" s="212">
        <f>IF($M$15=0,0,IF($M$15&lt;0.03,I$15,0))</f>
        <v>0</v>
      </c>
      <c r="M113" s="212">
        <f>IF($M$15=0,0,IF($M$15&lt;0.03,J$15,0))</f>
        <v>0</v>
      </c>
      <c r="N113" s="212">
        <f>IF($M$15=0,0,IF($M$15&lt;0.03,K$15,0))</f>
        <v>0</v>
      </c>
      <c r="O113" s="550">
        <f>IF($M$15=0,0,IF($M$15&lt;0.03,L$15,0))</f>
        <v>0</v>
      </c>
      <c r="P113" s="546" t="s">
        <v>1487</v>
      </c>
      <c r="Q113" s="550">
        <v>113</v>
      </c>
      <c r="R113" s="550">
        <f>D$15*0.91</f>
        <v>0</v>
      </c>
      <c r="S113" s="550">
        <f>R113*Y$64</f>
        <v>0</v>
      </c>
      <c r="T113" s="550">
        <v>0.01</v>
      </c>
      <c r="U113" s="550">
        <f t="shared" si="15"/>
        <v>0</v>
      </c>
      <c r="V113" s="562">
        <f t="shared" si="16"/>
        <v>0</v>
      </c>
      <c r="W113" s="562">
        <f t="shared" si="17"/>
        <v>0</v>
      </c>
      <c r="X113" s="546"/>
      <c r="Y113" s="200"/>
      <c r="Z113" s="200"/>
      <c r="AA113" s="197"/>
    </row>
    <row r="114" spans="1:27" ht="13.8" hidden="1">
      <c r="A114" s="214"/>
      <c r="B114" s="546"/>
      <c r="C114" s="212"/>
      <c r="D114" s="212"/>
      <c r="E114" s="212"/>
      <c r="F114" s="212"/>
      <c r="G114" s="212"/>
      <c r="H114" s="212"/>
      <c r="I114" s="212"/>
      <c r="J114" s="212"/>
      <c r="K114" s="212">
        <f t="shared" si="14"/>
        <v>0</v>
      </c>
      <c r="L114" s="212">
        <f>IF(AND($M$15&gt;=0.03,$M$15&lt;0.1),I$15,0)</f>
        <v>0</v>
      </c>
      <c r="M114" s="212">
        <f>IF(AND($M$15&gt;=0.03,$M$15&lt;0.1),J$15,0)</f>
        <v>0</v>
      </c>
      <c r="N114" s="212">
        <f>IF(AND($M$15&gt;=0.03,$M$15&lt;0.1),K$15,0)</f>
        <v>0</v>
      </c>
      <c r="O114" s="550">
        <f>IF(AND($M$15&gt;=0.03,$M$15&lt;0.1),L$15,0)</f>
        <v>0</v>
      </c>
      <c r="P114" s="546" t="s">
        <v>1560</v>
      </c>
      <c r="Q114" s="550">
        <v>114</v>
      </c>
      <c r="R114" s="550">
        <f>D$15*0.91</f>
        <v>0</v>
      </c>
      <c r="S114" s="550">
        <f>R114*Y$63</f>
        <v>0</v>
      </c>
      <c r="T114" s="550">
        <v>0.05</v>
      </c>
      <c r="U114" s="550">
        <f t="shared" si="15"/>
        <v>0</v>
      </c>
      <c r="V114" s="562">
        <f t="shared" si="16"/>
        <v>0</v>
      </c>
      <c r="W114" s="562">
        <f t="shared" si="17"/>
        <v>0</v>
      </c>
      <c r="X114" s="546"/>
      <c r="Y114" s="200"/>
      <c r="Z114" s="200"/>
      <c r="AA114" s="197"/>
    </row>
    <row r="115" spans="1:27" ht="13.8" hidden="1">
      <c r="A115" s="214"/>
      <c r="B115" s="546"/>
      <c r="C115" s="212"/>
      <c r="D115" s="212"/>
      <c r="E115" s="212"/>
      <c r="F115" s="212"/>
      <c r="G115" s="212"/>
      <c r="H115" s="212"/>
      <c r="I115" s="212"/>
      <c r="J115" s="212"/>
      <c r="K115" s="212">
        <f t="shared" si="14"/>
        <v>0</v>
      </c>
      <c r="L115" s="212">
        <f>IF(AND($M$15&gt;=0.1,$M$15&lt;0.325),I$15,0)</f>
        <v>0</v>
      </c>
      <c r="M115" s="212">
        <f>IF(AND($M$15&gt;=0.1,$M$15&lt;0.325),J$15,0)</f>
        <v>0</v>
      </c>
      <c r="N115" s="212">
        <f>IF(AND($M$15&gt;=0.1,$M$15&lt;0.325),K$15,0)</f>
        <v>0</v>
      </c>
      <c r="O115" s="550">
        <f>IF(AND($M$15&gt;=0.1,$M$15&lt;0.325),L$15,0)</f>
        <v>0</v>
      </c>
      <c r="P115" s="546" t="s">
        <v>1558</v>
      </c>
      <c r="Q115" s="550">
        <v>115</v>
      </c>
      <c r="R115" s="550">
        <f>D$15*0.91</f>
        <v>0</v>
      </c>
      <c r="S115" s="550">
        <f>R115*Y$62</f>
        <v>0</v>
      </c>
      <c r="T115" s="550">
        <v>0.15</v>
      </c>
      <c r="U115" s="550">
        <f t="shared" si="15"/>
        <v>0</v>
      </c>
      <c r="V115" s="562">
        <f t="shared" si="16"/>
        <v>0</v>
      </c>
      <c r="W115" s="562">
        <f t="shared" si="17"/>
        <v>0</v>
      </c>
      <c r="X115" s="546"/>
      <c r="Y115" s="200"/>
      <c r="Z115" s="200"/>
      <c r="AA115" s="197"/>
    </row>
    <row r="116" spans="1:27" ht="13.8" hidden="1">
      <c r="A116" s="214"/>
      <c r="B116" s="546"/>
      <c r="C116" s="212"/>
      <c r="D116" s="212"/>
      <c r="E116" s="212"/>
      <c r="F116" s="212"/>
      <c r="G116" s="212"/>
      <c r="H116" s="212"/>
      <c r="I116" s="212"/>
      <c r="J116" s="212"/>
      <c r="K116" s="212">
        <f t="shared" si="14"/>
        <v>0</v>
      </c>
      <c r="L116" s="212">
        <f>IF(AND($M$15&gt;=0.325,$M$15&lt;0.55),I$15,0)</f>
        <v>0</v>
      </c>
      <c r="M116" s="212">
        <f>IF(AND($M$15&gt;=0.325,$M$15&lt;0.55),J$15,0)</f>
        <v>0</v>
      </c>
      <c r="N116" s="212">
        <f>IF(AND($M$15&gt;=0.325,$M$15&lt;0.55),K$15,0)</f>
        <v>0</v>
      </c>
      <c r="O116" s="550">
        <f>IF(AND($M$15&gt;=0.325,$M$15&lt;0.55),L$15,0)</f>
        <v>0</v>
      </c>
      <c r="P116" s="546" t="s">
        <v>1571</v>
      </c>
      <c r="Q116" s="550">
        <v>116</v>
      </c>
      <c r="R116" s="550">
        <f>D$15*0.87</f>
        <v>0</v>
      </c>
      <c r="S116" s="550">
        <f>R116*Y$58</f>
        <v>0</v>
      </c>
      <c r="T116" s="550">
        <v>0.5</v>
      </c>
      <c r="U116" s="550">
        <f t="shared" si="15"/>
        <v>0</v>
      </c>
      <c r="V116" s="562">
        <f t="shared" si="16"/>
        <v>0</v>
      </c>
      <c r="W116" s="562">
        <f t="shared" si="17"/>
        <v>0</v>
      </c>
      <c r="X116" s="546"/>
      <c r="Y116" s="200"/>
      <c r="Z116" s="200"/>
      <c r="AA116" s="197"/>
    </row>
    <row r="117" spans="1:27" ht="13.8" hidden="1">
      <c r="A117" s="214"/>
      <c r="B117" s="546"/>
      <c r="C117" s="212"/>
      <c r="D117" s="212"/>
      <c r="E117" s="212"/>
      <c r="F117" s="212"/>
      <c r="G117" s="212"/>
      <c r="H117" s="212"/>
      <c r="I117" s="212"/>
      <c r="J117" s="212"/>
      <c r="K117" s="212">
        <f t="shared" si="14"/>
        <v>0</v>
      </c>
      <c r="L117" s="212">
        <f>IF(AND($M$15&gt;=0.55,$M$15&lt;0.625),I$15,0)</f>
        <v>0</v>
      </c>
      <c r="M117" s="212">
        <f>IF(AND($M$15&gt;=0.55,$M$15&lt;0.625),J$15,0)</f>
        <v>0</v>
      </c>
      <c r="N117" s="212">
        <f>IF(AND($M$15&gt;=0.55,$M$15&lt;0.625),K$15,0)</f>
        <v>0</v>
      </c>
      <c r="O117" s="550">
        <f>IF(AND($M$15&gt;=0.55,$M$15&lt;0.625),L$15,0)</f>
        <v>0</v>
      </c>
      <c r="P117" s="546" t="s">
        <v>1552</v>
      </c>
      <c r="Q117" s="550">
        <v>117</v>
      </c>
      <c r="R117" s="550">
        <f>D$15*0.87</f>
        <v>0</v>
      </c>
      <c r="S117" s="550">
        <f>R117*Y$59</f>
        <v>0</v>
      </c>
      <c r="T117" s="550">
        <v>0.6</v>
      </c>
      <c r="U117" s="550">
        <f t="shared" si="15"/>
        <v>0</v>
      </c>
      <c r="V117" s="562">
        <f t="shared" si="16"/>
        <v>0</v>
      </c>
      <c r="W117" s="562">
        <f t="shared" si="17"/>
        <v>0</v>
      </c>
      <c r="X117" s="546"/>
      <c r="Y117" s="200"/>
      <c r="Z117" s="200"/>
      <c r="AA117" s="197"/>
    </row>
    <row r="118" spans="1:27" ht="13.8" hidden="1">
      <c r="A118" s="214"/>
      <c r="B118" s="546"/>
      <c r="C118" s="212"/>
      <c r="D118" s="212"/>
      <c r="E118" s="212"/>
      <c r="F118" s="212"/>
      <c r="G118" s="212"/>
      <c r="H118" s="212"/>
      <c r="I118" s="212"/>
      <c r="J118" s="212"/>
      <c r="K118" s="212">
        <f t="shared" si="14"/>
        <v>0</v>
      </c>
      <c r="L118" s="212">
        <f>IF(AND($M$15&gt;=0.625,$M$15&lt;0.775),I$15,0)</f>
        <v>0</v>
      </c>
      <c r="M118" s="212">
        <f>IF(AND($M$15&gt;=0.625,$M$15&lt;0.775),J$15,0)</f>
        <v>0</v>
      </c>
      <c r="N118" s="212">
        <f>IF(AND($M$15&gt;=0.625,$M$15&lt;0.775),K$15,0)</f>
        <v>0</v>
      </c>
      <c r="O118" s="550">
        <f>IF(AND($M$15&gt;=0.625,$M$15&lt;0.775),L$15,0)</f>
        <v>0</v>
      </c>
      <c r="P118" s="546" t="s">
        <v>1554</v>
      </c>
      <c r="Q118" s="550">
        <v>118</v>
      </c>
      <c r="R118" s="550">
        <f>D$15*0.87</f>
        <v>0</v>
      </c>
      <c r="S118" s="550">
        <f>R118*Y$60</f>
        <v>0</v>
      </c>
      <c r="T118" s="550">
        <v>0.65</v>
      </c>
      <c r="U118" s="550">
        <f t="shared" si="15"/>
        <v>0</v>
      </c>
      <c r="V118" s="562">
        <f t="shared" si="16"/>
        <v>0</v>
      </c>
      <c r="W118" s="562">
        <f t="shared" si="17"/>
        <v>0</v>
      </c>
      <c r="X118" s="546"/>
      <c r="Y118" s="200"/>
      <c r="Z118" s="200"/>
      <c r="AA118" s="197"/>
    </row>
    <row r="119" spans="1:27" ht="13.8" hidden="1">
      <c r="A119" s="214"/>
      <c r="B119" s="546"/>
      <c r="C119" s="212"/>
      <c r="D119" s="212"/>
      <c r="E119" s="212"/>
      <c r="F119" s="212"/>
      <c r="G119" s="212"/>
      <c r="H119" s="212"/>
      <c r="I119" s="212"/>
      <c r="J119" s="212"/>
      <c r="K119" s="212">
        <f t="shared" si="14"/>
        <v>0</v>
      </c>
      <c r="L119" s="212">
        <f>IF($M$15&gt;=0.775,I$15,0)</f>
        <v>0</v>
      </c>
      <c r="M119" s="212">
        <f>IF($M$15&gt;=0.775,J$15,0)</f>
        <v>0</v>
      </c>
      <c r="N119" s="212">
        <f>IF($M$15&gt;=0.775,K$15,0)</f>
        <v>0</v>
      </c>
      <c r="O119" s="550">
        <f>IF($M$15&gt;=0.775,L$15,0)</f>
        <v>0</v>
      </c>
      <c r="P119" s="546" t="s">
        <v>1556</v>
      </c>
      <c r="Q119" s="550">
        <v>119</v>
      </c>
      <c r="R119" s="550">
        <f>D$15*0.87</f>
        <v>0</v>
      </c>
      <c r="S119" s="550">
        <f>R119*Y$61</f>
        <v>0</v>
      </c>
      <c r="T119" s="550">
        <v>0.9</v>
      </c>
      <c r="U119" s="550">
        <f t="shared" si="15"/>
        <v>0</v>
      </c>
      <c r="V119" s="562">
        <f t="shared" si="16"/>
        <v>0</v>
      </c>
      <c r="W119" s="562">
        <f t="shared" si="17"/>
        <v>0</v>
      </c>
      <c r="X119" s="546"/>
      <c r="Y119" s="200"/>
      <c r="Z119" s="200"/>
      <c r="AA119" s="197"/>
    </row>
    <row r="120" spans="1:27" ht="13.8" hidden="1">
      <c r="A120" s="214"/>
      <c r="B120" s="563"/>
      <c r="C120" s="564"/>
      <c r="D120" s="564"/>
      <c r="E120" s="564"/>
      <c r="F120" s="564"/>
      <c r="G120" s="564"/>
      <c r="H120" s="564"/>
      <c r="I120" s="564"/>
      <c r="J120" s="564"/>
      <c r="K120" s="564"/>
      <c r="L120" s="564"/>
      <c r="M120" s="564"/>
      <c r="N120" s="564"/>
      <c r="O120" s="565"/>
      <c r="P120" s="546"/>
      <c r="Q120" s="550">
        <v>120</v>
      </c>
      <c r="R120" s="550"/>
      <c r="S120" s="550"/>
      <c r="T120" s="550" t="s">
        <v>1573</v>
      </c>
      <c r="U120" s="550">
        <f>SUM(U112:U119)</f>
        <v>0</v>
      </c>
      <c r="V120" s="562">
        <f>SUM(V112:V119)</f>
        <v>0</v>
      </c>
      <c r="W120" s="562">
        <f>SUM(W112:W119)</f>
        <v>0</v>
      </c>
      <c r="X120" s="546"/>
      <c r="Y120" s="200"/>
      <c r="Z120" s="200"/>
      <c r="AA120" s="197"/>
    </row>
    <row r="121" spans="1:27" hidden="1">
      <c r="A121" s="214"/>
      <c r="B121" s="218"/>
      <c r="C121" s="212"/>
      <c r="D121" s="566">
        <f>SUM(D58:D119)</f>
        <v>0</v>
      </c>
      <c r="E121" s="566">
        <f>SUM(E58:E119)</f>
        <v>0</v>
      </c>
      <c r="F121" s="566">
        <f>SUM(F58:F119)</f>
        <v>0</v>
      </c>
      <c r="G121" s="566"/>
      <c r="H121" s="566">
        <f>SUM(H58:H119)</f>
        <v>0</v>
      </c>
      <c r="I121" s="566">
        <f>SUM(I58:I119)</f>
        <v>0</v>
      </c>
      <c r="J121" s="566">
        <f>SUM(J58:J119)</f>
        <v>0</v>
      </c>
      <c r="K121" s="212"/>
      <c r="L121" s="212">
        <f>SUM(L58:L119)</f>
        <v>0</v>
      </c>
      <c r="M121" s="212">
        <f>SUM(M58:M119)</f>
        <v>0</v>
      </c>
      <c r="N121" s="212">
        <f>SUM(N58:N119)</f>
        <v>0</v>
      </c>
      <c r="O121" s="212">
        <f>SUM(O58:O119)</f>
        <v>0</v>
      </c>
      <c r="P121" s="214"/>
      <c r="Q121" s="214"/>
      <c r="R121" s="214"/>
      <c r="S121" s="214"/>
      <c r="T121" s="214"/>
      <c r="U121" s="214"/>
      <c r="V121" s="214"/>
      <c r="W121" s="214"/>
      <c r="X121" s="214"/>
      <c r="Y121" s="197"/>
      <c r="Z121" s="197"/>
      <c r="AA121" s="197"/>
    </row>
    <row r="122" spans="1:27" ht="13.8" hidden="1">
      <c r="A122" s="214"/>
      <c r="B122" s="214"/>
      <c r="C122" s="214"/>
      <c r="D122" s="214"/>
      <c r="E122" s="214"/>
      <c r="F122" s="214"/>
      <c r="G122" s="214"/>
      <c r="H122" s="214"/>
      <c r="I122" s="214"/>
      <c r="J122" s="214"/>
      <c r="K122" s="214"/>
      <c r="L122" s="550" t="s">
        <v>1143</v>
      </c>
      <c r="M122" s="550" t="s">
        <v>1155</v>
      </c>
      <c r="N122" s="550" t="s">
        <v>1099</v>
      </c>
      <c r="O122" s="550" t="s">
        <v>1100</v>
      </c>
      <c r="P122" s="214"/>
      <c r="Q122" s="214"/>
      <c r="R122" s="214"/>
      <c r="S122" s="214"/>
      <c r="T122" s="214"/>
      <c r="U122" s="214"/>
      <c r="V122" s="214"/>
      <c r="W122" s="214"/>
      <c r="X122" s="214"/>
      <c r="Y122" s="197"/>
      <c r="Z122" s="197"/>
      <c r="AA122" s="197"/>
    </row>
    <row r="123" spans="1:27" ht="13.8" hidden="1">
      <c r="A123" s="214"/>
      <c r="B123" s="546" t="s">
        <v>1330</v>
      </c>
      <c r="C123" s="546" t="s">
        <v>1137</v>
      </c>
      <c r="D123" s="546" t="s">
        <v>1138</v>
      </c>
      <c r="E123" s="546" t="s">
        <v>1139</v>
      </c>
      <c r="F123" s="546" t="s">
        <v>1140</v>
      </c>
      <c r="G123" s="546" t="s">
        <v>927</v>
      </c>
      <c r="H123" s="546" t="s">
        <v>1574</v>
      </c>
      <c r="I123" s="546" t="s">
        <v>1142</v>
      </c>
      <c r="J123" s="567"/>
      <c r="K123" s="214"/>
      <c r="L123" s="214"/>
      <c r="M123" s="214"/>
      <c r="N123" s="214"/>
      <c r="O123" s="214"/>
      <c r="P123" s="214"/>
      <c r="Q123" s="214"/>
      <c r="R123" s="214"/>
      <c r="S123" s="214"/>
      <c r="T123" s="214"/>
      <c r="U123" s="214"/>
      <c r="V123" s="214"/>
      <c r="W123" s="214"/>
      <c r="X123" s="214"/>
      <c r="Y123" s="197"/>
      <c r="Z123" s="197"/>
      <c r="AA123" s="197"/>
    </row>
    <row r="124" spans="1:27" ht="13.8" hidden="1">
      <c r="A124" s="214"/>
      <c r="B124" s="546" t="s">
        <v>1575</v>
      </c>
      <c r="C124" s="546">
        <f>K59+K65+K71+K77+K82+K83+K86+K87+K90+K91</f>
        <v>0</v>
      </c>
      <c r="D124" s="546">
        <f>K58+K61+K64+K67+K70+K73+K76+K79</f>
        <v>0</v>
      </c>
      <c r="E124" s="546">
        <f>K60+K66+K72+K78</f>
        <v>0</v>
      </c>
      <c r="F124" s="546">
        <f>K62+K68+K74+K80</f>
        <v>0</v>
      </c>
      <c r="G124" s="546">
        <f>K84+K88+K92</f>
        <v>0</v>
      </c>
      <c r="H124" s="546"/>
      <c r="I124" s="546"/>
      <c r="J124" s="567">
        <f>SUM(C124:I124)</f>
        <v>0</v>
      </c>
      <c r="K124" s="214"/>
      <c r="L124" s="214"/>
      <c r="M124" s="214"/>
      <c r="N124" s="214"/>
      <c r="O124" s="214"/>
      <c r="P124" s="214"/>
      <c r="Q124" s="214"/>
      <c r="R124" s="214"/>
      <c r="S124" s="214"/>
      <c r="T124" s="214"/>
      <c r="U124" s="214"/>
      <c r="V124" s="214"/>
      <c r="W124" s="214"/>
      <c r="X124" s="214"/>
      <c r="Y124" s="197"/>
      <c r="Z124" s="197"/>
      <c r="AA124" s="197"/>
    </row>
    <row r="125" spans="1:27" ht="13.8" hidden="1">
      <c r="A125" s="214"/>
      <c r="B125" s="546" t="s">
        <v>1576</v>
      </c>
      <c r="C125" s="546">
        <f>K98+K107+K116</f>
        <v>0</v>
      </c>
      <c r="D125" s="546">
        <f>K94+K100+K103+K109+K112+K118</f>
        <v>0</v>
      </c>
      <c r="E125" s="546">
        <f>K99+K108+K117</f>
        <v>0</v>
      </c>
      <c r="F125" s="546">
        <f>K101+K110+K119</f>
        <v>0</v>
      </c>
      <c r="G125" s="546">
        <f>K97+K106+K115</f>
        <v>0</v>
      </c>
      <c r="H125" s="546">
        <f>K96+K105+K114</f>
        <v>0</v>
      </c>
      <c r="I125" s="546">
        <f>K95+K104+K113</f>
        <v>0</v>
      </c>
      <c r="J125" s="567">
        <f>SUM(C125:I125)</f>
        <v>0</v>
      </c>
      <c r="K125" s="214"/>
      <c r="L125" s="214"/>
      <c r="M125" s="214"/>
      <c r="N125" s="214"/>
      <c r="O125" s="214"/>
      <c r="P125" s="214"/>
      <c r="Q125" s="214"/>
      <c r="R125" s="214"/>
      <c r="S125" s="214"/>
      <c r="T125" s="214"/>
      <c r="U125" s="214"/>
      <c r="V125" s="214"/>
      <c r="W125" s="214"/>
      <c r="X125" s="214"/>
      <c r="Y125" s="197"/>
      <c r="Z125" s="197"/>
      <c r="AA125" s="197"/>
    </row>
    <row r="126" spans="1:27" ht="13.8" hidden="1">
      <c r="A126" s="214"/>
      <c r="B126" s="546" t="s">
        <v>1577</v>
      </c>
      <c r="C126" s="546">
        <f t="shared" ref="C126:I126" si="18">SUM(C124:C125)</f>
        <v>0</v>
      </c>
      <c r="D126" s="546">
        <f t="shared" si="18"/>
        <v>0</v>
      </c>
      <c r="E126" s="546">
        <f t="shared" si="18"/>
        <v>0</v>
      </c>
      <c r="F126" s="546">
        <f t="shared" si="18"/>
        <v>0</v>
      </c>
      <c r="G126" s="546">
        <f t="shared" si="18"/>
        <v>0</v>
      </c>
      <c r="H126" s="546">
        <f t="shared" si="18"/>
        <v>0</v>
      </c>
      <c r="I126" s="546">
        <f t="shared" si="18"/>
        <v>0</v>
      </c>
      <c r="J126" s="567">
        <f>SUM(C126:I126)</f>
        <v>0</v>
      </c>
      <c r="K126" s="214"/>
      <c r="L126" s="214"/>
      <c r="M126" s="214"/>
      <c r="N126" s="214"/>
      <c r="O126" s="214"/>
      <c r="P126" s="214"/>
      <c r="Q126" s="214"/>
      <c r="R126" s="214"/>
      <c r="S126" s="214"/>
      <c r="T126" s="214"/>
      <c r="U126" s="214"/>
      <c r="V126" s="214"/>
      <c r="W126" s="214"/>
      <c r="X126" s="214"/>
      <c r="Y126" s="197"/>
      <c r="Z126" s="197"/>
      <c r="AA126" s="197"/>
    </row>
    <row r="127" spans="1:27" hidden="1">
      <c r="A127" s="214"/>
      <c r="B127" s="214"/>
      <c r="C127" s="214"/>
      <c r="D127" s="214"/>
      <c r="E127" s="214"/>
      <c r="F127" s="214"/>
      <c r="G127" s="214"/>
      <c r="H127" s="214"/>
      <c r="I127" s="214"/>
      <c r="J127" s="214"/>
      <c r="K127" s="214"/>
      <c r="L127" s="214"/>
      <c r="M127" s="214"/>
      <c r="N127" s="214"/>
      <c r="O127" s="214"/>
      <c r="P127" s="214"/>
      <c r="Q127" s="214"/>
      <c r="R127" s="214"/>
      <c r="S127" s="214"/>
      <c r="T127" s="214"/>
      <c r="U127" s="214"/>
      <c r="V127" s="214"/>
      <c r="W127" s="214"/>
      <c r="X127" s="214"/>
      <c r="Y127" s="197"/>
      <c r="Z127" s="197"/>
      <c r="AA127" s="197"/>
    </row>
    <row r="128" spans="1:27">
      <c r="A128" s="214"/>
      <c r="B128" s="214"/>
      <c r="C128" s="214"/>
      <c r="D128" s="214"/>
      <c r="E128" s="214"/>
      <c r="F128" s="214"/>
      <c r="G128" s="214"/>
      <c r="H128" s="214"/>
      <c r="I128" s="214"/>
      <c r="J128" s="214"/>
      <c r="K128" s="214"/>
      <c r="L128" s="214"/>
      <c r="M128" s="214"/>
      <c r="N128" s="214"/>
      <c r="O128" s="214"/>
      <c r="P128" s="214"/>
      <c r="Q128" s="214"/>
      <c r="R128" s="214"/>
      <c r="S128" s="214"/>
      <c r="T128" s="214"/>
      <c r="U128" s="214"/>
      <c r="V128" s="214"/>
      <c r="W128" s="214"/>
      <c r="X128" s="214"/>
      <c r="Y128" s="197"/>
      <c r="Z128" s="197"/>
      <c r="AA128" s="197"/>
    </row>
  </sheetData>
  <sheetProtection password="CAEF" sheet="1" formatCells="0" formatRows="0"/>
  <mergeCells count="59">
    <mergeCell ref="M49:N49"/>
    <mergeCell ref="M44:N44"/>
    <mergeCell ref="M45:N45"/>
    <mergeCell ref="M46:N46"/>
    <mergeCell ref="M47:N47"/>
    <mergeCell ref="M48:N48"/>
    <mergeCell ref="M38:N38"/>
    <mergeCell ref="M39:N39"/>
    <mergeCell ref="M40:N40"/>
    <mergeCell ref="M22:N22"/>
    <mergeCell ref="M42:N42"/>
    <mergeCell ref="M43:N43"/>
    <mergeCell ref="M36:N36"/>
    <mergeCell ref="M41:N41"/>
    <mergeCell ref="M29:N29"/>
    <mergeCell ref="K29:L29"/>
    <mergeCell ref="M32:N32"/>
    <mergeCell ref="M33:N33"/>
    <mergeCell ref="M34:N34"/>
    <mergeCell ref="M35:N35"/>
    <mergeCell ref="K33:L33"/>
    <mergeCell ref="K40:L40"/>
    <mergeCell ref="M37:N37"/>
    <mergeCell ref="K30:L30"/>
    <mergeCell ref="K31:L31"/>
    <mergeCell ref="K32:L32"/>
    <mergeCell ref="K41:L41"/>
    <mergeCell ref="G17:H17"/>
    <mergeCell ref="M17:N17"/>
    <mergeCell ref="G18:H18"/>
    <mergeCell ref="M18:N18"/>
    <mergeCell ref="L1:M1"/>
    <mergeCell ref="S13:T13"/>
    <mergeCell ref="S14:T14"/>
    <mergeCell ref="S15:T15"/>
    <mergeCell ref="M30:N30"/>
    <mergeCell ref="M31:N31"/>
    <mergeCell ref="M21:N21"/>
    <mergeCell ref="M19:N20"/>
    <mergeCell ref="B24:B25"/>
    <mergeCell ref="E29:F29"/>
    <mergeCell ref="G29:H29"/>
    <mergeCell ref="I29:J29"/>
    <mergeCell ref="G19:H20"/>
    <mergeCell ref="G21:H21"/>
    <mergeCell ref="K34:L34"/>
    <mergeCell ref="K35:L35"/>
    <mergeCell ref="K36:L36"/>
    <mergeCell ref="K39:L39"/>
    <mergeCell ref="K38:L38"/>
    <mergeCell ref="K37:L37"/>
    <mergeCell ref="K49:L49"/>
    <mergeCell ref="K42:L42"/>
    <mergeCell ref="K43:L43"/>
    <mergeCell ref="K44:L44"/>
    <mergeCell ref="K45:L45"/>
    <mergeCell ref="K46:L46"/>
    <mergeCell ref="K47:L47"/>
    <mergeCell ref="K48:L48"/>
  </mergeCells>
  <phoneticPr fontId="38" type="noConversion"/>
  <hyperlinks>
    <hyperlink ref="L1" location="Tiere!B3" display="◄"/>
    <hyperlink ref="N1" location="Mineral!C3" display="  ►"/>
    <hyperlink ref="L1:M1" location="Hofdung!B3" display="◄"/>
  </hyperlinks>
  <pageMargins left="0.62992125984251968" right="0.55118110236220474" top="0.27559055118110237" bottom="0.39370078740157483" header="0.51181102362204722" footer="0.19685039370078741"/>
  <pageSetup paperSize="9" scale="55" firstPageNumber="0" pageOrder="overThenDown" orientation="landscape" blackAndWhite="1" horizontalDpi="300" verticalDpi="300" r:id="rId1"/>
  <headerFooter alignWithMargins="0">
    <oddFooter>&amp;L&amp;11&amp;F&amp;C&amp;A&amp;R&amp;P von &amp;N</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9">
    <tabColor rgb="FFFFFF00"/>
    <pageSetUpPr fitToPage="1"/>
  </sheetPr>
  <dimension ref="A1:BK52"/>
  <sheetViews>
    <sheetView showZeros="0" zoomScale="80" zoomScaleNormal="80" workbookViewId="0">
      <selection activeCell="A3" sqref="A3"/>
    </sheetView>
  </sheetViews>
  <sheetFormatPr baseColWidth="10" defaultColWidth="12.33203125" defaultRowHeight="13.2"/>
  <cols>
    <col min="1" max="1" width="38.33203125" customWidth="1"/>
    <col min="2" max="2" width="9.33203125" customWidth="1"/>
    <col min="3" max="3" width="10" customWidth="1"/>
    <col min="4" max="9" width="10.33203125" customWidth="1"/>
    <col min="10" max="10" width="9.88671875" customWidth="1"/>
    <col min="11" max="11" width="3" customWidth="1"/>
    <col min="12" max="12" width="24.6640625" customWidth="1"/>
    <col min="13" max="13" width="17.109375" customWidth="1"/>
    <col min="14" max="14" width="22.44140625" customWidth="1"/>
    <col min="15" max="15" width="9.88671875" customWidth="1"/>
    <col min="16" max="16" width="15" customWidth="1"/>
    <col min="17" max="17" width="2.33203125" customWidth="1"/>
    <col min="18" max="18" width="38.6640625" hidden="1" customWidth="1"/>
    <col min="19" max="19" width="8.88671875" hidden="1" customWidth="1"/>
    <col min="20" max="22" width="7.44140625" hidden="1" customWidth="1"/>
    <col min="23" max="24" width="9.44140625" hidden="1" customWidth="1"/>
    <col min="25" max="27" width="8.6640625" hidden="1" customWidth="1"/>
    <col min="28" max="29" width="12.33203125" hidden="1" customWidth="1"/>
    <col min="30" max="30" width="28.6640625" hidden="1" customWidth="1"/>
    <col min="31" max="31" width="12.33203125" hidden="1" customWidth="1"/>
    <col min="32" max="32" width="14.6640625" hidden="1" customWidth="1"/>
    <col min="33" max="33" width="12.33203125" hidden="1" customWidth="1"/>
    <col min="34" max="34" width="15.6640625" hidden="1" customWidth="1"/>
    <col min="35" max="35" width="12.33203125" hidden="1" customWidth="1"/>
    <col min="36" max="36" width="15.6640625" hidden="1" customWidth="1"/>
    <col min="37" max="37" width="12.33203125" hidden="1" customWidth="1"/>
    <col min="38" max="38" width="15.6640625" hidden="1" customWidth="1"/>
    <col min="39" max="39" width="12.33203125" hidden="1" customWidth="1"/>
    <col min="40" max="40" width="15.6640625" hidden="1" customWidth="1"/>
    <col min="41" max="41" width="12.33203125" hidden="1" customWidth="1"/>
    <col min="42" max="42" width="15.6640625" hidden="1" customWidth="1"/>
    <col min="43" max="43" width="12.33203125" hidden="1" customWidth="1"/>
    <col min="44" max="44" width="15.6640625" hidden="1" customWidth="1"/>
    <col min="45" max="45" width="12.33203125" hidden="1" customWidth="1"/>
    <col min="46" max="46" width="15.6640625" hidden="1" customWidth="1"/>
    <col min="47" max="47" width="12.33203125" hidden="1" customWidth="1"/>
    <col min="48" max="48" width="15.6640625" hidden="1" customWidth="1"/>
    <col min="49" max="49" width="12.33203125" hidden="1" customWidth="1"/>
    <col min="50" max="50" width="16.88671875" hidden="1" customWidth="1"/>
    <col min="51" max="51" width="12.33203125" hidden="1" customWidth="1"/>
    <col min="52" max="52" width="16.88671875" hidden="1" customWidth="1"/>
    <col min="53" max="53" width="12.33203125" hidden="1" customWidth="1"/>
    <col min="54" max="54" width="16.88671875" hidden="1" customWidth="1"/>
    <col min="55" max="55" width="12.33203125" hidden="1" customWidth="1"/>
    <col min="56" max="56" width="16.88671875" hidden="1" customWidth="1"/>
    <col min="57" max="57" width="12.33203125" hidden="1" customWidth="1"/>
    <col min="58" max="58" width="16.88671875" hidden="1" customWidth="1"/>
    <col min="59" max="59" width="12.33203125" hidden="1" customWidth="1"/>
    <col min="60" max="60" width="16.88671875" hidden="1" customWidth="1"/>
    <col min="61" max="63" width="12.33203125" hidden="1" customWidth="1"/>
  </cols>
  <sheetData>
    <row r="1" spans="1:63" ht="33" customHeight="1" thickBot="1">
      <c r="A1" s="1485" t="s">
        <v>788</v>
      </c>
      <c r="B1" s="1326"/>
      <c r="C1" s="1327"/>
      <c r="D1" s="1327"/>
      <c r="E1" s="1327"/>
      <c r="F1" s="1327"/>
      <c r="G1" s="1328"/>
      <c r="H1" s="1328"/>
      <c r="I1" s="1328"/>
      <c r="J1" s="1328"/>
      <c r="L1" s="1475" t="s">
        <v>1383</v>
      </c>
      <c r="M1" s="1475" t="s">
        <v>1355</v>
      </c>
      <c r="AD1" s="2448" t="s">
        <v>2399</v>
      </c>
      <c r="AE1" s="2452" t="s">
        <v>2450</v>
      </c>
      <c r="AF1" s="2452" t="s">
        <v>2320</v>
      </c>
      <c r="AG1" s="2452" t="s">
        <v>2451</v>
      </c>
      <c r="AH1" s="2442" t="s">
        <v>2415</v>
      </c>
      <c r="AI1" s="2459" t="s">
        <v>2452</v>
      </c>
      <c r="AJ1" s="2442" t="s">
        <v>2416</v>
      </c>
      <c r="AK1" s="2450" t="s">
        <v>2453</v>
      </c>
      <c r="AL1" s="2442" t="s">
        <v>2417</v>
      </c>
      <c r="AM1" s="2450" t="s">
        <v>2454</v>
      </c>
      <c r="AN1" s="2442" t="s">
        <v>2418</v>
      </c>
      <c r="AO1" s="2450" t="s">
        <v>2455</v>
      </c>
      <c r="AP1" s="2442" t="s">
        <v>2419</v>
      </c>
      <c r="AQ1" s="2450" t="s">
        <v>2456</v>
      </c>
      <c r="AR1" s="2442" t="s">
        <v>2420</v>
      </c>
      <c r="AS1" s="2450" t="s">
        <v>2457</v>
      </c>
      <c r="AT1" s="2442" t="s">
        <v>2421</v>
      </c>
      <c r="AU1" s="2450" t="s">
        <v>2458</v>
      </c>
      <c r="AV1" s="2442" t="s">
        <v>2422</v>
      </c>
      <c r="AW1" s="2450" t="s">
        <v>2459</v>
      </c>
      <c r="AX1" s="2442" t="s">
        <v>2423</v>
      </c>
      <c r="AY1" s="2450" t="s">
        <v>2460</v>
      </c>
      <c r="AZ1" s="2450" t="s">
        <v>2424</v>
      </c>
      <c r="BA1" s="2450" t="s">
        <v>2461</v>
      </c>
      <c r="BB1" s="2450" t="s">
        <v>2425</v>
      </c>
      <c r="BC1" s="2450" t="s">
        <v>2462</v>
      </c>
      <c r="BD1" s="2450" t="s">
        <v>2426</v>
      </c>
      <c r="BE1" s="2450" t="s">
        <v>2463</v>
      </c>
      <c r="BF1" s="2450" t="s">
        <v>2433</v>
      </c>
      <c r="BG1" s="2450" t="s">
        <v>2464</v>
      </c>
      <c r="BH1" s="2450" t="s">
        <v>2434</v>
      </c>
    </row>
    <row r="2" spans="1:63" ht="28.5" customHeight="1" thickTop="1" thickBot="1">
      <c r="A2" s="1944" t="s">
        <v>1687</v>
      </c>
      <c r="B2" s="1945" t="s">
        <v>678</v>
      </c>
      <c r="C2" s="1818" t="s">
        <v>1143</v>
      </c>
      <c r="D2" s="1946" t="s">
        <v>1688</v>
      </c>
      <c r="E2" s="1946" t="s">
        <v>793</v>
      </c>
      <c r="F2" s="1946" t="s">
        <v>794</v>
      </c>
      <c r="G2" s="1946" t="s">
        <v>1689</v>
      </c>
      <c r="H2" s="1946" t="s">
        <v>795</v>
      </c>
      <c r="I2" s="1946" t="s">
        <v>796</v>
      </c>
      <c r="J2" s="1947" t="s">
        <v>1690</v>
      </c>
      <c r="L2" s="1476" t="s">
        <v>1434</v>
      </c>
      <c r="M2" s="1476"/>
      <c r="R2" s="1944" t="s">
        <v>1687</v>
      </c>
      <c r="S2" s="1945" t="s">
        <v>678</v>
      </c>
      <c r="T2" s="1818" t="s">
        <v>1143</v>
      </c>
      <c r="U2" s="1946" t="s">
        <v>1688</v>
      </c>
      <c r="V2" s="1946" t="s">
        <v>793</v>
      </c>
      <c r="W2" s="1946" t="s">
        <v>794</v>
      </c>
      <c r="X2" s="1946" t="s">
        <v>1689</v>
      </c>
      <c r="Y2" s="1946" t="s">
        <v>795</v>
      </c>
      <c r="Z2" s="1946" t="s">
        <v>796</v>
      </c>
      <c r="AA2" s="2451" t="s">
        <v>1690</v>
      </c>
      <c r="AD2" s="2523" t="str">
        <f>""</f>
        <v/>
      </c>
      <c r="AE2" s="2454" t="str">
        <f>IFERROR(INDEX(Liste_Handelsünger[Handelsdünger],_xlfn.AGGREGATE(15,6,(ROW(Liste_Handelsünger[Handelsdünger])-1)/(--(SEARCH(AF$2,Liste_Handelsünger[Handelsdünger])&gt;0)),ROW()-2),1),"")</f>
        <v/>
      </c>
      <c r="AF2" s="2455" t="str">
        <f>IF(($A$3=""),"",IF(COUNTIF(Mineral!$AD$3:$AD$38,$A$3),"",$A$3))</f>
        <v/>
      </c>
      <c r="AG2" s="2454" t="str">
        <f>IFERROR(INDEX(Liste_Handelsünger[Handelsdünger],_xlfn.AGGREGATE(15,6,(ROW(Liste_Handelsünger[Handelsdünger])-1)/(--(SEARCH(AH$2,Liste_Handelsünger[Handelsdünger])&gt;0)),ROW()-2),1),"")</f>
        <v/>
      </c>
      <c r="AH2" s="2444" t="str">
        <f>IF(($A4=""),"",IF(COUNTIF(Mineral!$AD$3:$AD$38,$A4),"",$A4))</f>
        <v/>
      </c>
      <c r="AI2" s="2454" t="str">
        <f>IFERROR(INDEX(Liste_Handelsünger[Handelsdünger],_xlfn.AGGREGATE(15,6,(ROW(Liste_Handelsünger[Handelsdünger])-1)/(--(SEARCH(AJ$2,Liste_Handelsünger[Handelsdünger])&gt;0)),ROW()-2),1),"")</f>
        <v/>
      </c>
      <c r="AJ2" s="2445" t="str">
        <f>IF(($A5=""),"",IF(COUNTIF(Mineral!$AD$3:$AD$38,$A5),"",$A5))</f>
        <v/>
      </c>
      <c r="AK2" s="2454" t="str">
        <f>IFERROR(INDEX(Liste_Handelsünger[Handelsdünger],_xlfn.AGGREGATE(15,6,(ROW(Liste_Handelsünger[Handelsdünger])-1)/(--(SEARCH(AL$2,Liste_Handelsünger[Handelsdünger])&gt;0)),ROW()-2),1),"")</f>
        <v/>
      </c>
      <c r="AL2" s="2445" t="str">
        <f>IF(($A6=""),"",IF(COUNTIF(Mineral!$AD$3:$AD$38,$A6),"",$A6))</f>
        <v/>
      </c>
      <c r="AM2" s="2454" t="str">
        <f>IFERROR(INDEX(Liste_Handelsünger[Handelsdünger],_xlfn.AGGREGATE(15,6,(ROW(Liste_Handelsünger[Handelsdünger])-1)/(--(SEARCH(AN$2,Liste_Handelsünger[Handelsdünger])&gt;0)),ROW()-2),1),"")</f>
        <v/>
      </c>
      <c r="AN2" s="2445" t="str">
        <f>IF(($A7=""),"",IF(COUNTIF(Mineral!$AD$3:$AD$38,$A7),"",$A7))</f>
        <v/>
      </c>
      <c r="AO2" s="2454" t="str">
        <f>IFERROR(INDEX(Liste_Handelsünger[Handelsdünger],_xlfn.AGGREGATE(15,6,(ROW(Liste_Handelsünger[Handelsdünger])-1)/(--(SEARCH(AP$2,Liste_Handelsünger[Handelsdünger])&gt;0)),ROW()-2),1),"")</f>
        <v/>
      </c>
      <c r="AP2" s="2445" t="str">
        <f>IF(($A8=""),"",IF(COUNTIF(Mineral!$AD$3:$AD$38,$A8),"",$A8))</f>
        <v/>
      </c>
      <c r="AQ2" s="2454" t="str">
        <f>IFERROR(INDEX(Liste_Handelsünger[Handelsdünger],_xlfn.AGGREGATE(15,6,(ROW(Liste_Handelsünger[Handelsdünger])-1)/(--(SEARCH(AR$2,Liste_Handelsünger[Handelsdünger])&gt;0)),ROW()-2),1),"")</f>
        <v/>
      </c>
      <c r="AR2" s="2445" t="str">
        <f>IF(($A9=""),"",IF(COUNTIF(Mineral!$AD$3:$AD$38,$A9),"",$A9))</f>
        <v/>
      </c>
      <c r="AS2" s="2454" t="str">
        <f>IFERROR(INDEX(Liste_Handelsünger[Handelsdünger],_xlfn.AGGREGATE(15,6,(ROW(Liste_Handelsünger[Handelsdünger])-1)/(--(SEARCH(AT$2,Liste_Handelsünger[Handelsdünger])&gt;0)),ROW()-2),1),"")</f>
        <v/>
      </c>
      <c r="AT2" s="2445" t="str">
        <f>IF(($A10=""),"",IF(COUNTIF(Mineral!$AD$3:$AD$38,$A10),"",$A10))</f>
        <v/>
      </c>
      <c r="AU2" s="2454" t="str">
        <f>IFERROR(INDEX(Liste_Handelsünger[Handelsdünger],_xlfn.AGGREGATE(15,6,(ROW(Liste_Handelsünger[Handelsdünger])-1)/(--(SEARCH(AV$2,Liste_Handelsünger[Handelsdünger])&gt;0)),ROW()-2),1),"")</f>
        <v/>
      </c>
      <c r="AV2" s="2445" t="str">
        <f>IF(($A11=""),"",IF(COUNTIF(Mineral!$AD$3:$AD$38,$A11),"",$A11))</f>
        <v/>
      </c>
      <c r="AW2" s="2454" t="str">
        <f>IFERROR(INDEX(Liste_Handelsünger[Handelsdünger],_xlfn.AGGREGATE(15,6,(ROW(Liste_Handelsünger[Handelsdünger])-1)/(--(SEARCH(AX$2,Liste_Handelsünger[Handelsdünger])&gt;0)),ROW()-2),1),"")</f>
        <v/>
      </c>
      <c r="AX2" s="2445" t="str">
        <f>IF(($A12=""),"",IF(COUNTIF(Mineral!$AD$3:$AD$38,$A12),"",$A12))</f>
        <v/>
      </c>
      <c r="AY2" s="2454" t="str">
        <f>IFERROR(INDEX(Liste_Handelsünger[Handelsdünger],_xlfn.AGGREGATE(15,6,(ROW(Liste_Handelsünger[Handelsdünger])-1)/(--(SEARCH(AZ$2,Liste_Handelsünger[Handelsdünger])&gt;0)),ROW()-2),1),"")</f>
        <v/>
      </c>
      <c r="AZ2" s="2445" t="str">
        <f>IF(($A13=""),"",IF(COUNTIF(Mineral!$AD$3:$AD$38,$A13),"",$A13))</f>
        <v/>
      </c>
      <c r="BA2" s="2454" t="str">
        <f>IFERROR(INDEX(Liste_Handelsünger[Handelsdünger],_xlfn.AGGREGATE(15,6,(ROW(Liste_Handelsünger[Handelsdünger])-1)/(--(SEARCH(BB$2,Liste_Handelsünger[Handelsdünger])&gt;0)),ROW()-2),1),"")</f>
        <v/>
      </c>
      <c r="BB2" s="2445" t="str">
        <f>IF(($A14=""),"",IF(COUNTIF(Mineral!$AD$3:$AD$38,$A14),"",$A14))</f>
        <v/>
      </c>
      <c r="BC2" s="2454" t="str">
        <f>IFERROR(INDEX(Liste_Handelsünger[Handelsdünger],_xlfn.AGGREGATE(15,6,(ROW(Liste_Handelsünger[Handelsdünger])-1)/(--(SEARCH(BD$2,Liste_Handelsünger[Handelsdünger])&gt;0)),ROW()-2),1),"")</f>
        <v/>
      </c>
      <c r="BD2" s="2445" t="str">
        <f>IF(($A15=""),"",IF(COUNTIF(Mineral!$AD$3:$AD$38,$A15),"",$A15))</f>
        <v/>
      </c>
      <c r="BE2" s="2454" t="str">
        <f>IFERROR(INDEX(Liste_Handelsünger[Handelsdünger],_xlfn.AGGREGATE(15,6,(ROW(Liste_Handelsünger[Handelsdünger])-1)/(--(SEARCH(BF$2,Liste_Handelsünger[Handelsdünger])&gt;0)),ROW()-2),1),"")</f>
        <v/>
      </c>
      <c r="BF2" s="2445" t="str">
        <f>IF(($A16=""),"",IF(COUNTIF(Mineral!$AD$3:$AD$38,$A16),"",$A16))</f>
        <v/>
      </c>
      <c r="BG2" s="2454" t="str">
        <f>IFERROR(INDEX(Liste_Handelsünger[Handelsdünger],_xlfn.AGGREGATE(15,6,(ROW(Liste_Handelsünger[Handelsdünger])-1)/(--(SEARCH(BH$2,Liste_Handelsünger[Handelsdünger])&gt;0)),ROW()-2),1),"")</f>
        <v/>
      </c>
      <c r="BH2" s="2446" t="str">
        <f>IF(($A17=""),"",IF(COUNTIF(Mineral!$AD$3:$AD$38,$A17),"",$A17))</f>
        <v/>
      </c>
      <c r="BJ2" s="2531" t="s">
        <v>1938</v>
      </c>
      <c r="BK2" s="2532"/>
    </row>
    <row r="3" spans="1:63" ht="21.75" customHeight="1" thickTop="1">
      <c r="A3" s="1150"/>
      <c r="B3" s="1477">
        <f>IF(ISNA(VLOOKUP(Mineral!A3,Tabelle1!$C$179:$Q$203,15,0)),0,VLOOKUP(Mineral!A3,Tabelle1!$C$179:$Q$203,15,0))</f>
        <v>0</v>
      </c>
      <c r="C3" s="2435"/>
      <c r="D3" s="1480" t="str">
        <f>IFERROR(VLOOKUP(A3,$R$3:$W$38,4,0),"")</f>
        <v/>
      </c>
      <c r="E3" s="1480" t="str">
        <f>IFERROR(VLOOKUP(A3,$R$3:$W$38,5,0),"")</f>
        <v/>
      </c>
      <c r="F3" s="1480" t="str">
        <f>IFERROR(VLOOKUP(A3,$R$3:$W$38,6,0),"")</f>
        <v/>
      </c>
      <c r="G3" s="1481">
        <f>IFERROR($C3*D3,0)</f>
        <v>0</v>
      </c>
      <c r="H3" s="1481">
        <f>IFERROR($C3*E3,0)</f>
        <v>0</v>
      </c>
      <c r="I3" s="1481">
        <f>IFERROR($C3*F3,0)</f>
        <v>0</v>
      </c>
      <c r="J3" s="1941">
        <v>1</v>
      </c>
      <c r="L3" s="1948" t="s">
        <v>1445</v>
      </c>
      <c r="M3" s="1484">
        <f>IFERROR(N_Bedarf!J29,0)</f>
        <v>0</v>
      </c>
      <c r="R3" s="1943" t="s">
        <v>1695</v>
      </c>
      <c r="S3" s="1477"/>
      <c r="T3" s="2414">
        <f>IFERROR(VLOOKUP(R3,$A$3:$I$27,3,0),0)</f>
        <v>0</v>
      </c>
      <c r="U3" s="1480">
        <v>0.27</v>
      </c>
      <c r="V3" s="1480"/>
      <c r="W3" s="1480"/>
      <c r="X3" s="1481">
        <f>U3*T3</f>
        <v>0</v>
      </c>
      <c r="Y3" s="1481">
        <f>V3*T3</f>
        <v>0</v>
      </c>
      <c r="Z3" s="1481">
        <f>U3*T3</f>
        <v>0</v>
      </c>
      <c r="AA3" s="2536">
        <v>1</v>
      </c>
      <c r="AB3" s="2533"/>
      <c r="AD3" s="2453" t="s">
        <v>1695</v>
      </c>
      <c r="AE3" s="2443" t="str">
        <f>IFERROR(INDEX(Liste_Handelsünger[Handelsdünger],_xlfn.AGGREGATE(15,6,(ROW(Liste_Handelsünger[Handelsdünger])-1)/(--(SEARCH(AF$2,Liste_Handelsünger[Handelsdünger])&gt;0)),ROW()-2),1),"")</f>
        <v>NAC - Kalkammonsalp.</v>
      </c>
      <c r="AF3" s="2456"/>
      <c r="AG3" s="2443" t="str">
        <f>IFERROR(INDEX(Liste_Handelsünger[Handelsdünger],_xlfn.AGGREGATE(15,6,(ROW(Liste_Handelsünger[Handelsdünger])-1)/(--(SEARCH(AH$2,Liste_Handelsünger[Handelsdünger])&gt;0)),ROW()-2),1),"")</f>
        <v>NAC - Kalkammonsalp.</v>
      </c>
      <c r="AI3" t="str">
        <f>IFERROR(INDEX(Liste_Handelsünger[Handelsdünger],_xlfn.AGGREGATE(15,6,(ROW(Liste_Handelsünger[Handelsdünger])-1)/(--(SEARCH(AJ$2,Liste_Handelsünger[Handelsdünger])&gt;0)),ROW()-2),1),"")</f>
        <v>NAC - Kalkammonsalp.</v>
      </c>
      <c r="AK3" t="str">
        <f>IFERROR(INDEX(Liste_Handelsünger[Handelsdünger],_xlfn.AGGREGATE(15,6,(ROW(Liste_Handelsünger[Handelsdünger])-1)/(--(SEARCH(AL$2,Liste_Handelsünger[Handelsdünger])&gt;0)),ROW()-2),1),"")</f>
        <v>NAC - Kalkammonsalp.</v>
      </c>
      <c r="AM3" t="str">
        <f>IFERROR(INDEX(Liste_Handelsünger[Handelsdünger],_xlfn.AGGREGATE(15,6,(ROW(Liste_Handelsünger[Handelsdünger])-1)/(--(SEARCH(AN$2,Liste_Handelsünger[Handelsdünger])&gt;0)),ROW()-2),1),"")</f>
        <v>NAC - Kalkammonsalp.</v>
      </c>
      <c r="AO3" t="str">
        <f>IFERROR(INDEX(Liste_Handelsünger[Handelsdünger],_xlfn.AGGREGATE(15,6,(ROW(Liste_Handelsünger[Handelsdünger])-1)/(--(SEARCH(AP$2,Liste_Handelsünger[Handelsdünger])&gt;0)),ROW()-2),1),"")</f>
        <v>NAC - Kalkammonsalp.</v>
      </c>
      <c r="AQ3" t="str">
        <f>IFERROR(INDEX(Liste_Handelsünger[Handelsdünger],_xlfn.AGGREGATE(15,6,(ROW(Liste_Handelsünger[Handelsdünger])-1)/(--(SEARCH(AR$2,Liste_Handelsünger[Handelsdünger])&gt;0)),ROW()-2),1),"")</f>
        <v>NAC - Kalkammonsalp.</v>
      </c>
      <c r="AS3" t="str">
        <f>IFERROR(INDEX(Liste_Handelsünger[Handelsdünger],_xlfn.AGGREGATE(15,6,(ROW(Liste_Handelsünger[Handelsdünger])-1)/(--(SEARCH(AT$2,Liste_Handelsünger[Handelsdünger])&gt;0)),ROW()-2),1),"")</f>
        <v>NAC - Kalkammonsalp.</v>
      </c>
      <c r="AU3" t="str">
        <f>IFERROR(INDEX(Liste_Handelsünger[Handelsdünger],_xlfn.AGGREGATE(15,6,(ROW(Liste_Handelsünger[Handelsdünger])-1)/(--(SEARCH(AV$2,Liste_Handelsünger[Handelsdünger])&gt;0)),ROW()-2),1),"")</f>
        <v>NAC - Kalkammonsalp.</v>
      </c>
      <c r="AW3" t="str">
        <f>IFERROR(INDEX(Liste_Handelsünger[Handelsdünger],_xlfn.AGGREGATE(15,6,(ROW(Liste_Handelsünger[Handelsdünger])-1)/(--(SEARCH(AX$2,Liste_Handelsünger[Handelsdünger])&gt;0)),ROW()-2),1),"")</f>
        <v>NAC - Kalkammonsalp.</v>
      </c>
      <c r="AY3" t="str">
        <f>IFERROR(INDEX(Liste_Handelsünger[Handelsdünger],_xlfn.AGGREGATE(15,6,(ROW(Liste_Handelsünger[Handelsdünger])-1)/(--(SEARCH(AZ$2,Liste_Handelsünger[Handelsdünger])&gt;0)),ROW()-2),1),"")</f>
        <v>NAC - Kalkammonsalp.</v>
      </c>
      <c r="BA3" t="str">
        <f>IFERROR(INDEX(Liste_Handelsünger[Handelsdünger],_xlfn.AGGREGATE(15,6,(ROW(Liste_Handelsünger[Handelsdünger])-1)/(--(SEARCH(BB$2,Liste_Handelsünger[Handelsdünger])&gt;0)),ROW()-2),1),"")</f>
        <v>NAC - Kalkammonsalp.</v>
      </c>
      <c r="BC3" t="str">
        <f>IFERROR(INDEX(Liste_Handelsünger[Handelsdünger],_xlfn.AGGREGATE(15,6,(ROW(Liste_Handelsünger[Handelsdünger])-1)/(--(SEARCH(BD$2,Liste_Handelsünger[Handelsdünger])&gt;0)),ROW()-2),1),"")</f>
        <v>NAC - Kalkammonsalp.</v>
      </c>
      <c r="BE3" t="str">
        <f>IFERROR(INDEX(Liste_Handelsünger[Handelsdünger],_xlfn.AGGREGATE(15,6,(ROW(Liste_Handelsünger[Handelsdünger])-1)/(--(SEARCH(BF$2,Liste_Handelsünger[Handelsdünger])&gt;0)),ROW()-2),1),"")</f>
        <v>NAC - Kalkammonsalp.</v>
      </c>
      <c r="BG3" t="str">
        <f>IFERROR(INDEX(Liste_Handelsünger[Handelsdünger],_xlfn.AGGREGATE(15,6,(ROW(Liste_Handelsünger[Handelsdünger])-1)/(--(SEARCH(BH$2,Liste_Handelsünger[Handelsdünger])&gt;0)),ROW()-2),1),"")</f>
        <v>NAC - Kalkammonsalp.</v>
      </c>
      <c r="BJ3" s="2533">
        <v>2</v>
      </c>
      <c r="BK3" s="2534">
        <f>COUNTIF(Liste_Handelsünger[Handelsdünger],$A3)</f>
        <v>0</v>
      </c>
    </row>
    <row r="4" spans="1:63" ht="21.75" customHeight="1">
      <c r="A4" s="1150"/>
      <c r="B4" s="1477">
        <f>IF(ISNA(VLOOKUP(Mineral!A4,Tabelle1!$C$179:$Q$203,15,0)),0,VLOOKUP(Mineral!A4,Tabelle1!$C$179:$Q$203,15,0))</f>
        <v>0</v>
      </c>
      <c r="C4" s="2435"/>
      <c r="D4" s="1480" t="str">
        <f t="shared" ref="D4:D17" si="0">IFERROR(VLOOKUP(A4,$R$3:$W$38,4,0),"")</f>
        <v/>
      </c>
      <c r="E4" s="1480" t="str">
        <f t="shared" ref="E4:E17" si="1">IFERROR(VLOOKUP(A4,$R$3:$W$38,5,0),"")</f>
        <v/>
      </c>
      <c r="F4" s="1480" t="str">
        <f t="shared" ref="F4:F17" si="2">IFERROR(VLOOKUP(A4,$R$3:$W$38,6,0),"")</f>
        <v/>
      </c>
      <c r="G4" s="1481">
        <f t="shared" ref="G4:G17" si="3">IFERROR($C4*D4,0)</f>
        <v>0</v>
      </c>
      <c r="H4" s="1481">
        <f t="shared" ref="H4:H17" si="4">IFERROR($C4*E4,0)</f>
        <v>0</v>
      </c>
      <c r="I4" s="1481">
        <f t="shared" ref="I4:I17" si="5">IFERROR($C4*F4,0)</f>
        <v>0</v>
      </c>
      <c r="J4" s="1941">
        <v>1</v>
      </c>
      <c r="L4" s="1948" t="s">
        <v>790</v>
      </c>
      <c r="M4" s="1484">
        <f>IFERROR(Tiere!G34,0)</f>
        <v>0</v>
      </c>
      <c r="R4" s="1943" t="s">
        <v>1</v>
      </c>
      <c r="S4" s="1477"/>
      <c r="T4" s="2414">
        <f t="shared" ref="T4:T48" si="6">IFERROR(VLOOKUP(R4,$A$3:$I$27,3,0),0)</f>
        <v>0</v>
      </c>
      <c r="U4" s="1480">
        <v>0.46</v>
      </c>
      <c r="V4" s="1480"/>
      <c r="W4" s="1480"/>
      <c r="X4" s="1481">
        <f t="shared" ref="X4:X48" si="7">U4*T4</f>
        <v>0</v>
      </c>
      <c r="Y4" s="1481">
        <f t="shared" ref="Y4:Y48" si="8">V4*T4</f>
        <v>0</v>
      </c>
      <c r="Z4" s="1481">
        <f t="shared" ref="Z4:Z48" si="9">U4*T4</f>
        <v>0</v>
      </c>
      <c r="AA4" s="2536">
        <v>1</v>
      </c>
      <c r="AB4" s="2533"/>
      <c r="AD4" s="2457" t="s">
        <v>2468</v>
      </c>
      <c r="AE4" s="2458" t="str">
        <f>IFERROR(INDEX(Liste_Handelsünger[Handelsdünger],_xlfn.AGGREGATE(15,6,(ROW(Liste_Handelsünger[Handelsdünger])-1)/(--(SEARCH(AF$2,Liste_Handelsünger[Handelsdünger])&gt;0)),ROW()-2),1),"")</f>
        <v>Harnstoff (Urea 46)</v>
      </c>
      <c r="AF4" s="2458"/>
      <c r="AG4" s="2458" t="str">
        <f>IFERROR(INDEX(Liste_Handelsünger[Handelsdünger],_xlfn.AGGREGATE(15,6,(ROW(Liste_Handelsünger[Handelsdünger])-1)/(--(SEARCH(AH$2,Liste_Handelsünger[Handelsdünger])&gt;0)),ROW()-2),1),"")</f>
        <v>Harnstoff (Urea 46)</v>
      </c>
      <c r="AI4" t="str">
        <f>IFERROR(INDEX(Liste_Handelsünger[Handelsdünger],_xlfn.AGGREGATE(15,6,(ROW(Liste_Handelsünger[Handelsdünger])-1)/(--(SEARCH(AJ$2,Liste_Handelsünger[Handelsdünger])&gt;0)),ROW()-2),1),"")</f>
        <v>Harnstoff (Urea 46)</v>
      </c>
      <c r="AK4" t="str">
        <f>IFERROR(INDEX(Liste_Handelsünger[Handelsdünger],_xlfn.AGGREGATE(15,6,(ROW(Liste_Handelsünger[Handelsdünger])-1)/(--(SEARCH(AL$2,Liste_Handelsünger[Handelsdünger])&gt;0)),ROW()-2),1),"")</f>
        <v>Harnstoff (Urea 46)</v>
      </c>
      <c r="AM4" t="str">
        <f>IFERROR(INDEX(Liste_Handelsünger[Handelsdünger],_xlfn.AGGREGATE(15,6,(ROW(Liste_Handelsünger[Handelsdünger])-1)/(--(SEARCH(AN$2,Liste_Handelsünger[Handelsdünger])&gt;0)),ROW()-2),1),"")</f>
        <v>Harnstoff (Urea 46)</v>
      </c>
      <c r="AO4" t="str">
        <f>IFERROR(INDEX(Liste_Handelsünger[Handelsdünger],_xlfn.AGGREGATE(15,6,(ROW(Liste_Handelsünger[Handelsdünger])-1)/(--(SEARCH(AP$2,Liste_Handelsünger[Handelsdünger])&gt;0)),ROW()-2),1),"")</f>
        <v>Harnstoff (Urea 46)</v>
      </c>
      <c r="AQ4" t="str">
        <f>IFERROR(INDEX(Liste_Handelsünger[Handelsdünger],_xlfn.AGGREGATE(15,6,(ROW(Liste_Handelsünger[Handelsdünger])-1)/(--(SEARCH(AR$2,Liste_Handelsünger[Handelsdünger])&gt;0)),ROW()-2),1),"")</f>
        <v>Harnstoff (Urea 46)</v>
      </c>
      <c r="AS4" t="str">
        <f>IFERROR(INDEX(Liste_Handelsünger[Handelsdünger],_xlfn.AGGREGATE(15,6,(ROW(Liste_Handelsünger[Handelsdünger])-1)/(--(SEARCH(AT$2,Liste_Handelsünger[Handelsdünger])&gt;0)),ROW()-2),1),"")</f>
        <v>Harnstoff (Urea 46)</v>
      </c>
      <c r="AU4" t="str">
        <f>IFERROR(INDEX(Liste_Handelsünger[Handelsdünger],_xlfn.AGGREGATE(15,6,(ROW(Liste_Handelsünger[Handelsdünger])-1)/(--(SEARCH(AV$2,Liste_Handelsünger[Handelsdünger])&gt;0)),ROW()-2),1),"")</f>
        <v>Harnstoff (Urea 46)</v>
      </c>
      <c r="AW4" t="str">
        <f>IFERROR(INDEX(Liste_Handelsünger[Handelsdünger],_xlfn.AGGREGATE(15,6,(ROW(Liste_Handelsünger[Handelsdünger])-1)/(--(SEARCH(AX$2,Liste_Handelsünger[Handelsdünger])&gt;0)),ROW()-2),1),"")</f>
        <v>Harnstoff (Urea 46)</v>
      </c>
      <c r="AY4" t="str">
        <f>IFERROR(INDEX(Liste_Handelsünger[Handelsdünger],_xlfn.AGGREGATE(15,6,(ROW(Liste_Handelsünger[Handelsdünger])-1)/(--(SEARCH(AZ$2,Liste_Handelsünger[Handelsdünger])&gt;0)),ROW()-2),1),"")</f>
        <v>Harnstoff (Urea 46)</v>
      </c>
      <c r="BA4" t="str">
        <f>IFERROR(INDEX(Liste_Handelsünger[Handelsdünger],_xlfn.AGGREGATE(15,6,(ROW(Liste_Handelsünger[Handelsdünger])-1)/(--(SEARCH(BB$2,Liste_Handelsünger[Handelsdünger])&gt;0)),ROW()-2),1),"")</f>
        <v>Harnstoff (Urea 46)</v>
      </c>
      <c r="BC4" t="str">
        <f>IFERROR(INDEX(Liste_Handelsünger[Handelsdünger],_xlfn.AGGREGATE(15,6,(ROW(Liste_Handelsünger[Handelsdünger])-1)/(--(SEARCH(BD$2,Liste_Handelsünger[Handelsdünger])&gt;0)),ROW()-2),1),"")</f>
        <v>Harnstoff (Urea 46)</v>
      </c>
      <c r="BE4" t="str">
        <f>IFERROR(INDEX(Liste_Handelsünger[Handelsdünger],_xlfn.AGGREGATE(15,6,(ROW(Liste_Handelsünger[Handelsdünger])-1)/(--(SEARCH(BF$2,Liste_Handelsünger[Handelsdünger])&gt;0)),ROW()-2),1),"")</f>
        <v>Harnstoff (Urea 46)</v>
      </c>
      <c r="BG4" t="str">
        <f>IFERROR(INDEX(Liste_Handelsünger[Handelsdünger],_xlfn.AGGREGATE(15,6,(ROW(Liste_Handelsünger[Handelsdünger])-1)/(--(SEARCH(BH$2,Liste_Handelsünger[Handelsdünger])&gt;0)),ROW()-2),1),"")</f>
        <v>Harnstoff (Urea 46)</v>
      </c>
      <c r="BJ4" s="2533">
        <v>3</v>
      </c>
      <c r="BK4" s="2534">
        <f>COUNTIF(Liste_Handelsünger[Handelsdünger],$A4)</f>
        <v>0</v>
      </c>
    </row>
    <row r="5" spans="1:63" ht="21.75" customHeight="1">
      <c r="A5" s="1150"/>
      <c r="B5" s="1477">
        <f>IF(ISNA(VLOOKUP(Mineral!A5,Tabelle1!$C$179:$Q$203,15,0)),0,VLOOKUP(Mineral!A5,Tabelle1!$C$179:$Q$203,15,0))</f>
        <v>0</v>
      </c>
      <c r="C5" s="2435"/>
      <c r="D5" s="1480" t="str">
        <f t="shared" si="0"/>
        <v/>
      </c>
      <c r="E5" s="1480" t="str">
        <f t="shared" si="1"/>
        <v/>
      </c>
      <c r="F5" s="1480" t="str">
        <f t="shared" si="2"/>
        <v/>
      </c>
      <c r="G5" s="1481">
        <f t="shared" si="3"/>
        <v>0</v>
      </c>
      <c r="H5" s="1481">
        <f t="shared" si="4"/>
        <v>0</v>
      </c>
      <c r="I5" s="1481">
        <f t="shared" si="5"/>
        <v>0</v>
      </c>
      <c r="J5" s="1941">
        <v>1</v>
      </c>
      <c r="L5" s="1948" t="s">
        <v>789</v>
      </c>
      <c r="M5" s="1484">
        <f>IFERROR(N_Bedarf!M29,0)</f>
        <v>0</v>
      </c>
      <c r="R5" s="1943" t="s">
        <v>1698</v>
      </c>
      <c r="S5" s="1477"/>
      <c r="T5" s="2414">
        <f t="shared" si="6"/>
        <v>0</v>
      </c>
      <c r="U5" s="1480">
        <v>0.27</v>
      </c>
      <c r="V5" s="1480"/>
      <c r="W5" s="1480"/>
      <c r="X5" s="1481">
        <f t="shared" si="7"/>
        <v>0</v>
      </c>
      <c r="Y5" s="1481">
        <f t="shared" si="8"/>
        <v>0</v>
      </c>
      <c r="Z5" s="1481">
        <f t="shared" si="9"/>
        <v>0</v>
      </c>
      <c r="AA5" s="2536">
        <v>1</v>
      </c>
      <c r="AB5" s="2533"/>
      <c r="AD5" s="2457" t="s">
        <v>1698</v>
      </c>
      <c r="AE5" s="2443" t="str">
        <f>IFERROR(INDEX(Liste_Handelsünger[Handelsdünger],_xlfn.AGGREGATE(15,6,(ROW(Liste_Handelsünger[Handelsdünger])-1)/(--(SEARCH(AF$2,Liste_Handelsünger[Handelsdünger])&gt;0)),ROW()-2),1),"")</f>
        <v>AHL in kg   (34,3 % je 100 lt)*</v>
      </c>
      <c r="AF5" s="2443"/>
      <c r="AG5" s="2443" t="str">
        <f>IFERROR(INDEX(Liste_Handelsünger[Handelsdünger],_xlfn.AGGREGATE(15,6,(ROW(Liste_Handelsünger[Handelsdünger])-1)/(--(SEARCH(AH$2,Liste_Handelsünger[Handelsdünger])&gt;0)),ROW()-2),1),"")</f>
        <v>AHL in kg   (34,3 % je 100 lt)*</v>
      </c>
      <c r="AI5" t="str">
        <f>IFERROR(INDEX(Liste_Handelsünger[Handelsdünger],_xlfn.AGGREGATE(15,6,(ROW(Liste_Handelsünger[Handelsdünger])-1)/(--(SEARCH(AJ$2,Liste_Handelsünger[Handelsdünger])&gt;0)),ROW()-2),1),"")</f>
        <v>AHL in kg   (34,3 % je 100 lt)*</v>
      </c>
      <c r="AK5" t="str">
        <f>IFERROR(INDEX(Liste_Handelsünger[Handelsdünger],_xlfn.AGGREGATE(15,6,(ROW(Liste_Handelsünger[Handelsdünger])-1)/(--(SEARCH(AL$2,Liste_Handelsünger[Handelsdünger])&gt;0)),ROW()-2),1),"")</f>
        <v>AHL in kg   (34,3 % je 100 lt)*</v>
      </c>
      <c r="AM5" t="str">
        <f>IFERROR(INDEX(Liste_Handelsünger[Handelsdünger],_xlfn.AGGREGATE(15,6,(ROW(Liste_Handelsünger[Handelsdünger])-1)/(--(SEARCH(AN$2,Liste_Handelsünger[Handelsdünger])&gt;0)),ROW()-2),1),"")</f>
        <v>AHL in kg   (34,3 % je 100 lt)*</v>
      </c>
      <c r="AO5" t="str">
        <f>IFERROR(INDEX(Liste_Handelsünger[Handelsdünger],_xlfn.AGGREGATE(15,6,(ROW(Liste_Handelsünger[Handelsdünger])-1)/(--(SEARCH(AP$2,Liste_Handelsünger[Handelsdünger])&gt;0)),ROW()-2),1),"")</f>
        <v>AHL in kg   (34,3 % je 100 lt)*</v>
      </c>
      <c r="AQ5" t="str">
        <f>IFERROR(INDEX(Liste_Handelsünger[Handelsdünger],_xlfn.AGGREGATE(15,6,(ROW(Liste_Handelsünger[Handelsdünger])-1)/(--(SEARCH(AR$2,Liste_Handelsünger[Handelsdünger])&gt;0)),ROW()-2),1),"")</f>
        <v>AHL in kg   (34,3 % je 100 lt)*</v>
      </c>
      <c r="AS5" t="str">
        <f>IFERROR(INDEX(Liste_Handelsünger[Handelsdünger],_xlfn.AGGREGATE(15,6,(ROW(Liste_Handelsünger[Handelsdünger])-1)/(--(SEARCH(AT$2,Liste_Handelsünger[Handelsdünger])&gt;0)),ROW()-2),1),"")</f>
        <v>AHL in kg   (34,3 % je 100 lt)*</v>
      </c>
      <c r="AU5" t="str">
        <f>IFERROR(INDEX(Liste_Handelsünger[Handelsdünger],_xlfn.AGGREGATE(15,6,(ROW(Liste_Handelsünger[Handelsdünger])-1)/(--(SEARCH(AV$2,Liste_Handelsünger[Handelsdünger])&gt;0)),ROW()-2),1),"")</f>
        <v>AHL in kg   (34,3 % je 100 lt)*</v>
      </c>
      <c r="AW5" t="str">
        <f>IFERROR(INDEX(Liste_Handelsünger[Handelsdünger],_xlfn.AGGREGATE(15,6,(ROW(Liste_Handelsünger[Handelsdünger])-1)/(--(SEARCH(AX$2,Liste_Handelsünger[Handelsdünger])&gt;0)),ROW()-2),1),"")</f>
        <v>AHL in kg   (34,3 % je 100 lt)*</v>
      </c>
      <c r="AY5" t="str">
        <f>IFERROR(INDEX(Liste_Handelsünger[Handelsdünger],_xlfn.AGGREGATE(15,6,(ROW(Liste_Handelsünger[Handelsdünger])-1)/(--(SEARCH(AZ$2,Liste_Handelsünger[Handelsdünger])&gt;0)),ROW()-2),1),"")</f>
        <v>AHL in kg   (34,3 % je 100 lt)*</v>
      </c>
      <c r="BA5" t="str">
        <f>IFERROR(INDEX(Liste_Handelsünger[Handelsdünger],_xlfn.AGGREGATE(15,6,(ROW(Liste_Handelsünger[Handelsdünger])-1)/(--(SEARCH(BB$2,Liste_Handelsünger[Handelsdünger])&gt;0)),ROW()-2),1),"")</f>
        <v>AHL in kg   (34,3 % je 100 lt)*</v>
      </c>
      <c r="BC5" t="str">
        <f>IFERROR(INDEX(Liste_Handelsünger[Handelsdünger],_xlfn.AGGREGATE(15,6,(ROW(Liste_Handelsünger[Handelsdünger])-1)/(--(SEARCH(BD$2,Liste_Handelsünger[Handelsdünger])&gt;0)),ROW()-2),1),"")</f>
        <v>AHL in kg   (34,3 % je 100 lt)*</v>
      </c>
      <c r="BE5" t="str">
        <f>IFERROR(INDEX(Liste_Handelsünger[Handelsdünger],_xlfn.AGGREGATE(15,6,(ROW(Liste_Handelsünger[Handelsdünger])-1)/(--(SEARCH(BF$2,Liste_Handelsünger[Handelsdünger])&gt;0)),ROW()-2),1),"")</f>
        <v>AHL in kg   (34,3 % je 100 lt)*</v>
      </c>
      <c r="BG5" t="str">
        <f>IFERROR(INDEX(Liste_Handelsünger[Handelsdünger],_xlfn.AGGREGATE(15,6,(ROW(Liste_Handelsünger[Handelsdünger])-1)/(--(SEARCH(BH$2,Liste_Handelsünger[Handelsdünger])&gt;0)),ROW()-2),1),"")</f>
        <v>AHL in kg   (34,3 % je 100 lt)*</v>
      </c>
      <c r="BJ5" s="2533">
        <v>4</v>
      </c>
      <c r="BK5" s="2534">
        <f>COUNTIF(Liste_Handelsünger[Handelsdünger],$A5)</f>
        <v>0</v>
      </c>
    </row>
    <row r="6" spans="1:63" ht="21.75" customHeight="1">
      <c r="A6" s="1150"/>
      <c r="B6" s="1477">
        <f>IF(ISNA(VLOOKUP(Mineral!A6,Tabelle1!$C$179:$Q$203,15,0)),0,VLOOKUP(Mineral!A6,Tabelle1!$C$179:$Q$203,15,0))</f>
        <v>0</v>
      </c>
      <c r="C6" s="2435"/>
      <c r="D6" s="1480" t="str">
        <f t="shared" si="0"/>
        <v/>
      </c>
      <c r="E6" s="1480" t="str">
        <f t="shared" si="1"/>
        <v/>
      </c>
      <c r="F6" s="1480" t="str">
        <f t="shared" si="2"/>
        <v/>
      </c>
      <c r="G6" s="1481">
        <f t="shared" si="3"/>
        <v>0</v>
      </c>
      <c r="H6" s="1481">
        <f t="shared" si="4"/>
        <v>0</v>
      </c>
      <c r="I6" s="1481">
        <f t="shared" si="5"/>
        <v>0</v>
      </c>
      <c r="J6" s="1941">
        <v>1</v>
      </c>
      <c r="L6" s="1948" t="s">
        <v>791</v>
      </c>
      <c r="M6" s="1484">
        <f>IFERROR(IF(H28=0,0,H28/Betrieb!D18),0)</f>
        <v>0</v>
      </c>
      <c r="R6" s="1943" t="s">
        <v>1701</v>
      </c>
      <c r="S6" s="1477"/>
      <c r="T6" s="2414">
        <f t="shared" si="6"/>
        <v>0</v>
      </c>
      <c r="U6" s="1480">
        <v>0.3</v>
      </c>
      <c r="V6" s="1480"/>
      <c r="W6" s="1480"/>
      <c r="X6" s="1481">
        <f t="shared" si="7"/>
        <v>0</v>
      </c>
      <c r="Y6" s="1481">
        <f t="shared" si="8"/>
        <v>0</v>
      </c>
      <c r="Z6" s="1481">
        <f t="shared" si="9"/>
        <v>0</v>
      </c>
      <c r="AA6" s="2536">
        <v>1</v>
      </c>
      <c r="AB6" s="2533"/>
      <c r="AD6" s="2457" t="s">
        <v>1701</v>
      </c>
      <c r="AE6" s="2458" t="str">
        <f>IFERROR(INDEX(Liste_Handelsünger[Handelsdünger],_xlfn.AGGREGATE(15,6,(ROW(Liste_Handelsünger[Handelsdünger])-1)/(--(SEARCH(AF$2,Liste_Handelsünger[Handelsdünger])&gt;0)),ROW()-2),1),"")</f>
        <v>AHL in kg   aus Bayern</v>
      </c>
      <c r="AF6" s="2458"/>
      <c r="AG6" s="2458" t="str">
        <f>IFERROR(INDEX(Liste_Handelsünger[Handelsdünger],_xlfn.AGGREGATE(15,6,(ROW(Liste_Handelsünger[Handelsdünger])-1)/(--(SEARCH(AH$2,Liste_Handelsünger[Handelsdünger])&gt;0)),ROW()-2),1),"")</f>
        <v>AHL in kg   aus Bayern</v>
      </c>
      <c r="AI6" t="str">
        <f>IFERROR(INDEX(Liste_Handelsünger[Handelsdünger],_xlfn.AGGREGATE(15,6,(ROW(Liste_Handelsünger[Handelsdünger])-1)/(--(SEARCH(AJ$2,Liste_Handelsünger[Handelsdünger])&gt;0)),ROW()-2),1),"")</f>
        <v>AHL in kg   aus Bayern</v>
      </c>
      <c r="AK6" t="str">
        <f>IFERROR(INDEX(Liste_Handelsünger[Handelsdünger],_xlfn.AGGREGATE(15,6,(ROW(Liste_Handelsünger[Handelsdünger])-1)/(--(SEARCH(AL$2,Liste_Handelsünger[Handelsdünger])&gt;0)),ROW()-2),1),"")</f>
        <v>AHL in kg   aus Bayern</v>
      </c>
      <c r="AM6" t="str">
        <f>IFERROR(INDEX(Liste_Handelsünger[Handelsdünger],_xlfn.AGGREGATE(15,6,(ROW(Liste_Handelsünger[Handelsdünger])-1)/(--(SEARCH(AN$2,Liste_Handelsünger[Handelsdünger])&gt;0)),ROW()-2),1),"")</f>
        <v>AHL in kg   aus Bayern</v>
      </c>
      <c r="AO6" t="str">
        <f>IFERROR(INDEX(Liste_Handelsünger[Handelsdünger],_xlfn.AGGREGATE(15,6,(ROW(Liste_Handelsünger[Handelsdünger])-1)/(--(SEARCH(AP$2,Liste_Handelsünger[Handelsdünger])&gt;0)),ROW()-2),1),"")</f>
        <v>AHL in kg   aus Bayern</v>
      </c>
      <c r="AQ6" t="str">
        <f>IFERROR(INDEX(Liste_Handelsünger[Handelsdünger],_xlfn.AGGREGATE(15,6,(ROW(Liste_Handelsünger[Handelsdünger])-1)/(--(SEARCH(AR$2,Liste_Handelsünger[Handelsdünger])&gt;0)),ROW()-2),1),"")</f>
        <v>AHL in kg   aus Bayern</v>
      </c>
      <c r="AS6" t="str">
        <f>IFERROR(INDEX(Liste_Handelsünger[Handelsdünger],_xlfn.AGGREGATE(15,6,(ROW(Liste_Handelsünger[Handelsdünger])-1)/(--(SEARCH(AT$2,Liste_Handelsünger[Handelsdünger])&gt;0)),ROW()-2),1),"")</f>
        <v>AHL in kg   aus Bayern</v>
      </c>
      <c r="AU6" t="str">
        <f>IFERROR(INDEX(Liste_Handelsünger[Handelsdünger],_xlfn.AGGREGATE(15,6,(ROW(Liste_Handelsünger[Handelsdünger])-1)/(--(SEARCH(AV$2,Liste_Handelsünger[Handelsdünger])&gt;0)),ROW()-2),1),"")</f>
        <v>AHL in kg   aus Bayern</v>
      </c>
      <c r="AW6" t="str">
        <f>IFERROR(INDEX(Liste_Handelsünger[Handelsdünger],_xlfn.AGGREGATE(15,6,(ROW(Liste_Handelsünger[Handelsdünger])-1)/(--(SEARCH(AX$2,Liste_Handelsünger[Handelsdünger])&gt;0)),ROW()-2),1),"")</f>
        <v>AHL in kg   aus Bayern</v>
      </c>
      <c r="AY6" t="str">
        <f>IFERROR(INDEX(Liste_Handelsünger[Handelsdünger],_xlfn.AGGREGATE(15,6,(ROW(Liste_Handelsünger[Handelsdünger])-1)/(--(SEARCH(AZ$2,Liste_Handelsünger[Handelsdünger])&gt;0)),ROW()-2),1),"")</f>
        <v>AHL in kg   aus Bayern</v>
      </c>
      <c r="BA6" t="str">
        <f>IFERROR(INDEX(Liste_Handelsünger[Handelsdünger],_xlfn.AGGREGATE(15,6,(ROW(Liste_Handelsünger[Handelsdünger])-1)/(--(SEARCH(BB$2,Liste_Handelsünger[Handelsdünger])&gt;0)),ROW()-2),1),"")</f>
        <v>AHL in kg   aus Bayern</v>
      </c>
      <c r="BC6" t="str">
        <f>IFERROR(INDEX(Liste_Handelsünger[Handelsdünger],_xlfn.AGGREGATE(15,6,(ROW(Liste_Handelsünger[Handelsdünger])-1)/(--(SEARCH(BD$2,Liste_Handelsünger[Handelsdünger])&gt;0)),ROW()-2),1),"")</f>
        <v>AHL in kg   aus Bayern</v>
      </c>
      <c r="BE6" t="str">
        <f>IFERROR(INDEX(Liste_Handelsünger[Handelsdünger],_xlfn.AGGREGATE(15,6,(ROW(Liste_Handelsünger[Handelsdünger])-1)/(--(SEARCH(BF$2,Liste_Handelsünger[Handelsdünger])&gt;0)),ROW()-2),1),"")</f>
        <v>AHL in kg   aus Bayern</v>
      </c>
      <c r="BG6" t="str">
        <f>IFERROR(INDEX(Liste_Handelsünger[Handelsdünger],_xlfn.AGGREGATE(15,6,(ROW(Liste_Handelsünger[Handelsdünger])-1)/(--(SEARCH(BH$2,Liste_Handelsünger[Handelsdünger])&gt;0)),ROW()-2),1),"")</f>
        <v>AHL in kg   aus Bayern</v>
      </c>
      <c r="BJ6" s="2533">
        <v>5</v>
      </c>
      <c r="BK6" s="2534">
        <f>COUNTIF(Liste_Handelsünger[Handelsdünger],$A6)</f>
        <v>0</v>
      </c>
    </row>
    <row r="7" spans="1:63" ht="21.75" customHeight="1">
      <c r="A7" s="1150"/>
      <c r="B7" s="1477">
        <f>IF(ISNA(VLOOKUP(Mineral!A7,Tabelle1!$C$179:$Q$203,15,0)),0,VLOOKUP(Mineral!A7,Tabelle1!$C$179:$Q$203,15,0))</f>
        <v>0</v>
      </c>
      <c r="C7" s="2435"/>
      <c r="D7" s="1480" t="str">
        <f t="shared" si="0"/>
        <v/>
      </c>
      <c r="E7" s="1480" t="str">
        <f t="shared" si="1"/>
        <v/>
      </c>
      <c r="F7" s="1480" t="str">
        <f t="shared" si="2"/>
        <v/>
      </c>
      <c r="G7" s="1481">
        <f t="shared" si="3"/>
        <v>0</v>
      </c>
      <c r="H7" s="1481">
        <f t="shared" si="4"/>
        <v>0</v>
      </c>
      <c r="I7" s="1481">
        <f t="shared" si="5"/>
        <v>0</v>
      </c>
      <c r="J7" s="1941">
        <v>1</v>
      </c>
      <c r="L7" s="1948" t="s">
        <v>792</v>
      </c>
      <c r="M7" s="1484">
        <f>IFERROR('Kali u Kosten'!L6,0)</f>
        <v>0</v>
      </c>
      <c r="R7" s="1943" t="s">
        <v>1703</v>
      </c>
      <c r="S7" s="1477"/>
      <c r="T7" s="2414">
        <f t="shared" si="6"/>
        <v>0</v>
      </c>
      <c r="U7" s="1480">
        <v>0.21</v>
      </c>
      <c r="V7" s="1480"/>
      <c r="W7" s="1480"/>
      <c r="X7" s="1481">
        <f t="shared" si="7"/>
        <v>0</v>
      </c>
      <c r="Y7" s="1481">
        <f t="shared" si="8"/>
        <v>0</v>
      </c>
      <c r="Z7" s="1481">
        <f t="shared" si="9"/>
        <v>0</v>
      </c>
      <c r="AA7" s="2536">
        <v>1</v>
      </c>
      <c r="AB7" s="2533"/>
      <c r="AD7" s="2457" t="s">
        <v>1703</v>
      </c>
      <c r="AE7" s="2443" t="str">
        <f>IFERROR(INDEX(Liste_Handelsünger[Handelsdünger],_xlfn.AGGREGATE(15,6,(ROW(Liste_Handelsünger[Handelsdünger])-1)/(--(SEARCH(AF$2,Liste_Handelsünger[Handelsdünger])&gt;0)),ROW()-2),1),"")</f>
        <v>SSA</v>
      </c>
      <c r="AF7" s="2443"/>
      <c r="AG7" s="2443" t="str">
        <f>IFERROR(INDEX(Liste_Handelsünger[Handelsdünger],_xlfn.AGGREGATE(15,6,(ROW(Liste_Handelsünger[Handelsdünger])-1)/(--(SEARCH(AH$2,Liste_Handelsünger[Handelsdünger])&gt;0)),ROW()-2),1),"")</f>
        <v>SSA</v>
      </c>
      <c r="AI7" t="str">
        <f>IFERROR(INDEX(Liste_Handelsünger[Handelsdünger],_xlfn.AGGREGATE(15,6,(ROW(Liste_Handelsünger[Handelsdünger])-1)/(--(SEARCH(AJ$2,Liste_Handelsünger[Handelsdünger])&gt;0)),ROW()-2),1),"")</f>
        <v>SSA</v>
      </c>
      <c r="AK7" t="str">
        <f>IFERROR(INDEX(Liste_Handelsünger[Handelsdünger],_xlfn.AGGREGATE(15,6,(ROW(Liste_Handelsünger[Handelsdünger])-1)/(--(SEARCH(AL$2,Liste_Handelsünger[Handelsdünger])&gt;0)),ROW()-2),1),"")</f>
        <v>SSA</v>
      </c>
      <c r="AM7" t="str">
        <f>IFERROR(INDEX(Liste_Handelsünger[Handelsdünger],_xlfn.AGGREGATE(15,6,(ROW(Liste_Handelsünger[Handelsdünger])-1)/(--(SEARCH(AN$2,Liste_Handelsünger[Handelsdünger])&gt;0)),ROW()-2),1),"")</f>
        <v>SSA</v>
      </c>
      <c r="AO7" t="str">
        <f>IFERROR(INDEX(Liste_Handelsünger[Handelsdünger],_xlfn.AGGREGATE(15,6,(ROW(Liste_Handelsünger[Handelsdünger])-1)/(--(SEARCH(AP$2,Liste_Handelsünger[Handelsdünger])&gt;0)),ROW()-2),1),"")</f>
        <v>SSA</v>
      </c>
      <c r="AQ7" t="str">
        <f>IFERROR(INDEX(Liste_Handelsünger[Handelsdünger],_xlfn.AGGREGATE(15,6,(ROW(Liste_Handelsünger[Handelsdünger])-1)/(--(SEARCH(AR$2,Liste_Handelsünger[Handelsdünger])&gt;0)),ROW()-2),1),"")</f>
        <v>SSA</v>
      </c>
      <c r="AS7" t="str">
        <f>IFERROR(INDEX(Liste_Handelsünger[Handelsdünger],_xlfn.AGGREGATE(15,6,(ROW(Liste_Handelsünger[Handelsdünger])-1)/(--(SEARCH(AT$2,Liste_Handelsünger[Handelsdünger])&gt;0)),ROW()-2),1),"")</f>
        <v>SSA</v>
      </c>
      <c r="AU7" t="str">
        <f>IFERROR(INDEX(Liste_Handelsünger[Handelsdünger],_xlfn.AGGREGATE(15,6,(ROW(Liste_Handelsünger[Handelsdünger])-1)/(--(SEARCH(AV$2,Liste_Handelsünger[Handelsdünger])&gt;0)),ROW()-2),1),"")</f>
        <v>SSA</v>
      </c>
      <c r="AW7" t="str">
        <f>IFERROR(INDEX(Liste_Handelsünger[Handelsdünger],_xlfn.AGGREGATE(15,6,(ROW(Liste_Handelsünger[Handelsdünger])-1)/(--(SEARCH(AX$2,Liste_Handelsünger[Handelsdünger])&gt;0)),ROW()-2),1),"")</f>
        <v>SSA</v>
      </c>
      <c r="AY7" t="str">
        <f>IFERROR(INDEX(Liste_Handelsünger[Handelsdünger],_xlfn.AGGREGATE(15,6,(ROW(Liste_Handelsünger[Handelsdünger])-1)/(--(SEARCH(AZ$2,Liste_Handelsünger[Handelsdünger])&gt;0)),ROW()-2),1),"")</f>
        <v>SSA</v>
      </c>
      <c r="BA7" t="str">
        <f>IFERROR(INDEX(Liste_Handelsünger[Handelsdünger],_xlfn.AGGREGATE(15,6,(ROW(Liste_Handelsünger[Handelsdünger])-1)/(--(SEARCH(BB$2,Liste_Handelsünger[Handelsdünger])&gt;0)),ROW()-2),1),"")</f>
        <v>SSA</v>
      </c>
      <c r="BC7" t="str">
        <f>IFERROR(INDEX(Liste_Handelsünger[Handelsdünger],_xlfn.AGGREGATE(15,6,(ROW(Liste_Handelsünger[Handelsdünger])-1)/(--(SEARCH(BD$2,Liste_Handelsünger[Handelsdünger])&gt;0)),ROW()-2),1),"")</f>
        <v>SSA</v>
      </c>
      <c r="BE7" t="str">
        <f>IFERROR(INDEX(Liste_Handelsünger[Handelsdünger],_xlfn.AGGREGATE(15,6,(ROW(Liste_Handelsünger[Handelsdünger])-1)/(--(SEARCH(BF$2,Liste_Handelsünger[Handelsdünger])&gt;0)),ROW()-2),1),"")</f>
        <v>SSA</v>
      </c>
      <c r="BG7" t="str">
        <f>IFERROR(INDEX(Liste_Handelsünger[Handelsdünger],_xlfn.AGGREGATE(15,6,(ROW(Liste_Handelsünger[Handelsdünger])-1)/(--(SEARCH(BH$2,Liste_Handelsünger[Handelsdünger])&gt;0)),ROW()-2),1),"")</f>
        <v>SSA</v>
      </c>
      <c r="BJ7" s="2533">
        <v>6</v>
      </c>
      <c r="BK7" s="2534">
        <f>COUNTIF(Liste_Handelsünger[Handelsdünger],$A7)</f>
        <v>0</v>
      </c>
    </row>
    <row r="8" spans="1:63" ht="21.75" customHeight="1">
      <c r="A8" s="1150"/>
      <c r="B8" s="1477">
        <f>IF(ISNA(VLOOKUP(Mineral!A8,Tabelle1!$C$179:$Q$203,15,0)),0,VLOOKUP(Mineral!A8,Tabelle1!$C$179:$Q$203,15,0))</f>
        <v>0</v>
      </c>
      <c r="C8" s="2435"/>
      <c r="D8" s="1480" t="str">
        <f t="shared" si="0"/>
        <v/>
      </c>
      <c r="E8" s="1480" t="str">
        <f t="shared" si="1"/>
        <v/>
      </c>
      <c r="F8" s="1480" t="str">
        <f t="shared" si="2"/>
        <v/>
      </c>
      <c r="G8" s="1481">
        <f t="shared" si="3"/>
        <v>0</v>
      </c>
      <c r="H8" s="1481">
        <f t="shared" si="4"/>
        <v>0</v>
      </c>
      <c r="I8" s="1481">
        <f t="shared" si="5"/>
        <v>0</v>
      </c>
      <c r="J8" s="1941">
        <v>1</v>
      </c>
      <c r="R8" s="1943" t="s">
        <v>1706</v>
      </c>
      <c r="S8" s="1477"/>
      <c r="T8" s="2414">
        <f t="shared" si="6"/>
        <v>0</v>
      </c>
      <c r="U8" s="1480">
        <v>0.33</v>
      </c>
      <c r="V8" s="1480"/>
      <c r="W8" s="1480"/>
      <c r="X8" s="1481">
        <f t="shared" si="7"/>
        <v>0</v>
      </c>
      <c r="Y8" s="1481">
        <f t="shared" si="8"/>
        <v>0</v>
      </c>
      <c r="Z8" s="1481">
        <f t="shared" si="9"/>
        <v>0</v>
      </c>
      <c r="AA8" s="2536">
        <v>1</v>
      </c>
      <c r="AB8" s="2533"/>
      <c r="AD8" s="2457" t="s">
        <v>1706</v>
      </c>
      <c r="AE8" s="2458" t="str">
        <f>IFERROR(INDEX(Liste_Handelsünger[Handelsdünger],_xlfn.AGGREGATE(15,6,(ROW(Liste_Handelsünger[Handelsdünger])-1)/(--(SEARCH(AF$2,Liste_Handelsünger[Handelsdünger])&gt;0)),ROW()-2),1),"")</f>
        <v>Piamon</v>
      </c>
      <c r="AF8" s="2458"/>
      <c r="AG8" s="2458" t="str">
        <f>IFERROR(INDEX(Liste_Handelsünger[Handelsdünger],_xlfn.AGGREGATE(15,6,(ROW(Liste_Handelsünger[Handelsdünger])-1)/(--(SEARCH(AH$2,Liste_Handelsünger[Handelsdünger])&gt;0)),ROW()-2),1),"")</f>
        <v>Piamon</v>
      </c>
      <c r="AI8" t="str">
        <f>IFERROR(INDEX(Liste_Handelsünger[Handelsdünger],_xlfn.AGGREGATE(15,6,(ROW(Liste_Handelsünger[Handelsdünger])-1)/(--(SEARCH(AJ$2,Liste_Handelsünger[Handelsdünger])&gt;0)),ROW()-2),1),"")</f>
        <v>Piamon</v>
      </c>
      <c r="AK8" t="str">
        <f>IFERROR(INDEX(Liste_Handelsünger[Handelsdünger],_xlfn.AGGREGATE(15,6,(ROW(Liste_Handelsünger[Handelsdünger])-1)/(--(SEARCH(AL$2,Liste_Handelsünger[Handelsdünger])&gt;0)),ROW()-2),1),"")</f>
        <v>Piamon</v>
      </c>
      <c r="AM8" t="str">
        <f>IFERROR(INDEX(Liste_Handelsünger[Handelsdünger],_xlfn.AGGREGATE(15,6,(ROW(Liste_Handelsünger[Handelsdünger])-1)/(--(SEARCH(AN$2,Liste_Handelsünger[Handelsdünger])&gt;0)),ROW()-2),1),"")</f>
        <v>Piamon</v>
      </c>
      <c r="AO8" t="str">
        <f>IFERROR(INDEX(Liste_Handelsünger[Handelsdünger],_xlfn.AGGREGATE(15,6,(ROW(Liste_Handelsünger[Handelsdünger])-1)/(--(SEARCH(AP$2,Liste_Handelsünger[Handelsdünger])&gt;0)),ROW()-2),1),"")</f>
        <v>Piamon</v>
      </c>
      <c r="AQ8" t="str">
        <f>IFERROR(INDEX(Liste_Handelsünger[Handelsdünger],_xlfn.AGGREGATE(15,6,(ROW(Liste_Handelsünger[Handelsdünger])-1)/(--(SEARCH(AR$2,Liste_Handelsünger[Handelsdünger])&gt;0)),ROW()-2),1),"")</f>
        <v>Piamon</v>
      </c>
      <c r="AS8" t="str">
        <f>IFERROR(INDEX(Liste_Handelsünger[Handelsdünger],_xlfn.AGGREGATE(15,6,(ROW(Liste_Handelsünger[Handelsdünger])-1)/(--(SEARCH(AT$2,Liste_Handelsünger[Handelsdünger])&gt;0)),ROW()-2),1),"")</f>
        <v>Piamon</v>
      </c>
      <c r="AU8" t="str">
        <f>IFERROR(INDEX(Liste_Handelsünger[Handelsdünger],_xlfn.AGGREGATE(15,6,(ROW(Liste_Handelsünger[Handelsdünger])-1)/(--(SEARCH(AV$2,Liste_Handelsünger[Handelsdünger])&gt;0)),ROW()-2),1),"")</f>
        <v>Piamon</v>
      </c>
      <c r="AW8" t="str">
        <f>IFERROR(INDEX(Liste_Handelsünger[Handelsdünger],_xlfn.AGGREGATE(15,6,(ROW(Liste_Handelsünger[Handelsdünger])-1)/(--(SEARCH(AX$2,Liste_Handelsünger[Handelsdünger])&gt;0)),ROW()-2),1),"")</f>
        <v>Piamon</v>
      </c>
      <c r="AY8" t="str">
        <f>IFERROR(INDEX(Liste_Handelsünger[Handelsdünger],_xlfn.AGGREGATE(15,6,(ROW(Liste_Handelsünger[Handelsdünger])-1)/(--(SEARCH(AZ$2,Liste_Handelsünger[Handelsdünger])&gt;0)),ROW()-2),1),"")</f>
        <v>Piamon</v>
      </c>
      <c r="BA8" t="str">
        <f>IFERROR(INDEX(Liste_Handelsünger[Handelsdünger],_xlfn.AGGREGATE(15,6,(ROW(Liste_Handelsünger[Handelsdünger])-1)/(--(SEARCH(BB$2,Liste_Handelsünger[Handelsdünger])&gt;0)),ROW()-2),1),"")</f>
        <v>Piamon</v>
      </c>
      <c r="BC8" t="str">
        <f>IFERROR(INDEX(Liste_Handelsünger[Handelsdünger],_xlfn.AGGREGATE(15,6,(ROW(Liste_Handelsünger[Handelsdünger])-1)/(--(SEARCH(BD$2,Liste_Handelsünger[Handelsdünger])&gt;0)),ROW()-2),1),"")</f>
        <v>Piamon</v>
      </c>
      <c r="BE8" t="str">
        <f>IFERROR(INDEX(Liste_Handelsünger[Handelsdünger],_xlfn.AGGREGATE(15,6,(ROW(Liste_Handelsünger[Handelsdünger])-1)/(--(SEARCH(BF$2,Liste_Handelsünger[Handelsdünger])&gt;0)),ROW()-2),1),"")</f>
        <v>Piamon</v>
      </c>
      <c r="BG8" t="str">
        <f>IFERROR(INDEX(Liste_Handelsünger[Handelsdünger],_xlfn.AGGREGATE(15,6,(ROW(Liste_Handelsünger[Handelsdünger])-1)/(--(SEARCH(BH$2,Liste_Handelsünger[Handelsdünger])&gt;0)),ROW()-2),1),"")</f>
        <v>Piamon</v>
      </c>
      <c r="BJ8" s="2533">
        <v>7</v>
      </c>
      <c r="BK8" s="2534">
        <f>COUNTIF(Liste_Handelsünger[Handelsdünger],$A8)</f>
        <v>0</v>
      </c>
    </row>
    <row r="9" spans="1:63" ht="21.75" customHeight="1">
      <c r="A9" s="1150"/>
      <c r="B9" s="1477">
        <f>IF(ISNA(VLOOKUP(Mineral!A9,Tabelle1!$C$179:$Q$203,15,0)),0,VLOOKUP(Mineral!A9,Tabelle1!$C$179:$Q$203,15,0))</f>
        <v>0</v>
      </c>
      <c r="C9" s="2435"/>
      <c r="D9" s="1480" t="str">
        <f t="shared" si="0"/>
        <v/>
      </c>
      <c r="E9" s="1480" t="str">
        <f t="shared" si="1"/>
        <v/>
      </c>
      <c r="F9" s="1480" t="str">
        <f t="shared" si="2"/>
        <v/>
      </c>
      <c r="G9" s="1481">
        <f t="shared" si="3"/>
        <v>0</v>
      </c>
      <c r="H9" s="1481">
        <f t="shared" si="4"/>
        <v>0</v>
      </c>
      <c r="I9" s="1481">
        <f t="shared" si="5"/>
        <v>0</v>
      </c>
      <c r="J9" s="1941">
        <v>1</v>
      </c>
      <c r="N9" s="458"/>
      <c r="O9" s="2417"/>
      <c r="R9" s="1943" t="s">
        <v>1708</v>
      </c>
      <c r="S9" s="1477"/>
      <c r="T9" s="2414">
        <f t="shared" si="6"/>
        <v>0</v>
      </c>
      <c r="U9" s="1480">
        <v>0.2</v>
      </c>
      <c r="V9" s="1480"/>
      <c r="W9" s="1480"/>
      <c r="X9" s="1481">
        <f t="shared" si="7"/>
        <v>0</v>
      </c>
      <c r="Y9" s="1481">
        <f t="shared" si="8"/>
        <v>0</v>
      </c>
      <c r="Z9" s="1481">
        <f t="shared" si="9"/>
        <v>0</v>
      </c>
      <c r="AA9" s="2536">
        <v>1</v>
      </c>
      <c r="AB9" s="2533"/>
      <c r="AD9" s="2457" t="s">
        <v>1708</v>
      </c>
      <c r="AE9" s="2443" t="str">
        <f>IFERROR(INDEX(Liste_Handelsünger[Handelsdünger],_xlfn.AGGREGATE(15,6,(ROW(Liste_Handelsünger[Handelsdünger])-1)/(--(SEARCH(AF$2,Liste_Handelsünger[Handelsdünger])&gt;0)),ROW()-2),1),"")</f>
        <v>Kalkstickstoff</v>
      </c>
      <c r="AF9" s="2443"/>
      <c r="AG9" s="2443" t="str">
        <f>IFERROR(INDEX(Liste_Handelsünger[Handelsdünger],_xlfn.AGGREGATE(15,6,(ROW(Liste_Handelsünger[Handelsdünger])-1)/(--(SEARCH(AH$2,Liste_Handelsünger[Handelsdünger])&gt;0)),ROW()-2),1),"")</f>
        <v>Kalkstickstoff</v>
      </c>
      <c r="AI9" t="str">
        <f>IFERROR(INDEX(Liste_Handelsünger[Handelsdünger],_xlfn.AGGREGATE(15,6,(ROW(Liste_Handelsünger[Handelsdünger])-1)/(--(SEARCH(AJ$2,Liste_Handelsünger[Handelsdünger])&gt;0)),ROW()-2),1),"")</f>
        <v>Kalkstickstoff</v>
      </c>
      <c r="AK9" t="str">
        <f>IFERROR(INDEX(Liste_Handelsünger[Handelsdünger],_xlfn.AGGREGATE(15,6,(ROW(Liste_Handelsünger[Handelsdünger])-1)/(--(SEARCH(AL$2,Liste_Handelsünger[Handelsdünger])&gt;0)),ROW()-2),1),"")</f>
        <v>Kalkstickstoff</v>
      </c>
      <c r="AM9" t="str">
        <f>IFERROR(INDEX(Liste_Handelsünger[Handelsdünger],_xlfn.AGGREGATE(15,6,(ROW(Liste_Handelsünger[Handelsdünger])-1)/(--(SEARCH(AN$2,Liste_Handelsünger[Handelsdünger])&gt;0)),ROW()-2),1),"")</f>
        <v>Kalkstickstoff</v>
      </c>
      <c r="AO9" t="str">
        <f>IFERROR(INDEX(Liste_Handelsünger[Handelsdünger],_xlfn.AGGREGATE(15,6,(ROW(Liste_Handelsünger[Handelsdünger])-1)/(--(SEARCH(AP$2,Liste_Handelsünger[Handelsdünger])&gt;0)),ROW()-2),1),"")</f>
        <v>Kalkstickstoff</v>
      </c>
      <c r="AQ9" t="str">
        <f>IFERROR(INDEX(Liste_Handelsünger[Handelsdünger],_xlfn.AGGREGATE(15,6,(ROW(Liste_Handelsünger[Handelsdünger])-1)/(--(SEARCH(AR$2,Liste_Handelsünger[Handelsdünger])&gt;0)),ROW()-2),1),"")</f>
        <v>Kalkstickstoff</v>
      </c>
      <c r="AS9" t="str">
        <f>IFERROR(INDEX(Liste_Handelsünger[Handelsdünger],_xlfn.AGGREGATE(15,6,(ROW(Liste_Handelsünger[Handelsdünger])-1)/(--(SEARCH(AT$2,Liste_Handelsünger[Handelsdünger])&gt;0)),ROW()-2),1),"")</f>
        <v>Kalkstickstoff</v>
      </c>
      <c r="AU9" t="str">
        <f>IFERROR(INDEX(Liste_Handelsünger[Handelsdünger],_xlfn.AGGREGATE(15,6,(ROW(Liste_Handelsünger[Handelsdünger])-1)/(--(SEARCH(AV$2,Liste_Handelsünger[Handelsdünger])&gt;0)),ROW()-2),1),"")</f>
        <v>Kalkstickstoff</v>
      </c>
      <c r="AW9" t="str">
        <f>IFERROR(INDEX(Liste_Handelsünger[Handelsdünger],_xlfn.AGGREGATE(15,6,(ROW(Liste_Handelsünger[Handelsdünger])-1)/(--(SEARCH(AX$2,Liste_Handelsünger[Handelsdünger])&gt;0)),ROW()-2),1),"")</f>
        <v>Kalkstickstoff</v>
      </c>
      <c r="AY9" t="str">
        <f>IFERROR(INDEX(Liste_Handelsünger[Handelsdünger],_xlfn.AGGREGATE(15,6,(ROW(Liste_Handelsünger[Handelsdünger])-1)/(--(SEARCH(AZ$2,Liste_Handelsünger[Handelsdünger])&gt;0)),ROW()-2),1),"")</f>
        <v>Kalkstickstoff</v>
      </c>
      <c r="BA9" t="str">
        <f>IFERROR(INDEX(Liste_Handelsünger[Handelsdünger],_xlfn.AGGREGATE(15,6,(ROW(Liste_Handelsünger[Handelsdünger])-1)/(--(SEARCH(BB$2,Liste_Handelsünger[Handelsdünger])&gt;0)),ROW()-2),1),"")</f>
        <v>Kalkstickstoff</v>
      </c>
      <c r="BC9" t="str">
        <f>IFERROR(INDEX(Liste_Handelsünger[Handelsdünger],_xlfn.AGGREGATE(15,6,(ROW(Liste_Handelsünger[Handelsdünger])-1)/(--(SEARCH(BD$2,Liste_Handelsünger[Handelsdünger])&gt;0)),ROW()-2),1),"")</f>
        <v>Kalkstickstoff</v>
      </c>
      <c r="BE9" t="str">
        <f>IFERROR(INDEX(Liste_Handelsünger[Handelsdünger],_xlfn.AGGREGATE(15,6,(ROW(Liste_Handelsünger[Handelsdünger])-1)/(--(SEARCH(BF$2,Liste_Handelsünger[Handelsdünger])&gt;0)),ROW()-2),1),"")</f>
        <v>Kalkstickstoff</v>
      </c>
      <c r="BG9" t="str">
        <f>IFERROR(INDEX(Liste_Handelsünger[Handelsdünger],_xlfn.AGGREGATE(15,6,(ROW(Liste_Handelsünger[Handelsdünger])-1)/(--(SEARCH(BH$2,Liste_Handelsünger[Handelsdünger])&gt;0)),ROW()-2),1),"")</f>
        <v>Kalkstickstoff</v>
      </c>
      <c r="BJ9" s="2533">
        <v>8</v>
      </c>
      <c r="BK9" s="2534">
        <f>COUNTIF(Liste_Handelsünger[Handelsdünger],$A9)</f>
        <v>0</v>
      </c>
    </row>
    <row r="10" spans="1:63" ht="21.75" customHeight="1">
      <c r="A10" s="1150"/>
      <c r="B10" s="1477">
        <f>IF(ISNA(VLOOKUP(Mineral!A10,Tabelle1!$C$179:$Q$203,15,0)),0,VLOOKUP(Mineral!A10,Tabelle1!$C$179:$Q$203,15,0))</f>
        <v>0</v>
      </c>
      <c r="C10" s="2435"/>
      <c r="D10" s="1480" t="str">
        <f t="shared" si="0"/>
        <v/>
      </c>
      <c r="E10" s="1480" t="str">
        <f t="shared" si="1"/>
        <v/>
      </c>
      <c r="F10" s="1480" t="str">
        <f t="shared" si="2"/>
        <v/>
      </c>
      <c r="G10" s="1481">
        <f t="shared" si="3"/>
        <v>0</v>
      </c>
      <c r="H10" s="1481">
        <f t="shared" si="4"/>
        <v>0</v>
      </c>
      <c r="I10" s="1481">
        <f t="shared" si="5"/>
        <v>0</v>
      </c>
      <c r="J10" s="1941">
        <v>1</v>
      </c>
      <c r="N10" s="458"/>
      <c r="O10" s="458"/>
      <c r="R10" s="1943" t="s">
        <v>1710</v>
      </c>
      <c r="S10" s="1477"/>
      <c r="T10" s="2414">
        <f t="shared" si="6"/>
        <v>0</v>
      </c>
      <c r="U10" s="1480"/>
      <c r="V10" s="1480">
        <v>0.28999999999999998</v>
      </c>
      <c r="W10" s="1480"/>
      <c r="X10" s="1481">
        <f t="shared" si="7"/>
        <v>0</v>
      </c>
      <c r="Y10" s="1481">
        <f t="shared" si="8"/>
        <v>0</v>
      </c>
      <c r="Z10" s="1481">
        <f t="shared" si="9"/>
        <v>0</v>
      </c>
      <c r="AA10" s="2536">
        <v>1</v>
      </c>
      <c r="AB10" s="2533"/>
      <c r="AD10" s="2457" t="s">
        <v>1710</v>
      </c>
      <c r="AE10" s="2458" t="str">
        <f>IFERROR(INDEX(Liste_Handelsünger[Handelsdünger],_xlfn.AGGREGATE(15,6,(ROW(Liste_Handelsünger[Handelsdünger])-1)/(--(SEARCH(AF$2,Liste_Handelsünger[Handelsdünger])&gt;0)),ROW()-2),1),"")</f>
        <v>Hyper fein</v>
      </c>
      <c r="AF10" s="2458"/>
      <c r="AG10" s="2458" t="str">
        <f>IFERROR(INDEX(Liste_Handelsünger[Handelsdünger],_xlfn.AGGREGATE(15,6,(ROW(Liste_Handelsünger[Handelsdünger])-1)/(--(SEARCH(AH$2,Liste_Handelsünger[Handelsdünger])&gt;0)),ROW()-2),1),"")</f>
        <v>Hyper fein</v>
      </c>
      <c r="AI10" t="str">
        <f>IFERROR(INDEX(Liste_Handelsünger[Handelsdünger],_xlfn.AGGREGATE(15,6,(ROW(Liste_Handelsünger[Handelsdünger])-1)/(--(SEARCH(AJ$2,Liste_Handelsünger[Handelsdünger])&gt;0)),ROW()-2),1),"")</f>
        <v>Hyper fein</v>
      </c>
      <c r="AK10" t="str">
        <f>IFERROR(INDEX(Liste_Handelsünger[Handelsdünger],_xlfn.AGGREGATE(15,6,(ROW(Liste_Handelsünger[Handelsdünger])-1)/(--(SEARCH(AL$2,Liste_Handelsünger[Handelsdünger])&gt;0)),ROW()-2),1),"")</f>
        <v>Hyper fein</v>
      </c>
      <c r="AM10" t="str">
        <f>IFERROR(INDEX(Liste_Handelsünger[Handelsdünger],_xlfn.AGGREGATE(15,6,(ROW(Liste_Handelsünger[Handelsdünger])-1)/(--(SEARCH(AN$2,Liste_Handelsünger[Handelsdünger])&gt;0)),ROW()-2),1),"")</f>
        <v>Hyper fein</v>
      </c>
      <c r="AO10" t="str">
        <f>IFERROR(INDEX(Liste_Handelsünger[Handelsdünger],_xlfn.AGGREGATE(15,6,(ROW(Liste_Handelsünger[Handelsdünger])-1)/(--(SEARCH(AP$2,Liste_Handelsünger[Handelsdünger])&gt;0)),ROW()-2),1),"")</f>
        <v>Hyper fein</v>
      </c>
      <c r="AQ10" t="str">
        <f>IFERROR(INDEX(Liste_Handelsünger[Handelsdünger],_xlfn.AGGREGATE(15,6,(ROW(Liste_Handelsünger[Handelsdünger])-1)/(--(SEARCH(AR$2,Liste_Handelsünger[Handelsdünger])&gt;0)),ROW()-2),1),"")</f>
        <v>Hyper fein</v>
      </c>
      <c r="AS10" t="str">
        <f>IFERROR(INDEX(Liste_Handelsünger[Handelsdünger],_xlfn.AGGREGATE(15,6,(ROW(Liste_Handelsünger[Handelsdünger])-1)/(--(SEARCH(AT$2,Liste_Handelsünger[Handelsdünger])&gt;0)),ROW()-2),1),"")</f>
        <v>Hyper fein</v>
      </c>
      <c r="AU10" t="str">
        <f>IFERROR(INDEX(Liste_Handelsünger[Handelsdünger],_xlfn.AGGREGATE(15,6,(ROW(Liste_Handelsünger[Handelsdünger])-1)/(--(SEARCH(AV$2,Liste_Handelsünger[Handelsdünger])&gt;0)),ROW()-2),1),"")</f>
        <v>Hyper fein</v>
      </c>
      <c r="AW10" t="str">
        <f>IFERROR(INDEX(Liste_Handelsünger[Handelsdünger],_xlfn.AGGREGATE(15,6,(ROW(Liste_Handelsünger[Handelsdünger])-1)/(--(SEARCH(AX$2,Liste_Handelsünger[Handelsdünger])&gt;0)),ROW()-2),1),"")</f>
        <v>Hyper fein</v>
      </c>
      <c r="AY10" t="str">
        <f>IFERROR(INDEX(Liste_Handelsünger[Handelsdünger],_xlfn.AGGREGATE(15,6,(ROW(Liste_Handelsünger[Handelsdünger])-1)/(--(SEARCH(AZ$2,Liste_Handelsünger[Handelsdünger])&gt;0)),ROW()-2),1),"")</f>
        <v>Hyper fein</v>
      </c>
      <c r="BA10" t="str">
        <f>IFERROR(INDEX(Liste_Handelsünger[Handelsdünger],_xlfn.AGGREGATE(15,6,(ROW(Liste_Handelsünger[Handelsdünger])-1)/(--(SEARCH(BB$2,Liste_Handelsünger[Handelsdünger])&gt;0)),ROW()-2),1),"")</f>
        <v>Hyper fein</v>
      </c>
      <c r="BC10" t="str">
        <f>IFERROR(INDEX(Liste_Handelsünger[Handelsdünger],_xlfn.AGGREGATE(15,6,(ROW(Liste_Handelsünger[Handelsdünger])-1)/(--(SEARCH(BD$2,Liste_Handelsünger[Handelsdünger])&gt;0)),ROW()-2),1),"")</f>
        <v>Hyper fein</v>
      </c>
      <c r="BE10" t="str">
        <f>IFERROR(INDEX(Liste_Handelsünger[Handelsdünger],_xlfn.AGGREGATE(15,6,(ROW(Liste_Handelsünger[Handelsdünger])-1)/(--(SEARCH(BF$2,Liste_Handelsünger[Handelsdünger])&gt;0)),ROW()-2),1),"")</f>
        <v>Hyper fein</v>
      </c>
      <c r="BG10" t="str">
        <f>IFERROR(INDEX(Liste_Handelsünger[Handelsdünger],_xlfn.AGGREGATE(15,6,(ROW(Liste_Handelsünger[Handelsdünger])-1)/(--(SEARCH(BH$2,Liste_Handelsünger[Handelsdünger])&gt;0)),ROW()-2),1),"")</f>
        <v>Hyper fein</v>
      </c>
      <c r="BJ10" s="2533">
        <v>9</v>
      </c>
      <c r="BK10" s="2534">
        <f>COUNTIF(Liste_Handelsünger[Handelsdünger],$A10)</f>
        <v>0</v>
      </c>
    </row>
    <row r="11" spans="1:63" ht="21.75" customHeight="1">
      <c r="A11" s="1150"/>
      <c r="B11" s="1477">
        <f>IF(ISNA(VLOOKUP(Mineral!A11,Tabelle1!$C$179:$Q$203,15,0)),0,VLOOKUP(Mineral!A11,Tabelle1!$C$179:$Q$203,15,0))</f>
        <v>0</v>
      </c>
      <c r="C11" s="2435"/>
      <c r="D11" s="1480" t="str">
        <f t="shared" si="0"/>
        <v/>
      </c>
      <c r="E11" s="1480" t="str">
        <f t="shared" si="1"/>
        <v/>
      </c>
      <c r="F11" s="1480" t="str">
        <f t="shared" si="2"/>
        <v/>
      </c>
      <c r="G11" s="1481">
        <f t="shared" si="3"/>
        <v>0</v>
      </c>
      <c r="H11" s="1481">
        <f t="shared" si="4"/>
        <v>0</v>
      </c>
      <c r="I11" s="1481">
        <f t="shared" si="5"/>
        <v>0</v>
      </c>
      <c r="J11" s="1941">
        <v>1</v>
      </c>
      <c r="N11" s="458"/>
      <c r="O11" s="458"/>
      <c r="R11" s="1943" t="s">
        <v>1705</v>
      </c>
      <c r="S11" s="1477"/>
      <c r="T11" s="2414">
        <f t="shared" si="6"/>
        <v>0</v>
      </c>
      <c r="U11" s="1480"/>
      <c r="V11" s="1480">
        <v>0.26</v>
      </c>
      <c r="W11" s="1480"/>
      <c r="X11" s="1481">
        <f t="shared" si="7"/>
        <v>0</v>
      </c>
      <c r="Y11" s="1481">
        <f t="shared" si="8"/>
        <v>0</v>
      </c>
      <c r="Z11" s="1481">
        <f t="shared" si="9"/>
        <v>0</v>
      </c>
      <c r="AA11" s="2536">
        <v>1</v>
      </c>
      <c r="AB11" s="2533"/>
      <c r="AD11" s="2457" t="s">
        <v>1705</v>
      </c>
      <c r="AE11" s="2443" t="str">
        <f>IFERROR(INDEX(Liste_Handelsünger[Handelsdünger],_xlfn.AGGREGATE(15,6,(ROW(Liste_Handelsünger[Handelsdünger])-1)/(--(SEARCH(AF$2,Liste_Handelsünger[Handelsdünger])&gt;0)),ROW()-2),1),"")</f>
        <v>Hyperkorn</v>
      </c>
      <c r="AF11" s="2443"/>
      <c r="AG11" s="2443" t="str">
        <f>IFERROR(INDEX(Liste_Handelsünger[Handelsdünger],_xlfn.AGGREGATE(15,6,(ROW(Liste_Handelsünger[Handelsdünger])-1)/(--(SEARCH(AH$2,Liste_Handelsünger[Handelsdünger])&gt;0)),ROW()-2),1),"")</f>
        <v>Hyperkorn</v>
      </c>
      <c r="AI11" t="str">
        <f>IFERROR(INDEX(Liste_Handelsünger[Handelsdünger],_xlfn.AGGREGATE(15,6,(ROW(Liste_Handelsünger[Handelsdünger])-1)/(--(SEARCH(AJ$2,Liste_Handelsünger[Handelsdünger])&gt;0)),ROW()-2),1),"")</f>
        <v>Hyperkorn</v>
      </c>
      <c r="AK11" t="str">
        <f>IFERROR(INDEX(Liste_Handelsünger[Handelsdünger],_xlfn.AGGREGATE(15,6,(ROW(Liste_Handelsünger[Handelsdünger])-1)/(--(SEARCH(AL$2,Liste_Handelsünger[Handelsdünger])&gt;0)),ROW()-2),1),"")</f>
        <v>Hyperkorn</v>
      </c>
      <c r="AM11" t="str">
        <f>IFERROR(INDEX(Liste_Handelsünger[Handelsdünger],_xlfn.AGGREGATE(15,6,(ROW(Liste_Handelsünger[Handelsdünger])-1)/(--(SEARCH(AN$2,Liste_Handelsünger[Handelsdünger])&gt;0)),ROW()-2),1),"")</f>
        <v>Hyperkorn</v>
      </c>
      <c r="AO11" t="str">
        <f>IFERROR(INDEX(Liste_Handelsünger[Handelsdünger],_xlfn.AGGREGATE(15,6,(ROW(Liste_Handelsünger[Handelsdünger])-1)/(--(SEARCH(AP$2,Liste_Handelsünger[Handelsdünger])&gt;0)),ROW()-2),1),"")</f>
        <v>Hyperkorn</v>
      </c>
      <c r="AQ11" t="str">
        <f>IFERROR(INDEX(Liste_Handelsünger[Handelsdünger],_xlfn.AGGREGATE(15,6,(ROW(Liste_Handelsünger[Handelsdünger])-1)/(--(SEARCH(AR$2,Liste_Handelsünger[Handelsdünger])&gt;0)),ROW()-2),1),"")</f>
        <v>Hyperkorn</v>
      </c>
      <c r="AS11" t="str">
        <f>IFERROR(INDEX(Liste_Handelsünger[Handelsdünger],_xlfn.AGGREGATE(15,6,(ROW(Liste_Handelsünger[Handelsdünger])-1)/(--(SEARCH(AT$2,Liste_Handelsünger[Handelsdünger])&gt;0)),ROW()-2),1),"")</f>
        <v>Hyperkorn</v>
      </c>
      <c r="AU11" t="str">
        <f>IFERROR(INDEX(Liste_Handelsünger[Handelsdünger],_xlfn.AGGREGATE(15,6,(ROW(Liste_Handelsünger[Handelsdünger])-1)/(--(SEARCH(AV$2,Liste_Handelsünger[Handelsdünger])&gt;0)),ROW()-2),1),"")</f>
        <v>Hyperkorn</v>
      </c>
      <c r="AW11" t="str">
        <f>IFERROR(INDEX(Liste_Handelsünger[Handelsdünger],_xlfn.AGGREGATE(15,6,(ROW(Liste_Handelsünger[Handelsdünger])-1)/(--(SEARCH(AX$2,Liste_Handelsünger[Handelsdünger])&gt;0)),ROW()-2),1),"")</f>
        <v>Hyperkorn</v>
      </c>
      <c r="AY11" t="str">
        <f>IFERROR(INDEX(Liste_Handelsünger[Handelsdünger],_xlfn.AGGREGATE(15,6,(ROW(Liste_Handelsünger[Handelsdünger])-1)/(--(SEARCH(AZ$2,Liste_Handelsünger[Handelsdünger])&gt;0)),ROW()-2),1),"")</f>
        <v>Hyperkorn</v>
      </c>
      <c r="BA11" t="str">
        <f>IFERROR(INDEX(Liste_Handelsünger[Handelsdünger],_xlfn.AGGREGATE(15,6,(ROW(Liste_Handelsünger[Handelsdünger])-1)/(--(SEARCH(BB$2,Liste_Handelsünger[Handelsdünger])&gt;0)),ROW()-2),1),"")</f>
        <v>Hyperkorn</v>
      </c>
      <c r="BC11" t="str">
        <f>IFERROR(INDEX(Liste_Handelsünger[Handelsdünger],_xlfn.AGGREGATE(15,6,(ROW(Liste_Handelsünger[Handelsdünger])-1)/(--(SEARCH(BD$2,Liste_Handelsünger[Handelsdünger])&gt;0)),ROW()-2),1),"")</f>
        <v>Hyperkorn</v>
      </c>
      <c r="BE11" t="str">
        <f>IFERROR(INDEX(Liste_Handelsünger[Handelsdünger],_xlfn.AGGREGATE(15,6,(ROW(Liste_Handelsünger[Handelsdünger])-1)/(--(SEARCH(BF$2,Liste_Handelsünger[Handelsdünger])&gt;0)),ROW()-2),1),"")</f>
        <v>Hyperkorn</v>
      </c>
      <c r="BG11" t="str">
        <f>IFERROR(INDEX(Liste_Handelsünger[Handelsdünger],_xlfn.AGGREGATE(15,6,(ROW(Liste_Handelsünger[Handelsdünger])-1)/(--(SEARCH(BH$2,Liste_Handelsünger[Handelsdünger])&gt;0)),ROW()-2),1),"")</f>
        <v>Hyperkorn</v>
      </c>
      <c r="BJ11" s="2533">
        <v>10</v>
      </c>
      <c r="BK11" s="2534">
        <f>COUNTIF(Liste_Handelsünger[Handelsdünger],$A11)</f>
        <v>0</v>
      </c>
    </row>
    <row r="12" spans="1:63" ht="21.75" customHeight="1">
      <c r="A12" s="1150"/>
      <c r="B12" s="1477">
        <f>IF(ISNA(VLOOKUP(Mineral!A12,Tabelle1!$C$179:$Q$203,15,0)),0,VLOOKUP(Mineral!A12,Tabelle1!$C$179:$Q$203,15,0))</f>
        <v>0</v>
      </c>
      <c r="C12" s="2435"/>
      <c r="D12" s="1480" t="str">
        <f t="shared" si="0"/>
        <v/>
      </c>
      <c r="E12" s="1480" t="str">
        <f t="shared" si="1"/>
        <v/>
      </c>
      <c r="F12" s="1480" t="str">
        <f t="shared" si="2"/>
        <v/>
      </c>
      <c r="G12" s="1481">
        <f t="shared" si="3"/>
        <v>0</v>
      </c>
      <c r="H12" s="1481">
        <f t="shared" si="4"/>
        <v>0</v>
      </c>
      <c r="I12" s="1481">
        <f t="shared" si="5"/>
        <v>0</v>
      </c>
      <c r="J12" s="1941">
        <v>1</v>
      </c>
      <c r="N12" s="2417"/>
      <c r="O12" s="458"/>
      <c r="R12" s="1943" t="s">
        <v>1712</v>
      </c>
      <c r="S12" s="1477"/>
      <c r="T12" s="2414">
        <f t="shared" si="6"/>
        <v>0</v>
      </c>
      <c r="U12" s="1480"/>
      <c r="V12" s="1480">
        <v>0.19</v>
      </c>
      <c r="W12" s="1480"/>
      <c r="X12" s="1481">
        <f t="shared" si="7"/>
        <v>0</v>
      </c>
      <c r="Y12" s="1481">
        <f t="shared" si="8"/>
        <v>0</v>
      </c>
      <c r="Z12" s="1481">
        <f t="shared" si="9"/>
        <v>0</v>
      </c>
      <c r="AA12" s="2536">
        <v>1</v>
      </c>
      <c r="AB12" s="2533"/>
      <c r="AD12" s="2457" t="s">
        <v>1712</v>
      </c>
      <c r="AE12" s="2458" t="str">
        <f>IFERROR(INDEX(Liste_Handelsünger[Handelsdünger],_xlfn.AGGREGATE(15,6,(ROW(Liste_Handelsünger[Handelsdünger])-1)/(--(SEARCH(AF$2,Liste_Handelsünger[Handelsdünger])&gt;0)),ROW()-2),1),"")</f>
        <v>Superphosphat</v>
      </c>
      <c r="AF12" s="2458"/>
      <c r="AG12" s="2458" t="str">
        <f>IFERROR(INDEX(Liste_Handelsünger[Handelsdünger],_xlfn.AGGREGATE(15,6,(ROW(Liste_Handelsünger[Handelsdünger])-1)/(--(SEARCH(AH$2,Liste_Handelsünger[Handelsdünger])&gt;0)),ROW()-2),1),"")</f>
        <v>Superphosphat</v>
      </c>
      <c r="AI12" t="str">
        <f>IFERROR(INDEX(Liste_Handelsünger[Handelsdünger],_xlfn.AGGREGATE(15,6,(ROW(Liste_Handelsünger[Handelsdünger])-1)/(--(SEARCH(AJ$2,Liste_Handelsünger[Handelsdünger])&gt;0)),ROW()-2),1),"")</f>
        <v>Superphosphat</v>
      </c>
      <c r="AK12" t="str">
        <f>IFERROR(INDEX(Liste_Handelsünger[Handelsdünger],_xlfn.AGGREGATE(15,6,(ROW(Liste_Handelsünger[Handelsdünger])-1)/(--(SEARCH(AL$2,Liste_Handelsünger[Handelsdünger])&gt;0)),ROW()-2),1),"")</f>
        <v>Superphosphat</v>
      </c>
      <c r="AM12" t="str">
        <f>IFERROR(INDEX(Liste_Handelsünger[Handelsdünger],_xlfn.AGGREGATE(15,6,(ROW(Liste_Handelsünger[Handelsdünger])-1)/(--(SEARCH(AN$2,Liste_Handelsünger[Handelsdünger])&gt;0)),ROW()-2),1),"")</f>
        <v>Superphosphat</v>
      </c>
      <c r="AO12" t="str">
        <f>IFERROR(INDEX(Liste_Handelsünger[Handelsdünger],_xlfn.AGGREGATE(15,6,(ROW(Liste_Handelsünger[Handelsdünger])-1)/(--(SEARCH(AP$2,Liste_Handelsünger[Handelsdünger])&gt;0)),ROW()-2),1),"")</f>
        <v>Superphosphat</v>
      </c>
      <c r="AQ12" t="str">
        <f>IFERROR(INDEX(Liste_Handelsünger[Handelsdünger],_xlfn.AGGREGATE(15,6,(ROW(Liste_Handelsünger[Handelsdünger])-1)/(--(SEARCH(AR$2,Liste_Handelsünger[Handelsdünger])&gt;0)),ROW()-2),1),"")</f>
        <v>Superphosphat</v>
      </c>
      <c r="AS12" t="str">
        <f>IFERROR(INDEX(Liste_Handelsünger[Handelsdünger],_xlfn.AGGREGATE(15,6,(ROW(Liste_Handelsünger[Handelsdünger])-1)/(--(SEARCH(AT$2,Liste_Handelsünger[Handelsdünger])&gt;0)),ROW()-2),1),"")</f>
        <v>Superphosphat</v>
      </c>
      <c r="AU12" t="str">
        <f>IFERROR(INDEX(Liste_Handelsünger[Handelsdünger],_xlfn.AGGREGATE(15,6,(ROW(Liste_Handelsünger[Handelsdünger])-1)/(--(SEARCH(AV$2,Liste_Handelsünger[Handelsdünger])&gt;0)),ROW()-2),1),"")</f>
        <v>Superphosphat</v>
      </c>
      <c r="AW12" t="str">
        <f>IFERROR(INDEX(Liste_Handelsünger[Handelsdünger],_xlfn.AGGREGATE(15,6,(ROW(Liste_Handelsünger[Handelsdünger])-1)/(--(SEARCH(AX$2,Liste_Handelsünger[Handelsdünger])&gt;0)),ROW()-2),1),"")</f>
        <v>Superphosphat</v>
      </c>
      <c r="AY12" t="str">
        <f>IFERROR(INDEX(Liste_Handelsünger[Handelsdünger],_xlfn.AGGREGATE(15,6,(ROW(Liste_Handelsünger[Handelsdünger])-1)/(--(SEARCH(AZ$2,Liste_Handelsünger[Handelsdünger])&gt;0)),ROW()-2),1),"")</f>
        <v>Superphosphat</v>
      </c>
      <c r="BA12" t="str">
        <f>IFERROR(INDEX(Liste_Handelsünger[Handelsdünger],_xlfn.AGGREGATE(15,6,(ROW(Liste_Handelsünger[Handelsdünger])-1)/(--(SEARCH(BB$2,Liste_Handelsünger[Handelsdünger])&gt;0)),ROW()-2),1),"")</f>
        <v>Superphosphat</v>
      </c>
      <c r="BC12" t="str">
        <f>IFERROR(INDEX(Liste_Handelsünger[Handelsdünger],_xlfn.AGGREGATE(15,6,(ROW(Liste_Handelsünger[Handelsdünger])-1)/(--(SEARCH(BD$2,Liste_Handelsünger[Handelsdünger])&gt;0)),ROW()-2),1),"")</f>
        <v>Superphosphat</v>
      </c>
      <c r="BE12" t="str">
        <f>IFERROR(INDEX(Liste_Handelsünger[Handelsdünger],_xlfn.AGGREGATE(15,6,(ROW(Liste_Handelsünger[Handelsdünger])-1)/(--(SEARCH(BF$2,Liste_Handelsünger[Handelsdünger])&gt;0)),ROW()-2),1),"")</f>
        <v>Superphosphat</v>
      </c>
      <c r="BG12" t="str">
        <f>IFERROR(INDEX(Liste_Handelsünger[Handelsdünger],_xlfn.AGGREGATE(15,6,(ROW(Liste_Handelsünger[Handelsdünger])-1)/(--(SEARCH(BH$2,Liste_Handelsünger[Handelsdünger])&gt;0)),ROW()-2),1),"")</f>
        <v>Superphosphat</v>
      </c>
      <c r="BJ12" s="2533">
        <v>11</v>
      </c>
      <c r="BK12" s="2534">
        <f>COUNTIF(Liste_Handelsünger[Handelsdünger],$A12)</f>
        <v>0</v>
      </c>
    </row>
    <row r="13" spans="1:63" ht="21.75" customHeight="1">
      <c r="A13" s="1150"/>
      <c r="B13" s="1477">
        <f>IF(ISNA(VLOOKUP(Mineral!A13,Tabelle1!$C$179:$Q$203,15,0)),0,VLOOKUP(Mineral!A13,Tabelle1!$C$179:$Q$203,15,0))</f>
        <v>0</v>
      </c>
      <c r="C13" s="2435"/>
      <c r="D13" s="1480" t="str">
        <f t="shared" si="0"/>
        <v/>
      </c>
      <c r="E13" s="1480" t="str">
        <f t="shared" si="1"/>
        <v/>
      </c>
      <c r="F13" s="1480" t="str">
        <f t="shared" si="2"/>
        <v/>
      </c>
      <c r="G13" s="1481">
        <f t="shared" si="3"/>
        <v>0</v>
      </c>
      <c r="H13" s="1481">
        <f t="shared" si="4"/>
        <v>0</v>
      </c>
      <c r="I13" s="1481">
        <f t="shared" si="5"/>
        <v>0</v>
      </c>
      <c r="J13" s="1941">
        <v>1</v>
      </c>
      <c r="R13" s="1943" t="s">
        <v>1715</v>
      </c>
      <c r="S13" s="1477"/>
      <c r="T13" s="2414">
        <f t="shared" si="6"/>
        <v>0</v>
      </c>
      <c r="U13" s="1480"/>
      <c r="V13" s="1480">
        <v>0.45</v>
      </c>
      <c r="W13" s="1480"/>
      <c r="X13" s="1481">
        <f t="shared" si="7"/>
        <v>0</v>
      </c>
      <c r="Y13" s="1481">
        <f t="shared" si="8"/>
        <v>0</v>
      </c>
      <c r="Z13" s="1481">
        <f t="shared" si="9"/>
        <v>0</v>
      </c>
      <c r="AA13" s="2536">
        <v>1</v>
      </c>
      <c r="AB13" s="2533"/>
      <c r="AD13" s="2457" t="s">
        <v>1715</v>
      </c>
      <c r="AE13" s="2443" t="str">
        <f>IFERROR(INDEX(Liste_Handelsünger[Handelsdünger],_xlfn.AGGREGATE(15,6,(ROW(Liste_Handelsünger[Handelsdünger])-1)/(--(SEARCH(AF$2,Liste_Handelsünger[Handelsdünger])&gt;0)),ROW()-2),1),"")</f>
        <v>Triplephosphat</v>
      </c>
      <c r="AF13" s="2443"/>
      <c r="AG13" s="2443" t="str">
        <f>IFERROR(INDEX(Liste_Handelsünger[Handelsdünger],_xlfn.AGGREGATE(15,6,(ROW(Liste_Handelsünger[Handelsdünger])-1)/(--(SEARCH(AH$2,Liste_Handelsünger[Handelsdünger])&gt;0)),ROW()-2),1),"")</f>
        <v>Triplephosphat</v>
      </c>
      <c r="AI13" t="str">
        <f>IFERROR(INDEX(Liste_Handelsünger[Handelsdünger],_xlfn.AGGREGATE(15,6,(ROW(Liste_Handelsünger[Handelsdünger])-1)/(--(SEARCH(AJ$2,Liste_Handelsünger[Handelsdünger])&gt;0)),ROW()-2),1),"")</f>
        <v>Triplephosphat</v>
      </c>
      <c r="AK13" t="str">
        <f>IFERROR(INDEX(Liste_Handelsünger[Handelsdünger],_xlfn.AGGREGATE(15,6,(ROW(Liste_Handelsünger[Handelsdünger])-1)/(--(SEARCH(AL$2,Liste_Handelsünger[Handelsdünger])&gt;0)),ROW()-2),1),"")</f>
        <v>Triplephosphat</v>
      </c>
      <c r="AM13" t="str">
        <f>IFERROR(INDEX(Liste_Handelsünger[Handelsdünger],_xlfn.AGGREGATE(15,6,(ROW(Liste_Handelsünger[Handelsdünger])-1)/(--(SEARCH(AN$2,Liste_Handelsünger[Handelsdünger])&gt;0)),ROW()-2),1),"")</f>
        <v>Triplephosphat</v>
      </c>
      <c r="AO13" t="str">
        <f>IFERROR(INDEX(Liste_Handelsünger[Handelsdünger],_xlfn.AGGREGATE(15,6,(ROW(Liste_Handelsünger[Handelsdünger])-1)/(--(SEARCH(AP$2,Liste_Handelsünger[Handelsdünger])&gt;0)),ROW()-2),1),"")</f>
        <v>Triplephosphat</v>
      </c>
      <c r="AQ13" t="str">
        <f>IFERROR(INDEX(Liste_Handelsünger[Handelsdünger],_xlfn.AGGREGATE(15,6,(ROW(Liste_Handelsünger[Handelsdünger])-1)/(--(SEARCH(AR$2,Liste_Handelsünger[Handelsdünger])&gt;0)),ROW()-2),1),"")</f>
        <v>Triplephosphat</v>
      </c>
      <c r="AS13" t="str">
        <f>IFERROR(INDEX(Liste_Handelsünger[Handelsdünger],_xlfn.AGGREGATE(15,6,(ROW(Liste_Handelsünger[Handelsdünger])-1)/(--(SEARCH(AT$2,Liste_Handelsünger[Handelsdünger])&gt;0)),ROW()-2),1),"")</f>
        <v>Triplephosphat</v>
      </c>
      <c r="AU13" t="str">
        <f>IFERROR(INDEX(Liste_Handelsünger[Handelsdünger],_xlfn.AGGREGATE(15,6,(ROW(Liste_Handelsünger[Handelsdünger])-1)/(--(SEARCH(AV$2,Liste_Handelsünger[Handelsdünger])&gt;0)),ROW()-2),1),"")</f>
        <v>Triplephosphat</v>
      </c>
      <c r="AW13" t="str">
        <f>IFERROR(INDEX(Liste_Handelsünger[Handelsdünger],_xlfn.AGGREGATE(15,6,(ROW(Liste_Handelsünger[Handelsdünger])-1)/(--(SEARCH(AX$2,Liste_Handelsünger[Handelsdünger])&gt;0)),ROW()-2),1),"")</f>
        <v>Triplephosphat</v>
      </c>
      <c r="AY13" t="str">
        <f>IFERROR(INDEX(Liste_Handelsünger[Handelsdünger],_xlfn.AGGREGATE(15,6,(ROW(Liste_Handelsünger[Handelsdünger])-1)/(--(SEARCH(AZ$2,Liste_Handelsünger[Handelsdünger])&gt;0)),ROW()-2),1),"")</f>
        <v>Triplephosphat</v>
      </c>
      <c r="BA13" t="str">
        <f>IFERROR(INDEX(Liste_Handelsünger[Handelsdünger],_xlfn.AGGREGATE(15,6,(ROW(Liste_Handelsünger[Handelsdünger])-1)/(--(SEARCH(BB$2,Liste_Handelsünger[Handelsdünger])&gt;0)),ROW()-2),1),"")</f>
        <v>Triplephosphat</v>
      </c>
      <c r="BC13" t="str">
        <f>IFERROR(INDEX(Liste_Handelsünger[Handelsdünger],_xlfn.AGGREGATE(15,6,(ROW(Liste_Handelsünger[Handelsdünger])-1)/(--(SEARCH(BD$2,Liste_Handelsünger[Handelsdünger])&gt;0)),ROW()-2),1),"")</f>
        <v>Triplephosphat</v>
      </c>
      <c r="BE13" t="str">
        <f>IFERROR(INDEX(Liste_Handelsünger[Handelsdünger],_xlfn.AGGREGATE(15,6,(ROW(Liste_Handelsünger[Handelsdünger])-1)/(--(SEARCH(BF$2,Liste_Handelsünger[Handelsdünger])&gt;0)),ROW()-2),1),"")</f>
        <v>Triplephosphat</v>
      </c>
      <c r="BG13" t="str">
        <f>IFERROR(INDEX(Liste_Handelsünger[Handelsdünger],_xlfn.AGGREGATE(15,6,(ROW(Liste_Handelsünger[Handelsdünger])-1)/(--(SEARCH(BH$2,Liste_Handelsünger[Handelsdünger])&gt;0)),ROW()-2),1),"")</f>
        <v>Triplephosphat</v>
      </c>
      <c r="BJ13" s="2533">
        <v>12</v>
      </c>
      <c r="BK13" s="2534">
        <f>COUNTIF(Liste_Handelsünger[Handelsdünger],$A13)</f>
        <v>0</v>
      </c>
    </row>
    <row r="14" spans="1:63" ht="21.75" customHeight="1">
      <c r="A14" s="1150"/>
      <c r="B14" s="1477">
        <f>IF(ISNA(VLOOKUP(Mineral!A14,Tabelle1!$C$179:$Q$203,15,0)),0,VLOOKUP(Mineral!A14,Tabelle1!$C$179:$Q$203,15,0))</f>
        <v>0</v>
      </c>
      <c r="C14" s="2435"/>
      <c r="D14" s="1480" t="str">
        <f t="shared" si="0"/>
        <v/>
      </c>
      <c r="E14" s="1480" t="str">
        <f t="shared" si="1"/>
        <v/>
      </c>
      <c r="F14" s="1480" t="str">
        <f t="shared" si="2"/>
        <v/>
      </c>
      <c r="G14" s="1481">
        <f t="shared" si="3"/>
        <v>0</v>
      </c>
      <c r="H14" s="1481">
        <f t="shared" si="4"/>
        <v>0</v>
      </c>
      <c r="I14" s="1481">
        <f t="shared" si="5"/>
        <v>0</v>
      </c>
      <c r="J14" s="1941">
        <v>1</v>
      </c>
      <c r="R14" s="1943" t="s">
        <v>1716</v>
      </c>
      <c r="S14" s="1477"/>
      <c r="T14" s="2414">
        <f t="shared" si="6"/>
        <v>0</v>
      </c>
      <c r="U14" s="1480"/>
      <c r="V14" s="1480">
        <v>0.15</v>
      </c>
      <c r="W14" s="1480"/>
      <c r="X14" s="1481">
        <f t="shared" si="7"/>
        <v>0</v>
      </c>
      <c r="Y14" s="1481">
        <f t="shared" si="8"/>
        <v>0</v>
      </c>
      <c r="Z14" s="1481">
        <f t="shared" si="9"/>
        <v>0</v>
      </c>
      <c r="AA14" s="2536">
        <v>1</v>
      </c>
      <c r="AB14" s="2533"/>
      <c r="AD14" s="2457" t="s">
        <v>1716</v>
      </c>
      <c r="AE14" s="2458" t="str">
        <f>IFERROR(INDEX(Liste_Handelsünger[Handelsdünger],_xlfn.AGGREGATE(15,6,(ROW(Liste_Handelsünger[Handelsdünger])-1)/(--(SEARCH(AF$2,Liste_Handelsünger[Handelsdünger])&gt;0)),ROW()-2),1),"")</f>
        <v>Thomaskorn 15</v>
      </c>
      <c r="AF14" s="2458"/>
      <c r="AG14" s="2458" t="str">
        <f>IFERROR(INDEX(Liste_Handelsünger[Handelsdünger],_xlfn.AGGREGATE(15,6,(ROW(Liste_Handelsünger[Handelsdünger])-1)/(--(SEARCH(AH$2,Liste_Handelsünger[Handelsdünger])&gt;0)),ROW()-2),1),"")</f>
        <v>Thomaskorn 15</v>
      </c>
      <c r="AI14" t="str">
        <f>IFERROR(INDEX(Liste_Handelsünger[Handelsdünger],_xlfn.AGGREGATE(15,6,(ROW(Liste_Handelsünger[Handelsdünger])-1)/(--(SEARCH(AJ$2,Liste_Handelsünger[Handelsdünger])&gt;0)),ROW()-2),1),"")</f>
        <v>Thomaskorn 15</v>
      </c>
      <c r="AK14" t="str">
        <f>IFERROR(INDEX(Liste_Handelsünger[Handelsdünger],_xlfn.AGGREGATE(15,6,(ROW(Liste_Handelsünger[Handelsdünger])-1)/(--(SEARCH(AL$2,Liste_Handelsünger[Handelsdünger])&gt;0)),ROW()-2),1),"")</f>
        <v>Thomaskorn 15</v>
      </c>
      <c r="AM14" t="str">
        <f>IFERROR(INDEX(Liste_Handelsünger[Handelsdünger],_xlfn.AGGREGATE(15,6,(ROW(Liste_Handelsünger[Handelsdünger])-1)/(--(SEARCH(AN$2,Liste_Handelsünger[Handelsdünger])&gt;0)),ROW()-2),1),"")</f>
        <v>Thomaskorn 15</v>
      </c>
      <c r="AO14" t="str">
        <f>IFERROR(INDEX(Liste_Handelsünger[Handelsdünger],_xlfn.AGGREGATE(15,6,(ROW(Liste_Handelsünger[Handelsdünger])-1)/(--(SEARCH(AP$2,Liste_Handelsünger[Handelsdünger])&gt;0)),ROW()-2),1),"")</f>
        <v>Thomaskorn 15</v>
      </c>
      <c r="AQ14" t="str">
        <f>IFERROR(INDEX(Liste_Handelsünger[Handelsdünger],_xlfn.AGGREGATE(15,6,(ROW(Liste_Handelsünger[Handelsdünger])-1)/(--(SEARCH(AR$2,Liste_Handelsünger[Handelsdünger])&gt;0)),ROW()-2),1),"")</f>
        <v>Thomaskorn 15</v>
      </c>
      <c r="AS14" t="str">
        <f>IFERROR(INDEX(Liste_Handelsünger[Handelsdünger],_xlfn.AGGREGATE(15,6,(ROW(Liste_Handelsünger[Handelsdünger])-1)/(--(SEARCH(AT$2,Liste_Handelsünger[Handelsdünger])&gt;0)),ROW()-2),1),"")</f>
        <v>Thomaskorn 15</v>
      </c>
      <c r="AU14" t="str">
        <f>IFERROR(INDEX(Liste_Handelsünger[Handelsdünger],_xlfn.AGGREGATE(15,6,(ROW(Liste_Handelsünger[Handelsdünger])-1)/(--(SEARCH(AV$2,Liste_Handelsünger[Handelsdünger])&gt;0)),ROW()-2),1),"")</f>
        <v>Thomaskorn 15</v>
      </c>
      <c r="AW14" t="str">
        <f>IFERROR(INDEX(Liste_Handelsünger[Handelsdünger],_xlfn.AGGREGATE(15,6,(ROW(Liste_Handelsünger[Handelsdünger])-1)/(--(SEARCH(AX$2,Liste_Handelsünger[Handelsdünger])&gt;0)),ROW()-2),1),"")</f>
        <v>Thomaskorn 15</v>
      </c>
      <c r="AY14" t="str">
        <f>IFERROR(INDEX(Liste_Handelsünger[Handelsdünger],_xlfn.AGGREGATE(15,6,(ROW(Liste_Handelsünger[Handelsdünger])-1)/(--(SEARCH(AZ$2,Liste_Handelsünger[Handelsdünger])&gt;0)),ROW()-2),1),"")</f>
        <v>Thomaskorn 15</v>
      </c>
      <c r="BA14" t="str">
        <f>IFERROR(INDEX(Liste_Handelsünger[Handelsdünger],_xlfn.AGGREGATE(15,6,(ROW(Liste_Handelsünger[Handelsdünger])-1)/(--(SEARCH(BB$2,Liste_Handelsünger[Handelsdünger])&gt;0)),ROW()-2),1),"")</f>
        <v>Thomaskorn 15</v>
      </c>
      <c r="BC14" t="str">
        <f>IFERROR(INDEX(Liste_Handelsünger[Handelsdünger],_xlfn.AGGREGATE(15,6,(ROW(Liste_Handelsünger[Handelsdünger])-1)/(--(SEARCH(BD$2,Liste_Handelsünger[Handelsdünger])&gt;0)),ROW()-2),1),"")</f>
        <v>Thomaskorn 15</v>
      </c>
      <c r="BE14" t="str">
        <f>IFERROR(INDEX(Liste_Handelsünger[Handelsdünger],_xlfn.AGGREGATE(15,6,(ROW(Liste_Handelsünger[Handelsdünger])-1)/(--(SEARCH(BF$2,Liste_Handelsünger[Handelsdünger])&gt;0)),ROW()-2),1),"")</f>
        <v>Thomaskorn 15</v>
      </c>
      <c r="BG14" t="str">
        <f>IFERROR(INDEX(Liste_Handelsünger[Handelsdünger],_xlfn.AGGREGATE(15,6,(ROW(Liste_Handelsünger[Handelsdünger])-1)/(--(SEARCH(BH$2,Liste_Handelsünger[Handelsdünger])&gt;0)),ROW()-2),1),"")</f>
        <v>Thomaskorn 15</v>
      </c>
      <c r="BJ14" s="2533">
        <v>13</v>
      </c>
      <c r="BK14" s="2534">
        <f>COUNTIF(Liste_Handelsünger[Handelsdünger],$A14)</f>
        <v>0</v>
      </c>
    </row>
    <row r="15" spans="1:63" ht="21.75" customHeight="1">
      <c r="A15" s="1150"/>
      <c r="B15" s="1477">
        <f>IF(ISNA(VLOOKUP(Mineral!A15,Tabelle1!$C$179:$Q$203,15,0)),0,VLOOKUP(Mineral!A15,Tabelle1!$C$179:$Q$203,15,0))</f>
        <v>0</v>
      </c>
      <c r="C15" s="2435"/>
      <c r="D15" s="1480" t="str">
        <f t="shared" si="0"/>
        <v/>
      </c>
      <c r="E15" s="1480" t="str">
        <f t="shared" si="1"/>
        <v/>
      </c>
      <c r="F15" s="1480" t="str">
        <f t="shared" si="2"/>
        <v/>
      </c>
      <c r="G15" s="1481">
        <f t="shared" si="3"/>
        <v>0</v>
      </c>
      <c r="H15" s="1481">
        <f t="shared" si="4"/>
        <v>0</v>
      </c>
      <c r="I15" s="1481">
        <f t="shared" si="5"/>
        <v>0</v>
      </c>
      <c r="J15" s="1941">
        <v>1</v>
      </c>
      <c r="R15" s="1943" t="s">
        <v>1718</v>
      </c>
      <c r="S15" s="1477"/>
      <c r="T15" s="2414">
        <f t="shared" si="6"/>
        <v>0</v>
      </c>
      <c r="U15" s="1480"/>
      <c r="V15" s="1480"/>
      <c r="W15" s="1480">
        <v>0.4</v>
      </c>
      <c r="X15" s="1481">
        <f t="shared" si="7"/>
        <v>0</v>
      </c>
      <c r="Y15" s="1481">
        <f t="shared" si="8"/>
        <v>0</v>
      </c>
      <c r="Z15" s="1481">
        <f t="shared" si="9"/>
        <v>0</v>
      </c>
      <c r="AA15" s="2536">
        <v>1</v>
      </c>
      <c r="AB15" s="2533"/>
      <c r="AD15" s="2457" t="s">
        <v>1718</v>
      </c>
      <c r="AE15" s="2443" t="str">
        <f>IFERROR(INDEX(Liste_Handelsünger[Handelsdünger],_xlfn.AGGREGATE(15,6,(ROW(Liste_Handelsünger[Handelsdünger])-1)/(--(SEARCH(AF$2,Liste_Handelsünger[Handelsdünger])&gt;0)),ROW()-2),1),"")</f>
        <v>40er Kali</v>
      </c>
      <c r="AF15" s="2443"/>
      <c r="AG15" s="2443" t="str">
        <f>IFERROR(INDEX(Liste_Handelsünger[Handelsdünger],_xlfn.AGGREGATE(15,6,(ROW(Liste_Handelsünger[Handelsdünger])-1)/(--(SEARCH(AH$2,Liste_Handelsünger[Handelsdünger])&gt;0)),ROW()-2),1),"")</f>
        <v>40er Kali</v>
      </c>
      <c r="AI15" t="str">
        <f>IFERROR(INDEX(Liste_Handelsünger[Handelsdünger],_xlfn.AGGREGATE(15,6,(ROW(Liste_Handelsünger[Handelsdünger])-1)/(--(SEARCH(AJ$2,Liste_Handelsünger[Handelsdünger])&gt;0)),ROW()-2),1),"")</f>
        <v>40er Kali</v>
      </c>
      <c r="AK15" t="str">
        <f>IFERROR(INDEX(Liste_Handelsünger[Handelsdünger],_xlfn.AGGREGATE(15,6,(ROW(Liste_Handelsünger[Handelsdünger])-1)/(--(SEARCH(AL$2,Liste_Handelsünger[Handelsdünger])&gt;0)),ROW()-2),1),"")</f>
        <v>40er Kali</v>
      </c>
      <c r="AM15" t="str">
        <f>IFERROR(INDEX(Liste_Handelsünger[Handelsdünger],_xlfn.AGGREGATE(15,6,(ROW(Liste_Handelsünger[Handelsdünger])-1)/(--(SEARCH(AN$2,Liste_Handelsünger[Handelsdünger])&gt;0)),ROW()-2),1),"")</f>
        <v>40er Kali</v>
      </c>
      <c r="AO15" t="str">
        <f>IFERROR(INDEX(Liste_Handelsünger[Handelsdünger],_xlfn.AGGREGATE(15,6,(ROW(Liste_Handelsünger[Handelsdünger])-1)/(--(SEARCH(AP$2,Liste_Handelsünger[Handelsdünger])&gt;0)),ROW()-2),1),"")</f>
        <v>40er Kali</v>
      </c>
      <c r="AQ15" t="str">
        <f>IFERROR(INDEX(Liste_Handelsünger[Handelsdünger],_xlfn.AGGREGATE(15,6,(ROW(Liste_Handelsünger[Handelsdünger])-1)/(--(SEARCH(AR$2,Liste_Handelsünger[Handelsdünger])&gt;0)),ROW()-2),1),"")</f>
        <v>40er Kali</v>
      </c>
      <c r="AS15" t="str">
        <f>IFERROR(INDEX(Liste_Handelsünger[Handelsdünger],_xlfn.AGGREGATE(15,6,(ROW(Liste_Handelsünger[Handelsdünger])-1)/(--(SEARCH(AT$2,Liste_Handelsünger[Handelsdünger])&gt;0)),ROW()-2),1),"")</f>
        <v>40er Kali</v>
      </c>
      <c r="AU15" t="str">
        <f>IFERROR(INDEX(Liste_Handelsünger[Handelsdünger],_xlfn.AGGREGATE(15,6,(ROW(Liste_Handelsünger[Handelsdünger])-1)/(--(SEARCH(AV$2,Liste_Handelsünger[Handelsdünger])&gt;0)),ROW()-2),1),"")</f>
        <v>40er Kali</v>
      </c>
      <c r="AW15" t="str">
        <f>IFERROR(INDEX(Liste_Handelsünger[Handelsdünger],_xlfn.AGGREGATE(15,6,(ROW(Liste_Handelsünger[Handelsdünger])-1)/(--(SEARCH(AX$2,Liste_Handelsünger[Handelsdünger])&gt;0)),ROW()-2),1),"")</f>
        <v>40er Kali</v>
      </c>
      <c r="AY15" t="str">
        <f>IFERROR(INDEX(Liste_Handelsünger[Handelsdünger],_xlfn.AGGREGATE(15,6,(ROW(Liste_Handelsünger[Handelsdünger])-1)/(--(SEARCH(AZ$2,Liste_Handelsünger[Handelsdünger])&gt;0)),ROW()-2),1),"")</f>
        <v>40er Kali</v>
      </c>
      <c r="BA15" t="str">
        <f>IFERROR(INDEX(Liste_Handelsünger[Handelsdünger],_xlfn.AGGREGATE(15,6,(ROW(Liste_Handelsünger[Handelsdünger])-1)/(--(SEARCH(BB$2,Liste_Handelsünger[Handelsdünger])&gt;0)),ROW()-2),1),"")</f>
        <v>40er Kali</v>
      </c>
      <c r="BC15" t="str">
        <f>IFERROR(INDEX(Liste_Handelsünger[Handelsdünger],_xlfn.AGGREGATE(15,6,(ROW(Liste_Handelsünger[Handelsdünger])-1)/(--(SEARCH(BD$2,Liste_Handelsünger[Handelsdünger])&gt;0)),ROW()-2),1),"")</f>
        <v>40er Kali</v>
      </c>
      <c r="BE15" t="str">
        <f>IFERROR(INDEX(Liste_Handelsünger[Handelsdünger],_xlfn.AGGREGATE(15,6,(ROW(Liste_Handelsünger[Handelsdünger])-1)/(--(SEARCH(BF$2,Liste_Handelsünger[Handelsdünger])&gt;0)),ROW()-2),1),"")</f>
        <v>40er Kali</v>
      </c>
      <c r="BG15" t="str">
        <f>IFERROR(INDEX(Liste_Handelsünger[Handelsdünger],_xlfn.AGGREGATE(15,6,(ROW(Liste_Handelsünger[Handelsdünger])-1)/(--(SEARCH(BH$2,Liste_Handelsünger[Handelsdünger])&gt;0)),ROW()-2),1),"")</f>
        <v>40er Kali</v>
      </c>
      <c r="BJ15" s="2533">
        <v>14</v>
      </c>
      <c r="BK15" s="2534">
        <f>COUNTIF(Liste_Handelsünger[Handelsdünger],$A15)</f>
        <v>0</v>
      </c>
    </row>
    <row r="16" spans="1:63" ht="21.75" customHeight="1">
      <c r="A16" s="1150"/>
      <c r="B16" s="1477">
        <f>IF(ISNA(VLOOKUP(Mineral!A16,Tabelle1!$C$179:$Q$203,15,0)),0,VLOOKUP(Mineral!A16,Tabelle1!$C$179:$Q$203,15,0))</f>
        <v>0</v>
      </c>
      <c r="C16" s="2435"/>
      <c r="D16" s="1480" t="str">
        <f t="shared" si="0"/>
        <v/>
      </c>
      <c r="E16" s="1480" t="str">
        <f t="shared" si="1"/>
        <v/>
      </c>
      <c r="F16" s="1480" t="str">
        <f t="shared" si="2"/>
        <v/>
      </c>
      <c r="G16" s="1481">
        <f t="shared" si="3"/>
        <v>0</v>
      </c>
      <c r="H16" s="1481">
        <f t="shared" si="4"/>
        <v>0</v>
      </c>
      <c r="I16" s="1481">
        <f t="shared" si="5"/>
        <v>0</v>
      </c>
      <c r="J16" s="1941">
        <v>1</v>
      </c>
      <c r="L16" s="934"/>
      <c r="R16" s="1943" t="s">
        <v>1719</v>
      </c>
      <c r="S16" s="1477"/>
      <c r="T16" s="2414">
        <f t="shared" si="6"/>
        <v>0</v>
      </c>
      <c r="U16" s="1480"/>
      <c r="V16" s="1480"/>
      <c r="W16" s="1480">
        <v>0.6</v>
      </c>
      <c r="X16" s="1481">
        <f t="shared" si="7"/>
        <v>0</v>
      </c>
      <c r="Y16" s="1481">
        <f t="shared" si="8"/>
        <v>0</v>
      </c>
      <c r="Z16" s="1481">
        <f t="shared" si="9"/>
        <v>0</v>
      </c>
      <c r="AA16" s="2536">
        <v>1</v>
      </c>
      <c r="AB16" s="2533"/>
      <c r="AD16" s="2457" t="s">
        <v>1719</v>
      </c>
      <c r="AE16" s="2458" t="str">
        <f>IFERROR(INDEX(Liste_Handelsünger[Handelsdünger],_xlfn.AGGREGATE(15,6,(ROW(Liste_Handelsünger[Handelsdünger])-1)/(--(SEARCH(AF$2,Liste_Handelsünger[Handelsdünger])&gt;0)),ROW()-2),1),"")</f>
        <v>60er Kali</v>
      </c>
      <c r="AF16" s="2458"/>
      <c r="AG16" s="2458" t="str">
        <f>IFERROR(INDEX(Liste_Handelsünger[Handelsdünger],_xlfn.AGGREGATE(15,6,(ROW(Liste_Handelsünger[Handelsdünger])-1)/(--(SEARCH(AH$2,Liste_Handelsünger[Handelsdünger])&gt;0)),ROW()-2),1),"")</f>
        <v>60er Kali</v>
      </c>
      <c r="AI16" t="str">
        <f>IFERROR(INDEX(Liste_Handelsünger[Handelsdünger],_xlfn.AGGREGATE(15,6,(ROW(Liste_Handelsünger[Handelsdünger])-1)/(--(SEARCH(AJ$2,Liste_Handelsünger[Handelsdünger])&gt;0)),ROW()-2),1),"")</f>
        <v>60er Kali</v>
      </c>
      <c r="AK16" t="str">
        <f>IFERROR(INDEX(Liste_Handelsünger[Handelsdünger],_xlfn.AGGREGATE(15,6,(ROW(Liste_Handelsünger[Handelsdünger])-1)/(--(SEARCH(AL$2,Liste_Handelsünger[Handelsdünger])&gt;0)),ROW()-2),1),"")</f>
        <v>60er Kali</v>
      </c>
      <c r="AM16" t="str">
        <f>IFERROR(INDEX(Liste_Handelsünger[Handelsdünger],_xlfn.AGGREGATE(15,6,(ROW(Liste_Handelsünger[Handelsdünger])-1)/(--(SEARCH(AN$2,Liste_Handelsünger[Handelsdünger])&gt;0)),ROW()-2),1),"")</f>
        <v>60er Kali</v>
      </c>
      <c r="AO16" t="str">
        <f>IFERROR(INDEX(Liste_Handelsünger[Handelsdünger],_xlfn.AGGREGATE(15,6,(ROW(Liste_Handelsünger[Handelsdünger])-1)/(--(SEARCH(AP$2,Liste_Handelsünger[Handelsdünger])&gt;0)),ROW()-2),1),"")</f>
        <v>60er Kali</v>
      </c>
      <c r="AQ16" t="str">
        <f>IFERROR(INDEX(Liste_Handelsünger[Handelsdünger],_xlfn.AGGREGATE(15,6,(ROW(Liste_Handelsünger[Handelsdünger])-1)/(--(SEARCH(AR$2,Liste_Handelsünger[Handelsdünger])&gt;0)),ROW()-2),1),"")</f>
        <v>60er Kali</v>
      </c>
      <c r="AS16" t="str">
        <f>IFERROR(INDEX(Liste_Handelsünger[Handelsdünger],_xlfn.AGGREGATE(15,6,(ROW(Liste_Handelsünger[Handelsdünger])-1)/(--(SEARCH(AT$2,Liste_Handelsünger[Handelsdünger])&gt;0)),ROW()-2),1),"")</f>
        <v>60er Kali</v>
      </c>
      <c r="AU16" t="str">
        <f>IFERROR(INDEX(Liste_Handelsünger[Handelsdünger],_xlfn.AGGREGATE(15,6,(ROW(Liste_Handelsünger[Handelsdünger])-1)/(--(SEARCH(AV$2,Liste_Handelsünger[Handelsdünger])&gt;0)),ROW()-2),1),"")</f>
        <v>60er Kali</v>
      </c>
      <c r="AW16" t="str">
        <f>IFERROR(INDEX(Liste_Handelsünger[Handelsdünger],_xlfn.AGGREGATE(15,6,(ROW(Liste_Handelsünger[Handelsdünger])-1)/(--(SEARCH(AX$2,Liste_Handelsünger[Handelsdünger])&gt;0)),ROW()-2),1),"")</f>
        <v>60er Kali</v>
      </c>
      <c r="AY16" t="str">
        <f>IFERROR(INDEX(Liste_Handelsünger[Handelsdünger],_xlfn.AGGREGATE(15,6,(ROW(Liste_Handelsünger[Handelsdünger])-1)/(--(SEARCH(AZ$2,Liste_Handelsünger[Handelsdünger])&gt;0)),ROW()-2),1),"")</f>
        <v>60er Kali</v>
      </c>
      <c r="BA16" t="str">
        <f>IFERROR(INDEX(Liste_Handelsünger[Handelsdünger],_xlfn.AGGREGATE(15,6,(ROW(Liste_Handelsünger[Handelsdünger])-1)/(--(SEARCH(BB$2,Liste_Handelsünger[Handelsdünger])&gt;0)),ROW()-2),1),"")</f>
        <v>60er Kali</v>
      </c>
      <c r="BC16" t="str">
        <f>IFERROR(INDEX(Liste_Handelsünger[Handelsdünger],_xlfn.AGGREGATE(15,6,(ROW(Liste_Handelsünger[Handelsdünger])-1)/(--(SEARCH(BD$2,Liste_Handelsünger[Handelsdünger])&gt;0)),ROW()-2),1),"")</f>
        <v>60er Kali</v>
      </c>
      <c r="BE16" t="str">
        <f>IFERROR(INDEX(Liste_Handelsünger[Handelsdünger],_xlfn.AGGREGATE(15,6,(ROW(Liste_Handelsünger[Handelsdünger])-1)/(--(SEARCH(BF$2,Liste_Handelsünger[Handelsdünger])&gt;0)),ROW()-2),1),"")</f>
        <v>60er Kali</v>
      </c>
      <c r="BG16" t="str">
        <f>IFERROR(INDEX(Liste_Handelsünger[Handelsdünger],_xlfn.AGGREGATE(15,6,(ROW(Liste_Handelsünger[Handelsdünger])-1)/(--(SEARCH(BH$2,Liste_Handelsünger[Handelsdünger])&gt;0)),ROW()-2),1),"")</f>
        <v>60er Kali</v>
      </c>
      <c r="BJ16" s="2533">
        <v>15</v>
      </c>
      <c r="BK16" s="2534">
        <f>COUNTIF(Liste_Handelsünger[Handelsdünger],$A16)</f>
        <v>0</v>
      </c>
    </row>
    <row r="17" spans="1:63" ht="21.75" customHeight="1">
      <c r="A17" s="1150"/>
      <c r="B17" s="1477">
        <f>IF(ISNA(VLOOKUP(Mineral!A17,Tabelle1!$C$179:$Q$203,15,0)),0,VLOOKUP(Mineral!A17,Tabelle1!$C$179:$Q$203,15,0))</f>
        <v>0</v>
      </c>
      <c r="C17" s="2435"/>
      <c r="D17" s="1480" t="str">
        <f t="shared" si="0"/>
        <v/>
      </c>
      <c r="E17" s="1480" t="str">
        <f t="shared" si="1"/>
        <v/>
      </c>
      <c r="F17" s="1480" t="str">
        <f t="shared" si="2"/>
        <v/>
      </c>
      <c r="G17" s="1481">
        <f t="shared" si="3"/>
        <v>0</v>
      </c>
      <c r="H17" s="1481">
        <f t="shared" si="4"/>
        <v>0</v>
      </c>
      <c r="I17" s="1481">
        <f t="shared" si="5"/>
        <v>0</v>
      </c>
      <c r="J17" s="1941">
        <v>1</v>
      </c>
      <c r="R17" s="1943" t="s">
        <v>1720</v>
      </c>
      <c r="S17" s="1477"/>
      <c r="T17" s="2414">
        <f t="shared" si="6"/>
        <v>0</v>
      </c>
      <c r="U17" s="1480"/>
      <c r="V17" s="1480"/>
      <c r="W17" s="1480">
        <v>0.3</v>
      </c>
      <c r="X17" s="1481">
        <f t="shared" si="7"/>
        <v>0</v>
      </c>
      <c r="Y17" s="1481">
        <f t="shared" si="8"/>
        <v>0</v>
      </c>
      <c r="Z17" s="1481">
        <f t="shared" si="9"/>
        <v>0</v>
      </c>
      <c r="AA17" s="2536">
        <v>1</v>
      </c>
      <c r="AB17" s="2533"/>
      <c r="AD17" s="2457" t="s">
        <v>1720</v>
      </c>
      <c r="AE17" s="2443" t="str">
        <f>IFERROR(INDEX(Liste_Handelsünger[Handelsdünger],_xlfn.AGGREGATE(15,6,(ROW(Liste_Handelsünger[Handelsdünger])-1)/(--(SEARCH(AF$2,Liste_Handelsünger[Handelsdünger])&gt;0)),ROW()-2),1),"")</f>
        <v>Patentkali</v>
      </c>
      <c r="AF17" s="2443"/>
      <c r="AG17" s="2443" t="str">
        <f>IFERROR(INDEX(Liste_Handelsünger[Handelsdünger],_xlfn.AGGREGATE(15,6,(ROW(Liste_Handelsünger[Handelsdünger])-1)/(--(SEARCH(AH$2,Liste_Handelsünger[Handelsdünger])&gt;0)),ROW()-2),1),"")</f>
        <v>Patentkali</v>
      </c>
      <c r="AI17" t="str">
        <f>IFERROR(INDEX(Liste_Handelsünger[Handelsdünger],_xlfn.AGGREGATE(15,6,(ROW(Liste_Handelsünger[Handelsdünger])-1)/(--(SEARCH(AJ$2,Liste_Handelsünger[Handelsdünger])&gt;0)),ROW()-2),1),"")</f>
        <v>Patentkali</v>
      </c>
      <c r="AK17" t="str">
        <f>IFERROR(INDEX(Liste_Handelsünger[Handelsdünger],_xlfn.AGGREGATE(15,6,(ROW(Liste_Handelsünger[Handelsdünger])-1)/(--(SEARCH(AL$2,Liste_Handelsünger[Handelsdünger])&gt;0)),ROW()-2),1),"")</f>
        <v>Patentkali</v>
      </c>
      <c r="AM17" t="str">
        <f>IFERROR(INDEX(Liste_Handelsünger[Handelsdünger],_xlfn.AGGREGATE(15,6,(ROW(Liste_Handelsünger[Handelsdünger])-1)/(--(SEARCH(AN$2,Liste_Handelsünger[Handelsdünger])&gt;0)),ROW()-2),1),"")</f>
        <v>Patentkali</v>
      </c>
      <c r="AO17" t="str">
        <f>IFERROR(INDEX(Liste_Handelsünger[Handelsdünger],_xlfn.AGGREGATE(15,6,(ROW(Liste_Handelsünger[Handelsdünger])-1)/(--(SEARCH(AP$2,Liste_Handelsünger[Handelsdünger])&gt;0)),ROW()-2),1),"")</f>
        <v>Patentkali</v>
      </c>
      <c r="AQ17" t="str">
        <f>IFERROR(INDEX(Liste_Handelsünger[Handelsdünger],_xlfn.AGGREGATE(15,6,(ROW(Liste_Handelsünger[Handelsdünger])-1)/(--(SEARCH(AR$2,Liste_Handelsünger[Handelsdünger])&gt;0)),ROW()-2),1),"")</f>
        <v>Patentkali</v>
      </c>
      <c r="AS17" t="str">
        <f>IFERROR(INDEX(Liste_Handelsünger[Handelsdünger],_xlfn.AGGREGATE(15,6,(ROW(Liste_Handelsünger[Handelsdünger])-1)/(--(SEARCH(AT$2,Liste_Handelsünger[Handelsdünger])&gt;0)),ROW()-2),1),"")</f>
        <v>Patentkali</v>
      </c>
      <c r="AU17" t="str">
        <f>IFERROR(INDEX(Liste_Handelsünger[Handelsdünger],_xlfn.AGGREGATE(15,6,(ROW(Liste_Handelsünger[Handelsdünger])-1)/(--(SEARCH(AV$2,Liste_Handelsünger[Handelsdünger])&gt;0)),ROW()-2),1),"")</f>
        <v>Patentkali</v>
      </c>
      <c r="AW17" t="str">
        <f>IFERROR(INDEX(Liste_Handelsünger[Handelsdünger],_xlfn.AGGREGATE(15,6,(ROW(Liste_Handelsünger[Handelsdünger])-1)/(--(SEARCH(AX$2,Liste_Handelsünger[Handelsdünger])&gt;0)),ROW()-2),1),"")</f>
        <v>Patentkali</v>
      </c>
      <c r="AY17" t="str">
        <f>IFERROR(INDEX(Liste_Handelsünger[Handelsdünger],_xlfn.AGGREGATE(15,6,(ROW(Liste_Handelsünger[Handelsdünger])-1)/(--(SEARCH(AZ$2,Liste_Handelsünger[Handelsdünger])&gt;0)),ROW()-2),1),"")</f>
        <v>Patentkali</v>
      </c>
      <c r="BA17" t="str">
        <f>IFERROR(INDEX(Liste_Handelsünger[Handelsdünger],_xlfn.AGGREGATE(15,6,(ROW(Liste_Handelsünger[Handelsdünger])-1)/(--(SEARCH(BB$2,Liste_Handelsünger[Handelsdünger])&gt;0)),ROW()-2),1),"")</f>
        <v>Patentkali</v>
      </c>
      <c r="BC17" t="str">
        <f>IFERROR(INDEX(Liste_Handelsünger[Handelsdünger],_xlfn.AGGREGATE(15,6,(ROW(Liste_Handelsünger[Handelsdünger])-1)/(--(SEARCH(BD$2,Liste_Handelsünger[Handelsdünger])&gt;0)),ROW()-2),1),"")</f>
        <v>Patentkali</v>
      </c>
      <c r="BE17" t="str">
        <f>IFERROR(INDEX(Liste_Handelsünger[Handelsdünger],_xlfn.AGGREGATE(15,6,(ROW(Liste_Handelsünger[Handelsdünger])-1)/(--(SEARCH(BF$2,Liste_Handelsünger[Handelsdünger])&gt;0)),ROW()-2),1),"")</f>
        <v>Patentkali</v>
      </c>
      <c r="BG17" t="str">
        <f>IFERROR(INDEX(Liste_Handelsünger[Handelsdünger],_xlfn.AGGREGATE(15,6,(ROW(Liste_Handelsünger[Handelsdünger])-1)/(--(SEARCH(BH$2,Liste_Handelsünger[Handelsdünger])&gt;0)),ROW()-2),1),"")</f>
        <v>Patentkali</v>
      </c>
      <c r="BJ17" s="2533">
        <v>16</v>
      </c>
      <c r="BK17" s="2534">
        <f>COUNTIF(Liste_Handelsünger[Handelsdünger],$A17)</f>
        <v>0</v>
      </c>
    </row>
    <row r="18" spans="1:63" ht="21.75" customHeight="1" thickBot="1">
      <c r="A18" s="1478" t="s">
        <v>684</v>
      </c>
      <c r="B18" s="1477">
        <f>IF(ISNA(VLOOKUP(Mineral!A18,Tabelle1!$C$179:$Q$203,15,0)),0,VLOOKUP(Mineral!A18,Tabelle1!$C$179:$Q$203,15,0))</f>
        <v>0</v>
      </c>
      <c r="C18" s="2435"/>
      <c r="D18" s="1482"/>
      <c r="E18" s="1482"/>
      <c r="F18" s="1482"/>
      <c r="G18" s="1481">
        <f t="shared" ref="G18:G27" si="10">C18*D18</f>
        <v>0</v>
      </c>
      <c r="H18" s="1481">
        <f t="shared" ref="H18:H27" si="11">$C18*E18</f>
        <v>0</v>
      </c>
      <c r="I18" s="1481">
        <f t="shared" ref="I18:I27" si="12">$C18*F18</f>
        <v>0</v>
      </c>
      <c r="J18" s="1942">
        <v>1</v>
      </c>
      <c r="R18" s="1943" t="s">
        <v>1721</v>
      </c>
      <c r="S18" s="1477"/>
      <c r="T18" s="2414">
        <f t="shared" si="6"/>
        <v>0</v>
      </c>
      <c r="U18" s="1480"/>
      <c r="V18" s="1480"/>
      <c r="W18" s="1480">
        <v>0.5</v>
      </c>
      <c r="X18" s="1481">
        <f t="shared" si="7"/>
        <v>0</v>
      </c>
      <c r="Y18" s="1481">
        <f t="shared" si="8"/>
        <v>0</v>
      </c>
      <c r="Z18" s="1481">
        <f t="shared" si="9"/>
        <v>0</v>
      </c>
      <c r="AA18" s="2536">
        <v>1</v>
      </c>
      <c r="AB18" s="2533"/>
      <c r="AD18" s="2457" t="s">
        <v>1721</v>
      </c>
      <c r="AE18" s="2458" t="str">
        <f>IFERROR(INDEX(Liste_Handelsünger[Handelsdünger],_xlfn.AGGREGATE(15,6,(ROW(Liste_Handelsünger[Handelsdünger])-1)/(--(SEARCH(AF$2,Liste_Handelsünger[Handelsdünger])&gt;0)),ROW()-2),1),"")</f>
        <v>Schwefels. Kali</v>
      </c>
      <c r="AF18" s="2458"/>
      <c r="AG18" s="2458" t="str">
        <f>IFERROR(INDEX(Liste_Handelsünger[Handelsdünger],_xlfn.AGGREGATE(15,6,(ROW(Liste_Handelsünger[Handelsdünger])-1)/(--(SEARCH(AH$2,Liste_Handelsünger[Handelsdünger])&gt;0)),ROW()-2),1),"")</f>
        <v>Schwefels. Kali</v>
      </c>
      <c r="AI18" t="str">
        <f>IFERROR(INDEX(Liste_Handelsünger[Handelsdünger],_xlfn.AGGREGATE(15,6,(ROW(Liste_Handelsünger[Handelsdünger])-1)/(--(SEARCH(AJ$2,Liste_Handelsünger[Handelsdünger])&gt;0)),ROW()-2),1),"")</f>
        <v>Schwefels. Kali</v>
      </c>
      <c r="AK18" t="str">
        <f>IFERROR(INDEX(Liste_Handelsünger[Handelsdünger],_xlfn.AGGREGATE(15,6,(ROW(Liste_Handelsünger[Handelsdünger])-1)/(--(SEARCH(AL$2,Liste_Handelsünger[Handelsdünger])&gt;0)),ROW()-2),1),"")</f>
        <v>Schwefels. Kali</v>
      </c>
      <c r="AM18" t="str">
        <f>IFERROR(INDEX(Liste_Handelsünger[Handelsdünger],_xlfn.AGGREGATE(15,6,(ROW(Liste_Handelsünger[Handelsdünger])-1)/(--(SEARCH(AN$2,Liste_Handelsünger[Handelsdünger])&gt;0)),ROW()-2),1),"")</f>
        <v>Schwefels. Kali</v>
      </c>
      <c r="AO18" t="str">
        <f>IFERROR(INDEX(Liste_Handelsünger[Handelsdünger],_xlfn.AGGREGATE(15,6,(ROW(Liste_Handelsünger[Handelsdünger])-1)/(--(SEARCH(AP$2,Liste_Handelsünger[Handelsdünger])&gt;0)),ROW()-2),1),"")</f>
        <v>Schwefels. Kali</v>
      </c>
      <c r="AQ18" t="str">
        <f>IFERROR(INDEX(Liste_Handelsünger[Handelsdünger],_xlfn.AGGREGATE(15,6,(ROW(Liste_Handelsünger[Handelsdünger])-1)/(--(SEARCH(AR$2,Liste_Handelsünger[Handelsdünger])&gt;0)),ROW()-2),1),"")</f>
        <v>Schwefels. Kali</v>
      </c>
      <c r="AS18" t="str">
        <f>IFERROR(INDEX(Liste_Handelsünger[Handelsdünger],_xlfn.AGGREGATE(15,6,(ROW(Liste_Handelsünger[Handelsdünger])-1)/(--(SEARCH(AT$2,Liste_Handelsünger[Handelsdünger])&gt;0)),ROW()-2),1),"")</f>
        <v>Schwefels. Kali</v>
      </c>
      <c r="AU18" t="str">
        <f>IFERROR(INDEX(Liste_Handelsünger[Handelsdünger],_xlfn.AGGREGATE(15,6,(ROW(Liste_Handelsünger[Handelsdünger])-1)/(--(SEARCH(AV$2,Liste_Handelsünger[Handelsdünger])&gt;0)),ROW()-2),1),"")</f>
        <v>Schwefels. Kali</v>
      </c>
      <c r="AW18" t="str">
        <f>IFERROR(INDEX(Liste_Handelsünger[Handelsdünger],_xlfn.AGGREGATE(15,6,(ROW(Liste_Handelsünger[Handelsdünger])-1)/(--(SEARCH(AX$2,Liste_Handelsünger[Handelsdünger])&gt;0)),ROW()-2),1),"")</f>
        <v>Schwefels. Kali</v>
      </c>
      <c r="AY18" t="str">
        <f>IFERROR(INDEX(Liste_Handelsünger[Handelsdünger],_xlfn.AGGREGATE(15,6,(ROW(Liste_Handelsünger[Handelsdünger])-1)/(--(SEARCH(AZ$2,Liste_Handelsünger[Handelsdünger])&gt;0)),ROW()-2),1),"")</f>
        <v>Schwefels. Kali</v>
      </c>
      <c r="BA18" t="str">
        <f>IFERROR(INDEX(Liste_Handelsünger[Handelsdünger],_xlfn.AGGREGATE(15,6,(ROW(Liste_Handelsünger[Handelsdünger])-1)/(--(SEARCH(BB$2,Liste_Handelsünger[Handelsdünger])&gt;0)),ROW()-2),1),"")</f>
        <v>Schwefels. Kali</v>
      </c>
      <c r="BC18" t="str">
        <f>IFERROR(INDEX(Liste_Handelsünger[Handelsdünger],_xlfn.AGGREGATE(15,6,(ROW(Liste_Handelsünger[Handelsdünger])-1)/(--(SEARCH(BD$2,Liste_Handelsünger[Handelsdünger])&gt;0)),ROW()-2),1),"")</f>
        <v>Schwefels. Kali</v>
      </c>
      <c r="BE18" t="str">
        <f>IFERROR(INDEX(Liste_Handelsünger[Handelsdünger],_xlfn.AGGREGATE(15,6,(ROW(Liste_Handelsünger[Handelsdünger])-1)/(--(SEARCH(BF$2,Liste_Handelsünger[Handelsdünger])&gt;0)),ROW()-2),1),"")</f>
        <v>Schwefels. Kali</v>
      </c>
      <c r="BG18" t="str">
        <f>IFERROR(INDEX(Liste_Handelsünger[Handelsdünger],_xlfn.AGGREGATE(15,6,(ROW(Liste_Handelsünger[Handelsdünger])-1)/(--(SEARCH(BH$2,Liste_Handelsünger[Handelsdünger])&gt;0)),ROW()-2),1),"")</f>
        <v>Schwefels. Kali</v>
      </c>
      <c r="BJ18" s="2508">
        <v>17</v>
      </c>
      <c r="BK18" s="2535">
        <f>COUNTIF(Liste_Handelsünger[Handelsdünger],$A18)</f>
        <v>0</v>
      </c>
    </row>
    <row r="19" spans="1:63" ht="21.75" customHeight="1">
      <c r="A19" s="1478" t="s">
        <v>685</v>
      </c>
      <c r="B19" s="1477">
        <f>IF(ISNA(VLOOKUP(Mineral!A19,Tabelle1!$C$179:$Q$203,15,0)),0,VLOOKUP(Mineral!A19,Tabelle1!$C$179:$Q$203,15,0))</f>
        <v>0</v>
      </c>
      <c r="C19" s="2435"/>
      <c r="D19" s="1482"/>
      <c r="E19" s="1482"/>
      <c r="F19" s="1482"/>
      <c r="G19" s="1481">
        <f t="shared" si="10"/>
        <v>0</v>
      </c>
      <c r="H19" s="1481">
        <f t="shared" si="11"/>
        <v>0</v>
      </c>
      <c r="I19" s="1481">
        <f t="shared" si="12"/>
        <v>0</v>
      </c>
      <c r="J19" s="1942">
        <v>1</v>
      </c>
      <c r="R19" s="1943" t="s">
        <v>1722</v>
      </c>
      <c r="S19" s="1477"/>
      <c r="T19" s="2414">
        <f t="shared" si="6"/>
        <v>0</v>
      </c>
      <c r="U19" s="1480"/>
      <c r="V19" s="1480"/>
      <c r="W19" s="1480">
        <v>0.11</v>
      </c>
      <c r="X19" s="1481">
        <f t="shared" si="7"/>
        <v>0</v>
      </c>
      <c r="Y19" s="1481">
        <f t="shared" si="8"/>
        <v>0</v>
      </c>
      <c r="Z19" s="1481">
        <f t="shared" si="9"/>
        <v>0</v>
      </c>
      <c r="AA19" s="2536">
        <v>1</v>
      </c>
      <c r="AB19" s="2533"/>
      <c r="AD19" s="2457" t="s">
        <v>1722</v>
      </c>
      <c r="AE19" s="2443" t="str">
        <f>IFERROR(INDEX(Liste_Handelsünger[Handelsdünger],_xlfn.AGGREGATE(15,6,(ROW(Liste_Handelsünger[Handelsdünger])-1)/(--(SEARCH(AF$2,Liste_Handelsünger[Handelsdünger])&gt;0)),ROW()-2),1),"")</f>
        <v>Magnesia-Kainit</v>
      </c>
      <c r="AF19" s="2443"/>
      <c r="AG19" s="2443" t="str">
        <f>IFERROR(INDEX(Liste_Handelsünger[Handelsdünger],_xlfn.AGGREGATE(15,6,(ROW(Liste_Handelsünger[Handelsdünger])-1)/(--(SEARCH(AH$2,Liste_Handelsünger[Handelsdünger])&gt;0)),ROW()-2),1),"")</f>
        <v>Magnesia-Kainit</v>
      </c>
      <c r="AI19" t="str">
        <f>IFERROR(INDEX(Liste_Handelsünger[Handelsdünger],_xlfn.AGGREGATE(15,6,(ROW(Liste_Handelsünger[Handelsdünger])-1)/(--(SEARCH(AJ$2,Liste_Handelsünger[Handelsdünger])&gt;0)),ROW()-2),1),"")</f>
        <v>Magnesia-Kainit</v>
      </c>
      <c r="AK19" t="str">
        <f>IFERROR(INDEX(Liste_Handelsünger[Handelsdünger],_xlfn.AGGREGATE(15,6,(ROW(Liste_Handelsünger[Handelsdünger])-1)/(--(SEARCH(AL$2,Liste_Handelsünger[Handelsdünger])&gt;0)),ROW()-2),1),"")</f>
        <v>Magnesia-Kainit</v>
      </c>
      <c r="AM19" t="str">
        <f>IFERROR(INDEX(Liste_Handelsünger[Handelsdünger],_xlfn.AGGREGATE(15,6,(ROW(Liste_Handelsünger[Handelsdünger])-1)/(--(SEARCH(AN$2,Liste_Handelsünger[Handelsdünger])&gt;0)),ROW()-2),1),"")</f>
        <v>Magnesia-Kainit</v>
      </c>
      <c r="AO19" t="str">
        <f>IFERROR(INDEX(Liste_Handelsünger[Handelsdünger],_xlfn.AGGREGATE(15,6,(ROW(Liste_Handelsünger[Handelsdünger])-1)/(--(SEARCH(AP$2,Liste_Handelsünger[Handelsdünger])&gt;0)),ROW()-2),1),"")</f>
        <v>Magnesia-Kainit</v>
      </c>
      <c r="AQ19" t="str">
        <f>IFERROR(INDEX(Liste_Handelsünger[Handelsdünger],_xlfn.AGGREGATE(15,6,(ROW(Liste_Handelsünger[Handelsdünger])-1)/(--(SEARCH(AR$2,Liste_Handelsünger[Handelsdünger])&gt;0)),ROW()-2),1),"")</f>
        <v>Magnesia-Kainit</v>
      </c>
      <c r="AS19" t="str">
        <f>IFERROR(INDEX(Liste_Handelsünger[Handelsdünger],_xlfn.AGGREGATE(15,6,(ROW(Liste_Handelsünger[Handelsdünger])-1)/(--(SEARCH(AT$2,Liste_Handelsünger[Handelsdünger])&gt;0)),ROW()-2),1),"")</f>
        <v>Magnesia-Kainit</v>
      </c>
      <c r="AU19" t="str">
        <f>IFERROR(INDEX(Liste_Handelsünger[Handelsdünger],_xlfn.AGGREGATE(15,6,(ROW(Liste_Handelsünger[Handelsdünger])-1)/(--(SEARCH(AV$2,Liste_Handelsünger[Handelsdünger])&gt;0)),ROW()-2),1),"")</f>
        <v>Magnesia-Kainit</v>
      </c>
      <c r="AW19" t="str">
        <f>IFERROR(INDEX(Liste_Handelsünger[Handelsdünger],_xlfn.AGGREGATE(15,6,(ROW(Liste_Handelsünger[Handelsdünger])-1)/(--(SEARCH(AX$2,Liste_Handelsünger[Handelsdünger])&gt;0)),ROW()-2),1),"")</f>
        <v>Magnesia-Kainit</v>
      </c>
      <c r="AY19" t="str">
        <f>IFERROR(INDEX(Liste_Handelsünger[Handelsdünger],_xlfn.AGGREGATE(15,6,(ROW(Liste_Handelsünger[Handelsdünger])-1)/(--(SEARCH(AZ$2,Liste_Handelsünger[Handelsdünger])&gt;0)),ROW()-2),1),"")</f>
        <v>Magnesia-Kainit</v>
      </c>
      <c r="BA19" t="str">
        <f>IFERROR(INDEX(Liste_Handelsünger[Handelsdünger],_xlfn.AGGREGATE(15,6,(ROW(Liste_Handelsünger[Handelsdünger])-1)/(--(SEARCH(BB$2,Liste_Handelsünger[Handelsdünger])&gt;0)),ROW()-2),1),"")</f>
        <v>Magnesia-Kainit</v>
      </c>
      <c r="BC19" t="str">
        <f>IFERROR(INDEX(Liste_Handelsünger[Handelsdünger],_xlfn.AGGREGATE(15,6,(ROW(Liste_Handelsünger[Handelsdünger])-1)/(--(SEARCH(BD$2,Liste_Handelsünger[Handelsdünger])&gt;0)),ROW()-2),1),"")</f>
        <v>Magnesia-Kainit</v>
      </c>
      <c r="BE19" t="str">
        <f>IFERROR(INDEX(Liste_Handelsünger[Handelsdünger],_xlfn.AGGREGATE(15,6,(ROW(Liste_Handelsünger[Handelsdünger])-1)/(--(SEARCH(BF$2,Liste_Handelsünger[Handelsdünger])&gt;0)),ROW()-2),1),"")</f>
        <v>Magnesia-Kainit</v>
      </c>
      <c r="BG19" t="str">
        <f>IFERROR(INDEX(Liste_Handelsünger[Handelsdünger],_xlfn.AGGREGATE(15,6,(ROW(Liste_Handelsünger[Handelsdünger])-1)/(--(SEARCH(BH$2,Liste_Handelsünger[Handelsdünger])&gt;0)),ROW()-2),1),"")</f>
        <v>Magnesia-Kainit</v>
      </c>
    </row>
    <row r="20" spans="1:63" ht="21.75" customHeight="1">
      <c r="A20" s="1478" t="s">
        <v>686</v>
      </c>
      <c r="B20" s="1477">
        <f>IF(ISNA(VLOOKUP(Mineral!A20,Tabelle1!$C$179:$Q$203,15,0)),0,VLOOKUP(Mineral!A20,Tabelle1!$C$179:$Q$203,15,0))</f>
        <v>0</v>
      </c>
      <c r="C20" s="2435"/>
      <c r="D20" s="1482"/>
      <c r="E20" s="1482"/>
      <c r="F20" s="1482"/>
      <c r="G20" s="1481">
        <f t="shared" si="10"/>
        <v>0</v>
      </c>
      <c r="H20" s="1481">
        <f t="shared" si="11"/>
        <v>0</v>
      </c>
      <c r="I20" s="1481">
        <f t="shared" si="12"/>
        <v>0</v>
      </c>
      <c r="J20" s="1942">
        <v>1</v>
      </c>
      <c r="R20" s="1943" t="s">
        <v>2400</v>
      </c>
      <c r="S20" s="1477"/>
      <c r="T20" s="2414">
        <f t="shared" si="6"/>
        <v>0</v>
      </c>
      <c r="U20" s="1480">
        <v>0.18</v>
      </c>
      <c r="V20" s="1480">
        <v>0.46</v>
      </c>
      <c r="W20" s="1480"/>
      <c r="X20" s="1481">
        <f t="shared" si="7"/>
        <v>0</v>
      </c>
      <c r="Y20" s="1481">
        <f t="shared" si="8"/>
        <v>0</v>
      </c>
      <c r="Z20" s="1481">
        <f t="shared" si="9"/>
        <v>0</v>
      </c>
      <c r="AA20" s="2536">
        <v>1</v>
      </c>
      <c r="AB20" s="2533"/>
      <c r="AD20" s="2457" t="s">
        <v>2400</v>
      </c>
      <c r="AE20" s="2458" t="str">
        <f>IFERROR(INDEX(Liste_Handelsünger[Handelsdünger],_xlfn.AGGREGATE(15,6,(ROW(Liste_Handelsünger[Handelsdünger])-1)/(--(SEARCH(AF$2,Liste_Handelsünger[Handelsdünger])&gt;0)),ROW()-2),1),"")</f>
        <v>Diammonphosphat (DAP)</v>
      </c>
      <c r="AF20" s="2458"/>
      <c r="AG20" s="2458" t="str">
        <f>IFERROR(INDEX(Liste_Handelsünger[Handelsdünger],_xlfn.AGGREGATE(15,6,(ROW(Liste_Handelsünger[Handelsdünger])-1)/(--(SEARCH(AH$2,Liste_Handelsünger[Handelsdünger])&gt;0)),ROW()-2),1),"")</f>
        <v>Diammonphosphat (DAP)</v>
      </c>
      <c r="AI20" t="str">
        <f>IFERROR(INDEX(Liste_Handelsünger[Handelsdünger],_xlfn.AGGREGATE(15,6,(ROW(Liste_Handelsünger[Handelsdünger])-1)/(--(SEARCH(AJ$2,Liste_Handelsünger[Handelsdünger])&gt;0)),ROW()-2),1),"")</f>
        <v>Diammonphosphat (DAP)</v>
      </c>
      <c r="AK20" t="str">
        <f>IFERROR(INDEX(Liste_Handelsünger[Handelsdünger],_xlfn.AGGREGATE(15,6,(ROW(Liste_Handelsünger[Handelsdünger])-1)/(--(SEARCH(AL$2,Liste_Handelsünger[Handelsdünger])&gt;0)),ROW()-2),1),"")</f>
        <v>Diammonphosphat (DAP)</v>
      </c>
      <c r="AM20" t="str">
        <f>IFERROR(INDEX(Liste_Handelsünger[Handelsdünger],_xlfn.AGGREGATE(15,6,(ROW(Liste_Handelsünger[Handelsdünger])-1)/(--(SEARCH(AN$2,Liste_Handelsünger[Handelsdünger])&gt;0)),ROW()-2),1),"")</f>
        <v>Diammonphosphat (DAP)</v>
      </c>
      <c r="AO20" t="str">
        <f>IFERROR(INDEX(Liste_Handelsünger[Handelsdünger],_xlfn.AGGREGATE(15,6,(ROW(Liste_Handelsünger[Handelsdünger])-1)/(--(SEARCH(AP$2,Liste_Handelsünger[Handelsdünger])&gt;0)),ROW()-2),1),"")</f>
        <v>Diammonphosphat (DAP)</v>
      </c>
      <c r="AQ20" t="str">
        <f>IFERROR(INDEX(Liste_Handelsünger[Handelsdünger],_xlfn.AGGREGATE(15,6,(ROW(Liste_Handelsünger[Handelsdünger])-1)/(--(SEARCH(AR$2,Liste_Handelsünger[Handelsdünger])&gt;0)),ROW()-2),1),"")</f>
        <v>Diammonphosphat (DAP)</v>
      </c>
      <c r="AS20" t="str">
        <f>IFERROR(INDEX(Liste_Handelsünger[Handelsdünger],_xlfn.AGGREGATE(15,6,(ROW(Liste_Handelsünger[Handelsdünger])-1)/(--(SEARCH(AT$2,Liste_Handelsünger[Handelsdünger])&gt;0)),ROW()-2),1),"")</f>
        <v>Diammonphosphat (DAP)</v>
      </c>
      <c r="AU20" t="str">
        <f>IFERROR(INDEX(Liste_Handelsünger[Handelsdünger],_xlfn.AGGREGATE(15,6,(ROW(Liste_Handelsünger[Handelsdünger])-1)/(--(SEARCH(AV$2,Liste_Handelsünger[Handelsdünger])&gt;0)),ROW()-2),1),"")</f>
        <v>Diammonphosphat (DAP)</v>
      </c>
      <c r="AW20" t="str">
        <f>IFERROR(INDEX(Liste_Handelsünger[Handelsdünger],_xlfn.AGGREGATE(15,6,(ROW(Liste_Handelsünger[Handelsdünger])-1)/(--(SEARCH(AX$2,Liste_Handelsünger[Handelsdünger])&gt;0)),ROW()-2),1),"")</f>
        <v>Diammonphosphat (DAP)</v>
      </c>
      <c r="AY20" t="str">
        <f>IFERROR(INDEX(Liste_Handelsünger[Handelsdünger],_xlfn.AGGREGATE(15,6,(ROW(Liste_Handelsünger[Handelsdünger])-1)/(--(SEARCH(AZ$2,Liste_Handelsünger[Handelsdünger])&gt;0)),ROW()-2),1),"")</f>
        <v>Diammonphosphat (DAP)</v>
      </c>
      <c r="BA20" t="str">
        <f>IFERROR(INDEX(Liste_Handelsünger[Handelsdünger],_xlfn.AGGREGATE(15,6,(ROW(Liste_Handelsünger[Handelsdünger])-1)/(--(SEARCH(BB$2,Liste_Handelsünger[Handelsdünger])&gt;0)),ROW()-2),1),"")</f>
        <v>Diammonphosphat (DAP)</v>
      </c>
      <c r="BC20" t="str">
        <f>IFERROR(INDEX(Liste_Handelsünger[Handelsdünger],_xlfn.AGGREGATE(15,6,(ROW(Liste_Handelsünger[Handelsdünger])-1)/(--(SEARCH(BD$2,Liste_Handelsünger[Handelsdünger])&gt;0)),ROW()-2),1),"")</f>
        <v>Diammonphosphat (DAP)</v>
      </c>
      <c r="BE20" t="str">
        <f>IFERROR(INDEX(Liste_Handelsünger[Handelsdünger],_xlfn.AGGREGATE(15,6,(ROW(Liste_Handelsünger[Handelsdünger])-1)/(--(SEARCH(BF$2,Liste_Handelsünger[Handelsdünger])&gt;0)),ROW()-2),1),"")</f>
        <v>Diammonphosphat (DAP)</v>
      </c>
      <c r="BG20" t="str">
        <f>IFERROR(INDEX(Liste_Handelsünger[Handelsdünger],_xlfn.AGGREGATE(15,6,(ROW(Liste_Handelsünger[Handelsdünger])-1)/(--(SEARCH(BH$2,Liste_Handelsünger[Handelsdünger])&gt;0)),ROW()-2),1),"")</f>
        <v>Diammonphosphat (DAP)</v>
      </c>
    </row>
    <row r="21" spans="1:63" ht="21.75" customHeight="1">
      <c r="A21" s="1478" t="s">
        <v>1732</v>
      </c>
      <c r="B21" s="1477">
        <f>IF(ISNA(VLOOKUP(Mineral!A21,Tabelle1!$C$179:$Q$203,15,0)),0,VLOOKUP(Mineral!A21,Tabelle1!$C$179:$Q$203,15,0))</f>
        <v>0</v>
      </c>
      <c r="C21" s="2435"/>
      <c r="D21" s="1482"/>
      <c r="E21" s="1482"/>
      <c r="F21" s="1482"/>
      <c r="G21" s="1481">
        <f t="shared" si="10"/>
        <v>0</v>
      </c>
      <c r="H21" s="1481">
        <f t="shared" si="11"/>
        <v>0</v>
      </c>
      <c r="I21" s="1481">
        <f t="shared" si="12"/>
        <v>0</v>
      </c>
      <c r="J21" s="1942">
        <v>1</v>
      </c>
      <c r="R21" s="1943" t="s">
        <v>1723</v>
      </c>
      <c r="S21" s="1477"/>
      <c r="T21" s="2414">
        <f t="shared" si="6"/>
        <v>0</v>
      </c>
      <c r="U21" s="1480">
        <v>0.2</v>
      </c>
      <c r="V21" s="1480">
        <v>0.2</v>
      </c>
      <c r="W21" s="1480"/>
      <c r="X21" s="1481">
        <f t="shared" si="7"/>
        <v>0</v>
      </c>
      <c r="Y21" s="1481">
        <f t="shared" si="8"/>
        <v>0</v>
      </c>
      <c r="Z21" s="1481">
        <f t="shared" si="9"/>
        <v>0</v>
      </c>
      <c r="AA21" s="2536">
        <v>1</v>
      </c>
      <c r="AB21" s="2533"/>
      <c r="AD21" s="2457" t="s">
        <v>1723</v>
      </c>
      <c r="AE21" s="2443" t="str">
        <f>IFERROR(INDEX(Liste_Handelsünger[Handelsdünger],_xlfn.AGGREGATE(15,6,(ROW(Liste_Handelsünger[Handelsdünger])-1)/(--(SEARCH(AF$2,Liste_Handelsünger[Handelsdünger])&gt;0)),ROW()-2),1),"")</f>
        <v>Complex grün 20/20</v>
      </c>
      <c r="AF21" s="2443"/>
      <c r="AG21" s="2443" t="str">
        <f>IFERROR(INDEX(Liste_Handelsünger[Handelsdünger],_xlfn.AGGREGATE(15,6,(ROW(Liste_Handelsünger[Handelsdünger])-1)/(--(SEARCH(AH$2,Liste_Handelsünger[Handelsdünger])&gt;0)),ROW()-2),1),"")</f>
        <v>Complex grün 20/20</v>
      </c>
      <c r="AI21" t="str">
        <f>IFERROR(INDEX(Liste_Handelsünger[Handelsdünger],_xlfn.AGGREGATE(15,6,(ROW(Liste_Handelsünger[Handelsdünger])-1)/(--(SEARCH(AJ$2,Liste_Handelsünger[Handelsdünger])&gt;0)),ROW()-2),1),"")</f>
        <v>Complex grün 20/20</v>
      </c>
      <c r="AK21" t="str">
        <f>IFERROR(INDEX(Liste_Handelsünger[Handelsdünger],_xlfn.AGGREGATE(15,6,(ROW(Liste_Handelsünger[Handelsdünger])-1)/(--(SEARCH(AL$2,Liste_Handelsünger[Handelsdünger])&gt;0)),ROW()-2),1),"")</f>
        <v>Complex grün 20/20</v>
      </c>
      <c r="AM21" t="str">
        <f>IFERROR(INDEX(Liste_Handelsünger[Handelsdünger],_xlfn.AGGREGATE(15,6,(ROW(Liste_Handelsünger[Handelsdünger])-1)/(--(SEARCH(AN$2,Liste_Handelsünger[Handelsdünger])&gt;0)),ROW()-2),1),"")</f>
        <v>Complex grün 20/20</v>
      </c>
      <c r="AO21" t="str">
        <f>IFERROR(INDEX(Liste_Handelsünger[Handelsdünger],_xlfn.AGGREGATE(15,6,(ROW(Liste_Handelsünger[Handelsdünger])-1)/(--(SEARCH(AP$2,Liste_Handelsünger[Handelsdünger])&gt;0)),ROW()-2),1),"")</f>
        <v>Complex grün 20/20</v>
      </c>
      <c r="AQ21" t="str">
        <f>IFERROR(INDEX(Liste_Handelsünger[Handelsdünger],_xlfn.AGGREGATE(15,6,(ROW(Liste_Handelsünger[Handelsdünger])-1)/(--(SEARCH(AR$2,Liste_Handelsünger[Handelsdünger])&gt;0)),ROW()-2),1),"")</f>
        <v>Complex grün 20/20</v>
      </c>
      <c r="AS21" t="str">
        <f>IFERROR(INDEX(Liste_Handelsünger[Handelsdünger],_xlfn.AGGREGATE(15,6,(ROW(Liste_Handelsünger[Handelsdünger])-1)/(--(SEARCH(AT$2,Liste_Handelsünger[Handelsdünger])&gt;0)),ROW()-2),1),"")</f>
        <v>Complex grün 20/20</v>
      </c>
      <c r="AU21" t="str">
        <f>IFERROR(INDEX(Liste_Handelsünger[Handelsdünger],_xlfn.AGGREGATE(15,6,(ROW(Liste_Handelsünger[Handelsdünger])-1)/(--(SEARCH(AV$2,Liste_Handelsünger[Handelsdünger])&gt;0)),ROW()-2),1),"")</f>
        <v>Complex grün 20/20</v>
      </c>
      <c r="AW21" t="str">
        <f>IFERROR(INDEX(Liste_Handelsünger[Handelsdünger],_xlfn.AGGREGATE(15,6,(ROW(Liste_Handelsünger[Handelsdünger])-1)/(--(SEARCH(AX$2,Liste_Handelsünger[Handelsdünger])&gt;0)),ROW()-2),1),"")</f>
        <v>Complex grün 20/20</v>
      </c>
      <c r="AY21" t="str">
        <f>IFERROR(INDEX(Liste_Handelsünger[Handelsdünger],_xlfn.AGGREGATE(15,6,(ROW(Liste_Handelsünger[Handelsdünger])-1)/(--(SEARCH(AZ$2,Liste_Handelsünger[Handelsdünger])&gt;0)),ROW()-2),1),"")</f>
        <v>Complex grün 20/20</v>
      </c>
      <c r="BA21" t="str">
        <f>IFERROR(INDEX(Liste_Handelsünger[Handelsdünger],_xlfn.AGGREGATE(15,6,(ROW(Liste_Handelsünger[Handelsdünger])-1)/(--(SEARCH(BB$2,Liste_Handelsünger[Handelsdünger])&gt;0)),ROW()-2),1),"")</f>
        <v>Complex grün 20/20</v>
      </c>
      <c r="BC21" t="str">
        <f>IFERROR(INDEX(Liste_Handelsünger[Handelsdünger],_xlfn.AGGREGATE(15,6,(ROW(Liste_Handelsünger[Handelsdünger])-1)/(--(SEARCH(BD$2,Liste_Handelsünger[Handelsdünger])&gt;0)),ROW()-2),1),"")</f>
        <v>Complex grün 20/20</v>
      </c>
      <c r="BE21" t="str">
        <f>IFERROR(INDEX(Liste_Handelsünger[Handelsdünger],_xlfn.AGGREGATE(15,6,(ROW(Liste_Handelsünger[Handelsdünger])-1)/(--(SEARCH(BF$2,Liste_Handelsünger[Handelsdünger])&gt;0)),ROW()-2),1),"")</f>
        <v>Complex grün 20/20</v>
      </c>
      <c r="BG21" t="str">
        <f>IFERROR(INDEX(Liste_Handelsünger[Handelsdünger],_xlfn.AGGREGATE(15,6,(ROW(Liste_Handelsünger[Handelsdünger])-1)/(--(SEARCH(BH$2,Liste_Handelsünger[Handelsdünger])&gt;0)),ROW()-2),1),"")</f>
        <v>Complex grün 20/20</v>
      </c>
    </row>
    <row r="22" spans="1:63" ht="21.75" customHeight="1">
      <c r="A22" s="1478" t="s">
        <v>1732</v>
      </c>
      <c r="B22" s="1477">
        <f>IF(ISNA(VLOOKUP(Mineral!A22,Tabelle1!$C$179:$Q$203,15,0)),0,VLOOKUP(Mineral!A22,Tabelle1!$C$179:$Q$203,15,0))</f>
        <v>0</v>
      </c>
      <c r="C22" s="2435"/>
      <c r="D22" s="1482"/>
      <c r="E22" s="1482"/>
      <c r="F22" s="1482"/>
      <c r="G22" s="1481">
        <f t="shared" si="10"/>
        <v>0</v>
      </c>
      <c r="H22" s="1481">
        <f t="shared" si="11"/>
        <v>0</v>
      </c>
      <c r="I22" s="1481">
        <f t="shared" si="12"/>
        <v>0</v>
      </c>
      <c r="J22" s="1942">
        <v>1</v>
      </c>
      <c r="R22" s="1943" t="s">
        <v>1724</v>
      </c>
      <c r="S22" s="1477"/>
      <c r="T22" s="2414">
        <f t="shared" si="6"/>
        <v>0</v>
      </c>
      <c r="U22" s="1480">
        <v>0.26</v>
      </c>
      <c r="V22" s="1480">
        <v>0.1</v>
      </c>
      <c r="W22" s="1480"/>
      <c r="X22" s="1481">
        <f t="shared" si="7"/>
        <v>0</v>
      </c>
      <c r="Y22" s="1481">
        <f t="shared" si="8"/>
        <v>0</v>
      </c>
      <c r="Z22" s="1481">
        <f t="shared" si="9"/>
        <v>0</v>
      </c>
      <c r="AA22" s="2536">
        <v>1</v>
      </c>
      <c r="AB22" s="2533"/>
      <c r="AD22" s="2457" t="s">
        <v>1724</v>
      </c>
      <c r="AE22" s="2458" t="str">
        <f>IFERROR(INDEX(Liste_Handelsünger[Handelsdünger],_xlfn.AGGREGATE(15,6,(ROW(Liste_Handelsünger[Handelsdünger])-1)/(--(SEARCH(AF$2,Liste_Handelsünger[Handelsdünger])&gt;0)),ROW()-2),1),"")</f>
        <v>Complex grün 26/10</v>
      </c>
      <c r="AF22" s="2458"/>
      <c r="AG22" s="2458" t="str">
        <f>IFERROR(INDEX(Liste_Handelsünger[Handelsdünger],_xlfn.AGGREGATE(15,6,(ROW(Liste_Handelsünger[Handelsdünger])-1)/(--(SEARCH(AH$2,Liste_Handelsünger[Handelsdünger])&gt;0)),ROW()-2),1),"")</f>
        <v>Complex grün 26/10</v>
      </c>
      <c r="AI22" t="str">
        <f>IFERROR(INDEX(Liste_Handelsünger[Handelsdünger],_xlfn.AGGREGATE(15,6,(ROW(Liste_Handelsünger[Handelsdünger])-1)/(--(SEARCH(AJ$2,Liste_Handelsünger[Handelsdünger])&gt;0)),ROW()-2),1),"")</f>
        <v>Complex grün 26/10</v>
      </c>
      <c r="AK22" t="str">
        <f>IFERROR(INDEX(Liste_Handelsünger[Handelsdünger],_xlfn.AGGREGATE(15,6,(ROW(Liste_Handelsünger[Handelsdünger])-1)/(--(SEARCH(AL$2,Liste_Handelsünger[Handelsdünger])&gt;0)),ROW()-2),1),"")</f>
        <v>Complex grün 26/10</v>
      </c>
      <c r="AM22" t="str">
        <f>IFERROR(INDEX(Liste_Handelsünger[Handelsdünger],_xlfn.AGGREGATE(15,6,(ROW(Liste_Handelsünger[Handelsdünger])-1)/(--(SEARCH(AN$2,Liste_Handelsünger[Handelsdünger])&gt;0)),ROW()-2),1),"")</f>
        <v>Complex grün 26/10</v>
      </c>
      <c r="AO22" t="str">
        <f>IFERROR(INDEX(Liste_Handelsünger[Handelsdünger],_xlfn.AGGREGATE(15,6,(ROW(Liste_Handelsünger[Handelsdünger])-1)/(--(SEARCH(AP$2,Liste_Handelsünger[Handelsdünger])&gt;0)),ROW()-2),1),"")</f>
        <v>Complex grün 26/10</v>
      </c>
      <c r="AQ22" t="str">
        <f>IFERROR(INDEX(Liste_Handelsünger[Handelsdünger],_xlfn.AGGREGATE(15,6,(ROW(Liste_Handelsünger[Handelsdünger])-1)/(--(SEARCH(AR$2,Liste_Handelsünger[Handelsdünger])&gt;0)),ROW()-2),1),"")</f>
        <v>Complex grün 26/10</v>
      </c>
      <c r="AS22" t="str">
        <f>IFERROR(INDEX(Liste_Handelsünger[Handelsdünger],_xlfn.AGGREGATE(15,6,(ROW(Liste_Handelsünger[Handelsdünger])-1)/(--(SEARCH(AT$2,Liste_Handelsünger[Handelsdünger])&gt;0)),ROW()-2),1),"")</f>
        <v>Complex grün 26/10</v>
      </c>
      <c r="AU22" t="str">
        <f>IFERROR(INDEX(Liste_Handelsünger[Handelsdünger],_xlfn.AGGREGATE(15,6,(ROW(Liste_Handelsünger[Handelsdünger])-1)/(--(SEARCH(AV$2,Liste_Handelsünger[Handelsdünger])&gt;0)),ROW()-2),1),"")</f>
        <v>Complex grün 26/10</v>
      </c>
      <c r="AW22" t="str">
        <f>IFERROR(INDEX(Liste_Handelsünger[Handelsdünger],_xlfn.AGGREGATE(15,6,(ROW(Liste_Handelsünger[Handelsdünger])-1)/(--(SEARCH(AX$2,Liste_Handelsünger[Handelsdünger])&gt;0)),ROW()-2),1),"")</f>
        <v>Complex grün 26/10</v>
      </c>
      <c r="AY22" t="str">
        <f>IFERROR(INDEX(Liste_Handelsünger[Handelsdünger],_xlfn.AGGREGATE(15,6,(ROW(Liste_Handelsünger[Handelsdünger])-1)/(--(SEARCH(AZ$2,Liste_Handelsünger[Handelsdünger])&gt;0)),ROW()-2),1),"")</f>
        <v>Complex grün 26/10</v>
      </c>
      <c r="BA22" t="str">
        <f>IFERROR(INDEX(Liste_Handelsünger[Handelsdünger],_xlfn.AGGREGATE(15,6,(ROW(Liste_Handelsünger[Handelsdünger])-1)/(--(SEARCH(BB$2,Liste_Handelsünger[Handelsdünger])&gt;0)),ROW()-2),1),"")</f>
        <v>Complex grün 26/10</v>
      </c>
      <c r="BC22" t="str">
        <f>IFERROR(INDEX(Liste_Handelsünger[Handelsdünger],_xlfn.AGGREGATE(15,6,(ROW(Liste_Handelsünger[Handelsdünger])-1)/(--(SEARCH(BD$2,Liste_Handelsünger[Handelsdünger])&gt;0)),ROW()-2),1),"")</f>
        <v>Complex grün 26/10</v>
      </c>
      <c r="BE22" t="str">
        <f>IFERROR(INDEX(Liste_Handelsünger[Handelsdünger],_xlfn.AGGREGATE(15,6,(ROW(Liste_Handelsünger[Handelsdünger])-1)/(--(SEARCH(BF$2,Liste_Handelsünger[Handelsdünger])&gt;0)),ROW()-2),1),"")</f>
        <v>Complex grün 26/10</v>
      </c>
      <c r="BG22" t="str">
        <f>IFERROR(INDEX(Liste_Handelsünger[Handelsdünger],_xlfn.AGGREGATE(15,6,(ROW(Liste_Handelsünger[Handelsdünger])-1)/(--(SEARCH(BH$2,Liste_Handelsünger[Handelsdünger])&gt;0)),ROW()-2),1),"")</f>
        <v>Complex grün 26/10</v>
      </c>
    </row>
    <row r="23" spans="1:63" ht="21.75" customHeight="1">
      <c r="A23" s="1478" t="s">
        <v>1732</v>
      </c>
      <c r="B23" s="1477">
        <f>IF(ISNA(VLOOKUP(Mineral!A23,Tabelle1!$C$179:$Q$203,15,0)),0,VLOOKUP(Mineral!A23,Tabelle1!$C$179:$Q$203,15,0))</f>
        <v>0</v>
      </c>
      <c r="C23" s="2435"/>
      <c r="D23" s="1482"/>
      <c r="E23" s="1482"/>
      <c r="F23" s="1482"/>
      <c r="G23" s="1481">
        <f t="shared" si="10"/>
        <v>0</v>
      </c>
      <c r="H23" s="1481">
        <f t="shared" si="11"/>
        <v>0</v>
      </c>
      <c r="I23" s="1481">
        <f t="shared" si="12"/>
        <v>0</v>
      </c>
      <c r="J23" s="1942">
        <v>1</v>
      </c>
      <c r="R23" s="1943" t="s">
        <v>1725</v>
      </c>
      <c r="S23" s="1477"/>
      <c r="T23" s="2414">
        <f t="shared" si="6"/>
        <v>0</v>
      </c>
      <c r="U23" s="1480"/>
      <c r="V23" s="1480">
        <v>0.12</v>
      </c>
      <c r="W23" s="1480">
        <v>0.2</v>
      </c>
      <c r="X23" s="1481">
        <f t="shared" si="7"/>
        <v>0</v>
      </c>
      <c r="Y23" s="1481">
        <f t="shared" si="8"/>
        <v>0</v>
      </c>
      <c r="Z23" s="1481">
        <f t="shared" si="9"/>
        <v>0</v>
      </c>
      <c r="AA23" s="2536">
        <v>1</v>
      </c>
      <c r="AB23" s="2533"/>
      <c r="AD23" s="2457" t="s">
        <v>1725</v>
      </c>
      <c r="AE23" s="2443" t="str">
        <f>IFERROR(INDEX(Liste_Handelsünger[Handelsdünger],_xlfn.AGGREGATE(15,6,(ROW(Liste_Handelsünger[Handelsdünger])-1)/(--(SEARCH(AF$2,Liste_Handelsünger[Handelsdünger])&gt;0)),ROW()-2),1),"")</f>
        <v>DC 45 neu</v>
      </c>
      <c r="AF23" s="2443"/>
      <c r="AG23" s="2443" t="str">
        <f>IFERROR(INDEX(Liste_Handelsünger[Handelsdünger],_xlfn.AGGREGATE(15,6,(ROW(Liste_Handelsünger[Handelsdünger])-1)/(--(SEARCH(AH$2,Liste_Handelsünger[Handelsdünger])&gt;0)),ROW()-2),1),"")</f>
        <v>DC 45 neu</v>
      </c>
      <c r="AI23" t="str">
        <f>IFERROR(INDEX(Liste_Handelsünger[Handelsdünger],_xlfn.AGGREGATE(15,6,(ROW(Liste_Handelsünger[Handelsdünger])-1)/(--(SEARCH(AJ$2,Liste_Handelsünger[Handelsdünger])&gt;0)),ROW()-2),1),"")</f>
        <v>DC 45 neu</v>
      </c>
      <c r="AK23" t="str">
        <f>IFERROR(INDEX(Liste_Handelsünger[Handelsdünger],_xlfn.AGGREGATE(15,6,(ROW(Liste_Handelsünger[Handelsdünger])-1)/(--(SEARCH(AL$2,Liste_Handelsünger[Handelsdünger])&gt;0)),ROW()-2),1),"")</f>
        <v>DC 45 neu</v>
      </c>
      <c r="AM23" t="str">
        <f>IFERROR(INDEX(Liste_Handelsünger[Handelsdünger],_xlfn.AGGREGATE(15,6,(ROW(Liste_Handelsünger[Handelsdünger])-1)/(--(SEARCH(AN$2,Liste_Handelsünger[Handelsdünger])&gt;0)),ROW()-2),1),"")</f>
        <v>DC 45 neu</v>
      </c>
      <c r="AO23" t="str">
        <f>IFERROR(INDEX(Liste_Handelsünger[Handelsdünger],_xlfn.AGGREGATE(15,6,(ROW(Liste_Handelsünger[Handelsdünger])-1)/(--(SEARCH(AP$2,Liste_Handelsünger[Handelsdünger])&gt;0)),ROW()-2),1),"")</f>
        <v>DC 45 neu</v>
      </c>
      <c r="AQ23" t="str">
        <f>IFERROR(INDEX(Liste_Handelsünger[Handelsdünger],_xlfn.AGGREGATE(15,6,(ROW(Liste_Handelsünger[Handelsdünger])-1)/(--(SEARCH(AR$2,Liste_Handelsünger[Handelsdünger])&gt;0)),ROW()-2),1),"")</f>
        <v>DC 45 neu</v>
      </c>
      <c r="AS23" t="str">
        <f>IFERROR(INDEX(Liste_Handelsünger[Handelsdünger],_xlfn.AGGREGATE(15,6,(ROW(Liste_Handelsünger[Handelsdünger])-1)/(--(SEARCH(AT$2,Liste_Handelsünger[Handelsdünger])&gt;0)),ROW()-2),1),"")</f>
        <v>DC 45 neu</v>
      </c>
      <c r="AU23" t="str">
        <f>IFERROR(INDEX(Liste_Handelsünger[Handelsdünger],_xlfn.AGGREGATE(15,6,(ROW(Liste_Handelsünger[Handelsdünger])-1)/(--(SEARCH(AV$2,Liste_Handelsünger[Handelsdünger])&gt;0)),ROW()-2),1),"")</f>
        <v>DC 45 neu</v>
      </c>
      <c r="AW23" t="str">
        <f>IFERROR(INDEX(Liste_Handelsünger[Handelsdünger],_xlfn.AGGREGATE(15,6,(ROW(Liste_Handelsünger[Handelsdünger])-1)/(--(SEARCH(AX$2,Liste_Handelsünger[Handelsdünger])&gt;0)),ROW()-2),1),"")</f>
        <v>DC 45 neu</v>
      </c>
      <c r="AY23" t="str">
        <f>IFERROR(INDEX(Liste_Handelsünger[Handelsdünger],_xlfn.AGGREGATE(15,6,(ROW(Liste_Handelsünger[Handelsdünger])-1)/(--(SEARCH(AZ$2,Liste_Handelsünger[Handelsdünger])&gt;0)),ROW()-2),1),"")</f>
        <v>DC 45 neu</v>
      </c>
      <c r="BA23" t="str">
        <f>IFERROR(INDEX(Liste_Handelsünger[Handelsdünger],_xlfn.AGGREGATE(15,6,(ROW(Liste_Handelsünger[Handelsdünger])-1)/(--(SEARCH(BB$2,Liste_Handelsünger[Handelsdünger])&gt;0)),ROW()-2),1),"")</f>
        <v>DC 45 neu</v>
      </c>
      <c r="BC23" t="str">
        <f>IFERROR(INDEX(Liste_Handelsünger[Handelsdünger],_xlfn.AGGREGATE(15,6,(ROW(Liste_Handelsünger[Handelsdünger])-1)/(--(SEARCH(BD$2,Liste_Handelsünger[Handelsdünger])&gt;0)),ROW()-2),1),"")</f>
        <v>DC 45 neu</v>
      </c>
      <c r="BE23" t="str">
        <f>IFERROR(INDEX(Liste_Handelsünger[Handelsdünger],_xlfn.AGGREGATE(15,6,(ROW(Liste_Handelsünger[Handelsdünger])-1)/(--(SEARCH(BF$2,Liste_Handelsünger[Handelsdünger])&gt;0)),ROW()-2),1),"")</f>
        <v>DC 45 neu</v>
      </c>
      <c r="BG23" t="str">
        <f>IFERROR(INDEX(Liste_Handelsünger[Handelsdünger],_xlfn.AGGREGATE(15,6,(ROW(Liste_Handelsünger[Handelsdünger])-1)/(--(SEARCH(BH$2,Liste_Handelsünger[Handelsdünger])&gt;0)),ROW()-2),1),"")</f>
        <v>DC 45 neu</v>
      </c>
    </row>
    <row r="24" spans="1:63" ht="21.75" customHeight="1">
      <c r="A24" s="1478" t="s">
        <v>1732</v>
      </c>
      <c r="B24" s="1477">
        <f>IF(ISNA(VLOOKUP(Mineral!A24,Tabelle1!$C$179:$Q$203,15,0)),0,VLOOKUP(Mineral!A24,Tabelle1!$C$179:$Q$203,15,0))</f>
        <v>0</v>
      </c>
      <c r="C24" s="2435"/>
      <c r="D24" s="1482"/>
      <c r="E24" s="1482"/>
      <c r="F24" s="1482"/>
      <c r="G24" s="1481">
        <f t="shared" si="10"/>
        <v>0</v>
      </c>
      <c r="H24" s="1481">
        <f t="shared" si="11"/>
        <v>0</v>
      </c>
      <c r="I24" s="1481">
        <f t="shared" si="12"/>
        <v>0</v>
      </c>
      <c r="J24" s="1942">
        <v>1</v>
      </c>
      <c r="R24" s="1943" t="s">
        <v>1726</v>
      </c>
      <c r="S24" s="1477"/>
      <c r="T24" s="2414">
        <f t="shared" si="6"/>
        <v>0</v>
      </c>
      <c r="U24" s="1480"/>
      <c r="V24" s="1480">
        <v>0.1</v>
      </c>
      <c r="W24" s="1480">
        <v>0.3</v>
      </c>
      <c r="X24" s="1481">
        <f t="shared" si="7"/>
        <v>0</v>
      </c>
      <c r="Y24" s="1481">
        <f t="shared" si="8"/>
        <v>0</v>
      </c>
      <c r="Z24" s="1481">
        <f t="shared" si="9"/>
        <v>0</v>
      </c>
      <c r="AA24" s="2536">
        <v>1</v>
      </c>
      <c r="AB24" s="2533"/>
      <c r="AD24" s="2457" t="s">
        <v>1726</v>
      </c>
      <c r="AE24" s="2458" t="str">
        <f>IFERROR(INDEX(Liste_Handelsünger[Handelsdünger],_xlfn.AGGREGATE(15,6,(ROW(Liste_Handelsünger[Handelsdünger])-1)/(--(SEARCH(AF$2,Liste_Handelsünger[Handelsdünger])&gt;0)),ROW()-2),1),"")</f>
        <v>DC 44 spez</v>
      </c>
      <c r="AF24" s="2458"/>
      <c r="AG24" s="2458" t="str">
        <f>IFERROR(INDEX(Liste_Handelsünger[Handelsdünger],_xlfn.AGGREGATE(15,6,(ROW(Liste_Handelsünger[Handelsdünger])-1)/(--(SEARCH(AH$2,Liste_Handelsünger[Handelsdünger])&gt;0)),ROW()-2),1),"")</f>
        <v>DC 44 spez</v>
      </c>
      <c r="AI24" t="str">
        <f>IFERROR(INDEX(Liste_Handelsünger[Handelsdünger],_xlfn.AGGREGATE(15,6,(ROW(Liste_Handelsünger[Handelsdünger])-1)/(--(SEARCH(AJ$2,Liste_Handelsünger[Handelsdünger])&gt;0)),ROW()-2),1),"")</f>
        <v>DC 44 spez</v>
      </c>
      <c r="AK24" t="str">
        <f>IFERROR(INDEX(Liste_Handelsünger[Handelsdünger],_xlfn.AGGREGATE(15,6,(ROW(Liste_Handelsünger[Handelsdünger])-1)/(--(SEARCH(AL$2,Liste_Handelsünger[Handelsdünger])&gt;0)),ROW()-2),1),"")</f>
        <v>DC 44 spez</v>
      </c>
      <c r="AM24" t="str">
        <f>IFERROR(INDEX(Liste_Handelsünger[Handelsdünger],_xlfn.AGGREGATE(15,6,(ROW(Liste_Handelsünger[Handelsdünger])-1)/(--(SEARCH(AN$2,Liste_Handelsünger[Handelsdünger])&gt;0)),ROW()-2),1),"")</f>
        <v>DC 44 spez</v>
      </c>
      <c r="AO24" t="str">
        <f>IFERROR(INDEX(Liste_Handelsünger[Handelsdünger],_xlfn.AGGREGATE(15,6,(ROW(Liste_Handelsünger[Handelsdünger])-1)/(--(SEARCH(AP$2,Liste_Handelsünger[Handelsdünger])&gt;0)),ROW()-2),1),"")</f>
        <v>DC 44 spez</v>
      </c>
      <c r="AQ24" t="str">
        <f>IFERROR(INDEX(Liste_Handelsünger[Handelsdünger],_xlfn.AGGREGATE(15,6,(ROW(Liste_Handelsünger[Handelsdünger])-1)/(--(SEARCH(AR$2,Liste_Handelsünger[Handelsdünger])&gt;0)),ROW()-2),1),"")</f>
        <v>DC 44 spez</v>
      </c>
      <c r="AS24" t="str">
        <f>IFERROR(INDEX(Liste_Handelsünger[Handelsdünger],_xlfn.AGGREGATE(15,6,(ROW(Liste_Handelsünger[Handelsdünger])-1)/(--(SEARCH(AT$2,Liste_Handelsünger[Handelsdünger])&gt;0)),ROW()-2),1),"")</f>
        <v>DC 44 spez</v>
      </c>
      <c r="AU24" t="str">
        <f>IFERROR(INDEX(Liste_Handelsünger[Handelsdünger],_xlfn.AGGREGATE(15,6,(ROW(Liste_Handelsünger[Handelsdünger])-1)/(--(SEARCH(AV$2,Liste_Handelsünger[Handelsdünger])&gt;0)),ROW()-2),1),"")</f>
        <v>DC 44 spez</v>
      </c>
      <c r="AW24" t="str">
        <f>IFERROR(INDEX(Liste_Handelsünger[Handelsdünger],_xlfn.AGGREGATE(15,6,(ROW(Liste_Handelsünger[Handelsdünger])-1)/(--(SEARCH(AX$2,Liste_Handelsünger[Handelsdünger])&gt;0)),ROW()-2),1),"")</f>
        <v>DC 44 spez</v>
      </c>
      <c r="AY24" t="str">
        <f>IFERROR(INDEX(Liste_Handelsünger[Handelsdünger],_xlfn.AGGREGATE(15,6,(ROW(Liste_Handelsünger[Handelsdünger])-1)/(--(SEARCH(AZ$2,Liste_Handelsünger[Handelsdünger])&gt;0)),ROW()-2),1),"")</f>
        <v>DC 44 spez</v>
      </c>
      <c r="BA24" t="str">
        <f>IFERROR(INDEX(Liste_Handelsünger[Handelsdünger],_xlfn.AGGREGATE(15,6,(ROW(Liste_Handelsünger[Handelsdünger])-1)/(--(SEARCH(BB$2,Liste_Handelsünger[Handelsdünger])&gt;0)),ROW()-2),1),"")</f>
        <v>DC 44 spez</v>
      </c>
      <c r="BC24" t="str">
        <f>IFERROR(INDEX(Liste_Handelsünger[Handelsdünger],_xlfn.AGGREGATE(15,6,(ROW(Liste_Handelsünger[Handelsdünger])-1)/(--(SEARCH(BD$2,Liste_Handelsünger[Handelsdünger])&gt;0)),ROW()-2),1),"")</f>
        <v>DC 44 spez</v>
      </c>
      <c r="BE24" t="str">
        <f>IFERROR(INDEX(Liste_Handelsünger[Handelsdünger],_xlfn.AGGREGATE(15,6,(ROW(Liste_Handelsünger[Handelsdünger])-1)/(--(SEARCH(BF$2,Liste_Handelsünger[Handelsdünger])&gt;0)),ROW()-2),1),"")</f>
        <v>DC 44 spez</v>
      </c>
      <c r="BG24" t="str">
        <f>IFERROR(INDEX(Liste_Handelsünger[Handelsdünger],_xlfn.AGGREGATE(15,6,(ROW(Liste_Handelsünger[Handelsdünger])-1)/(--(SEARCH(BH$2,Liste_Handelsünger[Handelsdünger])&gt;0)),ROW()-2),1),"")</f>
        <v>DC 44 spez</v>
      </c>
    </row>
    <row r="25" spans="1:63" ht="21.75" customHeight="1">
      <c r="A25" s="1478" t="s">
        <v>1732</v>
      </c>
      <c r="B25" s="1477">
        <f>IF(ISNA(VLOOKUP(Mineral!A25,Tabelle1!$C$179:$Q$203,15,0)),0,VLOOKUP(Mineral!A25,Tabelle1!$C$179:$Q$203,15,0))</f>
        <v>0</v>
      </c>
      <c r="C25" s="2435"/>
      <c r="D25" s="1482"/>
      <c r="E25" s="1482"/>
      <c r="F25" s="1482"/>
      <c r="G25" s="1481">
        <f t="shared" si="10"/>
        <v>0</v>
      </c>
      <c r="H25" s="1481">
        <f t="shared" si="11"/>
        <v>0</v>
      </c>
      <c r="I25" s="1481">
        <f t="shared" si="12"/>
        <v>0</v>
      </c>
      <c r="J25" s="1942">
        <v>1</v>
      </c>
      <c r="R25" s="1943" t="s">
        <v>1727</v>
      </c>
      <c r="S25" s="1477"/>
      <c r="T25" s="2414">
        <f t="shared" si="6"/>
        <v>0</v>
      </c>
      <c r="U25" s="1480"/>
      <c r="V25" s="1480">
        <v>0.22</v>
      </c>
      <c r="W25" s="1480">
        <v>0.1</v>
      </c>
      <c r="X25" s="1481">
        <f t="shared" si="7"/>
        <v>0</v>
      </c>
      <c r="Y25" s="1481">
        <f t="shared" si="8"/>
        <v>0</v>
      </c>
      <c r="Z25" s="1481">
        <f t="shared" si="9"/>
        <v>0</v>
      </c>
      <c r="AA25" s="2536">
        <v>1</v>
      </c>
      <c r="AB25" s="2533"/>
      <c r="AD25" s="2457" t="s">
        <v>1727</v>
      </c>
      <c r="AE25" s="2443" t="str">
        <f>IFERROR(INDEX(Liste_Handelsünger[Handelsdünger],_xlfn.AGGREGATE(15,6,(ROW(Liste_Handelsünger[Handelsdünger])-1)/(--(SEARCH(AF$2,Liste_Handelsünger[Handelsdünger])&gt;0)),ROW()-2),1),"")</f>
        <v>Hyperkali</v>
      </c>
      <c r="AF25" s="2443"/>
      <c r="AG25" s="2443" t="str">
        <f>IFERROR(INDEX(Liste_Handelsünger[Handelsdünger],_xlfn.AGGREGATE(15,6,(ROW(Liste_Handelsünger[Handelsdünger])-1)/(--(SEARCH(AH$2,Liste_Handelsünger[Handelsdünger])&gt;0)),ROW()-2),1),"")</f>
        <v>Hyperkali</v>
      </c>
      <c r="AI25" t="str">
        <f>IFERROR(INDEX(Liste_Handelsünger[Handelsdünger],_xlfn.AGGREGATE(15,6,(ROW(Liste_Handelsünger[Handelsdünger])-1)/(--(SEARCH(AJ$2,Liste_Handelsünger[Handelsdünger])&gt;0)),ROW()-2),1),"")</f>
        <v>Hyperkali</v>
      </c>
      <c r="AK25" t="str">
        <f>IFERROR(INDEX(Liste_Handelsünger[Handelsdünger],_xlfn.AGGREGATE(15,6,(ROW(Liste_Handelsünger[Handelsdünger])-1)/(--(SEARCH(AL$2,Liste_Handelsünger[Handelsdünger])&gt;0)),ROW()-2),1),"")</f>
        <v>Hyperkali</v>
      </c>
      <c r="AM25" t="str">
        <f>IFERROR(INDEX(Liste_Handelsünger[Handelsdünger],_xlfn.AGGREGATE(15,6,(ROW(Liste_Handelsünger[Handelsdünger])-1)/(--(SEARCH(AN$2,Liste_Handelsünger[Handelsdünger])&gt;0)),ROW()-2),1),"")</f>
        <v>Hyperkali</v>
      </c>
      <c r="AO25" t="str">
        <f>IFERROR(INDEX(Liste_Handelsünger[Handelsdünger],_xlfn.AGGREGATE(15,6,(ROW(Liste_Handelsünger[Handelsdünger])-1)/(--(SEARCH(AP$2,Liste_Handelsünger[Handelsdünger])&gt;0)),ROW()-2),1),"")</f>
        <v>Hyperkali</v>
      </c>
      <c r="AQ25" t="str">
        <f>IFERROR(INDEX(Liste_Handelsünger[Handelsdünger],_xlfn.AGGREGATE(15,6,(ROW(Liste_Handelsünger[Handelsdünger])-1)/(--(SEARCH(AR$2,Liste_Handelsünger[Handelsdünger])&gt;0)),ROW()-2),1),"")</f>
        <v>Hyperkali</v>
      </c>
      <c r="AS25" t="str">
        <f>IFERROR(INDEX(Liste_Handelsünger[Handelsdünger],_xlfn.AGGREGATE(15,6,(ROW(Liste_Handelsünger[Handelsdünger])-1)/(--(SEARCH(AT$2,Liste_Handelsünger[Handelsdünger])&gt;0)),ROW()-2),1),"")</f>
        <v>Hyperkali</v>
      </c>
      <c r="AU25" t="str">
        <f>IFERROR(INDEX(Liste_Handelsünger[Handelsdünger],_xlfn.AGGREGATE(15,6,(ROW(Liste_Handelsünger[Handelsdünger])-1)/(--(SEARCH(AV$2,Liste_Handelsünger[Handelsdünger])&gt;0)),ROW()-2),1),"")</f>
        <v>Hyperkali</v>
      </c>
      <c r="AW25" t="str">
        <f>IFERROR(INDEX(Liste_Handelsünger[Handelsdünger],_xlfn.AGGREGATE(15,6,(ROW(Liste_Handelsünger[Handelsdünger])-1)/(--(SEARCH(AX$2,Liste_Handelsünger[Handelsdünger])&gt;0)),ROW()-2),1),"")</f>
        <v>Hyperkali</v>
      </c>
      <c r="AY25" t="str">
        <f>IFERROR(INDEX(Liste_Handelsünger[Handelsdünger],_xlfn.AGGREGATE(15,6,(ROW(Liste_Handelsünger[Handelsdünger])-1)/(--(SEARCH(AZ$2,Liste_Handelsünger[Handelsdünger])&gt;0)),ROW()-2),1),"")</f>
        <v>Hyperkali</v>
      </c>
      <c r="BA25" t="str">
        <f>IFERROR(INDEX(Liste_Handelsünger[Handelsdünger],_xlfn.AGGREGATE(15,6,(ROW(Liste_Handelsünger[Handelsdünger])-1)/(--(SEARCH(BB$2,Liste_Handelsünger[Handelsdünger])&gt;0)),ROW()-2),1),"")</f>
        <v>Hyperkali</v>
      </c>
      <c r="BC25" t="str">
        <f>IFERROR(INDEX(Liste_Handelsünger[Handelsdünger],_xlfn.AGGREGATE(15,6,(ROW(Liste_Handelsünger[Handelsdünger])-1)/(--(SEARCH(BD$2,Liste_Handelsünger[Handelsdünger])&gt;0)),ROW()-2),1),"")</f>
        <v>Hyperkali</v>
      </c>
      <c r="BE25" t="str">
        <f>IFERROR(INDEX(Liste_Handelsünger[Handelsdünger],_xlfn.AGGREGATE(15,6,(ROW(Liste_Handelsünger[Handelsdünger])-1)/(--(SEARCH(BF$2,Liste_Handelsünger[Handelsdünger])&gt;0)),ROW()-2),1),"")</f>
        <v>Hyperkali</v>
      </c>
      <c r="BG25" t="str">
        <f>IFERROR(INDEX(Liste_Handelsünger[Handelsdünger],_xlfn.AGGREGATE(15,6,(ROW(Liste_Handelsünger[Handelsdünger])-1)/(--(SEARCH(BH$2,Liste_Handelsünger[Handelsdünger])&gt;0)),ROW()-2),1),"")</f>
        <v>Hyperkali</v>
      </c>
    </row>
    <row r="26" spans="1:63" ht="21.75" customHeight="1">
      <c r="A26" s="1478" t="s">
        <v>1732</v>
      </c>
      <c r="B26" s="1477">
        <f>IF(ISNA(VLOOKUP(Mineral!A26,Tabelle1!$C$179:$Q$203,15,0)),0,VLOOKUP(Mineral!A26,Tabelle1!$C$179:$Q$203,15,0))</f>
        <v>0</v>
      </c>
      <c r="C26" s="2435"/>
      <c r="D26" s="1482"/>
      <c r="E26" s="1482"/>
      <c r="F26" s="1482"/>
      <c r="G26" s="1481">
        <f t="shared" si="10"/>
        <v>0</v>
      </c>
      <c r="H26" s="1481">
        <f t="shared" si="11"/>
        <v>0</v>
      </c>
      <c r="I26" s="1481">
        <f t="shared" si="12"/>
        <v>0</v>
      </c>
      <c r="J26" s="1942">
        <v>1</v>
      </c>
      <c r="R26" s="1943" t="s">
        <v>1727</v>
      </c>
      <c r="S26" s="1477"/>
      <c r="T26" s="2414">
        <f t="shared" si="6"/>
        <v>0</v>
      </c>
      <c r="U26" s="1480"/>
      <c r="V26" s="1480">
        <v>0.18</v>
      </c>
      <c r="W26" s="1480">
        <v>0.18</v>
      </c>
      <c r="X26" s="1481">
        <f t="shared" si="7"/>
        <v>0</v>
      </c>
      <c r="Y26" s="1481">
        <f t="shared" si="8"/>
        <v>0</v>
      </c>
      <c r="Z26" s="1481">
        <f t="shared" si="9"/>
        <v>0</v>
      </c>
      <c r="AA26" s="2536">
        <v>1</v>
      </c>
      <c r="AB26" s="2533"/>
      <c r="AD26" s="2457" t="s">
        <v>1727</v>
      </c>
      <c r="AE26" s="2458" t="str">
        <f>IFERROR(INDEX(Liste_Handelsünger[Handelsdünger],_xlfn.AGGREGATE(15,6,(ROW(Liste_Handelsünger[Handelsdünger])-1)/(--(SEARCH(AF$2,Liste_Handelsünger[Handelsdünger])&gt;0)),ROW()-2),1),"")</f>
        <v>Hyperkali</v>
      </c>
      <c r="AF26" s="2458"/>
      <c r="AG26" s="2458" t="str">
        <f>IFERROR(INDEX(Liste_Handelsünger[Handelsdünger],_xlfn.AGGREGATE(15,6,(ROW(Liste_Handelsünger[Handelsdünger])-1)/(--(SEARCH(AH$2,Liste_Handelsünger[Handelsdünger])&gt;0)),ROW()-2),1),"")</f>
        <v>Hyperkali</v>
      </c>
      <c r="AI26" t="str">
        <f>IFERROR(INDEX(Liste_Handelsünger[Handelsdünger],_xlfn.AGGREGATE(15,6,(ROW(Liste_Handelsünger[Handelsdünger])-1)/(--(SEARCH(AJ$2,Liste_Handelsünger[Handelsdünger])&gt;0)),ROW()-2),1),"")</f>
        <v>Hyperkali</v>
      </c>
      <c r="AK26" t="str">
        <f>IFERROR(INDEX(Liste_Handelsünger[Handelsdünger],_xlfn.AGGREGATE(15,6,(ROW(Liste_Handelsünger[Handelsdünger])-1)/(--(SEARCH(AL$2,Liste_Handelsünger[Handelsdünger])&gt;0)),ROW()-2),1),"")</f>
        <v>Hyperkali</v>
      </c>
      <c r="AM26" t="str">
        <f>IFERROR(INDEX(Liste_Handelsünger[Handelsdünger],_xlfn.AGGREGATE(15,6,(ROW(Liste_Handelsünger[Handelsdünger])-1)/(--(SEARCH(AN$2,Liste_Handelsünger[Handelsdünger])&gt;0)),ROW()-2),1),"")</f>
        <v>Hyperkali</v>
      </c>
      <c r="AO26" t="str">
        <f>IFERROR(INDEX(Liste_Handelsünger[Handelsdünger],_xlfn.AGGREGATE(15,6,(ROW(Liste_Handelsünger[Handelsdünger])-1)/(--(SEARCH(AP$2,Liste_Handelsünger[Handelsdünger])&gt;0)),ROW()-2),1),"")</f>
        <v>Hyperkali</v>
      </c>
      <c r="AQ26" t="str">
        <f>IFERROR(INDEX(Liste_Handelsünger[Handelsdünger],_xlfn.AGGREGATE(15,6,(ROW(Liste_Handelsünger[Handelsdünger])-1)/(--(SEARCH(AR$2,Liste_Handelsünger[Handelsdünger])&gt;0)),ROW()-2),1),"")</f>
        <v>Hyperkali</v>
      </c>
      <c r="AS26" t="str">
        <f>IFERROR(INDEX(Liste_Handelsünger[Handelsdünger],_xlfn.AGGREGATE(15,6,(ROW(Liste_Handelsünger[Handelsdünger])-1)/(--(SEARCH(AT$2,Liste_Handelsünger[Handelsdünger])&gt;0)),ROW()-2),1),"")</f>
        <v>Hyperkali</v>
      </c>
      <c r="AU26" t="str">
        <f>IFERROR(INDEX(Liste_Handelsünger[Handelsdünger],_xlfn.AGGREGATE(15,6,(ROW(Liste_Handelsünger[Handelsdünger])-1)/(--(SEARCH(AV$2,Liste_Handelsünger[Handelsdünger])&gt;0)),ROW()-2),1),"")</f>
        <v>Hyperkali</v>
      </c>
      <c r="AW26" t="str">
        <f>IFERROR(INDEX(Liste_Handelsünger[Handelsdünger],_xlfn.AGGREGATE(15,6,(ROW(Liste_Handelsünger[Handelsdünger])-1)/(--(SEARCH(AX$2,Liste_Handelsünger[Handelsdünger])&gt;0)),ROW()-2),1),"")</f>
        <v>Hyperkali</v>
      </c>
      <c r="AY26" t="str">
        <f>IFERROR(INDEX(Liste_Handelsünger[Handelsdünger],_xlfn.AGGREGATE(15,6,(ROW(Liste_Handelsünger[Handelsdünger])-1)/(--(SEARCH(AZ$2,Liste_Handelsünger[Handelsdünger])&gt;0)),ROW()-2),1),"")</f>
        <v>Hyperkali</v>
      </c>
      <c r="BA26" t="str">
        <f>IFERROR(INDEX(Liste_Handelsünger[Handelsdünger],_xlfn.AGGREGATE(15,6,(ROW(Liste_Handelsünger[Handelsdünger])-1)/(--(SEARCH(BB$2,Liste_Handelsünger[Handelsdünger])&gt;0)),ROW()-2),1),"")</f>
        <v>Hyperkali</v>
      </c>
      <c r="BC26" t="str">
        <f>IFERROR(INDEX(Liste_Handelsünger[Handelsdünger],_xlfn.AGGREGATE(15,6,(ROW(Liste_Handelsünger[Handelsdünger])-1)/(--(SEARCH(BD$2,Liste_Handelsünger[Handelsdünger])&gt;0)),ROW()-2),1),"")</f>
        <v>Hyperkali</v>
      </c>
      <c r="BE26" t="str">
        <f>IFERROR(INDEX(Liste_Handelsünger[Handelsdünger],_xlfn.AGGREGATE(15,6,(ROW(Liste_Handelsünger[Handelsdünger])-1)/(--(SEARCH(BF$2,Liste_Handelsünger[Handelsdünger])&gt;0)),ROW()-2),1),"")</f>
        <v>Hyperkali</v>
      </c>
      <c r="BG26" t="str">
        <f>IFERROR(INDEX(Liste_Handelsünger[Handelsdünger],_xlfn.AGGREGATE(15,6,(ROW(Liste_Handelsünger[Handelsdünger])-1)/(--(SEARCH(BH$2,Liste_Handelsünger[Handelsdünger])&gt;0)),ROW()-2),1),"")</f>
        <v>Hyperkali</v>
      </c>
    </row>
    <row r="27" spans="1:63" ht="21.75" customHeight="1">
      <c r="A27" s="1479" t="s">
        <v>1732</v>
      </c>
      <c r="B27" s="1477">
        <f>IF(ISNA(VLOOKUP(Mineral!A27,Tabelle1!$C$179:$Q$203,15,0)),0,VLOOKUP(Mineral!A27,Tabelle1!$C$179:$Q$203,15,0))</f>
        <v>0</v>
      </c>
      <c r="C27" s="2435"/>
      <c r="D27" s="1483"/>
      <c r="E27" s="1483"/>
      <c r="F27" s="1483"/>
      <c r="G27" s="1481">
        <f t="shared" si="10"/>
        <v>0</v>
      </c>
      <c r="H27" s="1481">
        <f t="shared" si="11"/>
        <v>0</v>
      </c>
      <c r="I27" s="1481">
        <f t="shared" si="12"/>
        <v>0</v>
      </c>
      <c r="J27" s="2415">
        <v>1</v>
      </c>
      <c r="R27" s="1943" t="s">
        <v>2503</v>
      </c>
      <c r="S27" s="1477"/>
      <c r="T27" s="2414">
        <f t="shared" si="6"/>
        <v>0</v>
      </c>
      <c r="U27" s="1480">
        <v>0.06</v>
      </c>
      <c r="V27" s="1480">
        <v>0.1</v>
      </c>
      <c r="W27" s="1480">
        <v>0.16</v>
      </c>
      <c r="X27" s="1481">
        <f t="shared" si="7"/>
        <v>0</v>
      </c>
      <c r="Y27" s="1481">
        <f t="shared" si="8"/>
        <v>0</v>
      </c>
      <c r="Z27" s="1481">
        <f t="shared" si="9"/>
        <v>0</v>
      </c>
      <c r="AA27" s="2536">
        <v>1</v>
      </c>
      <c r="AB27" s="2533"/>
      <c r="AD27" s="2457" t="s">
        <v>2503</v>
      </c>
      <c r="AE27" s="2443" t="str">
        <f>IFERROR(INDEX(Liste_Handelsünger[Handelsdünger],_xlfn.AGGREGATE(15,6,(ROW(Liste_Handelsünger[Handelsdünger])-1)/(--(SEARCH(AF$2,Liste_Handelsünger[Handelsdünger])&gt;0)),ROW()-2),1),"")</f>
        <v>DC start (6/10/16)</v>
      </c>
      <c r="AF27" s="2443"/>
      <c r="AG27" s="2443" t="str">
        <f>IFERROR(INDEX(Liste_Handelsünger[Handelsdünger],_xlfn.AGGREGATE(15,6,(ROW(Liste_Handelsünger[Handelsdünger])-1)/(--(SEARCH(AH$2,Liste_Handelsünger[Handelsdünger])&gt;0)),ROW()-2),1),"")</f>
        <v>DC start (6/10/16)</v>
      </c>
      <c r="AI27" t="str">
        <f>IFERROR(INDEX(Liste_Handelsünger[Handelsdünger],_xlfn.AGGREGATE(15,6,(ROW(Liste_Handelsünger[Handelsdünger])-1)/(--(SEARCH(AJ$2,Liste_Handelsünger[Handelsdünger])&gt;0)),ROW()-2),1),"")</f>
        <v>DC start (6/10/16)</v>
      </c>
      <c r="AK27" t="str">
        <f>IFERROR(INDEX(Liste_Handelsünger[Handelsdünger],_xlfn.AGGREGATE(15,6,(ROW(Liste_Handelsünger[Handelsdünger])-1)/(--(SEARCH(AL$2,Liste_Handelsünger[Handelsdünger])&gt;0)),ROW()-2),1),"")</f>
        <v>DC start (6/10/16)</v>
      </c>
      <c r="AM27" t="str">
        <f>IFERROR(INDEX(Liste_Handelsünger[Handelsdünger],_xlfn.AGGREGATE(15,6,(ROW(Liste_Handelsünger[Handelsdünger])-1)/(--(SEARCH(AN$2,Liste_Handelsünger[Handelsdünger])&gt;0)),ROW()-2),1),"")</f>
        <v>DC start (6/10/16)</v>
      </c>
      <c r="AO27" t="str">
        <f>IFERROR(INDEX(Liste_Handelsünger[Handelsdünger],_xlfn.AGGREGATE(15,6,(ROW(Liste_Handelsünger[Handelsdünger])-1)/(--(SEARCH(AP$2,Liste_Handelsünger[Handelsdünger])&gt;0)),ROW()-2),1),"")</f>
        <v>DC start (6/10/16)</v>
      </c>
      <c r="AQ27" t="str">
        <f>IFERROR(INDEX(Liste_Handelsünger[Handelsdünger],_xlfn.AGGREGATE(15,6,(ROW(Liste_Handelsünger[Handelsdünger])-1)/(--(SEARCH(AR$2,Liste_Handelsünger[Handelsdünger])&gt;0)),ROW()-2),1),"")</f>
        <v>DC start (6/10/16)</v>
      </c>
      <c r="AS27" t="str">
        <f>IFERROR(INDEX(Liste_Handelsünger[Handelsdünger],_xlfn.AGGREGATE(15,6,(ROW(Liste_Handelsünger[Handelsdünger])-1)/(--(SEARCH(AT$2,Liste_Handelsünger[Handelsdünger])&gt;0)),ROW()-2),1),"")</f>
        <v>DC start (6/10/16)</v>
      </c>
      <c r="AU27" t="str">
        <f>IFERROR(INDEX(Liste_Handelsünger[Handelsdünger],_xlfn.AGGREGATE(15,6,(ROW(Liste_Handelsünger[Handelsdünger])-1)/(--(SEARCH(AV$2,Liste_Handelsünger[Handelsdünger])&gt;0)),ROW()-2),1),"")</f>
        <v>DC start (6/10/16)</v>
      </c>
      <c r="AW27" t="str">
        <f>IFERROR(INDEX(Liste_Handelsünger[Handelsdünger],_xlfn.AGGREGATE(15,6,(ROW(Liste_Handelsünger[Handelsdünger])-1)/(--(SEARCH(AX$2,Liste_Handelsünger[Handelsdünger])&gt;0)),ROW()-2),1),"")</f>
        <v>DC start (6/10/16)</v>
      </c>
      <c r="AY27" t="str">
        <f>IFERROR(INDEX(Liste_Handelsünger[Handelsdünger],_xlfn.AGGREGATE(15,6,(ROW(Liste_Handelsünger[Handelsdünger])-1)/(--(SEARCH(AZ$2,Liste_Handelsünger[Handelsdünger])&gt;0)),ROW()-2),1),"")</f>
        <v>DC start (6/10/16)</v>
      </c>
      <c r="BA27" t="str">
        <f>IFERROR(INDEX(Liste_Handelsünger[Handelsdünger],_xlfn.AGGREGATE(15,6,(ROW(Liste_Handelsünger[Handelsdünger])-1)/(--(SEARCH(BB$2,Liste_Handelsünger[Handelsdünger])&gt;0)),ROW()-2),1),"")</f>
        <v>DC start (6/10/16)</v>
      </c>
      <c r="BC27" t="str">
        <f>IFERROR(INDEX(Liste_Handelsünger[Handelsdünger],_xlfn.AGGREGATE(15,6,(ROW(Liste_Handelsünger[Handelsdünger])-1)/(--(SEARCH(BD$2,Liste_Handelsünger[Handelsdünger])&gt;0)),ROW()-2),1),"")</f>
        <v>DC start (6/10/16)</v>
      </c>
      <c r="BE27" t="str">
        <f>IFERROR(INDEX(Liste_Handelsünger[Handelsdünger],_xlfn.AGGREGATE(15,6,(ROW(Liste_Handelsünger[Handelsdünger])-1)/(--(SEARCH(BF$2,Liste_Handelsünger[Handelsdünger])&gt;0)),ROW()-2),1),"")</f>
        <v>DC start (6/10/16)</v>
      </c>
      <c r="BG27" t="str">
        <f>IFERROR(INDEX(Liste_Handelsünger[Handelsdünger],_xlfn.AGGREGATE(15,6,(ROW(Liste_Handelsünger[Handelsdünger])-1)/(--(SEARCH(BH$2,Liste_Handelsünger[Handelsdünger])&gt;0)),ROW()-2),1),"")</f>
        <v>DC start (6/10/16)</v>
      </c>
    </row>
    <row r="28" spans="1:63" ht="21.75" customHeight="1">
      <c r="A28" s="1935" t="s">
        <v>1733</v>
      </c>
      <c r="B28" s="1936"/>
      <c r="C28" s="1936"/>
      <c r="D28" s="1936"/>
      <c r="E28" s="1936"/>
      <c r="F28" s="1937"/>
      <c r="G28" s="1938">
        <f>SUM(G3:G27)</f>
        <v>0</v>
      </c>
      <c r="H28" s="1939">
        <f>SUM(H3:H27)</f>
        <v>0</v>
      </c>
      <c r="I28" s="1939">
        <f>SUM(I3:I27)</f>
        <v>0</v>
      </c>
      <c r="J28" s="1940"/>
      <c r="R28" s="1943" t="s">
        <v>2504</v>
      </c>
      <c r="S28" s="1477"/>
      <c r="T28" s="2414">
        <f t="shared" si="6"/>
        <v>0</v>
      </c>
      <c r="U28" s="1480">
        <v>0.12</v>
      </c>
      <c r="V28" s="1480">
        <v>0.1</v>
      </c>
      <c r="W28" s="1480">
        <v>0.15</v>
      </c>
      <c r="X28" s="1481">
        <f t="shared" si="7"/>
        <v>0</v>
      </c>
      <c r="Y28" s="1481">
        <f t="shared" si="8"/>
        <v>0</v>
      </c>
      <c r="Z28" s="1481">
        <f t="shared" si="9"/>
        <v>0</v>
      </c>
      <c r="AA28" s="2536">
        <v>1</v>
      </c>
      <c r="AB28" s="2533"/>
      <c r="AD28" s="2457" t="s">
        <v>2504</v>
      </c>
      <c r="AE28" s="2458" t="str">
        <f>IFERROR(INDEX(Liste_Handelsünger[Handelsdünger],_xlfn.AGGREGATE(15,6,(ROW(Liste_Handelsünger[Handelsdünger])-1)/(--(SEARCH(AF$2,Liste_Handelsünger[Handelsdünger])&gt;0)),ROW()-2),1),"")</f>
        <v>DC 37 (12/10/15)</v>
      </c>
      <c r="AF28" s="2458"/>
      <c r="AG28" s="2458" t="str">
        <f>IFERROR(INDEX(Liste_Handelsünger[Handelsdünger],_xlfn.AGGREGATE(15,6,(ROW(Liste_Handelsünger[Handelsdünger])-1)/(--(SEARCH(AH$2,Liste_Handelsünger[Handelsdünger])&gt;0)),ROW()-2),1),"")</f>
        <v>DC 37 (12/10/15)</v>
      </c>
      <c r="AI28" t="str">
        <f>IFERROR(INDEX(Liste_Handelsünger[Handelsdünger],_xlfn.AGGREGATE(15,6,(ROW(Liste_Handelsünger[Handelsdünger])-1)/(--(SEARCH(AJ$2,Liste_Handelsünger[Handelsdünger])&gt;0)),ROW()-2),1),"")</f>
        <v>DC 37 (12/10/15)</v>
      </c>
      <c r="AK28" t="str">
        <f>IFERROR(INDEX(Liste_Handelsünger[Handelsdünger],_xlfn.AGGREGATE(15,6,(ROW(Liste_Handelsünger[Handelsdünger])-1)/(--(SEARCH(AL$2,Liste_Handelsünger[Handelsdünger])&gt;0)),ROW()-2),1),"")</f>
        <v>DC 37 (12/10/15)</v>
      </c>
      <c r="AM28" t="str">
        <f>IFERROR(INDEX(Liste_Handelsünger[Handelsdünger],_xlfn.AGGREGATE(15,6,(ROW(Liste_Handelsünger[Handelsdünger])-1)/(--(SEARCH(AN$2,Liste_Handelsünger[Handelsdünger])&gt;0)),ROW()-2),1),"")</f>
        <v>DC 37 (12/10/15)</v>
      </c>
      <c r="AO28" t="str">
        <f>IFERROR(INDEX(Liste_Handelsünger[Handelsdünger],_xlfn.AGGREGATE(15,6,(ROW(Liste_Handelsünger[Handelsdünger])-1)/(--(SEARCH(AP$2,Liste_Handelsünger[Handelsdünger])&gt;0)),ROW()-2),1),"")</f>
        <v>DC 37 (12/10/15)</v>
      </c>
      <c r="AQ28" t="str">
        <f>IFERROR(INDEX(Liste_Handelsünger[Handelsdünger],_xlfn.AGGREGATE(15,6,(ROW(Liste_Handelsünger[Handelsdünger])-1)/(--(SEARCH(AR$2,Liste_Handelsünger[Handelsdünger])&gt;0)),ROW()-2),1),"")</f>
        <v>DC 37 (12/10/15)</v>
      </c>
      <c r="AS28" t="str">
        <f>IFERROR(INDEX(Liste_Handelsünger[Handelsdünger],_xlfn.AGGREGATE(15,6,(ROW(Liste_Handelsünger[Handelsdünger])-1)/(--(SEARCH(AT$2,Liste_Handelsünger[Handelsdünger])&gt;0)),ROW()-2),1),"")</f>
        <v>DC 37 (12/10/15)</v>
      </c>
      <c r="AU28" t="str">
        <f>IFERROR(INDEX(Liste_Handelsünger[Handelsdünger],_xlfn.AGGREGATE(15,6,(ROW(Liste_Handelsünger[Handelsdünger])-1)/(--(SEARCH(AV$2,Liste_Handelsünger[Handelsdünger])&gt;0)),ROW()-2),1),"")</f>
        <v>DC 37 (12/10/15)</v>
      </c>
      <c r="AW28" t="str">
        <f>IFERROR(INDEX(Liste_Handelsünger[Handelsdünger],_xlfn.AGGREGATE(15,6,(ROW(Liste_Handelsünger[Handelsdünger])-1)/(--(SEARCH(AX$2,Liste_Handelsünger[Handelsdünger])&gt;0)),ROW()-2),1),"")</f>
        <v>DC 37 (12/10/15)</v>
      </c>
      <c r="AY28" t="str">
        <f>IFERROR(INDEX(Liste_Handelsünger[Handelsdünger],_xlfn.AGGREGATE(15,6,(ROW(Liste_Handelsünger[Handelsdünger])-1)/(--(SEARCH(AZ$2,Liste_Handelsünger[Handelsdünger])&gt;0)),ROW()-2),1),"")</f>
        <v>DC 37 (12/10/15)</v>
      </c>
      <c r="BA28" t="str">
        <f>IFERROR(INDEX(Liste_Handelsünger[Handelsdünger],_xlfn.AGGREGATE(15,6,(ROW(Liste_Handelsünger[Handelsdünger])-1)/(--(SEARCH(BB$2,Liste_Handelsünger[Handelsdünger])&gt;0)),ROW()-2),1),"")</f>
        <v>DC 37 (12/10/15)</v>
      </c>
      <c r="BC28" t="str">
        <f>IFERROR(INDEX(Liste_Handelsünger[Handelsdünger],_xlfn.AGGREGATE(15,6,(ROW(Liste_Handelsünger[Handelsdünger])-1)/(--(SEARCH(BD$2,Liste_Handelsünger[Handelsdünger])&gt;0)),ROW()-2),1),"")</f>
        <v>DC 37 (12/10/15)</v>
      </c>
      <c r="BE28" t="str">
        <f>IFERROR(INDEX(Liste_Handelsünger[Handelsdünger],_xlfn.AGGREGATE(15,6,(ROW(Liste_Handelsünger[Handelsdünger])-1)/(--(SEARCH(BF$2,Liste_Handelsünger[Handelsdünger])&gt;0)),ROW()-2),1),"")</f>
        <v>DC 37 (12/10/15)</v>
      </c>
      <c r="BG28" t="str">
        <f>IFERROR(INDEX(Liste_Handelsünger[Handelsdünger],_xlfn.AGGREGATE(15,6,(ROW(Liste_Handelsünger[Handelsdünger])-1)/(--(SEARCH(BH$2,Liste_Handelsünger[Handelsdünger])&gt;0)),ROW()-2),1),"")</f>
        <v>DC 37 (12/10/15)</v>
      </c>
    </row>
    <row r="29" spans="1:63" ht="21.75" customHeight="1">
      <c r="A29" s="952" t="s">
        <v>1734</v>
      </c>
      <c r="B29" s="953"/>
      <c r="C29" s="954"/>
      <c r="D29" s="954"/>
      <c r="E29" s="954"/>
      <c r="F29" s="954"/>
      <c r="G29" s="954"/>
      <c r="H29" s="954"/>
      <c r="I29" s="954"/>
      <c r="J29" s="954"/>
      <c r="R29" s="1943" t="s">
        <v>2510</v>
      </c>
      <c r="S29" s="1477"/>
      <c r="T29" s="2414">
        <f t="shared" si="6"/>
        <v>0</v>
      </c>
      <c r="U29" s="1480">
        <v>0.13</v>
      </c>
      <c r="V29" s="1480">
        <v>0.05</v>
      </c>
      <c r="W29" s="1480">
        <v>0.15</v>
      </c>
      <c r="X29" s="1481">
        <f t="shared" si="7"/>
        <v>0</v>
      </c>
      <c r="Y29" s="1481">
        <f t="shared" si="8"/>
        <v>0</v>
      </c>
      <c r="Z29" s="1481">
        <f t="shared" si="9"/>
        <v>0</v>
      </c>
      <c r="AA29" s="2536">
        <v>1</v>
      </c>
      <c r="AB29" s="2533"/>
      <c r="AD29" s="2457" t="s">
        <v>2510</v>
      </c>
      <c r="AE29" s="2443" t="str">
        <f>IFERROR(INDEX(Liste_Handelsünger[Handelsdünger],_xlfn.AGGREGATE(15,6,(ROW(Liste_Handelsünger[Handelsdünger])-1)/(--(SEARCH(AF$2,Liste_Handelsünger[Handelsdünger])&gt;0)),ROW()-2),1),"")</f>
        <v>DC (13/5 /15+15 S)</v>
      </c>
      <c r="AF29" s="2443"/>
      <c r="AG29" s="2443" t="str">
        <f>IFERROR(INDEX(Liste_Handelsünger[Handelsdünger],_xlfn.AGGREGATE(15,6,(ROW(Liste_Handelsünger[Handelsdünger])-1)/(--(SEARCH(AH$2,Liste_Handelsünger[Handelsdünger])&gt;0)),ROW()-2),1),"")</f>
        <v>DC (13/5 /15+15 S)</v>
      </c>
      <c r="AI29" t="str">
        <f>IFERROR(INDEX(Liste_Handelsünger[Handelsdünger],_xlfn.AGGREGATE(15,6,(ROW(Liste_Handelsünger[Handelsdünger])-1)/(--(SEARCH(AJ$2,Liste_Handelsünger[Handelsdünger])&gt;0)),ROW()-2),1),"")</f>
        <v>DC (13/5 /15+15 S)</v>
      </c>
      <c r="AK29" t="str">
        <f>IFERROR(INDEX(Liste_Handelsünger[Handelsdünger],_xlfn.AGGREGATE(15,6,(ROW(Liste_Handelsünger[Handelsdünger])-1)/(--(SEARCH(AL$2,Liste_Handelsünger[Handelsdünger])&gt;0)),ROW()-2),1),"")</f>
        <v>DC (13/5 /15+15 S)</v>
      </c>
      <c r="AM29" t="str">
        <f>IFERROR(INDEX(Liste_Handelsünger[Handelsdünger],_xlfn.AGGREGATE(15,6,(ROW(Liste_Handelsünger[Handelsdünger])-1)/(--(SEARCH(AN$2,Liste_Handelsünger[Handelsdünger])&gt;0)),ROW()-2),1),"")</f>
        <v>DC (13/5 /15+15 S)</v>
      </c>
      <c r="AO29" t="str">
        <f>IFERROR(INDEX(Liste_Handelsünger[Handelsdünger],_xlfn.AGGREGATE(15,6,(ROW(Liste_Handelsünger[Handelsdünger])-1)/(--(SEARCH(AP$2,Liste_Handelsünger[Handelsdünger])&gt;0)),ROW()-2),1),"")</f>
        <v>DC (13/5 /15+15 S)</v>
      </c>
      <c r="AQ29" t="str">
        <f>IFERROR(INDEX(Liste_Handelsünger[Handelsdünger],_xlfn.AGGREGATE(15,6,(ROW(Liste_Handelsünger[Handelsdünger])-1)/(--(SEARCH(AR$2,Liste_Handelsünger[Handelsdünger])&gt;0)),ROW()-2),1),"")</f>
        <v>DC (13/5 /15+15 S)</v>
      </c>
      <c r="AS29" t="str">
        <f>IFERROR(INDEX(Liste_Handelsünger[Handelsdünger],_xlfn.AGGREGATE(15,6,(ROW(Liste_Handelsünger[Handelsdünger])-1)/(--(SEARCH(AT$2,Liste_Handelsünger[Handelsdünger])&gt;0)),ROW()-2),1),"")</f>
        <v>DC (13/5 /15+15 S)</v>
      </c>
      <c r="AU29" t="str">
        <f>IFERROR(INDEX(Liste_Handelsünger[Handelsdünger],_xlfn.AGGREGATE(15,6,(ROW(Liste_Handelsünger[Handelsdünger])-1)/(--(SEARCH(AV$2,Liste_Handelsünger[Handelsdünger])&gt;0)),ROW()-2),1),"")</f>
        <v>DC (13/5 /15+15 S)</v>
      </c>
      <c r="AW29" t="str">
        <f>IFERROR(INDEX(Liste_Handelsünger[Handelsdünger],_xlfn.AGGREGATE(15,6,(ROW(Liste_Handelsünger[Handelsdünger])-1)/(--(SEARCH(AX$2,Liste_Handelsünger[Handelsdünger])&gt;0)),ROW()-2),1),"")</f>
        <v>DC (13/5 /15+15 S)</v>
      </c>
      <c r="AY29" t="str">
        <f>IFERROR(INDEX(Liste_Handelsünger[Handelsdünger],_xlfn.AGGREGATE(15,6,(ROW(Liste_Handelsünger[Handelsdünger])-1)/(--(SEARCH(AZ$2,Liste_Handelsünger[Handelsdünger])&gt;0)),ROW()-2),1),"")</f>
        <v>DC (13/5 /15+15 S)</v>
      </c>
      <c r="BA29" t="str">
        <f>IFERROR(INDEX(Liste_Handelsünger[Handelsdünger],_xlfn.AGGREGATE(15,6,(ROW(Liste_Handelsünger[Handelsdünger])-1)/(--(SEARCH(BB$2,Liste_Handelsünger[Handelsdünger])&gt;0)),ROW()-2),1),"")</f>
        <v>DC (13/5 /15+15 S)</v>
      </c>
      <c r="BC29" t="str">
        <f>IFERROR(INDEX(Liste_Handelsünger[Handelsdünger],_xlfn.AGGREGATE(15,6,(ROW(Liste_Handelsünger[Handelsdünger])-1)/(--(SEARCH(BD$2,Liste_Handelsünger[Handelsdünger])&gt;0)),ROW()-2),1),"")</f>
        <v>DC (13/5 /15+15 S)</v>
      </c>
      <c r="BE29" t="str">
        <f>IFERROR(INDEX(Liste_Handelsünger[Handelsdünger],_xlfn.AGGREGATE(15,6,(ROW(Liste_Handelsünger[Handelsdünger])-1)/(--(SEARCH(BF$2,Liste_Handelsünger[Handelsdünger])&gt;0)),ROW()-2),1),"")</f>
        <v>DC (13/5 /15+15 S)</v>
      </c>
      <c r="BG29" t="str">
        <f>IFERROR(INDEX(Liste_Handelsünger[Handelsdünger],_xlfn.AGGREGATE(15,6,(ROW(Liste_Handelsünger[Handelsdünger])-1)/(--(SEARCH(BH$2,Liste_Handelsünger[Handelsdünger])&gt;0)),ROW()-2),1),"")</f>
        <v>DC (13/5 /15+15 S)</v>
      </c>
    </row>
    <row r="30" spans="1:63" ht="21.75" customHeight="1">
      <c r="A30" s="956" t="s">
        <v>1735</v>
      </c>
      <c r="B30" s="955"/>
      <c r="C30" s="954"/>
      <c r="D30" s="954"/>
      <c r="E30" s="954"/>
      <c r="F30" s="954"/>
      <c r="G30" s="954"/>
      <c r="H30" s="954"/>
      <c r="I30" s="954"/>
      <c r="J30" s="954"/>
      <c r="R30" s="1943" t="s">
        <v>2511</v>
      </c>
      <c r="S30" s="1477"/>
      <c r="T30" s="2414">
        <f t="shared" si="6"/>
        <v>0</v>
      </c>
      <c r="U30" s="1480">
        <v>0.15</v>
      </c>
      <c r="V30" s="1480">
        <v>0.05</v>
      </c>
      <c r="W30" s="1480">
        <v>0.05</v>
      </c>
      <c r="X30" s="1481">
        <f t="shared" si="7"/>
        <v>0</v>
      </c>
      <c r="Y30" s="1481">
        <f t="shared" si="8"/>
        <v>0</v>
      </c>
      <c r="Z30" s="1481">
        <f t="shared" si="9"/>
        <v>0</v>
      </c>
      <c r="AA30" s="2536">
        <v>1</v>
      </c>
      <c r="AB30" s="2533"/>
      <c r="AD30" s="2457" t="s">
        <v>2511</v>
      </c>
      <c r="AE30" s="2458" t="str">
        <f>IFERROR(INDEX(Liste_Handelsünger[Handelsdünger],_xlfn.AGGREGATE(15,6,(ROW(Liste_Handelsünger[Handelsdünger])-1)/(--(SEARCH(AF$2,Liste_Handelsünger[Handelsdünger])&gt;0)),ROW()-2),1),"")</f>
        <v>DC (15/5/5+18 S)</v>
      </c>
      <c r="AF30" s="2458"/>
      <c r="AG30" s="2458" t="str">
        <f>IFERROR(INDEX(Liste_Handelsünger[Handelsdünger],_xlfn.AGGREGATE(15,6,(ROW(Liste_Handelsünger[Handelsdünger])-1)/(--(SEARCH(AH$2,Liste_Handelsünger[Handelsdünger])&gt;0)),ROW()-2),1),"")</f>
        <v>DC (15/5/5+18 S)</v>
      </c>
      <c r="AI30" t="str">
        <f>IFERROR(INDEX(Liste_Handelsünger[Handelsdünger],_xlfn.AGGREGATE(15,6,(ROW(Liste_Handelsünger[Handelsdünger])-1)/(--(SEARCH(AJ$2,Liste_Handelsünger[Handelsdünger])&gt;0)),ROW()-2),1),"")</f>
        <v>DC (15/5/5+18 S)</v>
      </c>
      <c r="AK30" t="str">
        <f>IFERROR(INDEX(Liste_Handelsünger[Handelsdünger],_xlfn.AGGREGATE(15,6,(ROW(Liste_Handelsünger[Handelsdünger])-1)/(--(SEARCH(AL$2,Liste_Handelsünger[Handelsdünger])&gt;0)),ROW()-2),1),"")</f>
        <v>DC (15/5/5+18 S)</v>
      </c>
      <c r="AM30" t="str">
        <f>IFERROR(INDEX(Liste_Handelsünger[Handelsdünger],_xlfn.AGGREGATE(15,6,(ROW(Liste_Handelsünger[Handelsdünger])-1)/(--(SEARCH(AN$2,Liste_Handelsünger[Handelsdünger])&gt;0)),ROW()-2),1),"")</f>
        <v>DC (15/5/5+18 S)</v>
      </c>
      <c r="AO30" t="str">
        <f>IFERROR(INDEX(Liste_Handelsünger[Handelsdünger],_xlfn.AGGREGATE(15,6,(ROW(Liste_Handelsünger[Handelsdünger])-1)/(--(SEARCH(AP$2,Liste_Handelsünger[Handelsdünger])&gt;0)),ROW()-2),1),"")</f>
        <v>DC (15/5/5+18 S)</v>
      </c>
      <c r="AQ30" t="str">
        <f>IFERROR(INDEX(Liste_Handelsünger[Handelsdünger],_xlfn.AGGREGATE(15,6,(ROW(Liste_Handelsünger[Handelsdünger])-1)/(--(SEARCH(AR$2,Liste_Handelsünger[Handelsdünger])&gt;0)),ROW()-2),1),"")</f>
        <v>DC (15/5/5+18 S)</v>
      </c>
      <c r="AS30" t="str">
        <f>IFERROR(INDEX(Liste_Handelsünger[Handelsdünger],_xlfn.AGGREGATE(15,6,(ROW(Liste_Handelsünger[Handelsdünger])-1)/(--(SEARCH(AT$2,Liste_Handelsünger[Handelsdünger])&gt;0)),ROW()-2),1),"")</f>
        <v>DC (15/5/5+18 S)</v>
      </c>
      <c r="AU30" t="str">
        <f>IFERROR(INDEX(Liste_Handelsünger[Handelsdünger],_xlfn.AGGREGATE(15,6,(ROW(Liste_Handelsünger[Handelsdünger])-1)/(--(SEARCH(AV$2,Liste_Handelsünger[Handelsdünger])&gt;0)),ROW()-2),1),"")</f>
        <v>DC (15/5/5+18 S)</v>
      </c>
      <c r="AW30" t="str">
        <f>IFERROR(INDEX(Liste_Handelsünger[Handelsdünger],_xlfn.AGGREGATE(15,6,(ROW(Liste_Handelsünger[Handelsdünger])-1)/(--(SEARCH(AX$2,Liste_Handelsünger[Handelsdünger])&gt;0)),ROW()-2),1),"")</f>
        <v>DC (15/5/5+18 S)</v>
      </c>
      <c r="AY30" t="str">
        <f>IFERROR(INDEX(Liste_Handelsünger[Handelsdünger],_xlfn.AGGREGATE(15,6,(ROW(Liste_Handelsünger[Handelsdünger])-1)/(--(SEARCH(AZ$2,Liste_Handelsünger[Handelsdünger])&gt;0)),ROW()-2),1),"")</f>
        <v>DC (15/5/5+18 S)</v>
      </c>
      <c r="BA30" t="str">
        <f>IFERROR(INDEX(Liste_Handelsünger[Handelsdünger],_xlfn.AGGREGATE(15,6,(ROW(Liste_Handelsünger[Handelsdünger])-1)/(--(SEARCH(BB$2,Liste_Handelsünger[Handelsdünger])&gt;0)),ROW()-2),1),"")</f>
        <v>DC (15/5/5+18 S)</v>
      </c>
      <c r="BC30" t="str">
        <f>IFERROR(INDEX(Liste_Handelsünger[Handelsdünger],_xlfn.AGGREGATE(15,6,(ROW(Liste_Handelsünger[Handelsdünger])-1)/(--(SEARCH(BD$2,Liste_Handelsünger[Handelsdünger])&gt;0)),ROW()-2),1),"")</f>
        <v>DC (15/5/5+18 S)</v>
      </c>
      <c r="BE30" t="str">
        <f>IFERROR(INDEX(Liste_Handelsünger[Handelsdünger],_xlfn.AGGREGATE(15,6,(ROW(Liste_Handelsünger[Handelsdünger])-1)/(--(SEARCH(BF$2,Liste_Handelsünger[Handelsdünger])&gt;0)),ROW()-2),1),"")</f>
        <v>DC (15/5/5+18 S)</v>
      </c>
      <c r="BG30" t="str">
        <f>IFERROR(INDEX(Liste_Handelsünger[Handelsdünger],_xlfn.AGGREGATE(15,6,(ROW(Liste_Handelsünger[Handelsdünger])-1)/(--(SEARCH(BH$2,Liste_Handelsünger[Handelsdünger])&gt;0)),ROW()-2),1),"")</f>
        <v>DC (15/5/5+18 S)</v>
      </c>
    </row>
    <row r="31" spans="1:63" ht="21.75" customHeight="1">
      <c r="A31" s="2416"/>
      <c r="B31" s="2417"/>
      <c r="C31" s="2418"/>
      <c r="D31" s="2419"/>
      <c r="E31" s="2419"/>
      <c r="F31" s="2419"/>
      <c r="G31" s="2417"/>
      <c r="H31" s="2417"/>
      <c r="I31" s="2417"/>
      <c r="J31" s="2421"/>
      <c r="R31" s="1943" t="s">
        <v>2505</v>
      </c>
      <c r="S31" s="1477"/>
      <c r="T31" s="2414">
        <f t="shared" si="6"/>
        <v>0</v>
      </c>
      <c r="U31" s="1480">
        <v>0.14000000000000001</v>
      </c>
      <c r="V31" s="1480">
        <v>0.1</v>
      </c>
      <c r="W31" s="1480">
        <v>0.2</v>
      </c>
      <c r="X31" s="1481">
        <f t="shared" si="7"/>
        <v>0</v>
      </c>
      <c r="Y31" s="1481">
        <f t="shared" si="8"/>
        <v>0</v>
      </c>
      <c r="Z31" s="1481">
        <f t="shared" si="9"/>
        <v>0</v>
      </c>
      <c r="AA31" s="2537">
        <v>1</v>
      </c>
      <c r="AB31" s="2533"/>
      <c r="AD31" s="2457" t="s">
        <v>2512</v>
      </c>
      <c r="AE31" s="2443" t="str">
        <f>IFERROR(INDEX(Liste_Handelsünger[Handelsdünger],_xlfn.AGGREGATE(15,6,(ROW(Liste_Handelsünger[Handelsdünger])-1)/(--(SEARCH(AF$2,Liste_Handelsünger[Handelsdünger])&gt;0)),ROW()-2),1),"")</f>
        <v>Complex orange (Linzer Pro; 14/10/20)</v>
      </c>
      <c r="AF31" s="2443"/>
      <c r="AG31" s="2443" t="str">
        <f>IFERROR(INDEX(Liste_Handelsünger[Handelsdünger],_xlfn.AGGREGATE(15,6,(ROW(Liste_Handelsünger[Handelsdünger])-1)/(--(SEARCH(AH$2,Liste_Handelsünger[Handelsdünger])&gt;0)),ROW()-2),1),"")</f>
        <v>Complex orange (Linzer Pro; 14/10/20)</v>
      </c>
      <c r="AI31" t="str">
        <f>IFERROR(INDEX(Liste_Handelsünger[Handelsdünger],_xlfn.AGGREGATE(15,6,(ROW(Liste_Handelsünger[Handelsdünger])-1)/(--(SEARCH(AJ$2,Liste_Handelsünger[Handelsdünger])&gt;0)),ROW()-2),1),"")</f>
        <v>Complex orange (Linzer Pro; 14/10/20)</v>
      </c>
      <c r="AK31" t="str">
        <f>IFERROR(INDEX(Liste_Handelsünger[Handelsdünger],_xlfn.AGGREGATE(15,6,(ROW(Liste_Handelsünger[Handelsdünger])-1)/(--(SEARCH(AL$2,Liste_Handelsünger[Handelsdünger])&gt;0)),ROW()-2),1),"")</f>
        <v>Complex orange (Linzer Pro; 14/10/20)</v>
      </c>
      <c r="AM31" t="str">
        <f>IFERROR(INDEX(Liste_Handelsünger[Handelsdünger],_xlfn.AGGREGATE(15,6,(ROW(Liste_Handelsünger[Handelsdünger])-1)/(--(SEARCH(AN$2,Liste_Handelsünger[Handelsdünger])&gt;0)),ROW()-2),1),"")</f>
        <v>Complex orange (Linzer Pro; 14/10/20)</v>
      </c>
      <c r="AO31" t="str">
        <f>IFERROR(INDEX(Liste_Handelsünger[Handelsdünger],_xlfn.AGGREGATE(15,6,(ROW(Liste_Handelsünger[Handelsdünger])-1)/(--(SEARCH(AP$2,Liste_Handelsünger[Handelsdünger])&gt;0)),ROW()-2),1),"")</f>
        <v>Complex orange (Linzer Pro; 14/10/20)</v>
      </c>
      <c r="AQ31" t="str">
        <f>IFERROR(INDEX(Liste_Handelsünger[Handelsdünger],_xlfn.AGGREGATE(15,6,(ROW(Liste_Handelsünger[Handelsdünger])-1)/(--(SEARCH(AR$2,Liste_Handelsünger[Handelsdünger])&gt;0)),ROW()-2),1),"")</f>
        <v>Complex orange (Linzer Pro; 14/10/20)</v>
      </c>
      <c r="AS31" t="str">
        <f>IFERROR(INDEX(Liste_Handelsünger[Handelsdünger],_xlfn.AGGREGATE(15,6,(ROW(Liste_Handelsünger[Handelsdünger])-1)/(--(SEARCH(AT$2,Liste_Handelsünger[Handelsdünger])&gt;0)),ROW()-2),1),"")</f>
        <v>Complex orange (Linzer Pro; 14/10/20)</v>
      </c>
      <c r="AU31" t="str">
        <f>IFERROR(INDEX(Liste_Handelsünger[Handelsdünger],_xlfn.AGGREGATE(15,6,(ROW(Liste_Handelsünger[Handelsdünger])-1)/(--(SEARCH(AV$2,Liste_Handelsünger[Handelsdünger])&gt;0)),ROW()-2),1),"")</f>
        <v>Complex orange (Linzer Pro; 14/10/20)</v>
      </c>
      <c r="AW31" t="str">
        <f>IFERROR(INDEX(Liste_Handelsünger[Handelsdünger],_xlfn.AGGREGATE(15,6,(ROW(Liste_Handelsünger[Handelsdünger])-1)/(--(SEARCH(AX$2,Liste_Handelsünger[Handelsdünger])&gt;0)),ROW()-2),1),"")</f>
        <v>Complex orange (Linzer Pro; 14/10/20)</v>
      </c>
      <c r="AY31" t="str">
        <f>IFERROR(INDEX(Liste_Handelsünger[Handelsdünger],_xlfn.AGGREGATE(15,6,(ROW(Liste_Handelsünger[Handelsdünger])-1)/(--(SEARCH(AZ$2,Liste_Handelsünger[Handelsdünger])&gt;0)),ROW()-2),1),"")</f>
        <v>Complex orange (Linzer Pro; 14/10/20)</v>
      </c>
      <c r="BA31" t="str">
        <f>IFERROR(INDEX(Liste_Handelsünger[Handelsdünger],_xlfn.AGGREGATE(15,6,(ROW(Liste_Handelsünger[Handelsdünger])-1)/(--(SEARCH(BB$2,Liste_Handelsünger[Handelsdünger])&gt;0)),ROW()-2),1),"")</f>
        <v>Complex orange (Linzer Pro; 14/10/20)</v>
      </c>
      <c r="BC31" t="str">
        <f>IFERROR(INDEX(Liste_Handelsünger[Handelsdünger],_xlfn.AGGREGATE(15,6,(ROW(Liste_Handelsünger[Handelsdünger])-1)/(--(SEARCH(BD$2,Liste_Handelsünger[Handelsdünger])&gt;0)),ROW()-2),1),"")</f>
        <v>Complex orange (Linzer Pro; 14/10/20)</v>
      </c>
      <c r="BE31" t="str">
        <f>IFERROR(INDEX(Liste_Handelsünger[Handelsdünger],_xlfn.AGGREGATE(15,6,(ROW(Liste_Handelsünger[Handelsdünger])-1)/(--(SEARCH(BF$2,Liste_Handelsünger[Handelsdünger])&gt;0)),ROW()-2),1),"")</f>
        <v>Complex orange (Linzer Pro; 14/10/20)</v>
      </c>
      <c r="BG31" t="str">
        <f>IFERROR(INDEX(Liste_Handelsünger[Handelsdünger],_xlfn.AGGREGATE(15,6,(ROW(Liste_Handelsünger[Handelsdünger])-1)/(--(SEARCH(BH$2,Liste_Handelsünger[Handelsdünger])&gt;0)),ROW()-2),1),"")</f>
        <v>Complex orange (Linzer Pro; 14/10/20)</v>
      </c>
    </row>
    <row r="32" spans="1:63" ht="21.75" customHeight="1">
      <c r="A32" s="2416"/>
      <c r="B32" s="2417"/>
      <c r="C32" s="2418"/>
      <c r="D32" s="2419"/>
      <c r="E32" s="2419"/>
      <c r="F32" s="2419"/>
      <c r="G32" s="2417"/>
      <c r="H32" s="2417"/>
      <c r="I32" s="2417"/>
      <c r="J32" s="2420"/>
      <c r="R32" s="1943" t="s">
        <v>2506</v>
      </c>
      <c r="S32" s="1477"/>
      <c r="T32" s="2414">
        <f t="shared" si="6"/>
        <v>0</v>
      </c>
      <c r="U32" s="1480">
        <v>0.15</v>
      </c>
      <c r="V32" s="1480">
        <v>0.15</v>
      </c>
      <c r="W32" s="1480">
        <v>0.15</v>
      </c>
      <c r="X32" s="1481">
        <f t="shared" si="7"/>
        <v>0</v>
      </c>
      <c r="Y32" s="1481">
        <f t="shared" si="8"/>
        <v>0</v>
      </c>
      <c r="Z32" s="1481">
        <f t="shared" si="9"/>
        <v>0</v>
      </c>
      <c r="AA32" s="2536">
        <v>1</v>
      </c>
      <c r="AB32" s="2533"/>
      <c r="AD32" s="2457" t="s">
        <v>2513</v>
      </c>
      <c r="AE32" s="2458" t="str">
        <f>IFERROR(INDEX(Liste_Handelsünger[Handelsdünger],_xlfn.AGGREGATE(15,6,(ROW(Liste_Handelsünger[Handelsdünger])-1)/(--(SEARCH(AF$2,Liste_Handelsünger[Handelsdünger])&gt;0)),ROW()-2),1),"")</f>
        <v>Complex gelb (Linzer Star; 15/15/15)</v>
      </c>
      <c r="AF32" s="2458"/>
      <c r="AG32" s="2458" t="str">
        <f>IFERROR(INDEX(Liste_Handelsünger[Handelsdünger],_xlfn.AGGREGATE(15,6,(ROW(Liste_Handelsünger[Handelsdünger])-1)/(--(SEARCH(AH$2,Liste_Handelsünger[Handelsdünger])&gt;0)),ROW()-2),1),"")</f>
        <v>Complex gelb (Linzer Star; 15/15/15)</v>
      </c>
      <c r="AI32" t="str">
        <f>IFERROR(INDEX(Liste_Handelsünger[Handelsdünger],_xlfn.AGGREGATE(15,6,(ROW(Liste_Handelsünger[Handelsdünger])-1)/(--(SEARCH(AJ$2,Liste_Handelsünger[Handelsdünger])&gt;0)),ROW()-2),1),"")</f>
        <v>Complex gelb (Linzer Star; 15/15/15)</v>
      </c>
      <c r="AK32" t="str">
        <f>IFERROR(INDEX(Liste_Handelsünger[Handelsdünger],_xlfn.AGGREGATE(15,6,(ROW(Liste_Handelsünger[Handelsdünger])-1)/(--(SEARCH(AL$2,Liste_Handelsünger[Handelsdünger])&gt;0)),ROW()-2),1),"")</f>
        <v>Complex gelb (Linzer Star; 15/15/15)</v>
      </c>
      <c r="AM32" t="str">
        <f>IFERROR(INDEX(Liste_Handelsünger[Handelsdünger],_xlfn.AGGREGATE(15,6,(ROW(Liste_Handelsünger[Handelsdünger])-1)/(--(SEARCH(AN$2,Liste_Handelsünger[Handelsdünger])&gt;0)),ROW()-2),1),"")</f>
        <v>Complex gelb (Linzer Star; 15/15/15)</v>
      </c>
      <c r="AO32" t="str">
        <f>IFERROR(INDEX(Liste_Handelsünger[Handelsdünger],_xlfn.AGGREGATE(15,6,(ROW(Liste_Handelsünger[Handelsdünger])-1)/(--(SEARCH(AP$2,Liste_Handelsünger[Handelsdünger])&gt;0)),ROW()-2),1),"")</f>
        <v>Complex gelb (Linzer Star; 15/15/15)</v>
      </c>
      <c r="AQ32" t="str">
        <f>IFERROR(INDEX(Liste_Handelsünger[Handelsdünger],_xlfn.AGGREGATE(15,6,(ROW(Liste_Handelsünger[Handelsdünger])-1)/(--(SEARCH(AR$2,Liste_Handelsünger[Handelsdünger])&gt;0)),ROW()-2),1),"")</f>
        <v>Complex gelb (Linzer Star; 15/15/15)</v>
      </c>
      <c r="AS32" t="str">
        <f>IFERROR(INDEX(Liste_Handelsünger[Handelsdünger],_xlfn.AGGREGATE(15,6,(ROW(Liste_Handelsünger[Handelsdünger])-1)/(--(SEARCH(AT$2,Liste_Handelsünger[Handelsdünger])&gt;0)),ROW()-2),1),"")</f>
        <v>Complex gelb (Linzer Star; 15/15/15)</v>
      </c>
      <c r="AU32" t="str">
        <f>IFERROR(INDEX(Liste_Handelsünger[Handelsdünger],_xlfn.AGGREGATE(15,6,(ROW(Liste_Handelsünger[Handelsdünger])-1)/(--(SEARCH(AV$2,Liste_Handelsünger[Handelsdünger])&gt;0)),ROW()-2),1),"")</f>
        <v>Complex gelb (Linzer Star; 15/15/15)</v>
      </c>
      <c r="AW32" t="str">
        <f>IFERROR(INDEX(Liste_Handelsünger[Handelsdünger],_xlfn.AGGREGATE(15,6,(ROW(Liste_Handelsünger[Handelsdünger])-1)/(--(SEARCH(AX$2,Liste_Handelsünger[Handelsdünger])&gt;0)),ROW()-2),1),"")</f>
        <v>Complex gelb (Linzer Star; 15/15/15)</v>
      </c>
      <c r="AY32" t="str">
        <f>IFERROR(INDEX(Liste_Handelsünger[Handelsdünger],_xlfn.AGGREGATE(15,6,(ROW(Liste_Handelsünger[Handelsdünger])-1)/(--(SEARCH(AZ$2,Liste_Handelsünger[Handelsdünger])&gt;0)),ROW()-2),1),"")</f>
        <v>Complex gelb (Linzer Star; 15/15/15)</v>
      </c>
      <c r="BA32" t="str">
        <f>IFERROR(INDEX(Liste_Handelsünger[Handelsdünger],_xlfn.AGGREGATE(15,6,(ROW(Liste_Handelsünger[Handelsdünger])-1)/(--(SEARCH(BB$2,Liste_Handelsünger[Handelsdünger])&gt;0)),ROW()-2),1),"")</f>
        <v>Complex gelb (Linzer Star; 15/15/15)</v>
      </c>
      <c r="BC32" t="str">
        <f>IFERROR(INDEX(Liste_Handelsünger[Handelsdünger],_xlfn.AGGREGATE(15,6,(ROW(Liste_Handelsünger[Handelsdünger])-1)/(--(SEARCH(BD$2,Liste_Handelsünger[Handelsdünger])&gt;0)),ROW()-2),1),"")</f>
        <v>Complex gelb (Linzer Star; 15/15/15)</v>
      </c>
      <c r="BE32" t="str">
        <f>IFERROR(INDEX(Liste_Handelsünger[Handelsdünger],_xlfn.AGGREGATE(15,6,(ROW(Liste_Handelsünger[Handelsdünger])-1)/(--(SEARCH(BF$2,Liste_Handelsünger[Handelsdünger])&gt;0)),ROW()-2),1),"")</f>
        <v>Complex gelb (Linzer Star; 15/15/15)</v>
      </c>
      <c r="BG32" t="str">
        <f>IFERROR(INDEX(Liste_Handelsünger[Handelsdünger],_xlfn.AGGREGATE(15,6,(ROW(Liste_Handelsünger[Handelsdünger])-1)/(--(SEARCH(BH$2,Liste_Handelsünger[Handelsdünger])&gt;0)),ROW()-2),1),"")</f>
        <v>Complex gelb (Linzer Star; 15/15/15)</v>
      </c>
    </row>
    <row r="33" spans="1:59" ht="21.75" customHeight="1">
      <c r="A33" s="2422"/>
      <c r="B33" s="2417"/>
      <c r="C33" s="2418"/>
      <c r="D33" s="2419"/>
      <c r="E33" s="2419"/>
      <c r="F33" s="2419"/>
      <c r="G33" s="2417"/>
      <c r="H33" s="2417"/>
      <c r="I33" s="2417"/>
      <c r="J33" s="2420"/>
      <c r="R33" s="1943" t="s">
        <v>2507</v>
      </c>
      <c r="S33" s="1477"/>
      <c r="T33" s="2414">
        <f t="shared" si="6"/>
        <v>0</v>
      </c>
      <c r="U33" s="1480">
        <v>0.2</v>
      </c>
      <c r="V33" s="1480">
        <v>0.08</v>
      </c>
      <c r="W33" s="1480">
        <v>0.08</v>
      </c>
      <c r="X33" s="1481">
        <f t="shared" si="7"/>
        <v>0</v>
      </c>
      <c r="Y33" s="1481">
        <f t="shared" si="8"/>
        <v>0</v>
      </c>
      <c r="Z33" s="1481">
        <f t="shared" si="9"/>
        <v>0</v>
      </c>
      <c r="AA33" s="2536">
        <v>1</v>
      </c>
      <c r="AB33" s="2533"/>
      <c r="AD33" s="2457" t="s">
        <v>2514</v>
      </c>
      <c r="AE33" s="2443" t="str">
        <f>IFERROR(INDEX(Liste_Handelsünger[Handelsdünger],_xlfn.AGGREGATE(15,6,(ROW(Liste_Handelsünger[Handelsdünger])-1)/(--(SEARCH(AF$2,Liste_Handelsünger[Handelsdünger])&gt;0)),ROW()-2),1),"")</f>
        <v>Complex blaugrün (Linzer Plus; 20/8/8)</v>
      </c>
      <c r="AF33" s="2443"/>
      <c r="AG33" s="2443" t="str">
        <f>IFERROR(INDEX(Liste_Handelsünger[Handelsdünger],_xlfn.AGGREGATE(15,6,(ROW(Liste_Handelsünger[Handelsdünger])-1)/(--(SEARCH(AH$2,Liste_Handelsünger[Handelsdünger])&gt;0)),ROW()-2),1),"")</f>
        <v>Complex blaugrün (Linzer Plus; 20/8/8)</v>
      </c>
      <c r="AI33" t="str">
        <f>IFERROR(INDEX(Liste_Handelsünger[Handelsdünger],_xlfn.AGGREGATE(15,6,(ROW(Liste_Handelsünger[Handelsdünger])-1)/(--(SEARCH(AJ$2,Liste_Handelsünger[Handelsdünger])&gt;0)),ROW()-2),1),"")</f>
        <v>Complex blaugrün (Linzer Plus; 20/8/8)</v>
      </c>
      <c r="AK33" t="str">
        <f>IFERROR(INDEX(Liste_Handelsünger[Handelsdünger],_xlfn.AGGREGATE(15,6,(ROW(Liste_Handelsünger[Handelsdünger])-1)/(--(SEARCH(AL$2,Liste_Handelsünger[Handelsdünger])&gt;0)),ROW()-2),1),"")</f>
        <v>Complex blaugrün (Linzer Plus; 20/8/8)</v>
      </c>
      <c r="AM33" t="str">
        <f>IFERROR(INDEX(Liste_Handelsünger[Handelsdünger],_xlfn.AGGREGATE(15,6,(ROW(Liste_Handelsünger[Handelsdünger])-1)/(--(SEARCH(AN$2,Liste_Handelsünger[Handelsdünger])&gt;0)),ROW()-2),1),"")</f>
        <v>Complex blaugrün (Linzer Plus; 20/8/8)</v>
      </c>
      <c r="AO33" t="str">
        <f>IFERROR(INDEX(Liste_Handelsünger[Handelsdünger],_xlfn.AGGREGATE(15,6,(ROW(Liste_Handelsünger[Handelsdünger])-1)/(--(SEARCH(AP$2,Liste_Handelsünger[Handelsdünger])&gt;0)),ROW()-2),1),"")</f>
        <v>Complex blaugrün (Linzer Plus; 20/8/8)</v>
      </c>
      <c r="AQ33" t="str">
        <f>IFERROR(INDEX(Liste_Handelsünger[Handelsdünger],_xlfn.AGGREGATE(15,6,(ROW(Liste_Handelsünger[Handelsdünger])-1)/(--(SEARCH(AR$2,Liste_Handelsünger[Handelsdünger])&gt;0)),ROW()-2),1),"")</f>
        <v>Complex blaugrün (Linzer Plus; 20/8/8)</v>
      </c>
      <c r="AS33" t="str">
        <f>IFERROR(INDEX(Liste_Handelsünger[Handelsdünger],_xlfn.AGGREGATE(15,6,(ROW(Liste_Handelsünger[Handelsdünger])-1)/(--(SEARCH(AT$2,Liste_Handelsünger[Handelsdünger])&gt;0)),ROW()-2),1),"")</f>
        <v>Complex blaugrün (Linzer Plus; 20/8/8)</v>
      </c>
      <c r="AU33" t="str">
        <f>IFERROR(INDEX(Liste_Handelsünger[Handelsdünger],_xlfn.AGGREGATE(15,6,(ROW(Liste_Handelsünger[Handelsdünger])-1)/(--(SEARCH(AV$2,Liste_Handelsünger[Handelsdünger])&gt;0)),ROW()-2),1),"")</f>
        <v>Complex blaugrün (Linzer Plus; 20/8/8)</v>
      </c>
      <c r="AW33" t="str">
        <f>IFERROR(INDEX(Liste_Handelsünger[Handelsdünger],_xlfn.AGGREGATE(15,6,(ROW(Liste_Handelsünger[Handelsdünger])-1)/(--(SEARCH(AX$2,Liste_Handelsünger[Handelsdünger])&gt;0)),ROW()-2),1),"")</f>
        <v>Complex blaugrün (Linzer Plus; 20/8/8)</v>
      </c>
      <c r="AY33" t="str">
        <f>IFERROR(INDEX(Liste_Handelsünger[Handelsdünger],_xlfn.AGGREGATE(15,6,(ROW(Liste_Handelsünger[Handelsdünger])-1)/(--(SEARCH(AZ$2,Liste_Handelsünger[Handelsdünger])&gt;0)),ROW()-2),1),"")</f>
        <v>Complex blaugrün (Linzer Plus; 20/8/8)</v>
      </c>
      <c r="BA33" t="str">
        <f>IFERROR(INDEX(Liste_Handelsünger[Handelsdünger],_xlfn.AGGREGATE(15,6,(ROW(Liste_Handelsünger[Handelsdünger])-1)/(--(SEARCH(BB$2,Liste_Handelsünger[Handelsdünger])&gt;0)),ROW()-2),1),"")</f>
        <v>Complex blaugrün (Linzer Plus; 20/8/8)</v>
      </c>
      <c r="BC33" t="str">
        <f>IFERROR(INDEX(Liste_Handelsünger[Handelsdünger],_xlfn.AGGREGATE(15,6,(ROW(Liste_Handelsünger[Handelsdünger])-1)/(--(SEARCH(BD$2,Liste_Handelsünger[Handelsdünger])&gt;0)),ROW()-2),1),"")</f>
        <v>Complex blaugrün (Linzer Plus; 20/8/8)</v>
      </c>
      <c r="BE33" t="str">
        <f>IFERROR(INDEX(Liste_Handelsünger[Handelsdünger],_xlfn.AGGREGATE(15,6,(ROW(Liste_Handelsünger[Handelsdünger])-1)/(--(SEARCH(BF$2,Liste_Handelsünger[Handelsdünger])&gt;0)),ROW()-2),1),"")</f>
        <v>Complex blaugrün (Linzer Plus; 20/8/8)</v>
      </c>
      <c r="BG33" t="str">
        <f>IFERROR(INDEX(Liste_Handelsünger[Handelsdünger],_xlfn.AGGREGATE(15,6,(ROW(Liste_Handelsünger[Handelsdünger])-1)/(--(SEARCH(BH$2,Liste_Handelsünger[Handelsdünger])&gt;0)),ROW()-2),1),"")</f>
        <v>Complex blaugrün (Linzer Plus; 20/8/8)</v>
      </c>
    </row>
    <row r="34" spans="1:59" ht="21.75" customHeight="1">
      <c r="A34" s="2416"/>
      <c r="B34" s="2417"/>
      <c r="C34" s="2418"/>
      <c r="D34" s="2419"/>
      <c r="E34" s="2419"/>
      <c r="F34" s="2419"/>
      <c r="G34" s="2417"/>
      <c r="H34" s="2417"/>
      <c r="I34" s="2417"/>
      <c r="J34" s="2420"/>
      <c r="R34" s="1943" t="s">
        <v>2509</v>
      </c>
      <c r="S34" s="1477"/>
      <c r="T34" s="2414">
        <f t="shared" si="6"/>
        <v>0</v>
      </c>
      <c r="U34" s="1480">
        <v>0.15</v>
      </c>
      <c r="V34" s="1480">
        <v>0.05</v>
      </c>
      <c r="W34" s="1480">
        <v>0.18</v>
      </c>
      <c r="X34" s="1481">
        <f t="shared" si="7"/>
        <v>0</v>
      </c>
      <c r="Y34" s="1481">
        <f t="shared" si="8"/>
        <v>0</v>
      </c>
      <c r="Z34" s="1481">
        <f t="shared" si="9"/>
        <v>0</v>
      </c>
      <c r="AA34" s="2536">
        <v>1</v>
      </c>
      <c r="AB34" s="2533"/>
      <c r="AD34" s="2457" t="s">
        <v>1728</v>
      </c>
      <c r="AE34" s="2458" t="str">
        <f>IFERROR(INDEX(Liste_Handelsünger[Handelsdünger],_xlfn.AGGREGATE(15,6,(ROW(Liste_Handelsünger[Handelsdünger])-1)/(--(SEARCH(AF$2,Liste_Handelsünger[Handelsdünger])&gt;0)),ROW()-2),1),"")</f>
        <v>Complex blau (15/5/18)</v>
      </c>
      <c r="AF34" s="2458"/>
      <c r="AG34" s="2458" t="str">
        <f>IFERROR(INDEX(Liste_Handelsünger[Handelsdünger],_xlfn.AGGREGATE(15,6,(ROW(Liste_Handelsünger[Handelsdünger])-1)/(--(SEARCH(AH$2,Liste_Handelsünger[Handelsdünger])&gt;0)),ROW()-2),1),"")</f>
        <v>Complex blau (15/5/18)</v>
      </c>
      <c r="AI34" t="str">
        <f>IFERROR(INDEX(Liste_Handelsünger[Handelsdünger],_xlfn.AGGREGATE(15,6,(ROW(Liste_Handelsünger[Handelsdünger])-1)/(--(SEARCH(AJ$2,Liste_Handelsünger[Handelsdünger])&gt;0)),ROW()-2),1),"")</f>
        <v>Complex blau (15/5/18)</v>
      </c>
      <c r="AK34" t="str">
        <f>IFERROR(INDEX(Liste_Handelsünger[Handelsdünger],_xlfn.AGGREGATE(15,6,(ROW(Liste_Handelsünger[Handelsdünger])-1)/(--(SEARCH(AL$2,Liste_Handelsünger[Handelsdünger])&gt;0)),ROW()-2),1),"")</f>
        <v>Complex blau (15/5/18)</v>
      </c>
      <c r="AM34" t="str">
        <f>IFERROR(INDEX(Liste_Handelsünger[Handelsdünger],_xlfn.AGGREGATE(15,6,(ROW(Liste_Handelsünger[Handelsdünger])-1)/(--(SEARCH(AN$2,Liste_Handelsünger[Handelsdünger])&gt;0)),ROW()-2),1),"")</f>
        <v>Complex blau (15/5/18)</v>
      </c>
      <c r="AO34" t="str">
        <f>IFERROR(INDEX(Liste_Handelsünger[Handelsdünger],_xlfn.AGGREGATE(15,6,(ROW(Liste_Handelsünger[Handelsdünger])-1)/(--(SEARCH(AP$2,Liste_Handelsünger[Handelsdünger])&gt;0)),ROW()-2),1),"")</f>
        <v>Complex blau (15/5/18)</v>
      </c>
      <c r="AQ34" t="str">
        <f>IFERROR(INDEX(Liste_Handelsünger[Handelsdünger],_xlfn.AGGREGATE(15,6,(ROW(Liste_Handelsünger[Handelsdünger])-1)/(--(SEARCH(AR$2,Liste_Handelsünger[Handelsdünger])&gt;0)),ROW()-2),1),"")</f>
        <v>Complex blau (15/5/18)</v>
      </c>
      <c r="AS34" t="str">
        <f>IFERROR(INDEX(Liste_Handelsünger[Handelsdünger],_xlfn.AGGREGATE(15,6,(ROW(Liste_Handelsünger[Handelsdünger])-1)/(--(SEARCH(AT$2,Liste_Handelsünger[Handelsdünger])&gt;0)),ROW()-2),1),"")</f>
        <v>Complex blau (15/5/18)</v>
      </c>
      <c r="AU34" t="str">
        <f>IFERROR(INDEX(Liste_Handelsünger[Handelsdünger],_xlfn.AGGREGATE(15,6,(ROW(Liste_Handelsünger[Handelsdünger])-1)/(--(SEARCH(AV$2,Liste_Handelsünger[Handelsdünger])&gt;0)),ROW()-2),1),"")</f>
        <v>Complex blau (15/5/18)</v>
      </c>
      <c r="AW34" t="str">
        <f>IFERROR(INDEX(Liste_Handelsünger[Handelsdünger],_xlfn.AGGREGATE(15,6,(ROW(Liste_Handelsünger[Handelsdünger])-1)/(--(SEARCH(AX$2,Liste_Handelsünger[Handelsdünger])&gt;0)),ROW()-2),1),"")</f>
        <v>Complex blau (15/5/18)</v>
      </c>
      <c r="AY34" t="str">
        <f>IFERROR(INDEX(Liste_Handelsünger[Handelsdünger],_xlfn.AGGREGATE(15,6,(ROW(Liste_Handelsünger[Handelsdünger])-1)/(--(SEARCH(AZ$2,Liste_Handelsünger[Handelsdünger])&gt;0)),ROW()-2),1),"")</f>
        <v>Complex blau (15/5/18)</v>
      </c>
      <c r="BA34" t="str">
        <f>IFERROR(INDEX(Liste_Handelsünger[Handelsdünger],_xlfn.AGGREGATE(15,6,(ROW(Liste_Handelsünger[Handelsdünger])-1)/(--(SEARCH(BB$2,Liste_Handelsünger[Handelsdünger])&gt;0)),ROW()-2),1),"")</f>
        <v>Complex blau (15/5/18)</v>
      </c>
      <c r="BC34" t="str">
        <f>IFERROR(INDEX(Liste_Handelsünger[Handelsdünger],_xlfn.AGGREGATE(15,6,(ROW(Liste_Handelsünger[Handelsdünger])-1)/(--(SEARCH(BD$2,Liste_Handelsünger[Handelsdünger])&gt;0)),ROW()-2),1),"")</f>
        <v>Complex blau (15/5/18)</v>
      </c>
      <c r="BE34" t="str">
        <f>IFERROR(INDEX(Liste_Handelsünger[Handelsdünger],_xlfn.AGGREGATE(15,6,(ROW(Liste_Handelsünger[Handelsdünger])-1)/(--(SEARCH(BF$2,Liste_Handelsünger[Handelsdünger])&gt;0)),ROW()-2),1),"")</f>
        <v>Complex blau (15/5/18)</v>
      </c>
      <c r="BG34" t="str">
        <f>IFERROR(INDEX(Liste_Handelsünger[Handelsdünger],_xlfn.AGGREGATE(15,6,(ROW(Liste_Handelsünger[Handelsdünger])-1)/(--(SEARCH(BH$2,Liste_Handelsünger[Handelsdünger])&gt;0)),ROW()-2),1),"")</f>
        <v>Complex blau (15/5/18)</v>
      </c>
    </row>
    <row r="35" spans="1:59" ht="21.75" customHeight="1">
      <c r="A35" s="2416"/>
      <c r="B35" s="2417"/>
      <c r="C35" s="2418"/>
      <c r="D35" s="2419"/>
      <c r="E35" s="2419"/>
      <c r="F35" s="2419"/>
      <c r="G35" s="2417"/>
      <c r="H35" s="2417"/>
      <c r="I35" s="2417"/>
      <c r="J35" s="2420"/>
      <c r="R35" s="1943" t="s">
        <v>2508</v>
      </c>
      <c r="S35" s="1477"/>
      <c r="T35" s="2414">
        <f t="shared" si="6"/>
        <v>0</v>
      </c>
      <c r="U35" s="1480">
        <v>0.12</v>
      </c>
      <c r="V35" s="1480">
        <v>0.12</v>
      </c>
      <c r="W35" s="1480">
        <v>0.17</v>
      </c>
      <c r="X35" s="1481">
        <f t="shared" si="7"/>
        <v>0</v>
      </c>
      <c r="Y35" s="1481">
        <f t="shared" si="8"/>
        <v>0</v>
      </c>
      <c r="Z35" s="1481">
        <f t="shared" si="9"/>
        <v>0</v>
      </c>
      <c r="AA35" s="2536">
        <v>1</v>
      </c>
      <c r="AB35" s="2533"/>
      <c r="AD35" s="2457" t="s">
        <v>2515</v>
      </c>
      <c r="AE35" s="2443" t="str">
        <f>IFERROR(INDEX(Liste_Handelsünger[Handelsdünger],_xlfn.AGGREGATE(15,6,(ROW(Liste_Handelsünger[Handelsdünger])-1)/(--(SEARCH(AF$2,Liste_Handelsünger[Handelsdünger])&gt;0)),ROW()-2),1),"")</f>
        <v>Complex rot (Linzer Top; 12/12/17)</v>
      </c>
      <c r="AF35" s="2443"/>
      <c r="AG35" s="2443" t="str">
        <f>IFERROR(INDEX(Liste_Handelsünger[Handelsdünger],_xlfn.AGGREGATE(15,6,(ROW(Liste_Handelsünger[Handelsdünger])-1)/(--(SEARCH(AH$2,Liste_Handelsünger[Handelsdünger])&gt;0)),ROW()-2),1),"")</f>
        <v>Complex rot (Linzer Top; 12/12/17)</v>
      </c>
      <c r="AI35" t="str">
        <f>IFERROR(INDEX(Liste_Handelsünger[Handelsdünger],_xlfn.AGGREGATE(15,6,(ROW(Liste_Handelsünger[Handelsdünger])-1)/(--(SEARCH(AJ$2,Liste_Handelsünger[Handelsdünger])&gt;0)),ROW()-2),1),"")</f>
        <v>Complex rot (Linzer Top; 12/12/17)</v>
      </c>
      <c r="AK35" t="str">
        <f>IFERROR(INDEX(Liste_Handelsünger[Handelsdünger],_xlfn.AGGREGATE(15,6,(ROW(Liste_Handelsünger[Handelsdünger])-1)/(--(SEARCH(AL$2,Liste_Handelsünger[Handelsdünger])&gt;0)),ROW()-2),1),"")</f>
        <v>Complex rot (Linzer Top; 12/12/17)</v>
      </c>
      <c r="AM35" t="str">
        <f>IFERROR(INDEX(Liste_Handelsünger[Handelsdünger],_xlfn.AGGREGATE(15,6,(ROW(Liste_Handelsünger[Handelsdünger])-1)/(--(SEARCH(AN$2,Liste_Handelsünger[Handelsdünger])&gt;0)),ROW()-2),1),"")</f>
        <v>Complex rot (Linzer Top; 12/12/17)</v>
      </c>
      <c r="AO35" t="str">
        <f>IFERROR(INDEX(Liste_Handelsünger[Handelsdünger],_xlfn.AGGREGATE(15,6,(ROW(Liste_Handelsünger[Handelsdünger])-1)/(--(SEARCH(AP$2,Liste_Handelsünger[Handelsdünger])&gt;0)),ROW()-2),1),"")</f>
        <v>Complex rot (Linzer Top; 12/12/17)</v>
      </c>
      <c r="AQ35" t="str">
        <f>IFERROR(INDEX(Liste_Handelsünger[Handelsdünger],_xlfn.AGGREGATE(15,6,(ROW(Liste_Handelsünger[Handelsdünger])-1)/(--(SEARCH(AR$2,Liste_Handelsünger[Handelsdünger])&gt;0)),ROW()-2),1),"")</f>
        <v>Complex rot (Linzer Top; 12/12/17)</v>
      </c>
      <c r="AS35" t="str">
        <f>IFERROR(INDEX(Liste_Handelsünger[Handelsdünger],_xlfn.AGGREGATE(15,6,(ROW(Liste_Handelsünger[Handelsdünger])-1)/(--(SEARCH(AT$2,Liste_Handelsünger[Handelsdünger])&gt;0)),ROW()-2),1),"")</f>
        <v>Complex rot (Linzer Top; 12/12/17)</v>
      </c>
      <c r="AU35" t="str">
        <f>IFERROR(INDEX(Liste_Handelsünger[Handelsdünger],_xlfn.AGGREGATE(15,6,(ROW(Liste_Handelsünger[Handelsdünger])-1)/(--(SEARCH(AV$2,Liste_Handelsünger[Handelsdünger])&gt;0)),ROW()-2),1),"")</f>
        <v>Complex rot (Linzer Top; 12/12/17)</v>
      </c>
      <c r="AW35" t="str">
        <f>IFERROR(INDEX(Liste_Handelsünger[Handelsdünger],_xlfn.AGGREGATE(15,6,(ROW(Liste_Handelsünger[Handelsdünger])-1)/(--(SEARCH(AX$2,Liste_Handelsünger[Handelsdünger])&gt;0)),ROW()-2),1),"")</f>
        <v>Complex rot (Linzer Top; 12/12/17)</v>
      </c>
      <c r="AY35" t="str">
        <f>IFERROR(INDEX(Liste_Handelsünger[Handelsdünger],_xlfn.AGGREGATE(15,6,(ROW(Liste_Handelsünger[Handelsdünger])-1)/(--(SEARCH(AZ$2,Liste_Handelsünger[Handelsdünger])&gt;0)),ROW()-2),1),"")</f>
        <v>Complex rot (Linzer Top; 12/12/17)</v>
      </c>
      <c r="BA35" t="str">
        <f>IFERROR(INDEX(Liste_Handelsünger[Handelsdünger],_xlfn.AGGREGATE(15,6,(ROW(Liste_Handelsünger[Handelsdünger])-1)/(--(SEARCH(BB$2,Liste_Handelsünger[Handelsdünger])&gt;0)),ROW()-2),1),"")</f>
        <v>Complex rot (Linzer Top; 12/12/17)</v>
      </c>
      <c r="BC35" t="str">
        <f>IFERROR(INDEX(Liste_Handelsünger[Handelsdünger],_xlfn.AGGREGATE(15,6,(ROW(Liste_Handelsünger[Handelsdünger])-1)/(--(SEARCH(BD$2,Liste_Handelsünger[Handelsdünger])&gt;0)),ROW()-2),1),"")</f>
        <v>Complex rot (Linzer Top; 12/12/17)</v>
      </c>
      <c r="BE35" t="str">
        <f>IFERROR(INDEX(Liste_Handelsünger[Handelsdünger],_xlfn.AGGREGATE(15,6,(ROW(Liste_Handelsünger[Handelsdünger])-1)/(--(SEARCH(BF$2,Liste_Handelsünger[Handelsdünger])&gt;0)),ROW()-2),1),"")</f>
        <v>Complex rot (Linzer Top; 12/12/17)</v>
      </c>
      <c r="BG35" t="str">
        <f>IFERROR(INDEX(Liste_Handelsünger[Handelsdünger],_xlfn.AGGREGATE(15,6,(ROW(Liste_Handelsünger[Handelsdünger])-1)/(--(SEARCH(BH$2,Liste_Handelsünger[Handelsdünger])&gt;0)),ROW()-2),1),"")</f>
        <v>Complex rot (Linzer Top; 12/12/17)</v>
      </c>
    </row>
    <row r="36" spans="1:59" ht="21.75" customHeight="1">
      <c r="A36" s="2416"/>
      <c r="B36" s="2417"/>
      <c r="C36" s="2418"/>
      <c r="D36" s="2419"/>
      <c r="E36" s="2419"/>
      <c r="F36" s="2419"/>
      <c r="G36" s="2417"/>
      <c r="H36" s="2417"/>
      <c r="I36" s="2417"/>
      <c r="J36" s="2421"/>
      <c r="R36" s="1943" t="s">
        <v>1729</v>
      </c>
      <c r="S36" s="1477"/>
      <c r="T36" s="2414">
        <f t="shared" si="6"/>
        <v>0</v>
      </c>
      <c r="U36" s="1480">
        <v>0.18</v>
      </c>
      <c r="V36" s="1480">
        <v>0.11</v>
      </c>
      <c r="W36" s="1480">
        <v>0.11</v>
      </c>
      <c r="X36" s="1481">
        <f t="shared" si="7"/>
        <v>0</v>
      </c>
      <c r="Y36" s="1481">
        <f t="shared" si="8"/>
        <v>0</v>
      </c>
      <c r="Z36" s="1481">
        <f t="shared" si="9"/>
        <v>0</v>
      </c>
      <c r="AA36" s="2537">
        <v>1</v>
      </c>
      <c r="AB36" s="2533"/>
      <c r="AD36" s="2457" t="s">
        <v>1729</v>
      </c>
      <c r="AE36" s="2458" t="str">
        <f>IFERROR(INDEX(Liste_Handelsünger[Handelsdünger],_xlfn.AGGREGATE(15,6,(ROW(Liste_Handelsünger[Handelsdünger])-1)/(--(SEARCH(AF$2,Liste_Handelsünger[Handelsdünger])&gt;0)),ROW()-2),1),"")</f>
        <v>Vario 18/11/11</v>
      </c>
      <c r="AF36" s="2458"/>
      <c r="AG36" s="2458" t="str">
        <f>IFERROR(INDEX(Liste_Handelsünger[Handelsdünger],_xlfn.AGGREGATE(15,6,(ROW(Liste_Handelsünger[Handelsdünger])-1)/(--(SEARCH(AH$2,Liste_Handelsünger[Handelsdünger])&gt;0)),ROW()-2),1),"")</f>
        <v>Vario 18/11/11</v>
      </c>
      <c r="AI36" t="str">
        <f>IFERROR(INDEX(Liste_Handelsünger[Handelsdünger],_xlfn.AGGREGATE(15,6,(ROW(Liste_Handelsünger[Handelsdünger])-1)/(--(SEARCH(AJ$2,Liste_Handelsünger[Handelsdünger])&gt;0)),ROW()-2),1),"")</f>
        <v>Vario 18/11/11</v>
      </c>
      <c r="AK36" t="str">
        <f>IFERROR(INDEX(Liste_Handelsünger[Handelsdünger],_xlfn.AGGREGATE(15,6,(ROW(Liste_Handelsünger[Handelsdünger])-1)/(--(SEARCH(AL$2,Liste_Handelsünger[Handelsdünger])&gt;0)),ROW()-2),1),"")</f>
        <v>Vario 18/11/11</v>
      </c>
      <c r="AM36" t="str">
        <f>IFERROR(INDEX(Liste_Handelsünger[Handelsdünger],_xlfn.AGGREGATE(15,6,(ROW(Liste_Handelsünger[Handelsdünger])-1)/(--(SEARCH(AN$2,Liste_Handelsünger[Handelsdünger])&gt;0)),ROW()-2),1),"")</f>
        <v>Vario 18/11/11</v>
      </c>
      <c r="AO36" t="str">
        <f>IFERROR(INDEX(Liste_Handelsünger[Handelsdünger],_xlfn.AGGREGATE(15,6,(ROW(Liste_Handelsünger[Handelsdünger])-1)/(--(SEARCH(AP$2,Liste_Handelsünger[Handelsdünger])&gt;0)),ROW()-2),1),"")</f>
        <v>Vario 18/11/11</v>
      </c>
      <c r="AQ36" t="str">
        <f>IFERROR(INDEX(Liste_Handelsünger[Handelsdünger],_xlfn.AGGREGATE(15,6,(ROW(Liste_Handelsünger[Handelsdünger])-1)/(--(SEARCH(AR$2,Liste_Handelsünger[Handelsdünger])&gt;0)),ROW()-2),1),"")</f>
        <v>Vario 18/11/11</v>
      </c>
      <c r="AS36" t="str">
        <f>IFERROR(INDEX(Liste_Handelsünger[Handelsdünger],_xlfn.AGGREGATE(15,6,(ROW(Liste_Handelsünger[Handelsdünger])-1)/(--(SEARCH(AT$2,Liste_Handelsünger[Handelsdünger])&gt;0)),ROW()-2),1),"")</f>
        <v>Vario 18/11/11</v>
      </c>
      <c r="AU36" t="str">
        <f>IFERROR(INDEX(Liste_Handelsünger[Handelsdünger],_xlfn.AGGREGATE(15,6,(ROW(Liste_Handelsünger[Handelsdünger])-1)/(--(SEARCH(AV$2,Liste_Handelsünger[Handelsdünger])&gt;0)),ROW()-2),1),"")</f>
        <v>Vario 18/11/11</v>
      </c>
      <c r="AW36" t="str">
        <f>IFERROR(INDEX(Liste_Handelsünger[Handelsdünger],_xlfn.AGGREGATE(15,6,(ROW(Liste_Handelsünger[Handelsdünger])-1)/(--(SEARCH(AX$2,Liste_Handelsünger[Handelsdünger])&gt;0)),ROW()-2),1),"")</f>
        <v>Vario 18/11/11</v>
      </c>
      <c r="AY36" t="str">
        <f>IFERROR(INDEX(Liste_Handelsünger[Handelsdünger],_xlfn.AGGREGATE(15,6,(ROW(Liste_Handelsünger[Handelsdünger])-1)/(--(SEARCH(AZ$2,Liste_Handelsünger[Handelsdünger])&gt;0)),ROW()-2),1),"")</f>
        <v>Vario 18/11/11</v>
      </c>
      <c r="BA36" t="str">
        <f>IFERROR(INDEX(Liste_Handelsünger[Handelsdünger],_xlfn.AGGREGATE(15,6,(ROW(Liste_Handelsünger[Handelsdünger])-1)/(--(SEARCH(BB$2,Liste_Handelsünger[Handelsdünger])&gt;0)),ROW()-2),1),"")</f>
        <v>Vario 18/11/11</v>
      </c>
      <c r="BC36" t="str">
        <f>IFERROR(INDEX(Liste_Handelsünger[Handelsdünger],_xlfn.AGGREGATE(15,6,(ROW(Liste_Handelsünger[Handelsdünger])-1)/(--(SEARCH(BD$2,Liste_Handelsünger[Handelsdünger])&gt;0)),ROW()-2),1),"")</f>
        <v>Vario 18/11/11</v>
      </c>
      <c r="BE36" t="str">
        <f>IFERROR(INDEX(Liste_Handelsünger[Handelsdünger],_xlfn.AGGREGATE(15,6,(ROW(Liste_Handelsünger[Handelsdünger])-1)/(--(SEARCH(BF$2,Liste_Handelsünger[Handelsdünger])&gt;0)),ROW()-2),1),"")</f>
        <v>Vario 18/11/11</v>
      </c>
      <c r="BG36" t="str">
        <f>IFERROR(INDEX(Liste_Handelsünger[Handelsdünger],_xlfn.AGGREGATE(15,6,(ROW(Liste_Handelsünger[Handelsdünger])-1)/(--(SEARCH(BH$2,Liste_Handelsünger[Handelsdünger])&gt;0)),ROW()-2),1),"")</f>
        <v>Vario 18/11/11</v>
      </c>
    </row>
    <row r="37" spans="1:59" ht="21.75" customHeight="1">
      <c r="A37" s="2416"/>
      <c r="B37" s="2417"/>
      <c r="C37" s="2418"/>
      <c r="D37" s="2419"/>
      <c r="E37" s="2419"/>
      <c r="F37" s="2419"/>
      <c r="G37" s="2417"/>
      <c r="H37" s="2417"/>
      <c r="I37" s="2417"/>
      <c r="J37" s="2421"/>
      <c r="R37" s="1943" t="s">
        <v>1730</v>
      </c>
      <c r="S37" s="1477"/>
      <c r="T37" s="2414">
        <f t="shared" si="6"/>
        <v>0</v>
      </c>
      <c r="U37" s="1480">
        <v>0.2</v>
      </c>
      <c r="V37" s="1480">
        <v>7.0000000000000007E-2</v>
      </c>
      <c r="W37" s="1480">
        <v>7.0000000000000007E-2</v>
      </c>
      <c r="X37" s="1481">
        <f t="shared" si="7"/>
        <v>0</v>
      </c>
      <c r="Y37" s="1481">
        <f t="shared" si="8"/>
        <v>0</v>
      </c>
      <c r="Z37" s="1481">
        <f t="shared" si="9"/>
        <v>0</v>
      </c>
      <c r="AA37" s="2537">
        <v>1</v>
      </c>
      <c r="AB37" s="2533"/>
      <c r="AD37" s="2457" t="s">
        <v>1730</v>
      </c>
      <c r="AE37" s="2443" t="str">
        <f>IFERROR(INDEX(Liste_Handelsünger[Handelsdünger],_xlfn.AGGREGATE(15,6,(ROW(Liste_Handelsünger[Handelsdünger])-1)/(--(SEARCH(AF$2,Liste_Handelsünger[Handelsdünger])&gt;0)),ROW()-2),1),"")</f>
        <v>Vario 20/7/7</v>
      </c>
      <c r="AF37" s="2443"/>
      <c r="AG37" s="2443" t="str">
        <f>IFERROR(INDEX(Liste_Handelsünger[Handelsdünger],_xlfn.AGGREGATE(15,6,(ROW(Liste_Handelsünger[Handelsdünger])-1)/(--(SEARCH(AH$2,Liste_Handelsünger[Handelsdünger])&gt;0)),ROW()-2),1),"")</f>
        <v>Vario 20/7/7</v>
      </c>
      <c r="AI37" t="str">
        <f>IFERROR(INDEX(Liste_Handelsünger[Handelsdünger],_xlfn.AGGREGATE(15,6,(ROW(Liste_Handelsünger[Handelsdünger])-1)/(--(SEARCH(AJ$2,Liste_Handelsünger[Handelsdünger])&gt;0)),ROW()-2),1),"")</f>
        <v>Vario 20/7/7</v>
      </c>
      <c r="AK37" t="str">
        <f>IFERROR(INDEX(Liste_Handelsünger[Handelsdünger],_xlfn.AGGREGATE(15,6,(ROW(Liste_Handelsünger[Handelsdünger])-1)/(--(SEARCH(AL$2,Liste_Handelsünger[Handelsdünger])&gt;0)),ROW()-2),1),"")</f>
        <v>Vario 20/7/7</v>
      </c>
      <c r="AM37" t="str">
        <f>IFERROR(INDEX(Liste_Handelsünger[Handelsdünger],_xlfn.AGGREGATE(15,6,(ROW(Liste_Handelsünger[Handelsdünger])-1)/(--(SEARCH(AN$2,Liste_Handelsünger[Handelsdünger])&gt;0)),ROW()-2),1),"")</f>
        <v>Vario 20/7/7</v>
      </c>
      <c r="AO37" t="str">
        <f>IFERROR(INDEX(Liste_Handelsünger[Handelsdünger],_xlfn.AGGREGATE(15,6,(ROW(Liste_Handelsünger[Handelsdünger])-1)/(--(SEARCH(AP$2,Liste_Handelsünger[Handelsdünger])&gt;0)),ROW()-2),1),"")</f>
        <v>Vario 20/7/7</v>
      </c>
      <c r="AQ37" t="str">
        <f>IFERROR(INDEX(Liste_Handelsünger[Handelsdünger],_xlfn.AGGREGATE(15,6,(ROW(Liste_Handelsünger[Handelsdünger])-1)/(--(SEARCH(AR$2,Liste_Handelsünger[Handelsdünger])&gt;0)),ROW()-2),1),"")</f>
        <v>Vario 20/7/7</v>
      </c>
      <c r="AS37" t="str">
        <f>IFERROR(INDEX(Liste_Handelsünger[Handelsdünger],_xlfn.AGGREGATE(15,6,(ROW(Liste_Handelsünger[Handelsdünger])-1)/(--(SEARCH(AT$2,Liste_Handelsünger[Handelsdünger])&gt;0)),ROW()-2),1),"")</f>
        <v>Vario 20/7/7</v>
      </c>
      <c r="AU37" t="str">
        <f>IFERROR(INDEX(Liste_Handelsünger[Handelsdünger],_xlfn.AGGREGATE(15,6,(ROW(Liste_Handelsünger[Handelsdünger])-1)/(--(SEARCH(AV$2,Liste_Handelsünger[Handelsdünger])&gt;0)),ROW()-2),1),"")</f>
        <v>Vario 20/7/7</v>
      </c>
      <c r="AW37" t="str">
        <f>IFERROR(INDEX(Liste_Handelsünger[Handelsdünger],_xlfn.AGGREGATE(15,6,(ROW(Liste_Handelsünger[Handelsdünger])-1)/(--(SEARCH(AX$2,Liste_Handelsünger[Handelsdünger])&gt;0)),ROW()-2),1),"")</f>
        <v>Vario 20/7/7</v>
      </c>
      <c r="AY37" t="str">
        <f>IFERROR(INDEX(Liste_Handelsünger[Handelsdünger],_xlfn.AGGREGATE(15,6,(ROW(Liste_Handelsünger[Handelsdünger])-1)/(--(SEARCH(AZ$2,Liste_Handelsünger[Handelsdünger])&gt;0)),ROW()-2),1),"")</f>
        <v>Vario 20/7/7</v>
      </c>
      <c r="BA37" t="str">
        <f>IFERROR(INDEX(Liste_Handelsünger[Handelsdünger],_xlfn.AGGREGATE(15,6,(ROW(Liste_Handelsünger[Handelsdünger])-1)/(--(SEARCH(BB$2,Liste_Handelsünger[Handelsdünger])&gt;0)),ROW()-2),1),"")</f>
        <v>Vario 20/7/7</v>
      </c>
      <c r="BC37" t="str">
        <f>IFERROR(INDEX(Liste_Handelsünger[Handelsdünger],_xlfn.AGGREGATE(15,6,(ROW(Liste_Handelsünger[Handelsdünger])-1)/(--(SEARCH(BD$2,Liste_Handelsünger[Handelsdünger])&gt;0)),ROW()-2),1),"")</f>
        <v>Vario 20/7/7</v>
      </c>
      <c r="BE37" t="str">
        <f>IFERROR(INDEX(Liste_Handelsünger[Handelsdünger],_xlfn.AGGREGATE(15,6,(ROW(Liste_Handelsünger[Handelsdünger])-1)/(--(SEARCH(BF$2,Liste_Handelsünger[Handelsdünger])&gt;0)),ROW()-2),1),"")</f>
        <v>Vario 20/7/7</v>
      </c>
      <c r="BG37" t="str">
        <f>IFERROR(INDEX(Liste_Handelsünger[Handelsdünger],_xlfn.AGGREGATE(15,6,(ROW(Liste_Handelsünger[Handelsdünger])-1)/(--(SEARCH(BH$2,Liste_Handelsünger[Handelsdünger])&gt;0)),ROW()-2),1),"")</f>
        <v>Vario 20/7/7</v>
      </c>
    </row>
    <row r="38" spans="1:59" ht="21.75" customHeight="1">
      <c r="A38" s="2416"/>
      <c r="B38" s="2417"/>
      <c r="C38" s="2418"/>
      <c r="D38" s="2419"/>
      <c r="E38" s="2419"/>
      <c r="F38" s="2419"/>
      <c r="G38" s="2417"/>
      <c r="H38" s="2417"/>
      <c r="I38" s="2417"/>
      <c r="J38" s="2421"/>
      <c r="R38" s="1943" t="s">
        <v>1731</v>
      </c>
      <c r="S38" s="1477"/>
      <c r="T38" s="2414">
        <f t="shared" si="6"/>
        <v>0</v>
      </c>
      <c r="U38" s="1480">
        <v>0.21</v>
      </c>
      <c r="V38" s="1480">
        <v>7.0000000000000007E-2</v>
      </c>
      <c r="W38" s="1480">
        <v>7.0000000000000007E-2</v>
      </c>
      <c r="X38" s="1481">
        <f t="shared" si="7"/>
        <v>0</v>
      </c>
      <c r="Y38" s="1481">
        <f t="shared" si="8"/>
        <v>0</v>
      </c>
      <c r="Z38" s="1481">
        <f t="shared" si="9"/>
        <v>0</v>
      </c>
      <c r="AA38" s="2537">
        <v>1</v>
      </c>
      <c r="AB38" s="2533"/>
      <c r="AD38" s="2447" t="s">
        <v>1731</v>
      </c>
      <c r="AE38" s="2524" t="str">
        <f>IFERROR(INDEX(Liste_Handelsünger[Handelsdünger],_xlfn.AGGREGATE(15,6,(ROW(Liste_Handelsünger[Handelsdünger])-1)/(--(SEARCH(AF$2,Liste_Handelsünger[Handelsdünger])&gt;0)),ROW()-2),1),"")</f>
        <v>Vario 21/7/7</v>
      </c>
      <c r="AF38" s="2443"/>
      <c r="AG38" s="2524" t="str">
        <f>IFERROR(INDEX(Liste_Handelsünger[Handelsdünger],_xlfn.AGGREGATE(15,6,(ROW(Liste_Handelsünger[Handelsdünger])-1)/(--(SEARCH(AH$2,Liste_Handelsünger[Handelsdünger])&gt;0)),ROW()-2),1),"")</f>
        <v>Vario 21/7/7</v>
      </c>
      <c r="AI38" s="2449" t="str">
        <f>IFERROR(INDEX(Liste_Handelsünger[Handelsdünger],_xlfn.AGGREGATE(15,6,(ROW(Liste_Handelsünger[Handelsdünger])-1)/(--(SEARCH(AJ$2,Liste_Handelsünger[Handelsdünger])&gt;0)),ROW()-2),1),"")</f>
        <v>Vario 21/7/7</v>
      </c>
      <c r="AK38" s="2449" t="str">
        <f>IFERROR(INDEX(Liste_Handelsünger[Handelsdünger],_xlfn.AGGREGATE(15,6,(ROW(Liste_Handelsünger[Handelsdünger])-1)/(--(SEARCH(AL$2,Liste_Handelsünger[Handelsdünger])&gt;0)),ROW()-2),1),"")</f>
        <v>Vario 21/7/7</v>
      </c>
      <c r="AM38" s="2449" t="str">
        <f>IFERROR(INDEX(Liste_Handelsünger[Handelsdünger],_xlfn.AGGREGATE(15,6,(ROW(Liste_Handelsünger[Handelsdünger])-1)/(--(SEARCH(AN$2,Liste_Handelsünger[Handelsdünger])&gt;0)),ROW()-2),1),"")</f>
        <v>Vario 21/7/7</v>
      </c>
      <c r="AO38" s="2449" t="str">
        <f>IFERROR(INDEX(Liste_Handelsünger[Handelsdünger],_xlfn.AGGREGATE(15,6,(ROW(Liste_Handelsünger[Handelsdünger])-1)/(--(SEARCH(AP$2,Liste_Handelsünger[Handelsdünger])&gt;0)),ROW()-2),1),"")</f>
        <v>Vario 21/7/7</v>
      </c>
      <c r="AQ38" s="2449" t="str">
        <f>IFERROR(INDEX(Liste_Handelsünger[Handelsdünger],_xlfn.AGGREGATE(15,6,(ROW(Liste_Handelsünger[Handelsdünger])-1)/(--(SEARCH(AR$2,Liste_Handelsünger[Handelsdünger])&gt;0)),ROW()-2),1),"")</f>
        <v>Vario 21/7/7</v>
      </c>
      <c r="AS38" s="2449" t="str">
        <f>IFERROR(INDEX(Liste_Handelsünger[Handelsdünger],_xlfn.AGGREGATE(15,6,(ROW(Liste_Handelsünger[Handelsdünger])-1)/(--(SEARCH(AT$2,Liste_Handelsünger[Handelsdünger])&gt;0)),ROW()-2),1),"")</f>
        <v>Vario 21/7/7</v>
      </c>
      <c r="AU38" s="2449" t="str">
        <f>IFERROR(INDEX(Liste_Handelsünger[Handelsdünger],_xlfn.AGGREGATE(15,6,(ROW(Liste_Handelsünger[Handelsdünger])-1)/(--(SEARCH(AV$2,Liste_Handelsünger[Handelsdünger])&gt;0)),ROW()-2),1),"")</f>
        <v>Vario 21/7/7</v>
      </c>
      <c r="AW38" s="2449" t="str">
        <f>IFERROR(INDEX(Liste_Handelsünger[Handelsdünger],_xlfn.AGGREGATE(15,6,(ROW(Liste_Handelsünger[Handelsdünger])-1)/(--(SEARCH(AX$2,Liste_Handelsünger[Handelsdünger])&gt;0)),ROW()-2),1),"")</f>
        <v>Vario 21/7/7</v>
      </c>
      <c r="AY38" s="2449" t="str">
        <f>IFERROR(INDEX(Liste_Handelsünger[Handelsdünger],_xlfn.AGGREGATE(15,6,(ROW(Liste_Handelsünger[Handelsdünger])-1)/(--(SEARCH(AZ$2,Liste_Handelsünger[Handelsdünger])&gt;0)),ROW()-2),1),"")</f>
        <v>Vario 21/7/7</v>
      </c>
      <c r="BA38" s="2449" t="str">
        <f>IFERROR(INDEX(Liste_Handelsünger[Handelsdünger],_xlfn.AGGREGATE(15,6,(ROW(Liste_Handelsünger[Handelsdünger])-1)/(--(SEARCH(BB$2,Liste_Handelsünger[Handelsdünger])&gt;0)),ROW()-2),1),"")</f>
        <v>Vario 21/7/7</v>
      </c>
      <c r="BC38" s="2449" t="str">
        <f>IFERROR(INDEX(Liste_Handelsünger[Handelsdünger],_xlfn.AGGREGATE(15,6,(ROW(Liste_Handelsünger[Handelsdünger])-1)/(--(SEARCH(BD$2,Liste_Handelsünger[Handelsdünger])&gt;0)),ROW()-2),1),"")</f>
        <v>Vario 21/7/7</v>
      </c>
      <c r="BE38" s="2449" t="str">
        <f>IFERROR(INDEX(Liste_Handelsünger[Handelsdünger],_xlfn.AGGREGATE(15,6,(ROW(Liste_Handelsünger[Handelsdünger])-1)/(--(SEARCH(BF$2,Liste_Handelsünger[Handelsdünger])&gt;0)),ROW()-2),1),"")</f>
        <v>Vario 21/7/7</v>
      </c>
      <c r="BG38" s="2449" t="str">
        <f>IFERROR(INDEX(Liste_Handelsünger[Handelsdünger],_xlfn.AGGREGATE(15,6,(ROW(Liste_Handelsünger[Handelsdünger])-1)/(--(SEARCH(BH$2,Liste_Handelsünger[Handelsdünger])&gt;0)),ROW()-2),1),"")</f>
        <v>Vario 21/7/7</v>
      </c>
    </row>
    <row r="39" spans="1:59" ht="15.9" customHeight="1">
      <c r="R39" s="1478" t="s">
        <v>684</v>
      </c>
      <c r="S39" s="1477"/>
      <c r="T39" s="2414">
        <f t="shared" si="6"/>
        <v>0</v>
      </c>
      <c r="U39" s="1482"/>
      <c r="V39" s="1482"/>
      <c r="W39" s="1482"/>
      <c r="X39" s="1481">
        <f t="shared" si="7"/>
        <v>0</v>
      </c>
      <c r="Y39" s="1481">
        <f t="shared" si="8"/>
        <v>0</v>
      </c>
      <c r="Z39" s="1481">
        <f t="shared" si="9"/>
        <v>0</v>
      </c>
      <c r="AA39" s="1942">
        <v>1</v>
      </c>
      <c r="AB39" s="201"/>
      <c r="AD39" s="2457" t="str">
        <f>""</f>
        <v/>
      </c>
      <c r="AE39" s="2524" t="str">
        <f>IFERROR(INDEX(Liste_Handelsünger[Handelsdünger],_xlfn.AGGREGATE(15,6,(ROW(Liste_Handelsünger[Handelsdünger])-1)/(--(SEARCH(AF$2,Liste_Handelsünger[Handelsdünger])&gt;0)),ROW()-2),1),"")</f>
        <v/>
      </c>
      <c r="AF39" s="2443"/>
      <c r="AG39" s="2524" t="str">
        <f>IFERROR(INDEX(Liste_Handelsünger[Handelsdünger],_xlfn.AGGREGATE(15,6,(ROW(Liste_Handelsünger[Handelsdünger])-1)/(--(SEARCH(AH$2,Liste_Handelsünger[Handelsdünger])&gt;0)),ROW()-2),1),"")</f>
        <v/>
      </c>
      <c r="AI39" s="2449" t="str">
        <f>IFERROR(INDEX(Liste_Handelsünger[Handelsdünger],_xlfn.AGGREGATE(15,6,(ROW(Liste_Handelsünger[Handelsdünger])-1)/(--(SEARCH(AJ$2,Liste_Handelsünger[Handelsdünger])&gt;0)),ROW()-2),1),"")</f>
        <v/>
      </c>
      <c r="AK39" s="2449" t="str">
        <f>IFERROR(INDEX(Liste_Handelsünger[Handelsdünger],_xlfn.AGGREGATE(15,6,(ROW(Liste_Handelsünger[Handelsdünger])-1)/(--(SEARCH(AL$2,Liste_Handelsünger[Handelsdünger])&gt;0)),ROW()-2),1),"")</f>
        <v/>
      </c>
      <c r="AM39" s="2449" t="str">
        <f>IFERROR(INDEX(Liste_Handelsünger[Handelsdünger],_xlfn.AGGREGATE(15,6,(ROW(Liste_Handelsünger[Handelsdünger])-1)/(--(SEARCH(AN$2,Liste_Handelsünger[Handelsdünger])&gt;0)),ROW()-2),1),"")</f>
        <v/>
      </c>
      <c r="AO39" s="2449" t="str">
        <f>IFERROR(INDEX(Liste_Handelsünger[Handelsdünger],_xlfn.AGGREGATE(15,6,(ROW(Liste_Handelsünger[Handelsdünger])-1)/(--(SEARCH(AP$2,Liste_Handelsünger[Handelsdünger])&gt;0)),ROW()-2),1),"")</f>
        <v/>
      </c>
      <c r="AQ39" s="2449" t="str">
        <f>IFERROR(INDEX(Liste_Handelsünger[Handelsdünger],_xlfn.AGGREGATE(15,6,(ROW(Liste_Handelsünger[Handelsdünger])-1)/(--(SEARCH(AR$2,Liste_Handelsünger[Handelsdünger])&gt;0)),ROW()-2),1),"")</f>
        <v/>
      </c>
      <c r="AS39" s="2449" t="str">
        <f>IFERROR(INDEX(Liste_Handelsünger[Handelsdünger],_xlfn.AGGREGATE(15,6,(ROW(Liste_Handelsünger[Handelsdünger])-1)/(--(SEARCH(AT$2,Liste_Handelsünger[Handelsdünger])&gt;0)),ROW()-2),1),"")</f>
        <v/>
      </c>
      <c r="AU39" s="2449" t="str">
        <f>IFERROR(INDEX(Liste_Handelsünger[Handelsdünger],_xlfn.AGGREGATE(15,6,(ROW(Liste_Handelsünger[Handelsdünger])-1)/(--(SEARCH(AV$2,Liste_Handelsünger[Handelsdünger])&gt;0)),ROW()-2),1),"")</f>
        <v/>
      </c>
      <c r="AW39" s="2449" t="str">
        <f>IFERROR(INDEX(Liste_Handelsünger[Handelsdünger],_xlfn.AGGREGATE(15,6,(ROW(Liste_Handelsünger[Handelsdünger])-1)/(--(SEARCH(AX$2,Liste_Handelsünger[Handelsdünger])&gt;0)),ROW()-2),1),"")</f>
        <v/>
      </c>
      <c r="AY39" s="2449" t="str">
        <f>IFERROR(INDEX(Liste_Handelsünger[Handelsdünger],_xlfn.AGGREGATE(15,6,(ROW(Liste_Handelsünger[Handelsdünger])-1)/(--(SEARCH(AZ$2,Liste_Handelsünger[Handelsdünger])&gt;0)),ROW()-2),1),"")</f>
        <v/>
      </c>
      <c r="BA39" s="2449" t="str">
        <f>IFERROR(INDEX(Liste_Handelsünger[Handelsdünger],_xlfn.AGGREGATE(15,6,(ROW(Liste_Handelsünger[Handelsdünger])-1)/(--(SEARCH(BB$2,Liste_Handelsünger[Handelsdünger])&gt;0)),ROW()-2),1),"")</f>
        <v/>
      </c>
      <c r="BC39" s="2449" t="str">
        <f>IFERROR(INDEX(Liste_Handelsünger[Handelsdünger],_xlfn.AGGREGATE(15,6,(ROW(Liste_Handelsünger[Handelsdünger])-1)/(--(SEARCH(BD$2,Liste_Handelsünger[Handelsdünger])&gt;0)),ROW()-2),1),"")</f>
        <v/>
      </c>
      <c r="BE39" s="2449" t="str">
        <f>IFERROR(INDEX(Liste_Handelsünger[Handelsdünger],_xlfn.AGGREGATE(15,6,(ROW(Liste_Handelsünger[Handelsdünger])-1)/(--(SEARCH(BF$2,Liste_Handelsünger[Handelsdünger])&gt;0)),ROW()-2),1),"")</f>
        <v/>
      </c>
      <c r="BG39" s="2449" t="str">
        <f>IFERROR(INDEX(Liste_Handelsünger[Handelsdünger],_xlfn.AGGREGATE(15,6,(ROW(Liste_Handelsünger[Handelsdünger])-1)/(--(SEARCH(BH$2,Liste_Handelsünger[Handelsdünger])&gt;0)),ROW()-2),1),"")</f>
        <v/>
      </c>
    </row>
    <row r="40" spans="1:59" ht="15.9" customHeight="1">
      <c r="R40" s="1478" t="s">
        <v>685</v>
      </c>
      <c r="S40" s="1477"/>
      <c r="T40" s="2414">
        <f t="shared" si="6"/>
        <v>0</v>
      </c>
      <c r="U40" s="1482"/>
      <c r="V40" s="1482"/>
      <c r="W40" s="1482"/>
      <c r="X40" s="1481">
        <f t="shared" si="7"/>
        <v>0</v>
      </c>
      <c r="Y40" s="1481">
        <f t="shared" si="8"/>
        <v>0</v>
      </c>
      <c r="Z40" s="1481">
        <f t="shared" si="9"/>
        <v>0</v>
      </c>
      <c r="AA40" s="1942">
        <v>1</v>
      </c>
      <c r="AB40" s="201"/>
      <c r="AD40" s="2457"/>
      <c r="AE40" s="2524" t="str">
        <f>IFERROR(INDEX(Liste_Handelsünger[Handelsdünger],_xlfn.AGGREGATE(15,6,(ROW(Liste_Handelsünger[Handelsdünger])-1)/(--(SEARCH(AF$2,Liste_Handelsünger[Handelsdünger])&gt;0)),ROW()-2),1),"")</f>
        <v/>
      </c>
      <c r="AF40" s="2443"/>
      <c r="AG40" s="2524" t="str">
        <f>IFERROR(INDEX(Liste_Handelsünger[Handelsdünger],_xlfn.AGGREGATE(15,6,(ROW(Liste_Handelsünger[Handelsdünger])-1)/(--(SEARCH(AH$2,Liste_Handelsünger[Handelsdünger])&gt;0)),ROW()-2),1),"")</f>
        <v/>
      </c>
      <c r="AI40" s="2449" t="str">
        <f>IFERROR(INDEX(Liste_Handelsünger[Handelsdünger],_xlfn.AGGREGATE(15,6,(ROW(Liste_Handelsünger[Handelsdünger])-1)/(--(SEARCH(AJ$2,Liste_Handelsünger[Handelsdünger])&gt;0)),ROW()-2),1),"")</f>
        <v/>
      </c>
      <c r="AK40" s="2449" t="str">
        <f>IFERROR(INDEX(Liste_Handelsünger[Handelsdünger],_xlfn.AGGREGATE(15,6,(ROW(Liste_Handelsünger[Handelsdünger])-1)/(--(SEARCH(AL$2,Liste_Handelsünger[Handelsdünger])&gt;0)),ROW()-2),1),"")</f>
        <v/>
      </c>
      <c r="AM40" s="2449" t="str">
        <f>IFERROR(INDEX(Liste_Handelsünger[Handelsdünger],_xlfn.AGGREGATE(15,6,(ROW(Liste_Handelsünger[Handelsdünger])-1)/(--(SEARCH(AN$2,Liste_Handelsünger[Handelsdünger])&gt;0)),ROW()-2),1),"")</f>
        <v/>
      </c>
      <c r="AO40" s="2449" t="str">
        <f>IFERROR(INDEX(Liste_Handelsünger[Handelsdünger],_xlfn.AGGREGATE(15,6,(ROW(Liste_Handelsünger[Handelsdünger])-1)/(--(SEARCH(AP$2,Liste_Handelsünger[Handelsdünger])&gt;0)),ROW()-2),1),"")</f>
        <v/>
      </c>
      <c r="AQ40" s="2449" t="str">
        <f>IFERROR(INDEX(Liste_Handelsünger[Handelsdünger],_xlfn.AGGREGATE(15,6,(ROW(Liste_Handelsünger[Handelsdünger])-1)/(--(SEARCH(AR$2,Liste_Handelsünger[Handelsdünger])&gt;0)),ROW()-2),1),"")</f>
        <v/>
      </c>
      <c r="AS40" s="2449" t="str">
        <f>IFERROR(INDEX(Liste_Handelsünger[Handelsdünger],_xlfn.AGGREGATE(15,6,(ROW(Liste_Handelsünger[Handelsdünger])-1)/(--(SEARCH(AT$2,Liste_Handelsünger[Handelsdünger])&gt;0)),ROW()-2),1),"")</f>
        <v/>
      </c>
      <c r="AU40" s="2449" t="str">
        <f>IFERROR(INDEX(Liste_Handelsünger[Handelsdünger],_xlfn.AGGREGATE(15,6,(ROW(Liste_Handelsünger[Handelsdünger])-1)/(--(SEARCH(AV$2,Liste_Handelsünger[Handelsdünger])&gt;0)),ROW()-2),1),"")</f>
        <v/>
      </c>
      <c r="AW40" s="2449" t="str">
        <f>IFERROR(INDEX(Liste_Handelsünger[Handelsdünger],_xlfn.AGGREGATE(15,6,(ROW(Liste_Handelsünger[Handelsdünger])-1)/(--(SEARCH(AX$2,Liste_Handelsünger[Handelsdünger])&gt;0)),ROW()-2),1),"")</f>
        <v/>
      </c>
      <c r="AY40" s="2449" t="str">
        <f>IFERROR(INDEX(Liste_Handelsünger[Handelsdünger],_xlfn.AGGREGATE(15,6,(ROW(Liste_Handelsünger[Handelsdünger])-1)/(--(SEARCH(AZ$2,Liste_Handelsünger[Handelsdünger])&gt;0)),ROW()-2),1),"")</f>
        <v/>
      </c>
      <c r="BA40" s="2449" t="str">
        <f>IFERROR(INDEX(Liste_Handelsünger[Handelsdünger],_xlfn.AGGREGATE(15,6,(ROW(Liste_Handelsünger[Handelsdünger])-1)/(--(SEARCH(BB$2,Liste_Handelsünger[Handelsdünger])&gt;0)),ROW()-2),1),"")</f>
        <v/>
      </c>
      <c r="BC40" s="2449" t="str">
        <f>IFERROR(INDEX(Liste_Handelsünger[Handelsdünger],_xlfn.AGGREGATE(15,6,(ROW(Liste_Handelsünger[Handelsdünger])-1)/(--(SEARCH(BD$2,Liste_Handelsünger[Handelsdünger])&gt;0)),ROW()-2),1),"")</f>
        <v/>
      </c>
      <c r="BE40" s="2449" t="str">
        <f>IFERROR(INDEX(Liste_Handelsünger[Handelsdünger],_xlfn.AGGREGATE(15,6,(ROW(Liste_Handelsünger[Handelsdünger])-1)/(--(SEARCH(BF$2,Liste_Handelsünger[Handelsdünger])&gt;0)),ROW()-2),1),"")</f>
        <v/>
      </c>
      <c r="BG40" s="2449" t="str">
        <f>IFERROR(INDEX(Liste_Handelsünger[Handelsdünger],_xlfn.AGGREGATE(15,6,(ROW(Liste_Handelsünger[Handelsdünger])-1)/(--(SEARCH(BH$2,Liste_Handelsünger[Handelsdünger])&gt;0)),ROW()-2),1),"")</f>
        <v/>
      </c>
    </row>
    <row r="41" spans="1:59" ht="15.9" customHeight="1">
      <c r="R41" s="1478" t="s">
        <v>686</v>
      </c>
      <c r="S41" s="1477"/>
      <c r="T41" s="2414">
        <f t="shared" si="6"/>
        <v>0</v>
      </c>
      <c r="U41" s="1482"/>
      <c r="V41" s="1482"/>
      <c r="W41" s="1482"/>
      <c r="X41" s="1481">
        <f t="shared" si="7"/>
        <v>0</v>
      </c>
      <c r="Y41" s="1481">
        <f t="shared" si="8"/>
        <v>0</v>
      </c>
      <c r="Z41" s="1481">
        <f t="shared" si="9"/>
        <v>0</v>
      </c>
      <c r="AA41" s="1942">
        <v>1</v>
      </c>
      <c r="AB41" s="201"/>
      <c r="AD41" s="2457"/>
      <c r="AE41" s="2524" t="str">
        <f>IFERROR(INDEX(Liste_Handelsünger[Handelsdünger],_xlfn.AGGREGATE(15,6,(ROW(Liste_Handelsünger[Handelsdünger])-1)/(--(SEARCH(AF$2,Liste_Handelsünger[Handelsdünger])&gt;0)),ROW()-2),1),"")</f>
        <v/>
      </c>
      <c r="AF41" s="2443"/>
      <c r="AG41" s="2524" t="str">
        <f>IFERROR(INDEX(Liste_Handelsünger[Handelsdünger],_xlfn.AGGREGATE(15,6,(ROW(Liste_Handelsünger[Handelsdünger])-1)/(--(SEARCH(AH$2,Liste_Handelsünger[Handelsdünger])&gt;0)),ROW()-2),1),"")</f>
        <v/>
      </c>
      <c r="AI41" s="2449" t="str">
        <f>IFERROR(INDEX(Liste_Handelsünger[Handelsdünger],_xlfn.AGGREGATE(15,6,(ROW(Liste_Handelsünger[Handelsdünger])-1)/(--(SEARCH(AJ$2,Liste_Handelsünger[Handelsdünger])&gt;0)),ROW()-2),1),"")</f>
        <v/>
      </c>
      <c r="AK41" s="2449" t="str">
        <f>IFERROR(INDEX(Liste_Handelsünger[Handelsdünger],_xlfn.AGGREGATE(15,6,(ROW(Liste_Handelsünger[Handelsdünger])-1)/(--(SEARCH(AL$2,Liste_Handelsünger[Handelsdünger])&gt;0)),ROW()-2),1),"")</f>
        <v/>
      </c>
      <c r="AM41" s="2449" t="str">
        <f>IFERROR(INDEX(Liste_Handelsünger[Handelsdünger],_xlfn.AGGREGATE(15,6,(ROW(Liste_Handelsünger[Handelsdünger])-1)/(--(SEARCH(AN$2,Liste_Handelsünger[Handelsdünger])&gt;0)),ROW()-2),1),"")</f>
        <v/>
      </c>
      <c r="AO41" s="2449" t="str">
        <f>IFERROR(INDEX(Liste_Handelsünger[Handelsdünger],_xlfn.AGGREGATE(15,6,(ROW(Liste_Handelsünger[Handelsdünger])-1)/(--(SEARCH(AP$2,Liste_Handelsünger[Handelsdünger])&gt;0)),ROW()-2),1),"")</f>
        <v/>
      </c>
      <c r="AQ41" s="2449" t="str">
        <f>IFERROR(INDEX(Liste_Handelsünger[Handelsdünger],_xlfn.AGGREGATE(15,6,(ROW(Liste_Handelsünger[Handelsdünger])-1)/(--(SEARCH(AR$2,Liste_Handelsünger[Handelsdünger])&gt;0)),ROW()-2),1),"")</f>
        <v/>
      </c>
      <c r="AS41" s="2449" t="str">
        <f>IFERROR(INDEX(Liste_Handelsünger[Handelsdünger],_xlfn.AGGREGATE(15,6,(ROW(Liste_Handelsünger[Handelsdünger])-1)/(--(SEARCH(AT$2,Liste_Handelsünger[Handelsdünger])&gt;0)),ROW()-2),1),"")</f>
        <v/>
      </c>
      <c r="AU41" s="2449" t="str">
        <f>IFERROR(INDEX(Liste_Handelsünger[Handelsdünger],_xlfn.AGGREGATE(15,6,(ROW(Liste_Handelsünger[Handelsdünger])-1)/(--(SEARCH(AV$2,Liste_Handelsünger[Handelsdünger])&gt;0)),ROW()-2),1),"")</f>
        <v/>
      </c>
      <c r="AW41" s="2449" t="str">
        <f>IFERROR(INDEX(Liste_Handelsünger[Handelsdünger],_xlfn.AGGREGATE(15,6,(ROW(Liste_Handelsünger[Handelsdünger])-1)/(--(SEARCH(AX$2,Liste_Handelsünger[Handelsdünger])&gt;0)),ROW()-2),1),"")</f>
        <v/>
      </c>
      <c r="AY41" s="2449" t="str">
        <f>IFERROR(INDEX(Liste_Handelsünger[Handelsdünger],_xlfn.AGGREGATE(15,6,(ROW(Liste_Handelsünger[Handelsdünger])-1)/(--(SEARCH(AZ$2,Liste_Handelsünger[Handelsdünger])&gt;0)),ROW()-2),1),"")</f>
        <v/>
      </c>
      <c r="BA41" s="2449" t="str">
        <f>IFERROR(INDEX(Liste_Handelsünger[Handelsdünger],_xlfn.AGGREGATE(15,6,(ROW(Liste_Handelsünger[Handelsdünger])-1)/(--(SEARCH(BB$2,Liste_Handelsünger[Handelsdünger])&gt;0)),ROW()-2),1),"")</f>
        <v/>
      </c>
      <c r="BC41" s="2449" t="str">
        <f>IFERROR(INDEX(Liste_Handelsünger[Handelsdünger],_xlfn.AGGREGATE(15,6,(ROW(Liste_Handelsünger[Handelsdünger])-1)/(--(SEARCH(BD$2,Liste_Handelsünger[Handelsdünger])&gt;0)),ROW()-2),1),"")</f>
        <v/>
      </c>
      <c r="BE41" s="2449" t="str">
        <f>IFERROR(INDEX(Liste_Handelsünger[Handelsdünger],_xlfn.AGGREGATE(15,6,(ROW(Liste_Handelsünger[Handelsdünger])-1)/(--(SEARCH(BF$2,Liste_Handelsünger[Handelsdünger])&gt;0)),ROW()-2),1),"")</f>
        <v/>
      </c>
      <c r="BG41" s="2449" t="str">
        <f>IFERROR(INDEX(Liste_Handelsünger[Handelsdünger],_xlfn.AGGREGATE(15,6,(ROW(Liste_Handelsünger[Handelsdünger])-1)/(--(SEARCH(BH$2,Liste_Handelsünger[Handelsdünger])&gt;0)),ROW()-2),1),"")</f>
        <v/>
      </c>
    </row>
    <row r="42" spans="1:59" ht="15.9" customHeight="1">
      <c r="R42" s="1478" t="s">
        <v>1732</v>
      </c>
      <c r="S42" s="1477"/>
      <c r="T42" s="2414">
        <f t="shared" si="6"/>
        <v>0</v>
      </c>
      <c r="U42" s="1482"/>
      <c r="V42" s="1482"/>
      <c r="W42" s="1482"/>
      <c r="X42" s="1481">
        <f t="shared" si="7"/>
        <v>0</v>
      </c>
      <c r="Y42" s="1481">
        <f t="shared" si="8"/>
        <v>0</v>
      </c>
      <c r="Z42" s="1481">
        <f t="shared" si="9"/>
        <v>0</v>
      </c>
      <c r="AA42" s="1942">
        <v>1</v>
      </c>
      <c r="AB42" s="201"/>
      <c r="AD42" s="2523"/>
      <c r="AE42" s="2529" t="str">
        <f>IFERROR(INDEX(Liste_Handelsünger[Handelsdünger],_xlfn.AGGREGATE(15,6,(ROW(Liste_Handelsünger[Handelsdünger])-1)/(--(SEARCH(AF$2,Liste_Handelsünger[Handelsdünger])&gt;0)),ROW()-2),1),"")</f>
        <v/>
      </c>
      <c r="AF42" s="2530"/>
      <c r="AG42" s="2529" t="str">
        <f>IFERROR(INDEX(Liste_Handelsünger[Handelsdünger],_xlfn.AGGREGATE(15,6,(ROW(Liste_Handelsünger[Handelsdünger])-1)/(--(SEARCH(AH$2,Liste_Handelsünger[Handelsdünger])&gt;0)),ROW()-2),1),"")</f>
        <v/>
      </c>
      <c r="AI42" s="2449" t="str">
        <f>IFERROR(INDEX(Liste_Handelsünger[Handelsdünger],_xlfn.AGGREGATE(15,6,(ROW(Liste_Handelsünger[Handelsdünger])-1)/(--(SEARCH(AJ$2,Liste_Handelsünger[Handelsdünger])&gt;0)),ROW()-2),1),"")</f>
        <v/>
      </c>
      <c r="AK42" s="2449" t="str">
        <f>IFERROR(INDEX(Liste_Handelsünger[Handelsdünger],_xlfn.AGGREGATE(15,6,(ROW(Liste_Handelsünger[Handelsdünger])-1)/(--(SEARCH(AL$2,Liste_Handelsünger[Handelsdünger])&gt;0)),ROW()-2),1),"")</f>
        <v/>
      </c>
      <c r="AM42" s="2449" t="str">
        <f>IFERROR(INDEX(Liste_Handelsünger[Handelsdünger],_xlfn.AGGREGATE(15,6,(ROW(Liste_Handelsünger[Handelsdünger])-1)/(--(SEARCH(AN$2,Liste_Handelsünger[Handelsdünger])&gt;0)),ROW()-2),1),"")</f>
        <v/>
      </c>
      <c r="AO42" s="2449" t="str">
        <f>IFERROR(INDEX(Liste_Handelsünger[Handelsdünger],_xlfn.AGGREGATE(15,6,(ROW(Liste_Handelsünger[Handelsdünger])-1)/(--(SEARCH(AP$2,Liste_Handelsünger[Handelsdünger])&gt;0)),ROW()-2),1),"")</f>
        <v/>
      </c>
      <c r="AQ42" s="2449" t="str">
        <f>IFERROR(INDEX(Liste_Handelsünger[Handelsdünger],_xlfn.AGGREGATE(15,6,(ROW(Liste_Handelsünger[Handelsdünger])-1)/(--(SEARCH(AR$2,Liste_Handelsünger[Handelsdünger])&gt;0)),ROW()-2),1),"")</f>
        <v/>
      </c>
      <c r="AS42" s="2449" t="str">
        <f>IFERROR(INDEX(Liste_Handelsünger[Handelsdünger],_xlfn.AGGREGATE(15,6,(ROW(Liste_Handelsünger[Handelsdünger])-1)/(--(SEARCH(AT$2,Liste_Handelsünger[Handelsdünger])&gt;0)),ROW()-2),1),"")</f>
        <v/>
      </c>
      <c r="AU42" s="2449" t="str">
        <f>IFERROR(INDEX(Liste_Handelsünger[Handelsdünger],_xlfn.AGGREGATE(15,6,(ROW(Liste_Handelsünger[Handelsdünger])-1)/(--(SEARCH(AV$2,Liste_Handelsünger[Handelsdünger])&gt;0)),ROW()-2),1),"")</f>
        <v/>
      </c>
      <c r="AW42" s="2449" t="str">
        <f>IFERROR(INDEX(Liste_Handelsünger[Handelsdünger],_xlfn.AGGREGATE(15,6,(ROW(Liste_Handelsünger[Handelsdünger])-1)/(--(SEARCH(AX$2,Liste_Handelsünger[Handelsdünger])&gt;0)),ROW()-2),1),"")</f>
        <v/>
      </c>
      <c r="AY42" s="2449" t="str">
        <f>IFERROR(INDEX(Liste_Handelsünger[Handelsdünger],_xlfn.AGGREGATE(15,6,(ROW(Liste_Handelsünger[Handelsdünger])-1)/(--(SEARCH(AZ$2,Liste_Handelsünger[Handelsdünger])&gt;0)),ROW()-2),1),"")</f>
        <v/>
      </c>
      <c r="BA42" s="2449" t="str">
        <f>IFERROR(INDEX(Liste_Handelsünger[Handelsdünger],_xlfn.AGGREGATE(15,6,(ROW(Liste_Handelsünger[Handelsdünger])-1)/(--(SEARCH(BB$2,Liste_Handelsünger[Handelsdünger])&gt;0)),ROW()-2),1),"")</f>
        <v/>
      </c>
      <c r="BC42" s="2449" t="str">
        <f>IFERROR(INDEX(Liste_Handelsünger[Handelsdünger],_xlfn.AGGREGATE(15,6,(ROW(Liste_Handelsünger[Handelsdünger])-1)/(--(SEARCH(BD$2,Liste_Handelsünger[Handelsdünger])&gt;0)),ROW()-2),1),"")</f>
        <v/>
      </c>
      <c r="BE42" s="2449" t="str">
        <f>IFERROR(INDEX(Liste_Handelsünger[Handelsdünger],_xlfn.AGGREGATE(15,6,(ROW(Liste_Handelsünger[Handelsdünger])-1)/(--(SEARCH(BF$2,Liste_Handelsünger[Handelsdünger])&gt;0)),ROW()-2),1),"")</f>
        <v/>
      </c>
      <c r="BG42" s="2449" t="str">
        <f>IFERROR(INDEX(Liste_Handelsünger[Handelsdünger],_xlfn.AGGREGATE(15,6,(ROW(Liste_Handelsünger[Handelsdünger])-1)/(--(SEARCH(BH$2,Liste_Handelsünger[Handelsdünger])&gt;0)),ROW()-2),1),"")</f>
        <v/>
      </c>
    </row>
    <row r="43" spans="1:59" ht="15.9" customHeight="1">
      <c r="R43" s="1478" t="s">
        <v>1732</v>
      </c>
      <c r="S43" s="1477"/>
      <c r="T43" s="2414">
        <f t="shared" si="6"/>
        <v>0</v>
      </c>
      <c r="U43" s="1482"/>
      <c r="V43" s="1482"/>
      <c r="W43" s="1482"/>
      <c r="X43" s="1481">
        <f t="shared" si="7"/>
        <v>0</v>
      </c>
      <c r="Y43" s="1481">
        <f t="shared" si="8"/>
        <v>0</v>
      </c>
      <c r="Z43" s="1481">
        <f t="shared" si="9"/>
        <v>0</v>
      </c>
      <c r="AA43" s="1942">
        <v>1</v>
      </c>
      <c r="AB43" s="201"/>
      <c r="AD43" s="2523"/>
      <c r="AE43" s="2529" t="str">
        <f>IFERROR(INDEX(Liste_Handelsünger[Handelsdünger],_xlfn.AGGREGATE(15,6,(ROW(Liste_Handelsünger[Handelsdünger])-1)/(--(SEARCH(AF$2,Liste_Handelsünger[Handelsdünger])&gt;0)),ROW()-2),1),"")</f>
        <v/>
      </c>
      <c r="AF43" s="2530"/>
      <c r="AG43" s="2529" t="str">
        <f>IFERROR(INDEX(Liste_Handelsünger[Handelsdünger],_xlfn.AGGREGATE(15,6,(ROW(Liste_Handelsünger[Handelsdünger])-1)/(--(SEARCH(AH$2,Liste_Handelsünger[Handelsdünger])&gt;0)),ROW()-2),1),"")</f>
        <v/>
      </c>
      <c r="AI43" s="2449" t="str">
        <f>IFERROR(INDEX(Liste_Handelsünger[Handelsdünger],_xlfn.AGGREGATE(15,6,(ROW(Liste_Handelsünger[Handelsdünger])-1)/(--(SEARCH(AJ$2,Liste_Handelsünger[Handelsdünger])&gt;0)),ROW()-2),1),"")</f>
        <v/>
      </c>
      <c r="AK43" s="2449" t="str">
        <f>IFERROR(INDEX(Liste_Handelsünger[Handelsdünger],_xlfn.AGGREGATE(15,6,(ROW(Liste_Handelsünger[Handelsdünger])-1)/(--(SEARCH(AL$2,Liste_Handelsünger[Handelsdünger])&gt;0)),ROW()-2),1),"")</f>
        <v/>
      </c>
      <c r="AM43" s="2449" t="str">
        <f>IFERROR(INDEX(Liste_Handelsünger[Handelsdünger],_xlfn.AGGREGATE(15,6,(ROW(Liste_Handelsünger[Handelsdünger])-1)/(--(SEARCH(AN$2,Liste_Handelsünger[Handelsdünger])&gt;0)),ROW()-2),1),"")</f>
        <v/>
      </c>
      <c r="AO43" s="2449" t="str">
        <f>IFERROR(INDEX(Liste_Handelsünger[Handelsdünger],_xlfn.AGGREGATE(15,6,(ROW(Liste_Handelsünger[Handelsdünger])-1)/(--(SEARCH(AP$2,Liste_Handelsünger[Handelsdünger])&gt;0)),ROW()-2),1),"")</f>
        <v/>
      </c>
      <c r="AQ43" s="2449" t="str">
        <f>IFERROR(INDEX(Liste_Handelsünger[Handelsdünger],_xlfn.AGGREGATE(15,6,(ROW(Liste_Handelsünger[Handelsdünger])-1)/(--(SEARCH(AR$2,Liste_Handelsünger[Handelsdünger])&gt;0)),ROW()-2),1),"")</f>
        <v/>
      </c>
      <c r="AS43" s="2449" t="str">
        <f>IFERROR(INDEX(Liste_Handelsünger[Handelsdünger],_xlfn.AGGREGATE(15,6,(ROW(Liste_Handelsünger[Handelsdünger])-1)/(--(SEARCH(AT$2,Liste_Handelsünger[Handelsdünger])&gt;0)),ROW()-2),1),"")</f>
        <v/>
      </c>
      <c r="AU43" s="2449" t="str">
        <f>IFERROR(INDEX(Liste_Handelsünger[Handelsdünger],_xlfn.AGGREGATE(15,6,(ROW(Liste_Handelsünger[Handelsdünger])-1)/(--(SEARCH(AV$2,Liste_Handelsünger[Handelsdünger])&gt;0)),ROW()-2),1),"")</f>
        <v/>
      </c>
      <c r="AW43" s="2449" t="str">
        <f>IFERROR(INDEX(Liste_Handelsünger[Handelsdünger],_xlfn.AGGREGATE(15,6,(ROW(Liste_Handelsünger[Handelsdünger])-1)/(--(SEARCH(AX$2,Liste_Handelsünger[Handelsdünger])&gt;0)),ROW()-2),1),"")</f>
        <v/>
      </c>
      <c r="AY43" s="2449" t="str">
        <f>IFERROR(INDEX(Liste_Handelsünger[Handelsdünger],_xlfn.AGGREGATE(15,6,(ROW(Liste_Handelsünger[Handelsdünger])-1)/(--(SEARCH(AZ$2,Liste_Handelsünger[Handelsdünger])&gt;0)),ROW()-2),1),"")</f>
        <v/>
      </c>
      <c r="BA43" s="2449" t="str">
        <f>IFERROR(INDEX(Liste_Handelsünger[Handelsdünger],_xlfn.AGGREGATE(15,6,(ROW(Liste_Handelsünger[Handelsdünger])-1)/(--(SEARCH(BB$2,Liste_Handelsünger[Handelsdünger])&gt;0)),ROW()-2),1),"")</f>
        <v/>
      </c>
      <c r="BC43" s="2449" t="str">
        <f>IFERROR(INDEX(Liste_Handelsünger[Handelsdünger],_xlfn.AGGREGATE(15,6,(ROW(Liste_Handelsünger[Handelsdünger])-1)/(--(SEARCH(BD$2,Liste_Handelsünger[Handelsdünger])&gt;0)),ROW()-2),1),"")</f>
        <v/>
      </c>
      <c r="BE43" s="2449" t="str">
        <f>IFERROR(INDEX(Liste_Handelsünger[Handelsdünger],_xlfn.AGGREGATE(15,6,(ROW(Liste_Handelsünger[Handelsdünger])-1)/(--(SEARCH(BF$2,Liste_Handelsünger[Handelsdünger])&gt;0)),ROW()-2),1),"")</f>
        <v/>
      </c>
      <c r="BG43" s="2449" t="str">
        <f>IFERROR(INDEX(Liste_Handelsünger[Handelsdünger],_xlfn.AGGREGATE(15,6,(ROW(Liste_Handelsünger[Handelsdünger])-1)/(--(SEARCH(BH$2,Liste_Handelsünger[Handelsdünger])&gt;0)),ROW()-2),1),"")</f>
        <v/>
      </c>
    </row>
    <row r="44" spans="1:59" ht="15.9" customHeight="1">
      <c r="R44" s="1478" t="s">
        <v>1732</v>
      </c>
      <c r="S44" s="1477"/>
      <c r="T44" s="2414">
        <f t="shared" si="6"/>
        <v>0</v>
      </c>
      <c r="U44" s="1482"/>
      <c r="V44" s="1482"/>
      <c r="W44" s="1482"/>
      <c r="X44" s="1481">
        <f t="shared" si="7"/>
        <v>0</v>
      </c>
      <c r="Y44" s="1481">
        <f t="shared" si="8"/>
        <v>0</v>
      </c>
      <c r="Z44" s="1481">
        <f t="shared" si="9"/>
        <v>0</v>
      </c>
      <c r="AA44" s="1942">
        <v>1</v>
      </c>
      <c r="AB44" s="201"/>
      <c r="AD44" s="2523"/>
      <c r="AE44" s="2529" t="str">
        <f>IFERROR(INDEX(Liste_Handelsünger[Handelsdünger],_xlfn.AGGREGATE(15,6,(ROW(Liste_Handelsünger[Handelsdünger])-1)/(--(SEARCH(AF$2,Liste_Handelsünger[Handelsdünger])&gt;0)),ROW()-2),1),"")</f>
        <v/>
      </c>
      <c r="AF44" s="2530"/>
      <c r="AG44" s="2529" t="str">
        <f>IFERROR(INDEX(Liste_Handelsünger[Handelsdünger],_xlfn.AGGREGATE(15,6,(ROW(Liste_Handelsünger[Handelsdünger])-1)/(--(SEARCH(AH$2,Liste_Handelsünger[Handelsdünger])&gt;0)),ROW()-2),1),"")</f>
        <v/>
      </c>
      <c r="AI44" s="2449" t="str">
        <f>IFERROR(INDEX(Liste_Handelsünger[Handelsdünger],_xlfn.AGGREGATE(15,6,(ROW(Liste_Handelsünger[Handelsdünger])-1)/(--(SEARCH(AJ$2,Liste_Handelsünger[Handelsdünger])&gt;0)),ROW()-2),1),"")</f>
        <v/>
      </c>
      <c r="AK44" s="2449" t="str">
        <f>IFERROR(INDEX(Liste_Handelsünger[Handelsdünger],_xlfn.AGGREGATE(15,6,(ROW(Liste_Handelsünger[Handelsdünger])-1)/(--(SEARCH(AL$2,Liste_Handelsünger[Handelsdünger])&gt;0)),ROW()-2),1),"")</f>
        <v/>
      </c>
      <c r="AM44" s="2449" t="str">
        <f>IFERROR(INDEX(Liste_Handelsünger[Handelsdünger],_xlfn.AGGREGATE(15,6,(ROW(Liste_Handelsünger[Handelsdünger])-1)/(--(SEARCH(AN$2,Liste_Handelsünger[Handelsdünger])&gt;0)),ROW()-2),1),"")</f>
        <v/>
      </c>
      <c r="AO44" s="2449" t="str">
        <f>IFERROR(INDEX(Liste_Handelsünger[Handelsdünger],_xlfn.AGGREGATE(15,6,(ROW(Liste_Handelsünger[Handelsdünger])-1)/(--(SEARCH(AP$2,Liste_Handelsünger[Handelsdünger])&gt;0)),ROW()-2),1),"")</f>
        <v/>
      </c>
      <c r="AQ44" s="2449" t="str">
        <f>IFERROR(INDEX(Liste_Handelsünger[Handelsdünger],_xlfn.AGGREGATE(15,6,(ROW(Liste_Handelsünger[Handelsdünger])-1)/(--(SEARCH(AR$2,Liste_Handelsünger[Handelsdünger])&gt;0)),ROW()-2),1),"")</f>
        <v/>
      </c>
      <c r="AS44" s="2449" t="str">
        <f>IFERROR(INDEX(Liste_Handelsünger[Handelsdünger],_xlfn.AGGREGATE(15,6,(ROW(Liste_Handelsünger[Handelsdünger])-1)/(--(SEARCH(AT$2,Liste_Handelsünger[Handelsdünger])&gt;0)),ROW()-2),1),"")</f>
        <v/>
      </c>
      <c r="AU44" s="2449" t="str">
        <f>IFERROR(INDEX(Liste_Handelsünger[Handelsdünger],_xlfn.AGGREGATE(15,6,(ROW(Liste_Handelsünger[Handelsdünger])-1)/(--(SEARCH(AV$2,Liste_Handelsünger[Handelsdünger])&gt;0)),ROW()-2),1),"")</f>
        <v/>
      </c>
      <c r="AW44" s="2449" t="str">
        <f>IFERROR(INDEX(Liste_Handelsünger[Handelsdünger],_xlfn.AGGREGATE(15,6,(ROW(Liste_Handelsünger[Handelsdünger])-1)/(--(SEARCH(AX$2,Liste_Handelsünger[Handelsdünger])&gt;0)),ROW()-2),1),"")</f>
        <v/>
      </c>
      <c r="AY44" s="2449" t="str">
        <f>IFERROR(INDEX(Liste_Handelsünger[Handelsdünger],_xlfn.AGGREGATE(15,6,(ROW(Liste_Handelsünger[Handelsdünger])-1)/(--(SEARCH(AZ$2,Liste_Handelsünger[Handelsdünger])&gt;0)),ROW()-2),1),"")</f>
        <v/>
      </c>
      <c r="BA44" s="2449" t="str">
        <f>IFERROR(INDEX(Liste_Handelsünger[Handelsdünger],_xlfn.AGGREGATE(15,6,(ROW(Liste_Handelsünger[Handelsdünger])-1)/(--(SEARCH(BB$2,Liste_Handelsünger[Handelsdünger])&gt;0)),ROW()-2),1),"")</f>
        <v/>
      </c>
      <c r="BC44" s="2449" t="str">
        <f>IFERROR(INDEX(Liste_Handelsünger[Handelsdünger],_xlfn.AGGREGATE(15,6,(ROW(Liste_Handelsünger[Handelsdünger])-1)/(--(SEARCH(BD$2,Liste_Handelsünger[Handelsdünger])&gt;0)),ROW()-2),1),"")</f>
        <v/>
      </c>
      <c r="BE44" s="2449" t="str">
        <f>IFERROR(INDEX(Liste_Handelsünger[Handelsdünger],_xlfn.AGGREGATE(15,6,(ROW(Liste_Handelsünger[Handelsdünger])-1)/(--(SEARCH(BF$2,Liste_Handelsünger[Handelsdünger])&gt;0)),ROW()-2),1),"")</f>
        <v/>
      </c>
      <c r="BG44" s="2449" t="str">
        <f>IFERROR(INDEX(Liste_Handelsünger[Handelsdünger],_xlfn.AGGREGATE(15,6,(ROW(Liste_Handelsünger[Handelsdünger])-1)/(--(SEARCH(BH$2,Liste_Handelsünger[Handelsdünger])&gt;0)),ROW()-2),1),"")</f>
        <v/>
      </c>
    </row>
    <row r="45" spans="1:59" ht="15.9" customHeight="1">
      <c r="R45" s="1478" t="s">
        <v>1732</v>
      </c>
      <c r="S45" s="1477"/>
      <c r="T45" s="2414">
        <f t="shared" si="6"/>
        <v>0</v>
      </c>
      <c r="U45" s="1482"/>
      <c r="V45" s="1482"/>
      <c r="W45" s="1482"/>
      <c r="X45" s="1481">
        <f t="shared" si="7"/>
        <v>0</v>
      </c>
      <c r="Y45" s="1481">
        <f t="shared" si="8"/>
        <v>0</v>
      </c>
      <c r="Z45" s="1481">
        <f t="shared" si="9"/>
        <v>0</v>
      </c>
      <c r="AA45" s="1942">
        <v>1</v>
      </c>
      <c r="AB45" s="201"/>
      <c r="AD45" s="2523"/>
      <c r="AE45" s="2529" t="str">
        <f>IFERROR(INDEX(Liste_Handelsünger[Handelsdünger],_xlfn.AGGREGATE(15,6,(ROW(Liste_Handelsünger[Handelsdünger])-1)/(--(SEARCH(AF$2,Liste_Handelsünger[Handelsdünger])&gt;0)),ROW()-2),1),"")</f>
        <v/>
      </c>
      <c r="AF45" s="2530"/>
      <c r="AG45" s="2529" t="str">
        <f>IFERROR(INDEX(Liste_Handelsünger[Handelsdünger],_xlfn.AGGREGATE(15,6,(ROW(Liste_Handelsünger[Handelsdünger])-1)/(--(SEARCH(AH$2,Liste_Handelsünger[Handelsdünger])&gt;0)),ROW()-2),1),"")</f>
        <v/>
      </c>
      <c r="AI45" s="2449" t="str">
        <f>IFERROR(INDEX(Liste_Handelsünger[Handelsdünger],_xlfn.AGGREGATE(15,6,(ROW(Liste_Handelsünger[Handelsdünger])-1)/(--(SEARCH(AJ$2,Liste_Handelsünger[Handelsdünger])&gt;0)),ROW()-2),1),"")</f>
        <v/>
      </c>
      <c r="AK45" s="2449" t="str">
        <f>IFERROR(INDEX(Liste_Handelsünger[Handelsdünger],_xlfn.AGGREGATE(15,6,(ROW(Liste_Handelsünger[Handelsdünger])-1)/(--(SEARCH(AL$2,Liste_Handelsünger[Handelsdünger])&gt;0)),ROW()-2),1),"")</f>
        <v/>
      </c>
      <c r="AM45" s="2449" t="str">
        <f>IFERROR(INDEX(Liste_Handelsünger[Handelsdünger],_xlfn.AGGREGATE(15,6,(ROW(Liste_Handelsünger[Handelsdünger])-1)/(--(SEARCH(AN$2,Liste_Handelsünger[Handelsdünger])&gt;0)),ROW()-2),1),"")</f>
        <v/>
      </c>
      <c r="AO45" s="2449" t="str">
        <f>IFERROR(INDEX(Liste_Handelsünger[Handelsdünger],_xlfn.AGGREGATE(15,6,(ROW(Liste_Handelsünger[Handelsdünger])-1)/(--(SEARCH(AP$2,Liste_Handelsünger[Handelsdünger])&gt;0)),ROW()-2),1),"")</f>
        <v/>
      </c>
      <c r="AQ45" s="2449" t="str">
        <f>IFERROR(INDEX(Liste_Handelsünger[Handelsdünger],_xlfn.AGGREGATE(15,6,(ROW(Liste_Handelsünger[Handelsdünger])-1)/(--(SEARCH(AR$2,Liste_Handelsünger[Handelsdünger])&gt;0)),ROW()-2),1),"")</f>
        <v/>
      </c>
      <c r="AS45" s="2449" t="str">
        <f>IFERROR(INDEX(Liste_Handelsünger[Handelsdünger],_xlfn.AGGREGATE(15,6,(ROW(Liste_Handelsünger[Handelsdünger])-1)/(--(SEARCH(AT$2,Liste_Handelsünger[Handelsdünger])&gt;0)),ROW()-2),1),"")</f>
        <v/>
      </c>
      <c r="AU45" s="2449" t="str">
        <f>IFERROR(INDEX(Liste_Handelsünger[Handelsdünger],_xlfn.AGGREGATE(15,6,(ROW(Liste_Handelsünger[Handelsdünger])-1)/(--(SEARCH(AV$2,Liste_Handelsünger[Handelsdünger])&gt;0)),ROW()-2),1),"")</f>
        <v/>
      </c>
      <c r="AW45" s="2449" t="str">
        <f>IFERROR(INDEX(Liste_Handelsünger[Handelsdünger],_xlfn.AGGREGATE(15,6,(ROW(Liste_Handelsünger[Handelsdünger])-1)/(--(SEARCH(AX$2,Liste_Handelsünger[Handelsdünger])&gt;0)),ROW()-2),1),"")</f>
        <v/>
      </c>
      <c r="AY45" s="2449" t="str">
        <f>IFERROR(INDEX(Liste_Handelsünger[Handelsdünger],_xlfn.AGGREGATE(15,6,(ROW(Liste_Handelsünger[Handelsdünger])-1)/(--(SEARCH(AZ$2,Liste_Handelsünger[Handelsdünger])&gt;0)),ROW()-2),1),"")</f>
        <v/>
      </c>
      <c r="BA45" s="2449" t="str">
        <f>IFERROR(INDEX(Liste_Handelsünger[Handelsdünger],_xlfn.AGGREGATE(15,6,(ROW(Liste_Handelsünger[Handelsdünger])-1)/(--(SEARCH(BB$2,Liste_Handelsünger[Handelsdünger])&gt;0)),ROW()-2),1),"")</f>
        <v/>
      </c>
      <c r="BC45" s="2449" t="str">
        <f>IFERROR(INDEX(Liste_Handelsünger[Handelsdünger],_xlfn.AGGREGATE(15,6,(ROW(Liste_Handelsünger[Handelsdünger])-1)/(--(SEARCH(BD$2,Liste_Handelsünger[Handelsdünger])&gt;0)),ROW()-2),1),"")</f>
        <v/>
      </c>
      <c r="BE45" s="2449" t="str">
        <f>IFERROR(INDEX(Liste_Handelsünger[Handelsdünger],_xlfn.AGGREGATE(15,6,(ROW(Liste_Handelsünger[Handelsdünger])-1)/(--(SEARCH(BF$2,Liste_Handelsünger[Handelsdünger])&gt;0)),ROW()-2),1),"")</f>
        <v/>
      </c>
      <c r="BG45" s="2449" t="str">
        <f>IFERROR(INDEX(Liste_Handelsünger[Handelsdünger],_xlfn.AGGREGATE(15,6,(ROW(Liste_Handelsünger[Handelsdünger])-1)/(--(SEARCH(BH$2,Liste_Handelsünger[Handelsdünger])&gt;0)),ROW()-2),1),"")</f>
        <v/>
      </c>
    </row>
    <row r="46" spans="1:59" ht="15.9" customHeight="1">
      <c r="R46" s="1478" t="s">
        <v>1732</v>
      </c>
      <c r="S46" s="1477"/>
      <c r="T46" s="2414">
        <f t="shared" si="6"/>
        <v>0</v>
      </c>
      <c r="U46" s="1482"/>
      <c r="V46" s="1482"/>
      <c r="W46" s="1482"/>
      <c r="X46" s="1481">
        <f t="shared" si="7"/>
        <v>0</v>
      </c>
      <c r="Y46" s="1481">
        <f t="shared" si="8"/>
        <v>0</v>
      </c>
      <c r="Z46" s="1481">
        <f t="shared" si="9"/>
        <v>0</v>
      </c>
      <c r="AA46" s="1942">
        <v>1</v>
      </c>
      <c r="AB46" s="201"/>
      <c r="AD46" s="2523"/>
      <c r="AE46" s="2529" t="str">
        <f>IFERROR(INDEX(Liste_Handelsünger[Handelsdünger],_xlfn.AGGREGATE(15,6,(ROW(Liste_Handelsünger[Handelsdünger])-1)/(--(SEARCH(AF$2,Liste_Handelsünger[Handelsdünger])&gt;0)),ROW()-2),1),"")</f>
        <v/>
      </c>
      <c r="AF46" s="2530"/>
      <c r="AG46" s="2529" t="str">
        <f>IFERROR(INDEX(Liste_Handelsünger[Handelsdünger],_xlfn.AGGREGATE(15,6,(ROW(Liste_Handelsünger[Handelsdünger])-1)/(--(SEARCH(AH$2,Liste_Handelsünger[Handelsdünger])&gt;0)),ROW()-2),1),"")</f>
        <v/>
      </c>
      <c r="AI46" s="2449" t="str">
        <f>IFERROR(INDEX(Liste_Handelsünger[Handelsdünger],_xlfn.AGGREGATE(15,6,(ROW(Liste_Handelsünger[Handelsdünger])-1)/(--(SEARCH(AJ$2,Liste_Handelsünger[Handelsdünger])&gt;0)),ROW()-2),1),"")</f>
        <v/>
      </c>
      <c r="AK46" s="2449" t="str">
        <f>IFERROR(INDEX(Liste_Handelsünger[Handelsdünger],_xlfn.AGGREGATE(15,6,(ROW(Liste_Handelsünger[Handelsdünger])-1)/(--(SEARCH(AL$2,Liste_Handelsünger[Handelsdünger])&gt;0)),ROW()-2),1),"")</f>
        <v/>
      </c>
      <c r="AM46" s="2449" t="str">
        <f>IFERROR(INDEX(Liste_Handelsünger[Handelsdünger],_xlfn.AGGREGATE(15,6,(ROW(Liste_Handelsünger[Handelsdünger])-1)/(--(SEARCH(AN$2,Liste_Handelsünger[Handelsdünger])&gt;0)),ROW()-2),1),"")</f>
        <v/>
      </c>
      <c r="AO46" s="2449" t="str">
        <f>IFERROR(INDEX(Liste_Handelsünger[Handelsdünger],_xlfn.AGGREGATE(15,6,(ROW(Liste_Handelsünger[Handelsdünger])-1)/(--(SEARCH(AP$2,Liste_Handelsünger[Handelsdünger])&gt;0)),ROW()-2),1),"")</f>
        <v/>
      </c>
      <c r="AQ46" s="2449" t="str">
        <f>IFERROR(INDEX(Liste_Handelsünger[Handelsdünger],_xlfn.AGGREGATE(15,6,(ROW(Liste_Handelsünger[Handelsdünger])-1)/(--(SEARCH(AR$2,Liste_Handelsünger[Handelsdünger])&gt;0)),ROW()-2),1),"")</f>
        <v/>
      </c>
      <c r="AS46" s="2449" t="str">
        <f>IFERROR(INDEX(Liste_Handelsünger[Handelsdünger],_xlfn.AGGREGATE(15,6,(ROW(Liste_Handelsünger[Handelsdünger])-1)/(--(SEARCH(AT$2,Liste_Handelsünger[Handelsdünger])&gt;0)),ROW()-2),1),"")</f>
        <v/>
      </c>
      <c r="AU46" s="2449" t="str">
        <f>IFERROR(INDEX(Liste_Handelsünger[Handelsdünger],_xlfn.AGGREGATE(15,6,(ROW(Liste_Handelsünger[Handelsdünger])-1)/(--(SEARCH(AV$2,Liste_Handelsünger[Handelsdünger])&gt;0)),ROW()-2),1),"")</f>
        <v/>
      </c>
      <c r="AW46" s="2449" t="str">
        <f>IFERROR(INDEX(Liste_Handelsünger[Handelsdünger],_xlfn.AGGREGATE(15,6,(ROW(Liste_Handelsünger[Handelsdünger])-1)/(--(SEARCH(AX$2,Liste_Handelsünger[Handelsdünger])&gt;0)),ROW()-2),1),"")</f>
        <v/>
      </c>
      <c r="AY46" s="2449" t="str">
        <f>IFERROR(INDEX(Liste_Handelsünger[Handelsdünger],_xlfn.AGGREGATE(15,6,(ROW(Liste_Handelsünger[Handelsdünger])-1)/(--(SEARCH(AZ$2,Liste_Handelsünger[Handelsdünger])&gt;0)),ROW()-2),1),"")</f>
        <v/>
      </c>
      <c r="BA46" s="2449" t="str">
        <f>IFERROR(INDEX(Liste_Handelsünger[Handelsdünger],_xlfn.AGGREGATE(15,6,(ROW(Liste_Handelsünger[Handelsdünger])-1)/(--(SEARCH(BB$2,Liste_Handelsünger[Handelsdünger])&gt;0)),ROW()-2),1),"")</f>
        <v/>
      </c>
      <c r="BC46" s="2449" t="str">
        <f>IFERROR(INDEX(Liste_Handelsünger[Handelsdünger],_xlfn.AGGREGATE(15,6,(ROW(Liste_Handelsünger[Handelsdünger])-1)/(--(SEARCH(BD$2,Liste_Handelsünger[Handelsdünger])&gt;0)),ROW()-2),1),"")</f>
        <v/>
      </c>
      <c r="BE46" s="2449" t="str">
        <f>IFERROR(INDEX(Liste_Handelsünger[Handelsdünger],_xlfn.AGGREGATE(15,6,(ROW(Liste_Handelsünger[Handelsdünger])-1)/(--(SEARCH(BF$2,Liste_Handelsünger[Handelsdünger])&gt;0)),ROW()-2),1),"")</f>
        <v/>
      </c>
      <c r="BG46" s="2449" t="str">
        <f>IFERROR(INDEX(Liste_Handelsünger[Handelsdünger],_xlfn.AGGREGATE(15,6,(ROW(Liste_Handelsünger[Handelsdünger])-1)/(--(SEARCH(BH$2,Liste_Handelsünger[Handelsdünger])&gt;0)),ROW()-2),1),"")</f>
        <v/>
      </c>
    </row>
    <row r="47" spans="1:59" ht="15.9" customHeight="1">
      <c r="R47" s="1478" t="s">
        <v>1732</v>
      </c>
      <c r="S47" s="1477"/>
      <c r="T47" s="2414">
        <f t="shared" si="6"/>
        <v>0</v>
      </c>
      <c r="U47" s="1482"/>
      <c r="V47" s="1482"/>
      <c r="W47" s="1482"/>
      <c r="X47" s="1481">
        <f t="shared" si="7"/>
        <v>0</v>
      </c>
      <c r="Y47" s="1481">
        <f t="shared" si="8"/>
        <v>0</v>
      </c>
      <c r="Z47" s="1481">
        <f t="shared" si="9"/>
        <v>0</v>
      </c>
      <c r="AA47" s="1942">
        <v>1</v>
      </c>
      <c r="AB47" s="201"/>
      <c r="AD47" s="2523"/>
      <c r="AE47" s="2529" t="str">
        <f>IFERROR(INDEX(Liste_Handelsünger[Handelsdünger],_xlfn.AGGREGATE(15,6,(ROW(Liste_Handelsünger[Handelsdünger])-1)/(--(SEARCH(AF$2,Liste_Handelsünger[Handelsdünger])&gt;0)),ROW()-2),1),"")</f>
        <v/>
      </c>
      <c r="AF47" s="2530"/>
      <c r="AG47" s="2529" t="str">
        <f>IFERROR(INDEX(Liste_Handelsünger[Handelsdünger],_xlfn.AGGREGATE(15,6,(ROW(Liste_Handelsünger[Handelsdünger])-1)/(--(SEARCH(AH$2,Liste_Handelsünger[Handelsdünger])&gt;0)),ROW()-2),1),"")</f>
        <v/>
      </c>
      <c r="AI47" s="2449" t="str">
        <f>IFERROR(INDEX(Liste_Handelsünger[Handelsdünger],_xlfn.AGGREGATE(15,6,(ROW(Liste_Handelsünger[Handelsdünger])-1)/(--(SEARCH(AJ$2,Liste_Handelsünger[Handelsdünger])&gt;0)),ROW()-2),1),"")</f>
        <v/>
      </c>
      <c r="AK47" s="2449" t="str">
        <f>IFERROR(INDEX(Liste_Handelsünger[Handelsdünger],_xlfn.AGGREGATE(15,6,(ROW(Liste_Handelsünger[Handelsdünger])-1)/(--(SEARCH(AL$2,Liste_Handelsünger[Handelsdünger])&gt;0)),ROW()-2),1),"")</f>
        <v/>
      </c>
      <c r="AM47" s="2449" t="str">
        <f>IFERROR(INDEX(Liste_Handelsünger[Handelsdünger],_xlfn.AGGREGATE(15,6,(ROW(Liste_Handelsünger[Handelsdünger])-1)/(--(SEARCH(AN$2,Liste_Handelsünger[Handelsdünger])&gt;0)),ROW()-2),1),"")</f>
        <v/>
      </c>
      <c r="AO47" s="2449" t="str">
        <f>IFERROR(INDEX(Liste_Handelsünger[Handelsdünger],_xlfn.AGGREGATE(15,6,(ROW(Liste_Handelsünger[Handelsdünger])-1)/(--(SEARCH(AP$2,Liste_Handelsünger[Handelsdünger])&gt;0)),ROW()-2),1),"")</f>
        <v/>
      </c>
      <c r="AQ47" s="2449" t="str">
        <f>IFERROR(INDEX(Liste_Handelsünger[Handelsdünger],_xlfn.AGGREGATE(15,6,(ROW(Liste_Handelsünger[Handelsdünger])-1)/(--(SEARCH(AR$2,Liste_Handelsünger[Handelsdünger])&gt;0)),ROW()-2),1),"")</f>
        <v/>
      </c>
      <c r="AS47" s="2449" t="str">
        <f>IFERROR(INDEX(Liste_Handelsünger[Handelsdünger],_xlfn.AGGREGATE(15,6,(ROW(Liste_Handelsünger[Handelsdünger])-1)/(--(SEARCH(AT$2,Liste_Handelsünger[Handelsdünger])&gt;0)),ROW()-2),1),"")</f>
        <v/>
      </c>
      <c r="AU47" s="2449" t="str">
        <f>IFERROR(INDEX(Liste_Handelsünger[Handelsdünger],_xlfn.AGGREGATE(15,6,(ROW(Liste_Handelsünger[Handelsdünger])-1)/(--(SEARCH(AV$2,Liste_Handelsünger[Handelsdünger])&gt;0)),ROW()-2),1),"")</f>
        <v/>
      </c>
      <c r="AW47" s="2449" t="str">
        <f>IFERROR(INDEX(Liste_Handelsünger[Handelsdünger],_xlfn.AGGREGATE(15,6,(ROW(Liste_Handelsünger[Handelsdünger])-1)/(--(SEARCH(AX$2,Liste_Handelsünger[Handelsdünger])&gt;0)),ROW()-2),1),"")</f>
        <v/>
      </c>
      <c r="AY47" s="2449" t="str">
        <f>IFERROR(INDEX(Liste_Handelsünger[Handelsdünger],_xlfn.AGGREGATE(15,6,(ROW(Liste_Handelsünger[Handelsdünger])-1)/(--(SEARCH(AZ$2,Liste_Handelsünger[Handelsdünger])&gt;0)),ROW()-2),1),"")</f>
        <v/>
      </c>
      <c r="BA47" s="2449" t="str">
        <f>IFERROR(INDEX(Liste_Handelsünger[Handelsdünger],_xlfn.AGGREGATE(15,6,(ROW(Liste_Handelsünger[Handelsdünger])-1)/(--(SEARCH(BB$2,Liste_Handelsünger[Handelsdünger])&gt;0)),ROW()-2),1),"")</f>
        <v/>
      </c>
      <c r="BC47" s="2449" t="str">
        <f>IFERROR(INDEX(Liste_Handelsünger[Handelsdünger],_xlfn.AGGREGATE(15,6,(ROW(Liste_Handelsünger[Handelsdünger])-1)/(--(SEARCH(BD$2,Liste_Handelsünger[Handelsdünger])&gt;0)),ROW()-2),1),"")</f>
        <v/>
      </c>
      <c r="BE47" s="2449" t="str">
        <f>IFERROR(INDEX(Liste_Handelsünger[Handelsdünger],_xlfn.AGGREGATE(15,6,(ROW(Liste_Handelsünger[Handelsdünger])-1)/(--(SEARCH(BF$2,Liste_Handelsünger[Handelsdünger])&gt;0)),ROW()-2),1),"")</f>
        <v/>
      </c>
      <c r="BG47" s="2449" t="str">
        <f>IFERROR(INDEX(Liste_Handelsünger[Handelsdünger],_xlfn.AGGREGATE(15,6,(ROW(Liste_Handelsünger[Handelsdünger])-1)/(--(SEARCH(BH$2,Liste_Handelsünger[Handelsdünger])&gt;0)),ROW()-2),1),"")</f>
        <v/>
      </c>
    </row>
    <row r="48" spans="1:59" ht="15.9" customHeight="1">
      <c r="R48" s="1479" t="s">
        <v>1732</v>
      </c>
      <c r="S48" s="1477"/>
      <c r="T48" s="2414">
        <f t="shared" si="6"/>
        <v>0</v>
      </c>
      <c r="U48" s="1483"/>
      <c r="V48" s="1483"/>
      <c r="W48" s="1483"/>
      <c r="X48" s="1481">
        <f t="shared" si="7"/>
        <v>0</v>
      </c>
      <c r="Y48" s="1481">
        <f t="shared" si="8"/>
        <v>0</v>
      </c>
      <c r="Z48" s="1481">
        <f t="shared" si="9"/>
        <v>0</v>
      </c>
      <c r="AA48" s="1942">
        <v>1</v>
      </c>
      <c r="AB48" s="201"/>
      <c r="AD48" s="2523"/>
      <c r="AE48" s="2529" t="str">
        <f>IFERROR(INDEX(Liste_Handelsünger[Handelsdünger],_xlfn.AGGREGATE(15,6,(ROW(Liste_Handelsünger[Handelsdünger])-1)/(--(SEARCH(AF$2,Liste_Handelsünger[Handelsdünger])&gt;0)),ROW()-2),1),"")</f>
        <v/>
      </c>
      <c r="AF48" s="2530"/>
      <c r="AG48" s="2529" t="str">
        <f>IFERROR(INDEX(Liste_Handelsünger[Handelsdünger],_xlfn.AGGREGATE(15,6,(ROW(Liste_Handelsünger[Handelsdünger])-1)/(--(SEARCH(AH$2,Liste_Handelsünger[Handelsdünger])&gt;0)),ROW()-2),1),"")</f>
        <v/>
      </c>
      <c r="AI48" s="2449" t="str">
        <f>IFERROR(INDEX(Liste_Handelsünger[Handelsdünger],_xlfn.AGGREGATE(15,6,(ROW(Liste_Handelsünger[Handelsdünger])-1)/(--(SEARCH(AJ$2,Liste_Handelsünger[Handelsdünger])&gt;0)),ROW()-2),1),"")</f>
        <v/>
      </c>
      <c r="AK48" s="2449" t="str">
        <f>IFERROR(INDEX(Liste_Handelsünger[Handelsdünger],_xlfn.AGGREGATE(15,6,(ROW(Liste_Handelsünger[Handelsdünger])-1)/(--(SEARCH(AL$2,Liste_Handelsünger[Handelsdünger])&gt;0)),ROW()-2),1),"")</f>
        <v/>
      </c>
      <c r="AM48" s="2449" t="str">
        <f>IFERROR(INDEX(Liste_Handelsünger[Handelsdünger],_xlfn.AGGREGATE(15,6,(ROW(Liste_Handelsünger[Handelsdünger])-1)/(--(SEARCH(AN$2,Liste_Handelsünger[Handelsdünger])&gt;0)),ROW()-2),1),"")</f>
        <v/>
      </c>
      <c r="AO48" s="2449" t="str">
        <f>IFERROR(INDEX(Liste_Handelsünger[Handelsdünger],_xlfn.AGGREGATE(15,6,(ROW(Liste_Handelsünger[Handelsdünger])-1)/(--(SEARCH(AP$2,Liste_Handelsünger[Handelsdünger])&gt;0)),ROW()-2),1),"")</f>
        <v/>
      </c>
      <c r="AQ48" s="2449" t="str">
        <f>IFERROR(INDEX(Liste_Handelsünger[Handelsdünger],_xlfn.AGGREGATE(15,6,(ROW(Liste_Handelsünger[Handelsdünger])-1)/(--(SEARCH(AR$2,Liste_Handelsünger[Handelsdünger])&gt;0)),ROW()-2),1),"")</f>
        <v/>
      </c>
      <c r="AS48" s="2449" t="str">
        <f>IFERROR(INDEX(Liste_Handelsünger[Handelsdünger],_xlfn.AGGREGATE(15,6,(ROW(Liste_Handelsünger[Handelsdünger])-1)/(--(SEARCH(AT$2,Liste_Handelsünger[Handelsdünger])&gt;0)),ROW()-2),1),"")</f>
        <v/>
      </c>
      <c r="AU48" s="2449" t="str">
        <f>IFERROR(INDEX(Liste_Handelsünger[Handelsdünger],_xlfn.AGGREGATE(15,6,(ROW(Liste_Handelsünger[Handelsdünger])-1)/(--(SEARCH(AV$2,Liste_Handelsünger[Handelsdünger])&gt;0)),ROW()-2),1),"")</f>
        <v/>
      </c>
      <c r="AW48" s="2449" t="str">
        <f>IFERROR(INDEX(Liste_Handelsünger[Handelsdünger],_xlfn.AGGREGATE(15,6,(ROW(Liste_Handelsünger[Handelsdünger])-1)/(--(SEARCH(AX$2,Liste_Handelsünger[Handelsdünger])&gt;0)),ROW()-2),1),"")</f>
        <v/>
      </c>
      <c r="AY48" s="2449" t="str">
        <f>IFERROR(INDEX(Liste_Handelsünger[Handelsdünger],_xlfn.AGGREGATE(15,6,(ROW(Liste_Handelsünger[Handelsdünger])-1)/(--(SEARCH(AZ$2,Liste_Handelsünger[Handelsdünger])&gt;0)),ROW()-2),1),"")</f>
        <v/>
      </c>
      <c r="BA48" s="2449" t="str">
        <f>IFERROR(INDEX(Liste_Handelsünger[Handelsdünger],_xlfn.AGGREGATE(15,6,(ROW(Liste_Handelsünger[Handelsdünger])-1)/(--(SEARCH(BB$2,Liste_Handelsünger[Handelsdünger])&gt;0)),ROW()-2),1),"")</f>
        <v/>
      </c>
      <c r="BC48" s="2449" t="str">
        <f>IFERROR(INDEX(Liste_Handelsünger[Handelsdünger],_xlfn.AGGREGATE(15,6,(ROW(Liste_Handelsünger[Handelsdünger])-1)/(--(SEARCH(BD$2,Liste_Handelsünger[Handelsdünger])&gt;0)),ROW()-2),1),"")</f>
        <v/>
      </c>
      <c r="BE48" s="2449" t="str">
        <f>IFERROR(INDEX(Liste_Handelsünger[Handelsdünger],_xlfn.AGGREGATE(15,6,(ROW(Liste_Handelsünger[Handelsdünger])-1)/(--(SEARCH(BF$2,Liste_Handelsünger[Handelsdünger])&gt;0)),ROW()-2),1),"")</f>
        <v/>
      </c>
      <c r="BG48" s="2449" t="str">
        <f>IFERROR(INDEX(Liste_Handelsünger[Handelsdünger],_xlfn.AGGREGATE(15,6,(ROW(Liste_Handelsünger[Handelsdünger])-1)/(--(SEARCH(BH$2,Liste_Handelsünger[Handelsdünger])&gt;0)),ROW()-2),1),"")</f>
        <v/>
      </c>
    </row>
    <row r="49" spans="18:59" ht="27.15" customHeight="1">
      <c r="R49" s="1935" t="s">
        <v>1733</v>
      </c>
      <c r="S49" s="1936"/>
      <c r="T49" s="1936"/>
      <c r="U49" s="1936"/>
      <c r="V49" s="1936"/>
      <c r="W49" s="1937"/>
      <c r="X49" s="2434">
        <f>SUM(X3:X48)</f>
        <v>0</v>
      </c>
      <c r="Y49" s="2434">
        <f>SUM(Y3:Y48)</f>
        <v>0</v>
      </c>
      <c r="Z49" s="2434">
        <f>SUM(Z3:Z48)</f>
        <v>0</v>
      </c>
      <c r="AA49" s="1940"/>
      <c r="AB49" s="201"/>
      <c r="AD49" s="2523"/>
      <c r="AE49" s="2529" t="str">
        <f>IFERROR(INDEX(Liste_Handelsünger[Handelsdünger],_xlfn.AGGREGATE(15,6,(ROW(Liste_Handelsünger[Handelsdünger])-1)/(--(SEARCH(AF$2,Liste_Handelsünger[Handelsdünger])&gt;0)),ROW()-2),1),"")</f>
        <v/>
      </c>
      <c r="AF49" s="2530"/>
      <c r="AG49" s="2529" t="str">
        <f>IFERROR(INDEX(Liste_Handelsünger[Handelsdünger],_xlfn.AGGREGATE(15,6,(ROW(Liste_Handelsünger[Handelsdünger])-1)/(--(SEARCH(AH$2,Liste_Handelsünger[Handelsdünger])&gt;0)),ROW()-2),1),"")</f>
        <v/>
      </c>
      <c r="AI49" s="2449" t="str">
        <f>IFERROR(INDEX(Liste_Handelsünger[Handelsdünger],_xlfn.AGGREGATE(15,6,(ROW(Liste_Handelsünger[Handelsdünger])-1)/(--(SEARCH(AJ$2,Liste_Handelsünger[Handelsdünger])&gt;0)),ROW()-2),1),"")</f>
        <v/>
      </c>
      <c r="AK49" s="2449" t="str">
        <f>IFERROR(INDEX(Liste_Handelsünger[Handelsdünger],_xlfn.AGGREGATE(15,6,(ROW(Liste_Handelsünger[Handelsdünger])-1)/(--(SEARCH(AL$2,Liste_Handelsünger[Handelsdünger])&gt;0)),ROW()-2),1),"")</f>
        <v/>
      </c>
      <c r="AM49" s="2449" t="str">
        <f>IFERROR(INDEX(Liste_Handelsünger[Handelsdünger],_xlfn.AGGREGATE(15,6,(ROW(Liste_Handelsünger[Handelsdünger])-1)/(--(SEARCH(AN$2,Liste_Handelsünger[Handelsdünger])&gt;0)),ROW()-2),1),"")</f>
        <v/>
      </c>
      <c r="AO49" s="2449" t="str">
        <f>IFERROR(INDEX(Liste_Handelsünger[Handelsdünger],_xlfn.AGGREGATE(15,6,(ROW(Liste_Handelsünger[Handelsdünger])-1)/(--(SEARCH(AP$2,Liste_Handelsünger[Handelsdünger])&gt;0)),ROW()-2),1),"")</f>
        <v/>
      </c>
      <c r="AQ49" s="2449" t="str">
        <f>IFERROR(INDEX(Liste_Handelsünger[Handelsdünger],_xlfn.AGGREGATE(15,6,(ROW(Liste_Handelsünger[Handelsdünger])-1)/(--(SEARCH(AR$2,Liste_Handelsünger[Handelsdünger])&gt;0)),ROW()-2),1),"")</f>
        <v/>
      </c>
      <c r="AS49" s="2449" t="str">
        <f>IFERROR(INDEX(Liste_Handelsünger[Handelsdünger],_xlfn.AGGREGATE(15,6,(ROW(Liste_Handelsünger[Handelsdünger])-1)/(--(SEARCH(AT$2,Liste_Handelsünger[Handelsdünger])&gt;0)),ROW()-2),1),"")</f>
        <v/>
      </c>
      <c r="AU49" s="2449" t="str">
        <f>IFERROR(INDEX(Liste_Handelsünger[Handelsdünger],_xlfn.AGGREGATE(15,6,(ROW(Liste_Handelsünger[Handelsdünger])-1)/(--(SEARCH(AV$2,Liste_Handelsünger[Handelsdünger])&gt;0)),ROW()-2),1),"")</f>
        <v/>
      </c>
      <c r="AW49" s="2449" t="str">
        <f>IFERROR(INDEX(Liste_Handelsünger[Handelsdünger],_xlfn.AGGREGATE(15,6,(ROW(Liste_Handelsünger[Handelsdünger])-1)/(--(SEARCH(AX$2,Liste_Handelsünger[Handelsdünger])&gt;0)),ROW()-2),1),"")</f>
        <v/>
      </c>
      <c r="AY49" s="2449" t="str">
        <f>IFERROR(INDEX(Liste_Handelsünger[Handelsdünger],_xlfn.AGGREGATE(15,6,(ROW(Liste_Handelsünger[Handelsdünger])-1)/(--(SEARCH(AZ$2,Liste_Handelsünger[Handelsdünger])&gt;0)),ROW()-2),1),"")</f>
        <v/>
      </c>
      <c r="BA49" s="2449" t="str">
        <f>IFERROR(INDEX(Liste_Handelsünger[Handelsdünger],_xlfn.AGGREGATE(15,6,(ROW(Liste_Handelsünger[Handelsdünger])-1)/(--(SEARCH(BB$2,Liste_Handelsünger[Handelsdünger])&gt;0)),ROW()-2),1),"")</f>
        <v/>
      </c>
      <c r="BC49" s="2449" t="str">
        <f>IFERROR(INDEX(Liste_Handelsünger[Handelsdünger],_xlfn.AGGREGATE(15,6,(ROW(Liste_Handelsünger[Handelsdünger])-1)/(--(SEARCH(BD$2,Liste_Handelsünger[Handelsdünger])&gt;0)),ROW()-2),1),"")</f>
        <v/>
      </c>
      <c r="BE49" s="2449" t="str">
        <f>IFERROR(INDEX(Liste_Handelsünger[Handelsdünger],_xlfn.AGGREGATE(15,6,(ROW(Liste_Handelsünger[Handelsdünger])-1)/(--(SEARCH(BF$2,Liste_Handelsünger[Handelsdünger])&gt;0)),ROW()-2),1),"")</f>
        <v/>
      </c>
      <c r="BG49" s="2449" t="str">
        <f>IFERROR(INDEX(Liste_Handelsünger[Handelsdünger],_xlfn.AGGREGATE(15,6,(ROW(Liste_Handelsünger[Handelsdünger])-1)/(--(SEARCH(BH$2,Liste_Handelsünger[Handelsdünger])&gt;0)),ROW()-2),1),"")</f>
        <v/>
      </c>
    </row>
    <row r="50" spans="18:59" ht="22.5" customHeight="1">
      <c r="R50" s="952" t="s">
        <v>1734</v>
      </c>
      <c r="AB50" s="201"/>
    </row>
    <row r="51" spans="18:59" ht="18.75" customHeight="1">
      <c r="R51" s="956" t="s">
        <v>1735</v>
      </c>
      <c r="AB51" s="201"/>
    </row>
    <row r="52" spans="18:59" ht="18" customHeight="1"/>
  </sheetData>
  <sheetProtection password="CAEF" sheet="1" formatCells="0" formatColumns="0" formatRows="0"/>
  <phoneticPr fontId="38" type="noConversion"/>
  <conditionalFormatting sqref="X3:Z49">
    <cfRule type="cellIs" dxfId="170" priority="13" stopIfTrue="1" operator="greaterThan">
      <formula>0</formula>
    </cfRule>
  </conditionalFormatting>
  <conditionalFormatting sqref="G3:I27">
    <cfRule type="cellIs" dxfId="169" priority="6" stopIfTrue="1" operator="greaterThan">
      <formula>0</formula>
    </cfRule>
  </conditionalFormatting>
  <conditionalFormatting sqref="A3">
    <cfRule type="expression" dxfId="168" priority="5">
      <formula>OR($A$3="",$BK3&lt;&gt;1)</formula>
    </cfRule>
  </conditionalFormatting>
  <conditionalFormatting sqref="C3">
    <cfRule type="expression" dxfId="167" priority="4">
      <formula>AND($C$3="",$A$3&lt;&gt;"",$A$3&lt;&gt;0,$BK3=1)</formula>
    </cfRule>
  </conditionalFormatting>
  <conditionalFormatting sqref="A4:A17">
    <cfRule type="expression" dxfId="166" priority="3">
      <formula>AND($C3&lt;&gt;"",$A3&lt;&gt;"",OR($A4="",$BK4&lt;&gt;1))</formula>
    </cfRule>
  </conditionalFormatting>
  <conditionalFormatting sqref="C4:C17">
    <cfRule type="expression" dxfId="165" priority="1">
      <formula>AND($A4&lt;&gt;"",$C4="",$A4&lt;&gt;0,$BK4)</formula>
    </cfRule>
  </conditionalFormatting>
  <dataValidations count="15">
    <dataValidation type="list" allowBlank="1" showInputMessage="1" sqref="A17">
      <formula1>Liste_Handelsdünger_A17</formula1>
    </dataValidation>
    <dataValidation type="list" allowBlank="1" showInputMessage="1" sqref="A3">
      <formula1>Liste_Handelsdünger_A3</formula1>
    </dataValidation>
    <dataValidation type="list" allowBlank="1" showInputMessage="1" sqref="A4">
      <formula1>Liste_Handelsdünger_A4</formula1>
    </dataValidation>
    <dataValidation type="list" allowBlank="1" showInputMessage="1" sqref="A5">
      <formula1>Liste_Handelsdünger_A5</formula1>
    </dataValidation>
    <dataValidation type="list" allowBlank="1" showInputMessage="1" sqref="A6">
      <formula1>Liste_Handelsdünger_A6</formula1>
    </dataValidation>
    <dataValidation type="list" allowBlank="1" showInputMessage="1" sqref="A7">
      <formula1>Liste_Handelsdünger_A7</formula1>
    </dataValidation>
    <dataValidation type="list" allowBlank="1" showInputMessage="1" sqref="A8">
      <formula1>Liste_Handelsdünger_A8</formula1>
    </dataValidation>
    <dataValidation type="list" allowBlank="1" showInputMessage="1" sqref="A9">
      <formula1>Liste_Handelsdünger_A9</formula1>
    </dataValidation>
    <dataValidation type="list" allowBlank="1" showInputMessage="1" sqref="A10">
      <formula1>Liste_Handelsdünger_A10</formula1>
    </dataValidation>
    <dataValidation type="list" allowBlank="1" showInputMessage="1" sqref="A11">
      <formula1>Liste_Handelsdünger_A11</formula1>
    </dataValidation>
    <dataValidation type="list" allowBlank="1" showInputMessage="1" sqref="A12">
      <formula1>Liste_Handelsdünger_A12</formula1>
    </dataValidation>
    <dataValidation type="list" allowBlank="1" showInputMessage="1" sqref="A13">
      <formula1>Liste_Handelsdünger_A13</formula1>
    </dataValidation>
    <dataValidation type="list" allowBlank="1" showInputMessage="1" sqref="A14">
      <formula1>Liste_Handelsdünger_A14</formula1>
    </dataValidation>
    <dataValidation type="list" allowBlank="1" showInputMessage="1" sqref="A15">
      <formula1>Liste_Handelsdünger_A15</formula1>
    </dataValidation>
    <dataValidation type="list" allowBlank="1" showInputMessage="1" sqref="A16">
      <formula1>Liste_Handelsdünger_A16</formula1>
    </dataValidation>
  </dataValidations>
  <hyperlinks>
    <hyperlink ref="L1" location="Organ__Dü!A3" display="◄"/>
    <hyperlink ref="M1" location="Ergebnis!C5" display="  ►"/>
  </hyperlinks>
  <pageMargins left="0.55118110236220474" right="0.39370078740157483" top="0.78740157480314965" bottom="0.62992125984251968" header="0.31496062992125984" footer="0.39370078740157483"/>
  <pageSetup paperSize="9" scale="73" firstPageNumber="0" orientation="portrait" blackAndWhite="1" horizontalDpi="300" verticalDpi="300" r:id="rId1"/>
  <headerFooter alignWithMargins="0">
    <oddHeader>&amp;R&amp;O</oddHeader>
    <oddFooter>&amp;L&amp;11&amp;F</oddFooter>
  </headerFooter>
  <legacyDrawing r:id="rId2"/>
  <legacyDrawingHF r:id="rId3"/>
  <tableParts count="1">
    <tablePart r:id="rId4"/>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0">
    <tabColor rgb="FFFFFF00"/>
    <pageSetUpPr fitToPage="1"/>
  </sheetPr>
  <dimension ref="A1:K82"/>
  <sheetViews>
    <sheetView showZeros="0" zoomScale="75" zoomScaleNormal="75" workbookViewId="0">
      <selection activeCell="H1" sqref="H1:I1"/>
    </sheetView>
  </sheetViews>
  <sheetFormatPr baseColWidth="10" defaultColWidth="12.33203125" defaultRowHeight="13.2"/>
  <cols>
    <col min="1" max="1" width="2.33203125" style="486" customWidth="1"/>
    <col min="2" max="2" width="47.33203125" style="486" customWidth="1"/>
    <col min="3" max="3" width="9" style="486" customWidth="1"/>
    <col min="4" max="4" width="14.88671875" style="486" customWidth="1"/>
    <col min="5" max="5" width="13.6640625" style="486" customWidth="1"/>
    <col min="6" max="6" width="12.6640625" style="486" bestFit="1" customWidth="1"/>
    <col min="7" max="7" width="12" style="486" customWidth="1"/>
    <col min="8" max="11" width="9.88671875" style="486" customWidth="1"/>
    <col min="12" max="16384" width="12.33203125" style="486"/>
  </cols>
  <sheetData>
    <row r="1" spans="1:11" ht="63.15" customHeight="1">
      <c r="A1" s="1329"/>
      <c r="B1" s="1330" t="s">
        <v>798</v>
      </c>
      <c r="C1" s="1329"/>
      <c r="D1" s="1329"/>
      <c r="E1" s="1329"/>
      <c r="F1" s="1331"/>
      <c r="H1" s="2809" t="s">
        <v>1383</v>
      </c>
      <c r="I1" s="2809"/>
      <c r="J1" s="2809" t="s">
        <v>1355</v>
      </c>
      <c r="K1" s="2809"/>
    </row>
    <row r="2" spans="1:11" ht="22.5" customHeight="1">
      <c r="A2" s="487"/>
      <c r="B2" s="270">
        <f>Betrieb!B4</f>
        <v>0</v>
      </c>
      <c r="C2" s="443"/>
      <c r="D2" s="488"/>
      <c r="E2" s="271" t="s">
        <v>2026</v>
      </c>
      <c r="F2" s="1007">
        <f ca="1">TODAY()</f>
        <v>44901</v>
      </c>
    </row>
    <row r="3" spans="1:11" ht="22.5" customHeight="1">
      <c r="A3" s="487"/>
      <c r="B3" s="270">
        <f>Betrieb!B5</f>
        <v>0</v>
      </c>
      <c r="C3" s="443"/>
      <c r="D3" s="489"/>
      <c r="E3" s="271" t="s">
        <v>1851</v>
      </c>
      <c r="F3" s="1008">
        <f>Betrieb!B3</f>
        <v>0</v>
      </c>
    </row>
    <row r="4" spans="1:11" ht="22.5" customHeight="1">
      <c r="A4" s="487"/>
      <c r="B4" s="270">
        <f>Betrieb!B6</f>
        <v>0</v>
      </c>
      <c r="C4" s="443"/>
      <c r="D4" s="489"/>
      <c r="E4" s="271" t="s">
        <v>1385</v>
      </c>
      <c r="F4" s="1008">
        <f>Betrieb!D4</f>
        <v>2022</v>
      </c>
    </row>
    <row r="5" spans="1:11" ht="9.75" customHeight="1">
      <c r="A5" s="487"/>
      <c r="B5" s="272"/>
      <c r="C5" s="273"/>
      <c r="D5" s="273"/>
      <c r="E5" s="274"/>
      <c r="F5" s="275"/>
    </row>
    <row r="6" spans="1:11" ht="35.4" customHeight="1">
      <c r="A6" s="487"/>
      <c r="B6" s="2810" t="s">
        <v>871</v>
      </c>
      <c r="C6" s="2810"/>
      <c r="D6" s="2810"/>
      <c r="E6" s="2810"/>
      <c r="F6" s="2810"/>
    </row>
    <row r="7" spans="1:11" ht="24" customHeight="1">
      <c r="A7" s="487"/>
      <c r="B7" s="1003" t="s">
        <v>745</v>
      </c>
      <c r="C7" s="1004"/>
      <c r="D7" s="1004"/>
      <c r="E7" s="1005"/>
      <c r="F7" s="1006">
        <f>Betrieb!D18</f>
        <v>0</v>
      </c>
    </row>
    <row r="8" spans="1:11" ht="24" customHeight="1">
      <c r="A8" s="487"/>
      <c r="B8" s="276" t="s">
        <v>2209</v>
      </c>
      <c r="C8" s="277"/>
      <c r="D8" s="277"/>
      <c r="E8" s="278"/>
      <c r="F8" s="1002">
        <f>N_Bedarf!AF26</f>
        <v>0</v>
      </c>
    </row>
    <row r="9" spans="1:11" ht="23.25" customHeight="1">
      <c r="A9" s="487"/>
      <c r="B9" s="279" t="s">
        <v>746</v>
      </c>
      <c r="C9" s="280"/>
      <c r="D9" s="280"/>
      <c r="E9" s="280"/>
      <c r="F9" s="281">
        <f>Tabelle1!AX20</f>
        <v>0</v>
      </c>
    </row>
    <row r="10" spans="1:11" ht="31.5" customHeight="1">
      <c r="A10" s="487"/>
      <c r="B10" s="2808" t="s">
        <v>747</v>
      </c>
      <c r="C10" s="2808"/>
      <c r="D10" s="2808"/>
      <c r="E10" s="2808"/>
      <c r="F10" s="282">
        <f>Tabelle1!AX32</f>
        <v>0</v>
      </c>
    </row>
    <row r="11" spans="1:11" ht="18" customHeight="1">
      <c r="A11" s="487"/>
      <c r="B11" s="2808" t="s">
        <v>748</v>
      </c>
      <c r="C11" s="2808"/>
      <c r="D11" s="283"/>
      <c r="E11" s="490" t="s">
        <v>1852</v>
      </c>
      <c r="F11" s="284">
        <f>IFERROR(IF(F12=0,0,F12/Betrieb!$D$18),"")</f>
        <v>0</v>
      </c>
    </row>
    <row r="12" spans="1:11" ht="27.15" customHeight="1">
      <c r="A12" s="487"/>
      <c r="B12" s="2808"/>
      <c r="C12" s="2808"/>
      <c r="D12" s="285"/>
      <c r="E12" s="286" t="s">
        <v>1853</v>
      </c>
      <c r="F12" s="281">
        <f>Tabelle1!AX33</f>
        <v>0</v>
      </c>
      <c r="I12" s="444"/>
    </row>
    <row r="13" spans="1:11" ht="30.75" customHeight="1">
      <c r="A13" s="487"/>
      <c r="B13" s="2811" t="s">
        <v>749</v>
      </c>
      <c r="C13" s="2811"/>
      <c r="D13" s="2811"/>
      <c r="E13" s="2811"/>
      <c r="F13" s="281">
        <f>Tabelle1!AX65</f>
        <v>0</v>
      </c>
    </row>
    <row r="14" spans="1:11" ht="30.75" customHeight="1">
      <c r="A14" s="487"/>
      <c r="B14" s="2807" t="s">
        <v>750</v>
      </c>
      <c r="C14" s="2807"/>
      <c r="D14" s="2807"/>
      <c r="E14" s="2807"/>
      <c r="F14" s="281">
        <f>Tabelle1!AX76</f>
        <v>0</v>
      </c>
    </row>
    <row r="15" spans="1:11" ht="20.25" customHeight="1">
      <c r="A15" s="487"/>
      <c r="B15" s="2808" t="s">
        <v>751</v>
      </c>
      <c r="C15" s="2808"/>
      <c r="D15" s="2808"/>
      <c r="E15" s="467" t="s">
        <v>1852</v>
      </c>
      <c r="F15" s="281">
        <f>Tiere!G34</f>
        <v>0</v>
      </c>
    </row>
    <row r="16" spans="1:11" ht="24.75" customHeight="1">
      <c r="A16" s="487"/>
      <c r="B16" s="2808"/>
      <c r="C16" s="2808"/>
      <c r="D16" s="2808"/>
      <c r="E16" s="287" t="s">
        <v>1854</v>
      </c>
      <c r="F16" s="281">
        <f>Tabelle1!AX69</f>
        <v>0</v>
      </c>
    </row>
    <row r="17" spans="1:6" ht="30.75" customHeight="1">
      <c r="A17" s="487"/>
      <c r="B17" s="288" t="s">
        <v>752</v>
      </c>
      <c r="C17" s="289"/>
      <c r="D17" s="289"/>
      <c r="E17" s="290"/>
      <c r="F17" s="281">
        <f>Tabelle1!AX78</f>
        <v>0</v>
      </c>
    </row>
    <row r="18" spans="1:6" ht="30.75" customHeight="1">
      <c r="A18" s="487"/>
      <c r="B18" s="291" t="s">
        <v>753</v>
      </c>
      <c r="C18" s="292"/>
      <c r="D18" s="292"/>
      <c r="E18" s="293"/>
      <c r="F18" s="281">
        <f>N_Bedarf!J27</f>
        <v>0</v>
      </c>
    </row>
    <row r="19" spans="1:6" ht="30.75" customHeight="1">
      <c r="A19" s="487"/>
      <c r="B19" s="1914" t="s">
        <v>754</v>
      </c>
      <c r="C19" s="1915"/>
      <c r="D19" s="1915"/>
      <c r="E19" s="1916"/>
      <c r="F19" s="1917">
        <f>N_Bedarf!J29</f>
        <v>0</v>
      </c>
    </row>
    <row r="20" spans="1:6" ht="30.75" customHeight="1">
      <c r="A20" s="487"/>
      <c r="B20" s="1918" t="s">
        <v>755</v>
      </c>
      <c r="C20" s="1919"/>
      <c r="D20" s="1919"/>
      <c r="E20" s="1920"/>
      <c r="F20" s="1921">
        <f>N_Bedarf!M29</f>
        <v>0</v>
      </c>
    </row>
    <row r="21" spans="1:6" ht="11.25" customHeight="1">
      <c r="A21" s="487"/>
      <c r="B21" s="294"/>
      <c r="C21" s="295"/>
      <c r="D21" s="295"/>
      <c r="E21" s="296"/>
      <c r="F21" s="297"/>
    </row>
    <row r="22" spans="1:6" ht="33" customHeight="1">
      <c r="A22" s="487"/>
      <c r="B22" s="1914" t="s">
        <v>1855</v>
      </c>
      <c r="C22" s="1915"/>
      <c r="D22" s="1915"/>
      <c r="E22" s="1922"/>
      <c r="F22" s="2166" t="s">
        <v>1856</v>
      </c>
    </row>
    <row r="23" spans="1:6" ht="36" customHeight="1">
      <c r="A23" s="487"/>
      <c r="B23" s="2802" t="s">
        <v>1857</v>
      </c>
      <c r="C23" s="2802"/>
      <c r="D23" s="2802"/>
      <c r="E23" s="2802"/>
      <c r="F23" s="1923" t="str">
        <f>IF(F11&lt;=170,"ja","nein")</f>
        <v>ja</v>
      </c>
    </row>
    <row r="24" spans="1:6" ht="46.5" customHeight="1">
      <c r="A24" s="487"/>
      <c r="B24" s="2802" t="s">
        <v>1858</v>
      </c>
      <c r="C24" s="2802"/>
      <c r="D24" s="2802"/>
      <c r="E24" s="2802"/>
      <c r="F24" s="1924">
        <f>IF(F15=0,0,IF(AND(Betrieb!D11="",F15&lt;=175),"ja",IF(AND(Betrieb!D11="Nein",F15&lt;=175),"ja",IF(AND(Betrieb!D11="ja",F15&lt;=210),"ja",IF(AND(Betrieb!D11="",F15&gt;175,F15&lt;=210),"Fruchtf. definieren!","nein")))))</f>
        <v>0</v>
      </c>
    </row>
    <row r="25" spans="1:6" ht="29.25" customHeight="1">
      <c r="A25" s="487"/>
      <c r="B25" s="2802" t="s">
        <v>1859</v>
      </c>
      <c r="C25" s="2802"/>
      <c r="D25" s="2802"/>
      <c r="E25" s="2802"/>
      <c r="F25" s="1923" t="str">
        <f>IF(F19&lt;=0,"ja","nein")</f>
        <v>ja</v>
      </c>
    </row>
    <row r="26" spans="1:6" ht="29.25" customHeight="1">
      <c r="A26" s="487"/>
      <c r="B26" s="2801" t="str">
        <f>IF(Tabelle1!AO14=1,"• Die Einhaltung des Phosphormindeststandard im ÖPUL 2015","• Der Phosphormindeststansard gilt nur für ÖPUL Teilnehmer")</f>
        <v>• Die Einhaltung des Phosphormindeststandard im ÖPUL 2015</v>
      </c>
      <c r="C26" s="2801"/>
      <c r="D26" s="2801"/>
      <c r="E26" s="2801"/>
      <c r="F26" s="1925" t="str">
        <f>IF(Tabelle1!AO14=0,"Nicht im ÖPUL! ",IF(OR(Tabelle1!AO12=1,F20&lt;=0),"ja","nein"))</f>
        <v>ja</v>
      </c>
    </row>
    <row r="27" spans="1:6" ht="35.4" customHeight="1">
      <c r="A27" s="487"/>
      <c r="B27" s="2803" t="str">
        <f>Tabelle1!DD23</f>
        <v/>
      </c>
      <c r="C27" s="2804"/>
      <c r="D27" s="2804"/>
      <c r="E27" s="2805"/>
      <c r="F27" s="1925" t="str">
        <f>IF(Tabelle1!DE23=1,"Achtung!","")</f>
        <v/>
      </c>
    </row>
    <row r="28" spans="1:6" ht="15.9" customHeight="1"/>
    <row r="29" spans="1:6" ht="45.75" customHeight="1">
      <c r="A29" s="487"/>
      <c r="B29" s="2806" t="s">
        <v>1860</v>
      </c>
      <c r="C29" s="2806"/>
      <c r="D29" s="2806"/>
      <c r="E29" s="2806"/>
      <c r="F29" s="2806"/>
    </row>
    <row r="30" spans="1:6" ht="30" customHeight="1">
      <c r="A30" s="487"/>
      <c r="B30" s="1926" t="s">
        <v>1861</v>
      </c>
      <c r="C30" s="1927" t="s">
        <v>1862</v>
      </c>
      <c r="D30" s="1928" t="s">
        <v>1863</v>
      </c>
      <c r="E30" s="1929" t="s">
        <v>760</v>
      </c>
      <c r="F30" s="1927" t="s">
        <v>761</v>
      </c>
    </row>
    <row r="31" spans="1:6" ht="25.65" customHeight="1">
      <c r="A31" s="487"/>
      <c r="B31" s="298" t="str">
        <f>N_Bedarf!C5</f>
        <v/>
      </c>
      <c r="C31" s="299">
        <f>N_Bedarf!E5</f>
        <v>0</v>
      </c>
      <c r="D31" s="300">
        <f>N_Bedarf!F5</f>
        <v>0</v>
      </c>
      <c r="E31" s="300">
        <f>N_Bedarf!I5</f>
        <v>0</v>
      </c>
      <c r="F31" s="301">
        <f>N_Bedarf!J5</f>
        <v>0</v>
      </c>
    </row>
    <row r="32" spans="1:6" ht="25.65" customHeight="1">
      <c r="A32" s="487"/>
      <c r="B32" s="298">
        <f>N_Bedarf!C6</f>
        <v>0</v>
      </c>
      <c r="C32" s="299">
        <f>N_Bedarf!E6</f>
        <v>0</v>
      </c>
      <c r="D32" s="300">
        <f>N_Bedarf!F6</f>
        <v>0</v>
      </c>
      <c r="E32" s="300">
        <f>N_Bedarf!I6</f>
        <v>0</v>
      </c>
      <c r="F32" s="301">
        <f>N_Bedarf!J6</f>
        <v>0</v>
      </c>
    </row>
    <row r="33" spans="1:6" ht="25.65" customHeight="1">
      <c r="A33" s="487"/>
      <c r="B33" s="298">
        <f>N_Bedarf!C7</f>
        <v>0</v>
      </c>
      <c r="C33" s="299">
        <f>N_Bedarf!E7</f>
        <v>0</v>
      </c>
      <c r="D33" s="300">
        <f>N_Bedarf!F7</f>
        <v>0</v>
      </c>
      <c r="E33" s="300">
        <f>N_Bedarf!I7</f>
        <v>0</v>
      </c>
      <c r="F33" s="301">
        <f>N_Bedarf!J7</f>
        <v>0</v>
      </c>
    </row>
    <row r="34" spans="1:6" ht="25.65" customHeight="1">
      <c r="A34" s="487"/>
      <c r="B34" s="298">
        <f>N_Bedarf!C8</f>
        <v>0</v>
      </c>
      <c r="C34" s="299">
        <f>N_Bedarf!E8</f>
        <v>0</v>
      </c>
      <c r="D34" s="300">
        <f>N_Bedarf!F8</f>
        <v>0</v>
      </c>
      <c r="E34" s="300">
        <f>N_Bedarf!I8</f>
        <v>0</v>
      </c>
      <c r="F34" s="301">
        <f>N_Bedarf!J8</f>
        <v>0</v>
      </c>
    </row>
    <row r="35" spans="1:6" ht="25.65" customHeight="1">
      <c r="A35" s="487"/>
      <c r="B35" s="298">
        <f>N_Bedarf!C9</f>
        <v>0</v>
      </c>
      <c r="C35" s="299">
        <f>N_Bedarf!E9</f>
        <v>0</v>
      </c>
      <c r="D35" s="300">
        <f>N_Bedarf!F9</f>
        <v>0</v>
      </c>
      <c r="E35" s="300">
        <f>N_Bedarf!I9</f>
        <v>0</v>
      </c>
      <c r="F35" s="301">
        <f>N_Bedarf!J9</f>
        <v>0</v>
      </c>
    </row>
    <row r="36" spans="1:6" ht="25.65" customHeight="1">
      <c r="A36" s="487"/>
      <c r="B36" s="298">
        <f>N_Bedarf!C10</f>
        <v>0</v>
      </c>
      <c r="C36" s="299">
        <f>N_Bedarf!E10</f>
        <v>0</v>
      </c>
      <c r="D36" s="300">
        <f>N_Bedarf!F10</f>
        <v>0</v>
      </c>
      <c r="E36" s="300">
        <f>N_Bedarf!I10</f>
        <v>0</v>
      </c>
      <c r="F36" s="301">
        <f>N_Bedarf!J10</f>
        <v>0</v>
      </c>
    </row>
    <row r="37" spans="1:6" ht="25.65" customHeight="1">
      <c r="A37" s="487"/>
      <c r="B37" s="298">
        <f>N_Bedarf!C11</f>
        <v>0</v>
      </c>
      <c r="C37" s="299">
        <f>N_Bedarf!E11</f>
        <v>0</v>
      </c>
      <c r="D37" s="300">
        <f>N_Bedarf!F11</f>
        <v>0</v>
      </c>
      <c r="E37" s="300">
        <f>N_Bedarf!I11</f>
        <v>0</v>
      </c>
      <c r="F37" s="301">
        <f>N_Bedarf!J11</f>
        <v>0</v>
      </c>
    </row>
    <row r="38" spans="1:6" ht="25.65" customHeight="1">
      <c r="A38" s="487"/>
      <c r="B38" s="298">
        <f>N_Bedarf!C12</f>
        <v>0</v>
      </c>
      <c r="C38" s="299">
        <f>N_Bedarf!E12</f>
        <v>0</v>
      </c>
      <c r="D38" s="300">
        <f>N_Bedarf!F12</f>
        <v>0</v>
      </c>
      <c r="E38" s="300">
        <f>N_Bedarf!I12</f>
        <v>0</v>
      </c>
      <c r="F38" s="301">
        <f>N_Bedarf!J12</f>
        <v>0</v>
      </c>
    </row>
    <row r="39" spans="1:6" ht="25.65" customHeight="1">
      <c r="A39" s="487"/>
      <c r="B39" s="298">
        <f>N_Bedarf!C13</f>
        <v>0</v>
      </c>
      <c r="C39" s="299">
        <f>N_Bedarf!E13</f>
        <v>0</v>
      </c>
      <c r="D39" s="300">
        <f>N_Bedarf!F13</f>
        <v>0</v>
      </c>
      <c r="E39" s="300">
        <f>N_Bedarf!I13</f>
        <v>0</v>
      </c>
      <c r="F39" s="301">
        <f>N_Bedarf!J13</f>
        <v>0</v>
      </c>
    </row>
    <row r="40" spans="1:6" ht="25.65" customHeight="1">
      <c r="A40" s="487"/>
      <c r="B40" s="298">
        <f>N_Bedarf!C14</f>
        <v>0</v>
      </c>
      <c r="C40" s="299">
        <f>N_Bedarf!E14</f>
        <v>0</v>
      </c>
      <c r="D40" s="300">
        <f>N_Bedarf!F14</f>
        <v>0</v>
      </c>
      <c r="E40" s="300">
        <f>N_Bedarf!I14</f>
        <v>0</v>
      </c>
      <c r="F40" s="301">
        <f>N_Bedarf!J14</f>
        <v>0</v>
      </c>
    </row>
    <row r="41" spans="1:6" ht="25.65" customHeight="1">
      <c r="A41" s="487"/>
      <c r="B41" s="298">
        <f>N_Bedarf!C15</f>
        <v>0</v>
      </c>
      <c r="C41" s="299">
        <f>N_Bedarf!E15</f>
        <v>0</v>
      </c>
      <c r="D41" s="300">
        <f>N_Bedarf!F15</f>
        <v>0</v>
      </c>
      <c r="E41" s="300">
        <f>N_Bedarf!I15</f>
        <v>0</v>
      </c>
      <c r="F41" s="301">
        <f>N_Bedarf!J15</f>
        <v>0</v>
      </c>
    </row>
    <row r="42" spans="1:6" ht="25.65" customHeight="1">
      <c r="A42" s="487"/>
      <c r="B42" s="298">
        <f>N_Bedarf!C16</f>
        <v>0</v>
      </c>
      <c r="C42" s="299">
        <f>N_Bedarf!E16</f>
        <v>0</v>
      </c>
      <c r="D42" s="300">
        <f>N_Bedarf!F16</f>
        <v>0</v>
      </c>
      <c r="E42" s="300">
        <f>N_Bedarf!I16</f>
        <v>0</v>
      </c>
      <c r="F42" s="301">
        <f>N_Bedarf!J16</f>
        <v>0</v>
      </c>
    </row>
    <row r="43" spans="1:6" ht="25.65" customHeight="1">
      <c r="A43" s="487"/>
      <c r="B43" s="298">
        <f>N_Bedarf!C17</f>
        <v>0</v>
      </c>
      <c r="C43" s="299">
        <f>N_Bedarf!E17</f>
        <v>0</v>
      </c>
      <c r="D43" s="300">
        <f>N_Bedarf!F17</f>
        <v>0</v>
      </c>
      <c r="E43" s="300">
        <f>N_Bedarf!I17</f>
        <v>0</v>
      </c>
      <c r="F43" s="301">
        <f>N_Bedarf!J17</f>
        <v>0</v>
      </c>
    </row>
    <row r="44" spans="1:6" ht="25.65" customHeight="1">
      <c r="A44" s="487"/>
      <c r="B44" s="302" t="str">
        <f>N_Bedarf!C18</f>
        <v>diverse Grünbrachen zB Biodiv.</v>
      </c>
      <c r="C44" s="303">
        <f>N_Bedarf!E18</f>
        <v>0</v>
      </c>
      <c r="D44" s="304">
        <f>N_Bedarf!F18</f>
        <v>0</v>
      </c>
      <c r="E44" s="304">
        <f>N_Bedarf!I18</f>
        <v>0</v>
      </c>
      <c r="F44" s="305">
        <f>N_Bedarf!J18</f>
        <v>0</v>
      </c>
    </row>
    <row r="45" spans="1:6" ht="27.75" customHeight="1">
      <c r="A45" s="487"/>
      <c r="B45" s="1930" t="str">
        <f>N_Bedarf!C19</f>
        <v>Grünland</v>
      </c>
      <c r="C45" s="1926" t="str">
        <f>N_Bedarf!E19</f>
        <v>ha</v>
      </c>
      <c r="D45" s="1927" t="s">
        <v>1863</v>
      </c>
      <c r="E45" s="1929" t="s">
        <v>760</v>
      </c>
      <c r="F45" s="1927" t="s">
        <v>761</v>
      </c>
    </row>
    <row r="46" spans="1:6" ht="25.65" customHeight="1">
      <c r="A46" s="487"/>
      <c r="B46" s="298">
        <f>N_Bedarf!C20</f>
        <v>0</v>
      </c>
      <c r="C46" s="300">
        <f>N_Bedarf!E20</f>
        <v>0</v>
      </c>
      <c r="D46" s="300">
        <f>N_Bedarf!F20</f>
        <v>0</v>
      </c>
      <c r="E46" s="300">
        <f>N_Bedarf!I20</f>
        <v>0</v>
      </c>
      <c r="F46" s="301">
        <f>N_Bedarf!J20</f>
        <v>0</v>
      </c>
    </row>
    <row r="47" spans="1:6" ht="25.65" customHeight="1">
      <c r="A47" s="487"/>
      <c r="B47" s="298">
        <f>N_Bedarf!C21</f>
        <v>0</v>
      </c>
      <c r="C47" s="300">
        <f>N_Bedarf!E21</f>
        <v>0</v>
      </c>
      <c r="D47" s="300">
        <f>N_Bedarf!F21</f>
        <v>0</v>
      </c>
      <c r="E47" s="300">
        <f>N_Bedarf!I21</f>
        <v>0</v>
      </c>
      <c r="F47" s="301">
        <f>N_Bedarf!J21</f>
        <v>0</v>
      </c>
    </row>
    <row r="48" spans="1:6" ht="25.65" customHeight="1">
      <c r="A48" s="487"/>
      <c r="B48" s="298">
        <f>N_Bedarf!C22</f>
        <v>0</v>
      </c>
      <c r="C48" s="300">
        <f>N_Bedarf!E22</f>
        <v>0</v>
      </c>
      <c r="D48" s="300">
        <f>N_Bedarf!F22</f>
        <v>0</v>
      </c>
      <c r="E48" s="300">
        <f>N_Bedarf!I22</f>
        <v>0</v>
      </c>
      <c r="F48" s="301">
        <f>N_Bedarf!J22</f>
        <v>0</v>
      </c>
    </row>
    <row r="49" spans="1:6" ht="25.65" customHeight="1">
      <c r="A49" s="487"/>
      <c r="B49" s="298">
        <f>N_Bedarf!C23</f>
        <v>0</v>
      </c>
      <c r="C49" s="300">
        <f>N_Bedarf!E23</f>
        <v>0</v>
      </c>
      <c r="D49" s="300">
        <f>N_Bedarf!F23</f>
        <v>0</v>
      </c>
      <c r="E49" s="300">
        <f>N_Bedarf!I23</f>
        <v>0</v>
      </c>
      <c r="F49" s="301">
        <f>N_Bedarf!J23</f>
        <v>0</v>
      </c>
    </row>
    <row r="50" spans="1:6" ht="25.65" customHeight="1">
      <c r="A50" s="487"/>
      <c r="B50" s="298">
        <f>N_Bedarf!C24</f>
        <v>0</v>
      </c>
      <c r="C50" s="300">
        <f>N_Bedarf!E24</f>
        <v>0</v>
      </c>
      <c r="D50" s="300">
        <f>N_Bedarf!F24</f>
        <v>0</v>
      </c>
      <c r="E50" s="300">
        <f>N_Bedarf!I24</f>
        <v>0</v>
      </c>
      <c r="F50" s="301">
        <f>N_Bedarf!J24</f>
        <v>0</v>
      </c>
    </row>
    <row r="51" spans="1:6" ht="25.65" customHeight="1">
      <c r="B51" s="298">
        <f>N_Bedarf!C25</f>
        <v>0</v>
      </c>
      <c r="C51" s="300">
        <f>N_Bedarf!E25</f>
        <v>0</v>
      </c>
      <c r="D51" s="300">
        <f>N_Bedarf!F25</f>
        <v>0</v>
      </c>
      <c r="E51" s="300">
        <f>N_Bedarf!I25</f>
        <v>0</v>
      </c>
      <c r="F51" s="301">
        <f>N_Bedarf!J25</f>
        <v>0</v>
      </c>
    </row>
    <row r="52" spans="1:6" ht="25.65" customHeight="1">
      <c r="B52" s="2800" t="s">
        <v>1864</v>
      </c>
      <c r="C52" s="2800"/>
      <c r="D52" s="2800"/>
      <c r="E52" s="2800"/>
      <c r="F52" s="301">
        <f>N_Bedarf!J26</f>
        <v>0</v>
      </c>
    </row>
    <row r="53" spans="1:6" ht="25.65" customHeight="1">
      <c r="B53" s="2800" t="s">
        <v>1825</v>
      </c>
      <c r="C53" s="2800">
        <v>0</v>
      </c>
      <c r="D53" s="2800">
        <v>0</v>
      </c>
      <c r="E53" s="2800">
        <v>0</v>
      </c>
      <c r="F53" s="301">
        <f>N_Bedarf!J27</f>
        <v>0</v>
      </c>
    </row>
    <row r="54" spans="1:6" ht="25.65" customHeight="1">
      <c r="B54" s="2800" t="s">
        <v>1828</v>
      </c>
      <c r="C54" s="2800">
        <v>0</v>
      </c>
      <c r="D54" s="2800">
        <v>0</v>
      </c>
      <c r="E54" s="2800">
        <v>0</v>
      </c>
      <c r="F54" s="301">
        <f>N_Bedarf!J28</f>
        <v>0</v>
      </c>
    </row>
    <row r="55" spans="1:6" ht="27.75" customHeight="1">
      <c r="B55" s="1931" t="str">
        <f>N_Bedarf!C29</f>
        <v>Der N-Saldo ist ok!</v>
      </c>
      <c r="C55" s="1932"/>
      <c r="D55" s="1932"/>
      <c r="E55" s="1933" t="s">
        <v>1834</v>
      </c>
      <c r="F55" s="1934">
        <f>N_Bedarf!J29</f>
        <v>0</v>
      </c>
    </row>
    <row r="56" spans="1:6" ht="23.25" customHeight="1">
      <c r="C56" s="306"/>
      <c r="D56" s="306"/>
    </row>
    <row r="57" spans="1:6" ht="23.25" customHeight="1">
      <c r="B57" s="485"/>
      <c r="C57" s="306"/>
      <c r="D57" s="306"/>
    </row>
    <row r="58" spans="1:6" ht="23.25" customHeight="1">
      <c r="C58" s="306"/>
      <c r="D58" s="306"/>
    </row>
    <row r="59" spans="1:6" ht="21" customHeight="1">
      <c r="C59" s="306"/>
      <c r="D59" s="306"/>
    </row>
    <row r="60" spans="1:6" ht="6" customHeight="1">
      <c r="C60" s="306"/>
      <c r="D60" s="306"/>
    </row>
    <row r="61" spans="1:6" ht="20.25" customHeight="1">
      <c r="C61" s="306"/>
      <c r="D61" s="306"/>
    </row>
    <row r="62" spans="1:6" ht="13.8">
      <c r="C62" s="306"/>
      <c r="D62" s="306"/>
    </row>
    <row r="63" spans="1:6" ht="27.75" customHeight="1">
      <c r="C63" s="306"/>
      <c r="D63" s="306"/>
    </row>
    <row r="64" spans="1:6" ht="35.4" customHeight="1">
      <c r="C64" s="306"/>
      <c r="D64" s="306"/>
    </row>
    <row r="65" spans="3:4" ht="24.75" customHeight="1">
      <c r="C65" s="306"/>
      <c r="D65" s="306"/>
    </row>
    <row r="66" spans="3:4" ht="35.4" customHeight="1">
      <c r="C66" s="306"/>
      <c r="D66" s="306"/>
    </row>
    <row r="67" spans="3:4" ht="21" customHeight="1">
      <c r="C67" s="306"/>
      <c r="D67" s="306"/>
    </row>
    <row r="68" spans="3:4" ht="27.15" customHeight="1">
      <c r="C68" s="306"/>
      <c r="D68" s="306"/>
    </row>
    <row r="69" spans="3:4" ht="22.5" customHeight="1">
      <c r="C69" s="306"/>
      <c r="D69" s="306"/>
    </row>
    <row r="70" spans="3:4" ht="21" customHeight="1">
      <c r="C70" s="306"/>
      <c r="D70" s="306"/>
    </row>
    <row r="71" spans="3:4" ht="7.65" customHeight="1">
      <c r="C71" s="306"/>
      <c r="D71" s="306"/>
    </row>
    <row r="72" spans="3:4" ht="18.75" customHeight="1">
      <c r="C72" s="306"/>
      <c r="D72" s="306"/>
    </row>
    <row r="73" spans="3:4" ht="27.75" customHeight="1">
      <c r="C73" s="306"/>
      <c r="D73" s="306"/>
    </row>
    <row r="74" spans="3:4" ht="25.65" customHeight="1">
      <c r="C74" s="306"/>
      <c r="D74" s="306"/>
    </row>
    <row r="75" spans="3:4" ht="24" customHeight="1">
      <c r="C75" s="306"/>
      <c r="D75" s="306"/>
    </row>
    <row r="76" spans="3:4" ht="30" customHeight="1">
      <c r="C76" s="306"/>
      <c r="D76" s="306"/>
    </row>
    <row r="77" spans="3:4" ht="24" customHeight="1">
      <c r="C77" s="306"/>
      <c r="D77" s="306"/>
    </row>
    <row r="78" spans="3:4" ht="21" customHeight="1">
      <c r="C78" s="306"/>
      <c r="D78" s="306"/>
    </row>
    <row r="79" spans="3:4" ht="21" customHeight="1">
      <c r="C79" s="306"/>
      <c r="D79" s="306"/>
    </row>
    <row r="82" spans="1:6" ht="14.25" customHeight="1">
      <c r="A82" s="487"/>
      <c r="B82" s="487"/>
      <c r="C82" s="491"/>
      <c r="D82" s="491"/>
      <c r="E82" s="491"/>
      <c r="F82" s="491"/>
    </row>
  </sheetData>
  <sheetProtection password="CAEF" sheet="1" formatCells="0" formatColumns="0" formatRows="0"/>
  <mergeCells count="17">
    <mergeCell ref="B14:E14"/>
    <mergeCell ref="B15:D16"/>
    <mergeCell ref="B23:E23"/>
    <mergeCell ref="J1:K1"/>
    <mergeCell ref="B6:F6"/>
    <mergeCell ref="B10:E10"/>
    <mergeCell ref="B11:C12"/>
    <mergeCell ref="B13:E13"/>
    <mergeCell ref="H1:I1"/>
    <mergeCell ref="B54:E54"/>
    <mergeCell ref="B53:E53"/>
    <mergeCell ref="B26:E26"/>
    <mergeCell ref="B24:E24"/>
    <mergeCell ref="B27:E27"/>
    <mergeCell ref="B29:F29"/>
    <mergeCell ref="B52:E52"/>
    <mergeCell ref="B25:E25"/>
  </mergeCells>
  <phoneticPr fontId="38" type="noConversion"/>
  <conditionalFormatting sqref="F23">
    <cfRule type="cellIs" dxfId="146" priority="2" stopIfTrue="1" operator="equal">
      <formula>"nein"</formula>
    </cfRule>
  </conditionalFormatting>
  <conditionalFormatting sqref="F24">
    <cfRule type="cellIs" dxfId="145" priority="3" stopIfTrue="1" operator="equal">
      <formula>"nein"</formula>
    </cfRule>
    <cfRule type="cellIs" dxfId="144" priority="4" stopIfTrue="1" operator="equal">
      <formula>"Fruchtf. definieren!"</formula>
    </cfRule>
  </conditionalFormatting>
  <conditionalFormatting sqref="F25">
    <cfRule type="cellIs" dxfId="143" priority="5" stopIfTrue="1" operator="equal">
      <formula>"nein"</formula>
    </cfRule>
  </conditionalFormatting>
  <conditionalFormatting sqref="F26">
    <cfRule type="cellIs" dxfId="142" priority="6" stopIfTrue="1" operator="equal">
      <formula>"nein"</formula>
    </cfRule>
  </conditionalFormatting>
  <conditionalFormatting sqref="F27">
    <cfRule type="cellIs" dxfId="141" priority="1" stopIfTrue="1" operator="equal">
      <formula>"Achtung!"</formula>
    </cfRule>
  </conditionalFormatting>
  <hyperlinks>
    <hyperlink ref="H1" location="Mineral!B3" display="◄"/>
    <hyperlink ref="H1:I1" location="Mineral!C3" display="◄"/>
    <hyperlink ref="J1:K1" location="Ertragsermittlung!A1" display="  ►"/>
  </hyperlinks>
  <pageMargins left="0.43307086614173229" right="0.35433070866141736" top="0.70866141732283472" bottom="0.59055118110236227" header="0.51181102362204722" footer="0.31496062992125984"/>
  <pageSetup paperSize="9" scale="97" firstPageNumber="0" fitToHeight="2" orientation="portrait" blackAndWhite="1" horizontalDpi="300" verticalDpi="300" r:id="rId1"/>
  <headerFooter alignWithMargins="0">
    <oddFooter>&amp;L&amp;F&amp;C&amp;A&amp;R&amp;P von &amp;N</oddFooter>
  </headerFooter>
  <rowBreaks count="2" manualBreakCount="2">
    <brk id="26" max="16383" man="1"/>
    <brk id="28" max="16383" man="1"/>
  </rowBreaks>
  <colBreaks count="1" manualBreakCount="1">
    <brk id="6" max="1048575" man="1"/>
  </colBreaks>
  <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11">
    <tabColor rgb="FF92D050"/>
  </sheetPr>
  <dimension ref="A1:AL93"/>
  <sheetViews>
    <sheetView showZeros="0" zoomScale="80" zoomScaleNormal="80" workbookViewId="0">
      <selection activeCell="AI1" sqref="AI1:AJ1"/>
    </sheetView>
  </sheetViews>
  <sheetFormatPr baseColWidth="10" defaultColWidth="11.44140625" defaultRowHeight="10.199999999999999"/>
  <cols>
    <col min="1" max="1" width="3.109375" style="2029" customWidth="1"/>
    <col min="2" max="2" width="24.44140625" style="2029" customWidth="1"/>
    <col min="3" max="3" width="10.6640625" style="2029" customWidth="1"/>
    <col min="4" max="4" width="10" style="2029" customWidth="1"/>
    <col min="5" max="5" width="11" style="2029" customWidth="1"/>
    <col min="6" max="6" width="11.33203125" style="2029" customWidth="1"/>
    <col min="7" max="7" width="14" style="2029" customWidth="1"/>
    <col min="8" max="8" width="12.88671875" style="2135" customWidth="1"/>
    <col min="9" max="9" width="10.44140625" style="2135" customWidth="1"/>
    <col min="10" max="10" width="14.109375" style="2134" customWidth="1"/>
    <col min="11" max="11" width="16.33203125" style="2134" customWidth="1"/>
    <col min="12" max="12" width="14.33203125" style="2134" customWidth="1"/>
    <col min="13" max="13" width="13.6640625" style="2029" customWidth="1"/>
    <col min="14" max="14" width="13" style="2029" customWidth="1"/>
    <col min="15" max="15" width="13.33203125" style="2029" customWidth="1"/>
    <col min="16" max="16" width="13.6640625" style="2029" customWidth="1"/>
    <col min="17" max="17" width="7.44140625" style="2029" customWidth="1"/>
    <col min="18" max="18" width="27.44140625" style="2029" hidden="1" customWidth="1"/>
    <col min="19" max="19" width="10.109375" style="2029" hidden="1" customWidth="1"/>
    <col min="20" max="20" width="6.33203125" style="2029" hidden="1" customWidth="1"/>
    <col min="21" max="21" width="30.88671875" style="2029" hidden="1" customWidth="1"/>
    <col min="22" max="26" width="11.44140625" style="2029" hidden="1" customWidth="1"/>
    <col min="27" max="28" width="14.33203125" style="2029" hidden="1" customWidth="1"/>
    <col min="29" max="33" width="11.44140625" style="2029" hidden="1" customWidth="1"/>
    <col min="34" max="34" width="5.33203125" style="2029" customWidth="1"/>
    <col min="35" max="35" width="11.44140625" style="2029"/>
    <col min="36" max="36" width="11.44140625" style="2029" customWidth="1"/>
    <col min="37" max="16384" width="11.44140625" style="2029"/>
  </cols>
  <sheetData>
    <row r="1" spans="1:38" ht="28.5" customHeight="1">
      <c r="A1" s="2851" t="s">
        <v>2048</v>
      </c>
      <c r="B1" s="2851"/>
      <c r="C1" s="2851"/>
      <c r="D1" s="2851"/>
      <c r="E1" s="2851"/>
      <c r="F1" s="2851"/>
      <c r="G1" s="2851"/>
      <c r="H1" s="2028"/>
      <c r="I1" s="2028"/>
      <c r="J1" s="2852" t="s">
        <v>2049</v>
      </c>
      <c r="K1" s="2852"/>
      <c r="L1" s="2852"/>
      <c r="M1" s="2852"/>
      <c r="N1" s="2852"/>
      <c r="O1" s="2852"/>
      <c r="P1" s="2852"/>
      <c r="Q1" s="2028"/>
      <c r="R1" s="2812" t="s">
        <v>2050</v>
      </c>
      <c r="U1" s="2005" t="s">
        <v>1778</v>
      </c>
      <c r="V1" s="2006" t="s">
        <v>1784</v>
      </c>
      <c r="W1" s="2006" t="s">
        <v>1095</v>
      </c>
      <c r="X1" s="2006" t="s">
        <v>1091</v>
      </c>
      <c r="Y1" s="2006" t="s">
        <v>1787</v>
      </c>
      <c r="Z1" s="2006" t="s">
        <v>1788</v>
      </c>
      <c r="AA1" s="2006" t="s">
        <v>2051</v>
      </c>
      <c r="AC1" s="2006" t="s">
        <v>1784</v>
      </c>
      <c r="AD1" s="2006" t="s">
        <v>1095</v>
      </c>
      <c r="AE1" s="2006" t="s">
        <v>1091</v>
      </c>
      <c r="AF1" s="2006" t="s">
        <v>1787</v>
      </c>
      <c r="AG1" s="2006" t="s">
        <v>1788</v>
      </c>
      <c r="AH1" s="2028"/>
      <c r="AI1" s="2809" t="s">
        <v>1383</v>
      </c>
      <c r="AJ1" s="2809"/>
      <c r="AK1" s="2809" t="s">
        <v>1355</v>
      </c>
      <c r="AL1" s="2809"/>
    </row>
    <row r="2" spans="1:38" ht="9.75" customHeight="1" thickBot="1">
      <c r="A2" s="2030"/>
      <c r="B2" s="2028"/>
      <c r="C2" s="2028"/>
      <c r="D2" s="2028"/>
      <c r="E2" s="2028"/>
      <c r="F2" s="2028"/>
      <c r="G2" s="2031"/>
      <c r="H2" s="2814" t="s">
        <v>2052</v>
      </c>
      <c r="I2" s="2032"/>
      <c r="J2" s="2028"/>
      <c r="K2" s="2028"/>
      <c r="L2" s="2028"/>
      <c r="M2" s="2028"/>
      <c r="N2" s="2028"/>
      <c r="O2" s="2028"/>
      <c r="P2" s="2028"/>
      <c r="Q2" s="2028"/>
      <c r="R2" s="2813"/>
      <c r="U2" s="2005" t="s">
        <v>1944</v>
      </c>
      <c r="V2" s="2033" t="s">
        <v>2053</v>
      </c>
      <c r="W2" s="2033" t="s">
        <v>2053</v>
      </c>
      <c r="X2" s="2033" t="s">
        <v>2053</v>
      </c>
      <c r="Y2" s="2033" t="s">
        <v>2053</v>
      </c>
      <c r="Z2" s="2033" t="s">
        <v>2053</v>
      </c>
      <c r="AA2" s="2033" t="s">
        <v>2054</v>
      </c>
      <c r="AB2" s="2033"/>
      <c r="AC2" s="2033" t="s">
        <v>2055</v>
      </c>
      <c r="AD2" s="2033" t="s">
        <v>2055</v>
      </c>
      <c r="AE2" s="2033" t="s">
        <v>2055</v>
      </c>
      <c r="AF2" s="2033" t="s">
        <v>2055</v>
      </c>
      <c r="AG2" s="2033" t="s">
        <v>2055</v>
      </c>
      <c r="AH2" s="2028"/>
    </row>
    <row r="3" spans="1:38" ht="33.75" customHeight="1">
      <c r="A3" s="2030"/>
      <c r="B3" s="2034" t="s">
        <v>2056</v>
      </c>
      <c r="C3" s="2035" t="s">
        <v>2057</v>
      </c>
      <c r="D3" s="2036" t="s">
        <v>2058</v>
      </c>
      <c r="E3" s="2037" t="s">
        <v>2059</v>
      </c>
      <c r="F3" s="2035" t="s">
        <v>2060</v>
      </c>
      <c r="G3" s="2035" t="s">
        <v>2061</v>
      </c>
      <c r="H3" s="2814"/>
      <c r="I3" s="2032"/>
      <c r="J3" s="2815" t="s">
        <v>2062</v>
      </c>
      <c r="K3" s="2816"/>
      <c r="L3" s="2816"/>
      <c r="M3" s="2816"/>
      <c r="N3" s="2816"/>
      <c r="O3" s="2816"/>
      <c r="P3" s="2817"/>
      <c r="Q3" s="2028"/>
      <c r="R3" s="2038" t="s">
        <v>731</v>
      </c>
      <c r="T3" s="2039"/>
      <c r="U3" s="2040" t="s">
        <v>731</v>
      </c>
      <c r="V3" s="2041">
        <v>5.8</v>
      </c>
      <c r="W3" s="1748">
        <v>7.8</v>
      </c>
      <c r="X3" s="2041">
        <v>9.5</v>
      </c>
      <c r="Y3" s="2041">
        <v>11.3</v>
      </c>
      <c r="Z3" s="2041">
        <v>11.3</v>
      </c>
      <c r="AA3" s="2042">
        <v>80</v>
      </c>
      <c r="AB3" s="2042"/>
      <c r="AC3" s="2041">
        <v>4.5</v>
      </c>
      <c r="AD3" s="1748">
        <v>6</v>
      </c>
      <c r="AE3" s="2041">
        <v>7.5</v>
      </c>
      <c r="AF3" s="2041">
        <v>9</v>
      </c>
      <c r="AG3" s="2041">
        <v>8.99</v>
      </c>
      <c r="AH3" s="2028"/>
    </row>
    <row r="4" spans="1:38" ht="22.5" customHeight="1">
      <c r="A4" s="2030"/>
      <c r="B4" s="2043"/>
      <c r="C4" s="2044"/>
      <c r="D4" s="2045"/>
      <c r="E4" s="2046">
        <f>SUM(F7:F11)</f>
        <v>0</v>
      </c>
      <c r="F4" s="2047" t="str">
        <f>IF(ISNUMBER(C4),E4/C4,"")</f>
        <v/>
      </c>
      <c r="G4" s="2048">
        <f>IF(ISBLANK(C4),0,IF(F4&lt;VLOOKUP(B4,$U$3:$Z$16,2,FALSE),$V$1,IF(F4&lt;VLOOKUP(B4,$U$3:$Z$16,3,FALSE),$W$1,IF(F4&lt;VLOOKUP(B4,$U$3:$Z$16,4,FALSE),$X$1,IF(F4&lt;=VLOOKUP(B4,$U$3:$Z$16,5,FALSE),$Y$1,IF(F4&gt;VLOOKUP(B4,$U$3:$Z$16,6,FALSE),$Z$1,))))))</f>
        <v>0</v>
      </c>
      <c r="H4" s="2814"/>
      <c r="I4" s="2032"/>
      <c r="J4" s="2818"/>
      <c r="K4" s="2819"/>
      <c r="L4" s="2819"/>
      <c r="M4" s="2819"/>
      <c r="N4" s="2819"/>
      <c r="O4" s="2819"/>
      <c r="P4" s="2820"/>
      <c r="Q4" s="2028"/>
      <c r="R4" s="2038" t="s">
        <v>2063</v>
      </c>
      <c r="T4" s="2039"/>
      <c r="U4" s="2040" t="s">
        <v>2063</v>
      </c>
      <c r="V4" s="2041">
        <v>4.3</v>
      </c>
      <c r="W4" s="1748">
        <v>5.7</v>
      </c>
      <c r="X4" s="2041">
        <v>7.5</v>
      </c>
      <c r="Y4" s="2041">
        <v>9.3000000000000007</v>
      </c>
      <c r="Z4" s="2041">
        <v>9.3000000000000007</v>
      </c>
      <c r="AA4" s="2042">
        <v>81</v>
      </c>
      <c r="AB4" s="2042"/>
      <c r="AC4" s="2041">
        <v>3.5</v>
      </c>
      <c r="AD4" s="1748">
        <v>5</v>
      </c>
      <c r="AE4" s="2041">
        <v>6.25</v>
      </c>
      <c r="AF4" s="2041">
        <v>7.5</v>
      </c>
      <c r="AG4" s="2041">
        <v>7.49</v>
      </c>
      <c r="AH4" s="2028"/>
    </row>
    <row r="5" spans="1:38" ht="7.5" customHeight="1">
      <c r="A5" s="2049"/>
      <c r="B5" s="2049"/>
      <c r="C5" s="2049"/>
      <c r="D5" s="2049"/>
      <c r="E5" s="2049"/>
      <c r="F5" s="2049"/>
      <c r="G5" s="2031"/>
      <c r="H5" s="2814"/>
      <c r="I5" s="2032"/>
      <c r="J5" s="2028"/>
      <c r="K5" s="2028"/>
      <c r="L5" s="2028"/>
      <c r="M5" s="2028"/>
      <c r="N5" s="2028"/>
      <c r="O5" s="2028"/>
      <c r="P5" s="2028"/>
      <c r="Q5" s="2028"/>
      <c r="R5" s="2050" t="s">
        <v>1802</v>
      </c>
      <c r="T5" s="2039"/>
      <c r="U5" s="2040" t="s">
        <v>1802</v>
      </c>
      <c r="V5" s="2041">
        <v>6.7</v>
      </c>
      <c r="W5" s="1748">
        <v>9.1</v>
      </c>
      <c r="X5" s="2041">
        <v>11.3</v>
      </c>
      <c r="Y5" s="2041">
        <v>13.4</v>
      </c>
      <c r="Z5" s="2041">
        <v>13.4</v>
      </c>
      <c r="AA5" s="2042">
        <v>67</v>
      </c>
      <c r="AB5" s="2042"/>
      <c r="AC5" s="2041">
        <v>4.5</v>
      </c>
      <c r="AD5" s="1748">
        <v>6</v>
      </c>
      <c r="AE5" s="2041">
        <v>7.5</v>
      </c>
      <c r="AF5" s="2041">
        <v>9</v>
      </c>
      <c r="AG5" s="2041">
        <v>8.99</v>
      </c>
      <c r="AH5" s="2028"/>
    </row>
    <row r="6" spans="1:38" ht="24.75" customHeight="1">
      <c r="A6" s="2030"/>
      <c r="B6" s="2051" t="s">
        <v>2064</v>
      </c>
      <c r="C6" s="2036" t="s">
        <v>2065</v>
      </c>
      <c r="D6" s="2052" t="s">
        <v>2066</v>
      </c>
      <c r="E6" s="2053" t="s">
        <v>2067</v>
      </c>
      <c r="F6" s="2054" t="s">
        <v>2068</v>
      </c>
      <c r="G6" s="2031"/>
      <c r="H6" s="2814"/>
      <c r="I6" s="2032"/>
      <c r="J6" s="2821" t="s">
        <v>2069</v>
      </c>
      <c r="K6" s="2821"/>
      <c r="L6" s="2821"/>
      <c r="M6" s="2821"/>
      <c r="N6" s="2821"/>
      <c r="O6" s="2821"/>
      <c r="P6" s="2821"/>
      <c r="Q6" s="2028"/>
      <c r="R6" s="2055" t="s">
        <v>1809</v>
      </c>
      <c r="T6" s="2039"/>
      <c r="U6" s="2040" t="s">
        <v>738</v>
      </c>
      <c r="V6" s="2041">
        <v>6.3</v>
      </c>
      <c r="W6" s="1748">
        <v>8.4</v>
      </c>
      <c r="X6" s="2041">
        <v>10.5</v>
      </c>
      <c r="Y6" s="2041">
        <v>12.5</v>
      </c>
      <c r="Z6" s="2041">
        <v>12.5</v>
      </c>
      <c r="AA6" s="2042">
        <v>72</v>
      </c>
      <c r="AB6" s="2042"/>
      <c r="AC6" s="2041">
        <v>4.5</v>
      </c>
      <c r="AD6" s="1748">
        <v>6</v>
      </c>
      <c r="AE6" s="2041">
        <v>7.5</v>
      </c>
      <c r="AF6" s="2041">
        <v>9</v>
      </c>
      <c r="AG6" s="2041">
        <v>8.99</v>
      </c>
      <c r="AH6" s="2028"/>
    </row>
    <row r="7" spans="1:38" ht="18" customHeight="1">
      <c r="A7" s="2030"/>
      <c r="B7" s="2056"/>
      <c r="C7" s="2057">
        <f>_xlfn.IFNA(VLOOKUP(B7,Ertragsermittlung!$R$23:$S$47,2,"falsch"),"0")</f>
        <v>0</v>
      </c>
      <c r="D7" s="2058"/>
      <c r="E7" s="2059"/>
      <c r="F7" s="2060">
        <f>IF(ISBLANK(D7),C7*E7,D7*E7)</f>
        <v>0</v>
      </c>
      <c r="G7" s="2031"/>
      <c r="H7" s="2814"/>
      <c r="I7" s="2032"/>
      <c r="J7" s="2822" t="s">
        <v>2264</v>
      </c>
      <c r="K7" s="2823"/>
      <c r="L7" s="2823"/>
      <c r="M7" s="2823"/>
      <c r="N7" s="2823"/>
      <c r="O7" s="2823"/>
      <c r="P7" s="2824"/>
      <c r="Q7" s="2028"/>
      <c r="R7" s="2055" t="s">
        <v>738</v>
      </c>
      <c r="T7" s="2039"/>
      <c r="U7" s="2061" t="s">
        <v>2070</v>
      </c>
      <c r="V7" s="2062">
        <v>60</v>
      </c>
      <c r="W7" s="2062">
        <v>80</v>
      </c>
      <c r="X7" s="2062">
        <v>100</v>
      </c>
      <c r="Y7" s="2062">
        <v>120</v>
      </c>
      <c r="Z7" s="2062">
        <v>120</v>
      </c>
      <c r="AA7" s="2062">
        <v>34</v>
      </c>
      <c r="AB7" s="2062"/>
      <c r="AC7" s="2063"/>
      <c r="AD7" s="2063"/>
      <c r="AE7" s="2063"/>
      <c r="AF7" s="2063"/>
      <c r="AG7" s="2064"/>
      <c r="AH7" s="2028"/>
    </row>
    <row r="8" spans="1:38" ht="18" customHeight="1">
      <c r="A8" s="2030"/>
      <c r="B8" s="2056"/>
      <c r="C8" s="2057">
        <f>_xlfn.IFNA(VLOOKUP(B8,Ertragsermittlung!$R$23:$S$47,2,"falsch"),"0")</f>
        <v>0</v>
      </c>
      <c r="D8" s="2058"/>
      <c r="E8" s="2059"/>
      <c r="F8" s="2060">
        <f t="shared" ref="F8:F10" si="0">IF(ISBLANK(D8),C8*E8,D8*E8)</f>
        <v>0</v>
      </c>
      <c r="G8" s="2031"/>
      <c r="H8" s="2814"/>
      <c r="I8" s="2032"/>
      <c r="J8" s="2825"/>
      <c r="K8" s="2826"/>
      <c r="L8" s="2826"/>
      <c r="M8" s="2826"/>
      <c r="N8" s="2826"/>
      <c r="O8" s="2826"/>
      <c r="P8" s="2827"/>
      <c r="Q8" s="2028"/>
      <c r="R8" s="2055" t="s">
        <v>2070</v>
      </c>
      <c r="T8" s="2039"/>
      <c r="U8" s="2040" t="s">
        <v>1971</v>
      </c>
      <c r="V8" s="2041">
        <v>4.9000000000000004</v>
      </c>
      <c r="W8" s="1748">
        <v>7.7</v>
      </c>
      <c r="X8" s="2041">
        <v>9.8000000000000007</v>
      </c>
      <c r="Y8" s="2041">
        <v>11.8</v>
      </c>
      <c r="Z8" s="2041">
        <v>11.8</v>
      </c>
      <c r="AA8" s="2042">
        <v>72</v>
      </c>
      <c r="AB8" s="2042"/>
      <c r="AC8" s="2041">
        <v>3.5</v>
      </c>
      <c r="AD8" s="1748">
        <v>5.5</v>
      </c>
      <c r="AE8" s="2041">
        <v>7</v>
      </c>
      <c r="AF8" s="2041">
        <v>8.5</v>
      </c>
      <c r="AG8" s="2065">
        <v>8.49</v>
      </c>
      <c r="AH8" s="2028"/>
    </row>
    <row r="9" spans="1:38" ht="18" customHeight="1">
      <c r="A9" s="2030"/>
      <c r="B9" s="2056"/>
      <c r="C9" s="2057">
        <f>_xlfn.IFNA(VLOOKUP(B9,Ertragsermittlung!$R$23:$S$47,2,"falsch"),"0")</f>
        <v>0</v>
      </c>
      <c r="D9" s="2058"/>
      <c r="E9" s="2059"/>
      <c r="F9" s="2060">
        <f t="shared" si="0"/>
        <v>0</v>
      </c>
      <c r="G9" s="2031"/>
      <c r="H9" s="2814"/>
      <c r="I9" s="2032"/>
      <c r="J9" s="2825"/>
      <c r="K9" s="2826"/>
      <c r="L9" s="2826"/>
      <c r="M9" s="2826"/>
      <c r="N9" s="2826"/>
      <c r="O9" s="2826"/>
      <c r="P9" s="2827"/>
      <c r="Q9" s="2028"/>
      <c r="R9" s="2055" t="s">
        <v>1971</v>
      </c>
      <c r="T9" s="2039"/>
      <c r="U9" s="2040" t="s">
        <v>2071</v>
      </c>
      <c r="V9" s="2041">
        <v>7.1</v>
      </c>
      <c r="W9" s="1748">
        <v>10.3</v>
      </c>
      <c r="X9" s="2041">
        <v>13.4</v>
      </c>
      <c r="Y9" s="2041">
        <v>16.3</v>
      </c>
      <c r="Z9" s="2041">
        <v>16.3</v>
      </c>
      <c r="AA9" s="2042">
        <v>49</v>
      </c>
      <c r="AB9" s="2042"/>
      <c r="AC9" s="2041">
        <v>3.5</v>
      </c>
      <c r="AD9" s="1748">
        <v>5</v>
      </c>
      <c r="AE9" s="2041">
        <v>6.5</v>
      </c>
      <c r="AF9" s="2041">
        <v>8</v>
      </c>
      <c r="AG9" s="2065">
        <v>7.99</v>
      </c>
      <c r="AH9" s="2028"/>
    </row>
    <row r="10" spans="1:38" ht="18" customHeight="1">
      <c r="A10" s="2030"/>
      <c r="B10" s="2056"/>
      <c r="C10" s="2057">
        <f>_xlfn.IFNA(VLOOKUP(B10,Ertragsermittlung!$R$23:$S$47,2,"falsch"),"0")</f>
        <v>0</v>
      </c>
      <c r="D10" s="2058"/>
      <c r="E10" s="2059"/>
      <c r="F10" s="2060">
        <f t="shared" si="0"/>
        <v>0</v>
      </c>
      <c r="G10" s="2031"/>
      <c r="H10" s="2814"/>
      <c r="I10" s="2032"/>
      <c r="J10" s="2066" t="s">
        <v>2072</v>
      </c>
      <c r="K10" s="2067"/>
      <c r="L10" s="2068" t="s">
        <v>2073</v>
      </c>
      <c r="M10" s="2067"/>
      <c r="N10" s="2867" t="s">
        <v>2074</v>
      </c>
      <c r="O10" s="2867"/>
      <c r="P10" s="2069"/>
      <c r="Q10" s="2028"/>
      <c r="R10" s="2055" t="s">
        <v>2071</v>
      </c>
      <c r="T10" s="2039"/>
      <c r="U10" s="2040" t="s">
        <v>1809</v>
      </c>
      <c r="V10" s="2041">
        <v>4.5</v>
      </c>
      <c r="W10" s="1748">
        <v>6.8</v>
      </c>
      <c r="X10" s="2041">
        <v>9.1</v>
      </c>
      <c r="Y10" s="2041">
        <v>11.2</v>
      </c>
      <c r="Z10" s="2041">
        <v>11.2</v>
      </c>
      <c r="AA10" s="2042">
        <v>67</v>
      </c>
      <c r="AB10" s="2042"/>
      <c r="AC10" s="2041">
        <v>3.5</v>
      </c>
      <c r="AD10" s="1748">
        <v>5.5</v>
      </c>
      <c r="AE10" s="2041">
        <v>7</v>
      </c>
      <c r="AF10" s="2041">
        <v>8.5</v>
      </c>
      <c r="AG10" s="2065">
        <v>7.49</v>
      </c>
      <c r="AH10" s="2028"/>
    </row>
    <row r="11" spans="1:38" ht="18" customHeight="1">
      <c r="A11" s="2030"/>
      <c r="B11" s="2056"/>
      <c r="C11" s="2057">
        <f>_xlfn.IFNA(VLOOKUP(B11,Ertragsermittlung!$R$23:$S$47,2,"falsch"),"0")</f>
        <v>0</v>
      </c>
      <c r="D11" s="2058"/>
      <c r="E11" s="2059"/>
      <c r="F11" s="2060">
        <f>IF(ISBLANK(D11),C11*E11,D11*E11)</f>
        <v>0</v>
      </c>
      <c r="G11" s="2031"/>
      <c r="H11" s="2814"/>
      <c r="I11" s="2032"/>
      <c r="J11" s="2066" t="s">
        <v>2075</v>
      </c>
      <c r="K11" s="2070" t="s">
        <v>2076</v>
      </c>
      <c r="L11" s="2071" t="s">
        <v>2077</v>
      </c>
      <c r="M11" s="2072" t="s">
        <v>2078</v>
      </c>
      <c r="N11" s="2861" t="s">
        <v>2079</v>
      </c>
      <c r="O11" s="2862"/>
      <c r="P11" s="2828" t="s">
        <v>2080</v>
      </c>
      <c r="Q11" s="2028"/>
      <c r="R11" s="2055" t="s">
        <v>2081</v>
      </c>
      <c r="T11" s="2039"/>
      <c r="U11" s="2073" t="s">
        <v>2082</v>
      </c>
      <c r="V11" s="2074">
        <v>8</v>
      </c>
      <c r="W11" s="2075">
        <v>10</v>
      </c>
      <c r="X11" s="2074">
        <v>11.5</v>
      </c>
      <c r="Y11" s="2074">
        <v>13</v>
      </c>
      <c r="Z11" s="2074">
        <v>13</v>
      </c>
      <c r="AA11" s="2076">
        <v>98</v>
      </c>
      <c r="AB11" s="2076"/>
      <c r="AC11" s="2074"/>
      <c r="AD11" s="2074"/>
      <c r="AE11" s="2074"/>
      <c r="AF11" s="2074"/>
      <c r="AG11" s="2077"/>
      <c r="AH11" s="2028"/>
    </row>
    <row r="12" spans="1:38" ht="18" customHeight="1">
      <c r="A12" s="2030"/>
      <c r="B12" s="2028"/>
      <c r="C12" s="2028"/>
      <c r="D12" s="2028"/>
      <c r="E12" s="2028"/>
      <c r="F12" s="2028"/>
      <c r="G12" s="2078"/>
      <c r="H12" s="2814"/>
      <c r="I12" s="2032"/>
      <c r="J12" s="2066" t="s">
        <v>2083</v>
      </c>
      <c r="K12" s="2070" t="s">
        <v>2084</v>
      </c>
      <c r="L12" s="2071" t="s">
        <v>2085</v>
      </c>
      <c r="M12" s="2079" t="s">
        <v>2078</v>
      </c>
      <c r="N12" s="2863"/>
      <c r="O12" s="2864"/>
      <c r="P12" s="2829"/>
      <c r="Q12" s="2028"/>
      <c r="R12" s="2050" t="s">
        <v>2082</v>
      </c>
      <c r="T12" s="2039"/>
      <c r="U12" s="2073" t="s">
        <v>2081</v>
      </c>
      <c r="V12" s="2074">
        <v>9.5</v>
      </c>
      <c r="W12" s="2075">
        <v>12</v>
      </c>
      <c r="X12" s="2074">
        <v>14</v>
      </c>
      <c r="Y12" s="2074">
        <v>16</v>
      </c>
      <c r="Z12" s="2074">
        <v>16</v>
      </c>
      <c r="AA12" s="2076">
        <v>83</v>
      </c>
      <c r="AB12" s="2076"/>
      <c r="AC12" s="2077"/>
      <c r="AD12" s="2077"/>
      <c r="AE12" s="2077"/>
      <c r="AF12" s="2077"/>
      <c r="AG12" s="2077"/>
      <c r="AH12" s="2028"/>
    </row>
    <row r="13" spans="1:38" ht="25.5" customHeight="1">
      <c r="A13" s="2030"/>
      <c r="B13" s="2034" t="s">
        <v>2086</v>
      </c>
      <c r="C13" s="2035" t="s">
        <v>2057</v>
      </c>
      <c r="D13" s="2036" t="s">
        <v>2087</v>
      </c>
      <c r="E13" s="2037" t="s">
        <v>2059</v>
      </c>
      <c r="F13" s="2035" t="s">
        <v>2060</v>
      </c>
      <c r="G13" s="2035" t="s">
        <v>2061</v>
      </c>
      <c r="H13" s="2814"/>
      <c r="I13" s="2032"/>
      <c r="J13" s="2066" t="s">
        <v>2088</v>
      </c>
      <c r="K13" s="2070" t="s">
        <v>2089</v>
      </c>
      <c r="L13" s="2071"/>
      <c r="M13" s="2079" t="s">
        <v>2078</v>
      </c>
      <c r="N13" s="2865"/>
      <c r="O13" s="2866"/>
      <c r="P13" s="2830"/>
      <c r="Q13" s="2028"/>
      <c r="R13" s="2050" t="s">
        <v>2090</v>
      </c>
      <c r="U13" s="2073" t="s">
        <v>2090</v>
      </c>
      <c r="V13" s="2074">
        <v>110</v>
      </c>
      <c r="W13" s="2075">
        <v>140</v>
      </c>
      <c r="X13" s="2074">
        <v>160</v>
      </c>
      <c r="Y13" s="2074">
        <v>180</v>
      </c>
      <c r="Z13" s="2074">
        <v>180</v>
      </c>
      <c r="AA13" s="2076">
        <v>36</v>
      </c>
      <c r="AH13" s="2028"/>
    </row>
    <row r="14" spans="1:38" ht="22.5" customHeight="1">
      <c r="A14" s="2030"/>
      <c r="B14" s="2043"/>
      <c r="C14" s="2044"/>
      <c r="D14" s="2045"/>
      <c r="E14" s="2046">
        <f>SUM(F17:F21)</f>
        <v>0</v>
      </c>
      <c r="F14" s="2047" t="str">
        <f>IF(ISNUMBER(C14),E14/C14,"")</f>
        <v/>
      </c>
      <c r="G14" s="2048">
        <f>IF(ISBLANK(C14),0,IF(F14&lt;VLOOKUP(B14,$U$3:$Z$16,2,FALSE),$V$1,IF(F14&lt;VLOOKUP(B14,$U$3:$Z$16,3,FALSE),$W$1,IF(F14&lt;VLOOKUP(B14,$U$3:$Z$16,4,FALSE),$X$1,IF(F14&lt;=VLOOKUP(B14,$U$3:$Z$16,5,FALSE),$Y$1,IF(F14&gt;VLOOKUP(B14,$U$3:$Z$16,6,FALSE),$Z$1,))))))</f>
        <v>0</v>
      </c>
      <c r="H14" s="2814"/>
      <c r="I14" s="2032"/>
      <c r="J14" s="2028"/>
      <c r="K14" s="2028"/>
      <c r="L14" s="2028"/>
      <c r="M14" s="2028"/>
      <c r="N14" s="2028"/>
      <c r="O14" s="2028"/>
      <c r="P14" s="2028"/>
      <c r="Q14" s="2028"/>
      <c r="R14" s="2050" t="s">
        <v>2091</v>
      </c>
      <c r="U14" s="2073" t="s">
        <v>2091</v>
      </c>
      <c r="V14" s="2074">
        <v>55</v>
      </c>
      <c r="W14" s="2075">
        <v>70</v>
      </c>
      <c r="X14" s="2074">
        <v>80</v>
      </c>
      <c r="Y14" s="2074">
        <v>90</v>
      </c>
      <c r="Z14" s="2074">
        <v>90</v>
      </c>
      <c r="AA14" s="2076">
        <v>72</v>
      </c>
      <c r="AB14" s="2076"/>
      <c r="AC14" s="2077"/>
      <c r="AD14" s="2077"/>
      <c r="AE14" s="2077"/>
      <c r="AF14" s="2077"/>
      <c r="AG14" s="2077"/>
      <c r="AH14" s="2028"/>
    </row>
    <row r="15" spans="1:38" ht="9" customHeight="1">
      <c r="A15" s="2030"/>
      <c r="B15" s="2049"/>
      <c r="C15" s="2049"/>
      <c r="D15" s="2049"/>
      <c r="E15" s="2049"/>
      <c r="F15" s="2049"/>
      <c r="G15" s="2031"/>
      <c r="H15" s="2814"/>
      <c r="I15" s="2032"/>
      <c r="J15" s="2028"/>
      <c r="K15" s="2028"/>
      <c r="L15" s="2028"/>
      <c r="M15" s="2028"/>
      <c r="N15" s="2028"/>
      <c r="O15" s="2028"/>
      <c r="P15" s="2028"/>
      <c r="Q15" s="2028"/>
      <c r="R15" s="2080" t="s">
        <v>2092</v>
      </c>
      <c r="U15" s="2073" t="s">
        <v>2092</v>
      </c>
      <c r="V15" s="2074">
        <v>180</v>
      </c>
      <c r="W15" s="2075">
        <v>225</v>
      </c>
      <c r="X15" s="2074">
        <v>255</v>
      </c>
      <c r="Y15" s="2074">
        <v>285</v>
      </c>
      <c r="Z15" s="2074">
        <v>285</v>
      </c>
      <c r="AA15" s="2076">
        <v>25</v>
      </c>
      <c r="AB15" s="2076"/>
      <c r="AC15" s="2077"/>
      <c r="AD15" s="2077"/>
      <c r="AE15" s="2077"/>
      <c r="AF15" s="2077"/>
      <c r="AG15" s="2077"/>
      <c r="AH15" s="2028"/>
    </row>
    <row r="16" spans="1:38" ht="24.75" customHeight="1">
      <c r="A16" s="2030"/>
      <c r="B16" s="2051" t="s">
        <v>2064</v>
      </c>
      <c r="C16" s="2036" t="s">
        <v>2065</v>
      </c>
      <c r="D16" s="2052" t="s">
        <v>2066</v>
      </c>
      <c r="E16" s="2053" t="s">
        <v>2093</v>
      </c>
      <c r="F16" s="2054" t="s">
        <v>2068</v>
      </c>
      <c r="G16" s="2031"/>
      <c r="H16" s="2814"/>
      <c r="I16" s="2032"/>
      <c r="J16" s="2081" t="s">
        <v>2094</v>
      </c>
      <c r="K16" s="2082"/>
      <c r="L16" s="2083"/>
      <c r="M16" s="2084"/>
      <c r="N16" s="2084"/>
      <c r="O16" s="2084"/>
      <c r="P16" s="2084"/>
      <c r="Q16" s="2028"/>
      <c r="V16" s="2041"/>
      <c r="W16" s="1748"/>
      <c r="X16" s="2041"/>
      <c r="Y16" s="2041"/>
      <c r="Z16" s="2041"/>
      <c r="AC16" s="2041"/>
      <c r="AD16" s="1748"/>
      <c r="AE16" s="2041"/>
      <c r="AF16" s="2041"/>
      <c r="AG16" s="2041"/>
      <c r="AH16" s="2028"/>
    </row>
    <row r="17" spans="1:34" ht="18" customHeight="1">
      <c r="A17" s="2030"/>
      <c r="B17" s="2056"/>
      <c r="C17" s="2085">
        <f>_xlfn.IFNA(VLOOKUP(B17,Ertragsermittlung!$R$23:$S$47,2,"falsch"),"0")</f>
        <v>0</v>
      </c>
      <c r="D17" s="2058"/>
      <c r="E17" s="2059"/>
      <c r="F17" s="2086">
        <f>IF(ISBLANK(D17),C17*E17,D17*E17)</f>
        <v>0</v>
      </c>
      <c r="G17" s="2031"/>
      <c r="H17" s="2814"/>
      <c r="I17" s="2032"/>
      <c r="J17" s="2831" t="s">
        <v>2095</v>
      </c>
      <c r="K17" s="2832"/>
      <c r="L17" s="2832"/>
      <c r="M17" s="2833"/>
      <c r="N17" s="2831" t="s">
        <v>2096</v>
      </c>
      <c r="O17" s="2832"/>
      <c r="P17" s="2833"/>
      <c r="Q17" s="2028"/>
      <c r="AH17" s="2028"/>
    </row>
    <row r="18" spans="1:34" ht="18" customHeight="1">
      <c r="A18" s="2030"/>
      <c r="B18" s="2056"/>
      <c r="C18" s="2085">
        <f>_xlfn.IFNA(VLOOKUP(B18,Ertragsermittlung!$R$23:$S$47,2,"falsch"),"0")</f>
        <v>0</v>
      </c>
      <c r="D18" s="2058"/>
      <c r="E18" s="2059"/>
      <c r="F18" s="2086">
        <f t="shared" ref="F18:F21" si="1">IF(ISBLANK(D18),C18*E18,D18*E18)</f>
        <v>0</v>
      </c>
      <c r="G18" s="2031"/>
      <c r="H18" s="2814"/>
      <c r="I18" s="2032"/>
      <c r="J18" s="2853" t="s">
        <v>1910</v>
      </c>
      <c r="K18" s="2854"/>
      <c r="L18" s="2855"/>
      <c r="M18" s="2859" t="s">
        <v>2097</v>
      </c>
      <c r="N18" s="2868" t="s">
        <v>1910</v>
      </c>
      <c r="O18" s="2869"/>
      <c r="P18" s="2859" t="s">
        <v>2098</v>
      </c>
      <c r="Q18" s="2028"/>
      <c r="T18" s="2087"/>
      <c r="U18" s="2088"/>
      <c r="V18" s="2089"/>
      <c r="W18" s="2089"/>
      <c r="X18" s="2089"/>
      <c r="Y18" s="2089"/>
      <c r="Z18" s="2090"/>
      <c r="AA18" s="2089"/>
      <c r="AB18" s="2089"/>
      <c r="AH18" s="2028"/>
    </row>
    <row r="19" spans="1:34" ht="18" customHeight="1">
      <c r="A19" s="2030"/>
      <c r="B19" s="2056"/>
      <c r="C19" s="2085">
        <f>_xlfn.IFNA(VLOOKUP(B19,Ertragsermittlung!$R$23:$S$47,2,"falsch"),"0")</f>
        <v>0</v>
      </c>
      <c r="D19" s="2058"/>
      <c r="E19" s="2059"/>
      <c r="F19" s="2086">
        <f t="shared" si="1"/>
        <v>0</v>
      </c>
      <c r="G19" s="2031"/>
      <c r="H19" s="2814"/>
      <c r="I19" s="2032"/>
      <c r="J19" s="2856"/>
      <c r="K19" s="2857"/>
      <c r="L19" s="2858"/>
      <c r="M19" s="2860"/>
      <c r="N19" s="2870"/>
      <c r="O19" s="2871"/>
      <c r="P19" s="2860"/>
      <c r="Q19" s="2028"/>
      <c r="T19" s="2087"/>
      <c r="U19" s="2087"/>
      <c r="V19" s="2087"/>
      <c r="W19" s="2089"/>
      <c r="X19" s="2087"/>
      <c r="Y19" s="2091"/>
      <c r="Z19" s="2092"/>
      <c r="AA19" s="2091"/>
      <c r="AB19" s="2093"/>
      <c r="AH19" s="2028"/>
    </row>
    <row r="20" spans="1:34" ht="18" customHeight="1" thickBot="1">
      <c r="A20" s="2030"/>
      <c r="B20" s="2056"/>
      <c r="C20" s="2085">
        <f>_xlfn.IFNA(VLOOKUP(B20,Ertragsermittlung!$R$23:$S$47,2,"falsch"),"0")</f>
        <v>0</v>
      </c>
      <c r="D20" s="2058"/>
      <c r="E20" s="2059"/>
      <c r="F20" s="2086">
        <f t="shared" si="1"/>
        <v>0</v>
      </c>
      <c r="G20" s="2031"/>
      <c r="H20" s="2814"/>
      <c r="I20" s="2032"/>
      <c r="J20" s="2834" t="s">
        <v>2099</v>
      </c>
      <c r="K20" s="2834"/>
      <c r="L20" s="2834"/>
      <c r="M20" s="2835">
        <v>77</v>
      </c>
      <c r="N20" s="2847" t="s">
        <v>2100</v>
      </c>
      <c r="O20" s="2848"/>
      <c r="P20" s="2836" t="s">
        <v>2101</v>
      </c>
      <c r="Q20" s="2028"/>
      <c r="T20" s="2087"/>
      <c r="U20" s="2087"/>
      <c r="V20" s="2087"/>
      <c r="W20" s="2089"/>
      <c r="X20" s="2087"/>
      <c r="Y20" s="2087"/>
      <c r="Z20" s="2092"/>
      <c r="AA20" s="2087"/>
      <c r="AB20" s="2087"/>
      <c r="AH20" s="2028"/>
    </row>
    <row r="21" spans="1:34" ht="18" customHeight="1" thickBot="1">
      <c r="A21" s="2030"/>
      <c r="B21" s="2056"/>
      <c r="C21" s="2085">
        <f>_xlfn.IFNA(VLOOKUP(B21,Ertragsermittlung!$R$23:$S$47,2,"falsch"),"0")</f>
        <v>0</v>
      </c>
      <c r="D21" s="2058"/>
      <c r="E21" s="2059"/>
      <c r="F21" s="2086">
        <f t="shared" si="1"/>
        <v>0</v>
      </c>
      <c r="G21" s="2031"/>
      <c r="H21" s="2814"/>
      <c r="I21" s="2032"/>
      <c r="J21" s="2834"/>
      <c r="K21" s="2834"/>
      <c r="L21" s="2834"/>
      <c r="M21" s="2835"/>
      <c r="N21" s="2849"/>
      <c r="O21" s="2850"/>
      <c r="P21" s="2836"/>
      <c r="Q21" s="2028"/>
      <c r="R21" s="2094" t="s">
        <v>2102</v>
      </c>
      <c r="S21" s="2095" t="s">
        <v>2103</v>
      </c>
      <c r="T21" s="2087"/>
      <c r="U21" s="2087"/>
      <c r="V21" s="2087"/>
      <c r="W21" s="2089"/>
      <c r="X21" s="2087"/>
      <c r="Y21" s="2087"/>
      <c r="Z21" s="2092"/>
      <c r="AA21" s="2087"/>
      <c r="AB21" s="2087"/>
      <c r="AH21" s="2028"/>
    </row>
    <row r="22" spans="1:34" ht="15" customHeight="1">
      <c r="A22" s="2030"/>
      <c r="B22" s="2028"/>
      <c r="C22" s="2028"/>
      <c r="D22" s="2028"/>
      <c r="E22" s="2028"/>
      <c r="F22" s="2028"/>
      <c r="G22" s="2078"/>
      <c r="H22" s="2814"/>
      <c r="I22" s="2032"/>
      <c r="J22" s="2837" t="s">
        <v>2104</v>
      </c>
      <c r="K22" s="2838"/>
      <c r="L22" s="2839"/>
      <c r="M22" s="2843">
        <v>83</v>
      </c>
      <c r="N22" s="2847" t="s">
        <v>2105</v>
      </c>
      <c r="O22" s="2848"/>
      <c r="P22" s="2845" t="s">
        <v>2106</v>
      </c>
      <c r="Q22" s="2028"/>
      <c r="R22" s="2096"/>
      <c r="S22" s="2097"/>
      <c r="T22" s="2087"/>
      <c r="U22" s="2087"/>
      <c r="V22" s="2087"/>
      <c r="W22" s="2087"/>
      <c r="X22" s="2087"/>
      <c r="Y22" s="2087"/>
      <c r="Z22" s="2092"/>
      <c r="AA22" s="2087"/>
      <c r="AB22" s="2087"/>
      <c r="AH22" s="2028"/>
    </row>
    <row r="23" spans="1:34" ht="26.4">
      <c r="A23" s="2030"/>
      <c r="B23" s="2034" t="s">
        <v>2107</v>
      </c>
      <c r="C23" s="2035" t="s">
        <v>2057</v>
      </c>
      <c r="D23" s="2036" t="s">
        <v>2087</v>
      </c>
      <c r="E23" s="2037" t="s">
        <v>2059</v>
      </c>
      <c r="F23" s="2035" t="s">
        <v>2060</v>
      </c>
      <c r="G23" s="2035" t="s">
        <v>2061</v>
      </c>
      <c r="H23" s="2814"/>
      <c r="I23" s="2032"/>
      <c r="J23" s="2840"/>
      <c r="K23" s="2841"/>
      <c r="L23" s="2842"/>
      <c r="M23" s="2844"/>
      <c r="N23" s="2849"/>
      <c r="O23" s="2850"/>
      <c r="P23" s="2846"/>
      <c r="Q23" s="2028"/>
      <c r="R23" s="2096">
        <f>B58</f>
        <v>0</v>
      </c>
      <c r="S23" s="2097">
        <f>G58</f>
        <v>0</v>
      </c>
      <c r="T23" s="2087"/>
      <c r="U23" s="2087"/>
      <c r="V23" s="2087"/>
      <c r="W23" s="2087"/>
      <c r="X23" s="2087"/>
      <c r="Y23" s="2087"/>
      <c r="Z23" s="2092"/>
      <c r="AA23" s="2087"/>
      <c r="AB23" s="2087"/>
      <c r="AH23" s="2028"/>
    </row>
    <row r="24" spans="1:34" ht="20.25" customHeight="1">
      <c r="A24" s="2030"/>
      <c r="B24" s="2043"/>
      <c r="C24" s="2044"/>
      <c r="D24" s="2045"/>
      <c r="E24" s="2046">
        <f>SUM(F27:F31)</f>
        <v>0</v>
      </c>
      <c r="F24" s="2047" t="str">
        <f>IF(ISNUMBER(C24),E24/C24,"")</f>
        <v/>
      </c>
      <c r="G24" s="2048">
        <f>IF(ISBLANK(C24),0,IF(F24&lt;VLOOKUP(B24,$U$3:$Z$16,2,FALSE),$V$1,IF(F24&lt;VLOOKUP(B24,$U$3:$Z$16,3,FALSE),$W$1,IF(F24&lt;VLOOKUP(B24,$U$3:$Z$16,4,FALSE),$X$1,IF(F24&lt;=VLOOKUP(B24,$U$3:$Z$16,5,FALSE),$Y$1,IF(F24&gt;VLOOKUP(B24,$U$3:$Z$16,6,FALSE),$Z$1,))))))</f>
        <v>0</v>
      </c>
      <c r="H24" s="2814"/>
      <c r="I24" s="2032"/>
      <c r="J24" s="2837" t="s">
        <v>2108</v>
      </c>
      <c r="K24" s="2838"/>
      <c r="L24" s="2839"/>
      <c r="M24" s="2843">
        <v>92</v>
      </c>
      <c r="N24" s="2847" t="s">
        <v>2109</v>
      </c>
      <c r="O24" s="2848"/>
      <c r="P24" s="2845" t="s">
        <v>2110</v>
      </c>
      <c r="Q24" s="2028"/>
      <c r="R24" s="2098">
        <f>B59</f>
        <v>0</v>
      </c>
      <c r="S24" s="2097">
        <f>G59</f>
        <v>0</v>
      </c>
      <c r="U24" s="2099"/>
      <c r="AH24" s="2028"/>
    </row>
    <row r="25" spans="1:34" ht="7.5" customHeight="1">
      <c r="A25" s="2030"/>
      <c r="B25" s="2049"/>
      <c r="C25" s="2049"/>
      <c r="D25" s="2049"/>
      <c r="E25" s="2049"/>
      <c r="F25" s="2049"/>
      <c r="G25" s="2031"/>
      <c r="H25" s="2814"/>
      <c r="I25" s="2032"/>
      <c r="J25" s="2840"/>
      <c r="K25" s="2841"/>
      <c r="L25" s="2842"/>
      <c r="M25" s="2844"/>
      <c r="N25" s="2849"/>
      <c r="O25" s="2850"/>
      <c r="P25" s="2844"/>
      <c r="Q25" s="2028"/>
      <c r="R25" s="2098">
        <f>B60</f>
        <v>0</v>
      </c>
      <c r="S25" s="2097">
        <f>G60</f>
        <v>0</v>
      </c>
      <c r="AH25" s="2028"/>
    </row>
    <row r="26" spans="1:34" ht="23.25" customHeight="1">
      <c r="A26" s="2030"/>
      <c r="B26" s="2051" t="s">
        <v>2064</v>
      </c>
      <c r="C26" s="2036" t="s">
        <v>2065</v>
      </c>
      <c r="D26" s="2052" t="s">
        <v>2066</v>
      </c>
      <c r="E26" s="2053" t="s">
        <v>2093</v>
      </c>
      <c r="F26" s="2054" t="s">
        <v>2068</v>
      </c>
      <c r="G26" s="2031"/>
      <c r="H26" s="2814"/>
      <c r="I26" s="2032"/>
      <c r="J26" s="2837" t="s">
        <v>2111</v>
      </c>
      <c r="K26" s="2838"/>
      <c r="L26" s="2839"/>
      <c r="M26" s="2843">
        <v>98</v>
      </c>
      <c r="N26" s="2847" t="s">
        <v>2112</v>
      </c>
      <c r="O26" s="2848"/>
      <c r="P26" s="2845">
        <v>34</v>
      </c>
      <c r="Q26" s="2028"/>
      <c r="R26" s="2098">
        <f>B61</f>
        <v>0</v>
      </c>
      <c r="S26" s="2097">
        <f>G61</f>
        <v>0</v>
      </c>
      <c r="U26" s="2100"/>
      <c r="AH26" s="2028"/>
    </row>
    <row r="27" spans="1:34" ht="18" customHeight="1">
      <c r="A27" s="2030"/>
      <c r="B27" s="2056"/>
      <c r="C27" s="2085">
        <f>_xlfn.IFNA(VLOOKUP(B27,Ertragsermittlung!$R$23:$S$47,2,"falsch"),"0")</f>
        <v>0</v>
      </c>
      <c r="D27" s="2058"/>
      <c r="E27" s="2059"/>
      <c r="F27" s="2086">
        <f>IF(ISBLANK(D27),C27*E27,D27*E27)</f>
        <v>0</v>
      </c>
      <c r="G27" s="2031"/>
      <c r="H27" s="2814"/>
      <c r="I27" s="2032"/>
      <c r="J27" s="2840"/>
      <c r="K27" s="2841"/>
      <c r="L27" s="2842"/>
      <c r="M27" s="2844"/>
      <c r="N27" s="2849"/>
      <c r="O27" s="2850"/>
      <c r="P27" s="2844"/>
      <c r="Q27" s="2028"/>
      <c r="R27" s="2098">
        <f>B62</f>
        <v>0</v>
      </c>
      <c r="S27" s="2097">
        <f>G62</f>
        <v>0</v>
      </c>
      <c r="U27" s="2100"/>
      <c r="AH27" s="2028"/>
    </row>
    <row r="28" spans="1:34" ht="18" customHeight="1">
      <c r="A28" s="2030"/>
      <c r="B28" s="2056"/>
      <c r="C28" s="2085">
        <f>_xlfn.IFNA(VLOOKUP(B28,Ertragsermittlung!$R$23:$S$47,2,"falsch"),"0")</f>
        <v>0</v>
      </c>
      <c r="D28" s="2058"/>
      <c r="E28" s="2059"/>
      <c r="F28" s="2086">
        <f t="shared" ref="F28:F31" si="2">IF(ISBLANK(D28),C28*E28,D28*E28)</f>
        <v>0</v>
      </c>
      <c r="G28" s="2031"/>
      <c r="H28" s="2814"/>
      <c r="I28" s="2032"/>
      <c r="J28" s="2837" t="s">
        <v>2113</v>
      </c>
      <c r="K28" s="2838"/>
      <c r="L28" s="2839"/>
      <c r="M28" s="2843">
        <v>30</v>
      </c>
      <c r="N28" s="2101" t="s">
        <v>2114</v>
      </c>
      <c r="O28" s="2101"/>
      <c r="P28" s="2102" t="s">
        <v>2115</v>
      </c>
      <c r="Q28" s="2028"/>
      <c r="R28" s="2098">
        <f>B65</f>
        <v>0</v>
      </c>
      <c r="S28" s="2097">
        <f>G65</f>
        <v>0</v>
      </c>
      <c r="AH28" s="2028"/>
    </row>
    <row r="29" spans="1:34" ht="18" customHeight="1">
      <c r="A29" s="2030"/>
      <c r="B29" s="2056"/>
      <c r="C29" s="2085">
        <f>_xlfn.IFNA(VLOOKUP(B29,Ertragsermittlung!$R$23:$S$47,2,"falsch"),"0")</f>
        <v>0</v>
      </c>
      <c r="D29" s="2058"/>
      <c r="E29" s="2059"/>
      <c r="F29" s="2086">
        <f t="shared" si="2"/>
        <v>0</v>
      </c>
      <c r="G29" s="2031"/>
      <c r="H29" s="2814"/>
      <c r="I29" s="2032"/>
      <c r="J29" s="2840"/>
      <c r="K29" s="2841"/>
      <c r="L29" s="2842"/>
      <c r="M29" s="2844"/>
      <c r="N29" s="2101" t="s">
        <v>1971</v>
      </c>
      <c r="O29" s="2101"/>
      <c r="P29" s="2102" t="s">
        <v>2116</v>
      </c>
      <c r="Q29" s="2028"/>
      <c r="R29" s="2098">
        <f>B66</f>
        <v>0</v>
      </c>
      <c r="S29" s="2097">
        <f>G66</f>
        <v>0</v>
      </c>
      <c r="AH29" s="2028"/>
    </row>
    <row r="30" spans="1:34" ht="18" customHeight="1">
      <c r="A30" s="2030"/>
      <c r="B30" s="2056"/>
      <c r="C30" s="2085">
        <f>_xlfn.IFNA(VLOOKUP(B30,Ertragsermittlung!$R$23:$S$47,2,"falsch"),"0")</f>
        <v>0</v>
      </c>
      <c r="D30" s="2058"/>
      <c r="E30" s="2059"/>
      <c r="F30" s="2086">
        <f t="shared" si="2"/>
        <v>0</v>
      </c>
      <c r="G30" s="2031"/>
      <c r="H30" s="2814"/>
      <c r="I30" s="2032"/>
      <c r="J30" s="2837" t="s">
        <v>2117</v>
      </c>
      <c r="K30" s="2838"/>
      <c r="L30" s="2839"/>
      <c r="M30" s="2843">
        <v>36</v>
      </c>
      <c r="N30" s="2847" t="s">
        <v>1802</v>
      </c>
      <c r="O30" s="2848"/>
      <c r="P30" s="2845" t="s">
        <v>2106</v>
      </c>
      <c r="Q30" s="2028"/>
      <c r="R30" s="2098">
        <f>B67</f>
        <v>0</v>
      </c>
      <c r="S30" s="2097">
        <f>G67</f>
        <v>0</v>
      </c>
      <c r="AH30" s="2028"/>
    </row>
    <row r="31" spans="1:34" ht="18" customHeight="1">
      <c r="A31" s="2030"/>
      <c r="B31" s="2056"/>
      <c r="C31" s="2085">
        <f>_xlfn.IFNA(VLOOKUP(B31,Ertragsermittlung!$R$23:$S$47,2,"falsch"),"0")</f>
        <v>0</v>
      </c>
      <c r="D31" s="2058"/>
      <c r="E31" s="2059"/>
      <c r="F31" s="2086">
        <f t="shared" si="2"/>
        <v>0</v>
      </c>
      <c r="G31" s="2031"/>
      <c r="H31" s="2814"/>
      <c r="I31" s="2032"/>
      <c r="J31" s="2840"/>
      <c r="K31" s="2841"/>
      <c r="L31" s="2842"/>
      <c r="M31" s="2844"/>
      <c r="N31" s="2849"/>
      <c r="O31" s="2850"/>
      <c r="P31" s="2844"/>
      <c r="Q31" s="2028"/>
      <c r="R31" s="2098">
        <f>B68</f>
        <v>0</v>
      </c>
      <c r="S31" s="2097">
        <f>G68</f>
        <v>0</v>
      </c>
      <c r="AH31" s="2028"/>
    </row>
    <row r="32" spans="1:34" ht="15.75" customHeight="1">
      <c r="A32" s="2030"/>
      <c r="B32" s="2028"/>
      <c r="C32" s="2028"/>
      <c r="D32" s="2028"/>
      <c r="E32" s="2028"/>
      <c r="F32" s="2028"/>
      <c r="G32" s="2078"/>
      <c r="H32" s="2814"/>
      <c r="I32" s="2032"/>
      <c r="J32" s="2837" t="s">
        <v>2118</v>
      </c>
      <c r="K32" s="2838"/>
      <c r="L32" s="2839"/>
      <c r="M32" s="2843">
        <v>72</v>
      </c>
      <c r="N32" s="2847" t="s">
        <v>2119</v>
      </c>
      <c r="O32" s="2848"/>
      <c r="P32" s="2836" t="s">
        <v>2120</v>
      </c>
      <c r="Q32" s="2028"/>
      <c r="R32" s="2098">
        <f>B69</f>
        <v>0</v>
      </c>
      <c r="S32" s="2097">
        <f>G69</f>
        <v>0</v>
      </c>
      <c r="AH32" s="2028"/>
    </row>
    <row r="33" spans="1:34" ht="26.4">
      <c r="A33" s="2030"/>
      <c r="B33" s="2034" t="s">
        <v>2121</v>
      </c>
      <c r="C33" s="2035" t="s">
        <v>2057</v>
      </c>
      <c r="D33" s="2036" t="s">
        <v>2087</v>
      </c>
      <c r="E33" s="2037" t="s">
        <v>2059</v>
      </c>
      <c r="F33" s="2035" t="s">
        <v>2060</v>
      </c>
      <c r="G33" s="2035" t="s">
        <v>2061</v>
      </c>
      <c r="H33" s="2103"/>
      <c r="I33" s="2103"/>
      <c r="J33" s="2840"/>
      <c r="K33" s="2841"/>
      <c r="L33" s="2842"/>
      <c r="M33" s="2844"/>
      <c r="N33" s="2849"/>
      <c r="O33" s="2850"/>
      <c r="P33" s="2836"/>
      <c r="Q33" s="2028"/>
      <c r="R33" s="2098">
        <f>B72</f>
        <v>0</v>
      </c>
      <c r="S33" s="2097">
        <f>G72</f>
        <v>0</v>
      </c>
      <c r="AH33" s="2028"/>
    </row>
    <row r="34" spans="1:34" ht="20.25" customHeight="1">
      <c r="A34" s="2030"/>
      <c r="B34" s="2043"/>
      <c r="C34" s="2044"/>
      <c r="D34" s="2045"/>
      <c r="E34" s="2046">
        <f>SUM(F37:F41)</f>
        <v>0</v>
      </c>
      <c r="F34" s="2047" t="str">
        <f>IF(ISNUMBER(C34),E34/C34,"")</f>
        <v/>
      </c>
      <c r="G34" s="2048">
        <f>IF(ISBLANK(C34),0,IF(F34&lt;VLOOKUP(B34,$U$3:$Z$16,2,FALSE),$V$1,IF(F34&lt;VLOOKUP(B34,$U$3:$Z$16,3,FALSE),$W$1,IF(F34&lt;VLOOKUP(B34,$U$3:$Z$16,4,FALSE),$X$1,IF(F34&lt;=VLOOKUP(B34,$U$3:$Z$16,5,FALSE),$Y$1,IF(F34&gt;VLOOKUP(B34,$U$3:$Z$16,6,FALSE),$Z$1,))))))</f>
        <v>0</v>
      </c>
      <c r="H34" s="2103"/>
      <c r="I34" s="2103"/>
      <c r="J34" s="2028"/>
      <c r="K34" s="2028"/>
      <c r="L34" s="2028"/>
      <c r="M34" s="2028"/>
      <c r="N34" s="2028"/>
      <c r="O34" s="2028"/>
      <c r="P34" s="2028"/>
      <c r="Q34" s="2028"/>
      <c r="R34" s="2098">
        <f>B73</f>
        <v>0</v>
      </c>
      <c r="S34" s="2097">
        <f>G73</f>
        <v>0</v>
      </c>
      <c r="AH34" s="2028"/>
    </row>
    <row r="35" spans="1:34" ht="6" customHeight="1">
      <c r="A35" s="2030"/>
      <c r="B35" s="2049"/>
      <c r="C35" s="2049"/>
      <c r="D35" s="2049"/>
      <c r="E35" s="2049"/>
      <c r="F35" s="2049"/>
      <c r="G35" s="2031"/>
      <c r="H35" s="2103"/>
      <c r="I35" s="2103"/>
      <c r="J35" s="2028"/>
      <c r="K35" s="2028"/>
      <c r="L35" s="2028"/>
      <c r="M35" s="2028"/>
      <c r="N35" s="2028"/>
      <c r="O35" s="2028"/>
      <c r="P35" s="2028"/>
      <c r="Q35" s="2028"/>
      <c r="R35" s="2098">
        <f>B74</f>
        <v>0</v>
      </c>
      <c r="S35" s="2097">
        <f>G74</f>
        <v>0</v>
      </c>
      <c r="AH35" s="2028"/>
    </row>
    <row r="36" spans="1:34" ht="24" customHeight="1">
      <c r="A36" s="2030"/>
      <c r="B36" s="2051" t="s">
        <v>2064</v>
      </c>
      <c r="C36" s="2036" t="s">
        <v>2065</v>
      </c>
      <c r="D36" s="2052" t="s">
        <v>2066</v>
      </c>
      <c r="E36" s="2053" t="s">
        <v>2093</v>
      </c>
      <c r="F36" s="2054" t="s">
        <v>2068</v>
      </c>
      <c r="G36" s="2031"/>
      <c r="H36" s="2103"/>
      <c r="I36" s="2103"/>
      <c r="J36" s="2145" t="s">
        <v>2201</v>
      </c>
      <c r="K36" s="2028"/>
      <c r="L36" s="2028"/>
      <c r="M36" s="2028"/>
      <c r="N36" s="2028"/>
      <c r="O36" s="2028"/>
      <c r="P36" s="2028"/>
      <c r="Q36" s="2028"/>
      <c r="R36" s="2098">
        <f>B75</f>
        <v>0</v>
      </c>
      <c r="S36" s="2097">
        <f>G75</f>
        <v>0</v>
      </c>
      <c r="AH36" s="2028"/>
    </row>
    <row r="37" spans="1:34" ht="17.399999999999999">
      <c r="A37" s="2030"/>
      <c r="B37" s="2056"/>
      <c r="C37" s="2085">
        <f>_xlfn.IFNA(VLOOKUP(B37,Ertragsermittlung!$R$23:$S$47,2,"falsch"),"0")</f>
        <v>0</v>
      </c>
      <c r="D37" s="2058"/>
      <c r="E37" s="2059"/>
      <c r="F37" s="2086">
        <f>IF(ISBLANK(D37),C37*E37,D37*E37)</f>
        <v>0</v>
      </c>
      <c r="G37" s="2031"/>
      <c r="H37" s="2103"/>
      <c r="I37" s="2103"/>
      <c r="J37" s="2875" t="s">
        <v>1778</v>
      </c>
      <c r="K37" s="2876"/>
      <c r="L37" s="2141" t="s">
        <v>1784</v>
      </c>
      <c r="M37" s="2141" t="s">
        <v>1095</v>
      </c>
      <c r="N37" s="2141" t="s">
        <v>1091</v>
      </c>
      <c r="O37" s="2141" t="s">
        <v>1787</v>
      </c>
      <c r="P37" s="2141" t="s">
        <v>1788</v>
      </c>
      <c r="Q37" s="2141" t="s">
        <v>2051</v>
      </c>
      <c r="R37" s="2098">
        <f>B76</f>
        <v>0</v>
      </c>
      <c r="S37" s="2097">
        <f>G76</f>
        <v>0</v>
      </c>
      <c r="AH37" s="2028"/>
    </row>
    <row r="38" spans="1:34" ht="18">
      <c r="A38" s="2030"/>
      <c r="B38" s="2056"/>
      <c r="C38" s="2085">
        <f>_xlfn.IFNA(VLOOKUP(B38,Ertragsermittlung!$R$23:$S$47,2,"falsch"),"0")</f>
        <v>0</v>
      </c>
      <c r="D38" s="2058"/>
      <c r="E38" s="2059"/>
      <c r="F38" s="2086">
        <f t="shared" ref="F38:F41" si="3">IF(ISBLANK(D38),C38*E38,D38*E38)</f>
        <v>0</v>
      </c>
      <c r="G38" s="2031"/>
      <c r="H38" s="2103"/>
      <c r="I38" s="2103"/>
      <c r="J38" s="2875" t="s">
        <v>1944</v>
      </c>
      <c r="K38" s="2876"/>
      <c r="L38" s="2140" t="s">
        <v>2148</v>
      </c>
      <c r="M38" s="2140" t="s">
        <v>2148</v>
      </c>
      <c r="N38" s="2140" t="s">
        <v>2148</v>
      </c>
      <c r="O38" s="2140" t="s">
        <v>2148</v>
      </c>
      <c r="P38" s="2140" t="s">
        <v>2148</v>
      </c>
      <c r="Q38" s="2140" t="s">
        <v>2054</v>
      </c>
      <c r="R38" s="2098">
        <f>B79</f>
        <v>0</v>
      </c>
      <c r="S38" s="2097">
        <f>H79</f>
        <v>0</v>
      </c>
      <c r="AH38" s="2028"/>
    </row>
    <row r="39" spans="1:34" ht="15">
      <c r="A39" s="2030"/>
      <c r="B39" s="2056"/>
      <c r="C39" s="2085">
        <f>_xlfn.IFNA(VLOOKUP(B39,Ertragsermittlung!$R$23:$S$47,2,"falsch"),"0")</f>
        <v>0</v>
      </c>
      <c r="D39" s="2058"/>
      <c r="E39" s="2059"/>
      <c r="F39" s="2086">
        <f t="shared" si="3"/>
        <v>0</v>
      </c>
      <c r="G39" s="2031"/>
      <c r="H39" s="2103"/>
      <c r="I39" s="2103"/>
      <c r="J39" s="2872" t="s">
        <v>731</v>
      </c>
      <c r="K39" s="2873"/>
      <c r="L39" s="2142" t="s">
        <v>2149</v>
      </c>
      <c r="M39" s="2143" t="s">
        <v>2167</v>
      </c>
      <c r="N39" s="2142" t="s">
        <v>2168</v>
      </c>
      <c r="O39" s="2142" t="s">
        <v>2169</v>
      </c>
      <c r="P39" s="2142" t="s">
        <v>2157</v>
      </c>
      <c r="Q39" s="2144">
        <v>80</v>
      </c>
      <c r="R39" s="2098">
        <f>B80</f>
        <v>0</v>
      </c>
      <c r="S39" s="2097">
        <f>H80</f>
        <v>0</v>
      </c>
      <c r="AH39" s="2028"/>
    </row>
    <row r="40" spans="1:34" ht="15">
      <c r="A40" s="2030"/>
      <c r="B40" s="2056"/>
      <c r="C40" s="2085">
        <f>_xlfn.IFNA(VLOOKUP(B40,Ertragsermittlung!$R$23:$S$47,2,"falsch"),"0")</f>
        <v>0</v>
      </c>
      <c r="D40" s="2058"/>
      <c r="E40" s="2059"/>
      <c r="F40" s="2086">
        <f t="shared" si="3"/>
        <v>0</v>
      </c>
      <c r="G40" s="2031"/>
      <c r="H40" s="2103"/>
      <c r="I40" s="2103"/>
      <c r="J40" s="2872" t="s">
        <v>2063</v>
      </c>
      <c r="K40" s="2873"/>
      <c r="L40" s="2142" t="s">
        <v>2150</v>
      </c>
      <c r="M40" s="2143" t="s">
        <v>2170</v>
      </c>
      <c r="N40" s="2142" t="s">
        <v>2171</v>
      </c>
      <c r="O40" s="2142" t="s">
        <v>2172</v>
      </c>
      <c r="P40" s="2142" t="s">
        <v>2158</v>
      </c>
      <c r="Q40" s="2144">
        <v>81</v>
      </c>
      <c r="R40" s="2098">
        <f>B81</f>
        <v>0</v>
      </c>
      <c r="S40" s="2097">
        <f>H81</f>
        <v>0</v>
      </c>
      <c r="AH40" s="2028"/>
    </row>
    <row r="41" spans="1:34" ht="15">
      <c r="A41" s="2030"/>
      <c r="B41" s="2056"/>
      <c r="C41" s="2085">
        <f>_xlfn.IFNA(VLOOKUP(B41,Ertragsermittlung!$R$23:$S$47,2,"falsch"),"0")</f>
        <v>0</v>
      </c>
      <c r="D41" s="2058"/>
      <c r="E41" s="2059"/>
      <c r="F41" s="2086">
        <f t="shared" si="3"/>
        <v>0</v>
      </c>
      <c r="G41" s="2031"/>
      <c r="H41" s="2103"/>
      <c r="I41" s="2103"/>
      <c r="J41" s="2872" t="s">
        <v>1802</v>
      </c>
      <c r="K41" s="2873"/>
      <c r="L41" s="2142" t="s">
        <v>2151</v>
      </c>
      <c r="M41" s="2143" t="s">
        <v>2173</v>
      </c>
      <c r="N41" s="2142" t="s">
        <v>2174</v>
      </c>
      <c r="O41" s="2142" t="s">
        <v>2175</v>
      </c>
      <c r="P41" s="2142" t="s">
        <v>2159</v>
      </c>
      <c r="Q41" s="2144">
        <v>67</v>
      </c>
      <c r="R41" s="2098">
        <f>B82</f>
        <v>0</v>
      </c>
      <c r="S41" s="2097">
        <f>H82</f>
        <v>0</v>
      </c>
      <c r="AH41" s="2028"/>
    </row>
    <row r="42" spans="1:34" ht="12" customHeight="1">
      <c r="A42" s="2049"/>
      <c r="B42" s="2028"/>
      <c r="C42" s="2028"/>
      <c r="D42" s="2028"/>
      <c r="E42" s="2028"/>
      <c r="F42" s="2028"/>
      <c r="G42" s="2078"/>
      <c r="H42" s="2103"/>
      <c r="I42" s="2103"/>
      <c r="J42" s="2872" t="s">
        <v>738</v>
      </c>
      <c r="K42" s="2873"/>
      <c r="L42" s="2142" t="s">
        <v>2152</v>
      </c>
      <c r="M42" s="2143" t="s">
        <v>2176</v>
      </c>
      <c r="N42" s="2142" t="s">
        <v>2177</v>
      </c>
      <c r="O42" s="2142" t="s">
        <v>2178</v>
      </c>
      <c r="P42" s="2142" t="s">
        <v>1078</v>
      </c>
      <c r="Q42" s="2144">
        <v>72</v>
      </c>
      <c r="R42" s="2098">
        <f>B83</f>
        <v>0</v>
      </c>
      <c r="S42" s="2097">
        <f>H83</f>
        <v>0</v>
      </c>
      <c r="AH42" s="2028"/>
    </row>
    <row r="43" spans="1:34" ht="26.4">
      <c r="A43" s="2030"/>
      <c r="B43" s="2034" t="s">
        <v>2122</v>
      </c>
      <c r="C43" s="2035" t="s">
        <v>2057</v>
      </c>
      <c r="D43" s="2036" t="s">
        <v>2087</v>
      </c>
      <c r="E43" s="2037" t="s">
        <v>2059</v>
      </c>
      <c r="F43" s="2035" t="s">
        <v>2060</v>
      </c>
      <c r="G43" s="2035" t="s">
        <v>2061</v>
      </c>
      <c r="H43" s="2103"/>
      <c r="I43" s="2103"/>
      <c r="J43" s="2872" t="s">
        <v>2070</v>
      </c>
      <c r="K43" s="2873"/>
      <c r="L43" s="2142" t="s">
        <v>455</v>
      </c>
      <c r="M43" s="2143" t="s">
        <v>2199</v>
      </c>
      <c r="N43" s="2142" t="s">
        <v>230</v>
      </c>
      <c r="O43" s="2142" t="s">
        <v>2200</v>
      </c>
      <c r="P43" s="2142" t="s">
        <v>2160</v>
      </c>
      <c r="Q43" s="2144">
        <v>34</v>
      </c>
      <c r="R43" s="2098">
        <f>B86</f>
        <v>0</v>
      </c>
      <c r="S43" s="2097">
        <f>H86</f>
        <v>0</v>
      </c>
      <c r="AH43" s="2028"/>
    </row>
    <row r="44" spans="1:34" ht="20.25" customHeight="1">
      <c r="A44" s="2030"/>
      <c r="B44" s="2043"/>
      <c r="C44" s="2044"/>
      <c r="D44" s="2045"/>
      <c r="E44" s="2046">
        <f>SUM(F48:F51)</f>
        <v>0</v>
      </c>
      <c r="F44" s="2047" t="str">
        <f>IF(ISNUMBER(C44),E44/C44,"")</f>
        <v/>
      </c>
      <c r="G44" s="2048">
        <f>IF(ISBLANK(C44),0,IF(F44&lt;VLOOKUP(B44,$U$3:$Z$16,2,FALSE),$V$1,IF(F44&lt;VLOOKUP(B44,$U$3:$Z$16,3,FALSE),$W$1,IF(F44&lt;VLOOKUP(B44,$U$3:$Z$16,4,FALSE),$X$1,IF(F44&lt;=VLOOKUP(B44,$U$3:$Z$16,5,FALSE),$Y$1,IF(F44&gt;VLOOKUP(B44,$U$3:$Z$16,6,FALSE),$Z$1,))))))</f>
        <v>0</v>
      </c>
      <c r="H44" s="2103"/>
      <c r="I44" s="2103"/>
      <c r="J44" s="2872" t="s">
        <v>1971</v>
      </c>
      <c r="K44" s="2873"/>
      <c r="L44" s="2142" t="s">
        <v>2153</v>
      </c>
      <c r="M44" s="2143" t="s">
        <v>2179</v>
      </c>
      <c r="N44" s="2142" t="s">
        <v>2180</v>
      </c>
      <c r="O44" s="2142" t="s">
        <v>2181</v>
      </c>
      <c r="P44" s="2142" t="s">
        <v>2161</v>
      </c>
      <c r="Q44" s="2144">
        <v>72</v>
      </c>
      <c r="R44" s="2098">
        <f>B87</f>
        <v>0</v>
      </c>
      <c r="S44" s="2097">
        <f>H87</f>
        <v>0</v>
      </c>
      <c r="AH44" s="2028"/>
    </row>
    <row r="45" spans="1:34" ht="5.25" customHeight="1">
      <c r="A45" s="2030"/>
      <c r="B45" s="2049"/>
      <c r="C45" s="2049"/>
      <c r="D45" s="2049"/>
      <c r="E45" s="2049"/>
      <c r="F45" s="2049"/>
      <c r="G45" s="2031"/>
      <c r="H45" s="2103"/>
      <c r="I45" s="2103"/>
      <c r="J45" s="2872"/>
      <c r="K45" s="2873"/>
      <c r="L45" s="2142"/>
      <c r="M45" s="2143"/>
      <c r="N45" s="2142"/>
      <c r="O45" s="2142"/>
      <c r="P45" s="2142"/>
      <c r="Q45" s="2144"/>
      <c r="R45" s="2098">
        <f>B88</f>
        <v>0</v>
      </c>
      <c r="S45" s="2097">
        <f>H88</f>
        <v>0</v>
      </c>
      <c r="AH45" s="2028"/>
    </row>
    <row r="46" spans="1:34" ht="26.25" customHeight="1">
      <c r="A46" s="2030"/>
      <c r="B46" s="2051" t="s">
        <v>2064</v>
      </c>
      <c r="C46" s="2036" t="s">
        <v>2065</v>
      </c>
      <c r="D46" s="2052" t="s">
        <v>2066</v>
      </c>
      <c r="E46" s="2053" t="s">
        <v>2093</v>
      </c>
      <c r="F46" s="2054" t="s">
        <v>2068</v>
      </c>
      <c r="G46" s="2031"/>
      <c r="H46" s="2103"/>
      <c r="I46" s="2103"/>
      <c r="J46" s="2872" t="s">
        <v>2071</v>
      </c>
      <c r="K46" s="2873"/>
      <c r="L46" s="2142" t="s">
        <v>2154</v>
      </c>
      <c r="M46" s="2143" t="s">
        <v>2182</v>
      </c>
      <c r="N46" s="2142" t="s">
        <v>2183</v>
      </c>
      <c r="O46" s="2142" t="s">
        <v>2184</v>
      </c>
      <c r="P46" s="2142" t="s">
        <v>2162</v>
      </c>
      <c r="Q46" s="2144">
        <v>49</v>
      </c>
      <c r="R46" s="2098">
        <f>B89</f>
        <v>0</v>
      </c>
      <c r="S46" s="2097">
        <f>H89</f>
        <v>0</v>
      </c>
      <c r="AH46" s="2028"/>
    </row>
    <row r="47" spans="1:34" ht="14.25" customHeight="1" thickBot="1">
      <c r="A47" s="2030"/>
      <c r="B47" s="2056"/>
      <c r="C47" s="2085">
        <f>_xlfn.IFNA(VLOOKUP(B47,Ertragsermittlung!$R$23:$S$47,2,"falsch"),"0")</f>
        <v>0</v>
      </c>
      <c r="D47" s="2058"/>
      <c r="E47" s="2059"/>
      <c r="F47" s="2086"/>
      <c r="G47" s="2031"/>
      <c r="H47" s="2103"/>
      <c r="I47" s="2103"/>
      <c r="J47" s="2872" t="s">
        <v>1809</v>
      </c>
      <c r="K47" s="2873"/>
      <c r="L47" s="2142" t="s">
        <v>1949</v>
      </c>
      <c r="M47" s="2143" t="s">
        <v>2185</v>
      </c>
      <c r="N47" s="2142" t="s">
        <v>2186</v>
      </c>
      <c r="O47" s="2142" t="s">
        <v>2174</v>
      </c>
      <c r="P47" s="2142" t="s">
        <v>2157</v>
      </c>
      <c r="Q47" s="2144">
        <v>67</v>
      </c>
      <c r="R47" s="2104">
        <f>B90</f>
        <v>0</v>
      </c>
      <c r="S47" s="2105">
        <f>H90</f>
        <v>0</v>
      </c>
      <c r="AH47" s="2028"/>
    </row>
    <row r="48" spans="1:34" ht="15.75" customHeight="1">
      <c r="A48" s="2030"/>
      <c r="B48" s="2056"/>
      <c r="C48" s="2085">
        <f>_xlfn.IFNA(VLOOKUP(B48,Ertragsermittlung!$R$23:$S$47,2,"falsch"),"0")</f>
        <v>0</v>
      </c>
      <c r="D48" s="2058"/>
      <c r="E48" s="2059"/>
      <c r="F48" s="2086">
        <f>IF(ISBLANK(D48),C48*E48,D48*E48)</f>
        <v>0</v>
      </c>
      <c r="G48" s="2031"/>
      <c r="H48" s="2103"/>
      <c r="I48" s="2103"/>
      <c r="J48" s="2872" t="s">
        <v>2082</v>
      </c>
      <c r="K48" s="2873"/>
      <c r="L48" s="2142" t="s">
        <v>1978</v>
      </c>
      <c r="M48" s="2143" t="s">
        <v>2187</v>
      </c>
      <c r="N48" s="2142" t="s">
        <v>1980</v>
      </c>
      <c r="O48" s="2142" t="s">
        <v>2188</v>
      </c>
      <c r="P48" s="2142" t="s">
        <v>1982</v>
      </c>
      <c r="Q48" s="2144">
        <v>98</v>
      </c>
      <c r="AH48" s="2028"/>
    </row>
    <row r="49" spans="1:34" ht="15.75" customHeight="1">
      <c r="A49" s="2030"/>
      <c r="B49" s="2056"/>
      <c r="C49" s="2085">
        <f>_xlfn.IFNA(VLOOKUP(B49,Ertragsermittlung!$R$23:$S$47,2,"falsch"),"0")</f>
        <v>0</v>
      </c>
      <c r="D49" s="2058"/>
      <c r="E49" s="2059"/>
      <c r="F49" s="2086">
        <f t="shared" ref="F49:F51" si="4">IF(ISBLANK(D49),C49*E49,D49*E49)</f>
        <v>0</v>
      </c>
      <c r="G49" s="2031"/>
      <c r="H49" s="2103"/>
      <c r="I49" s="2103"/>
      <c r="J49" s="2872" t="s">
        <v>2081</v>
      </c>
      <c r="K49" s="2873"/>
      <c r="L49" s="2142" t="s">
        <v>1074</v>
      </c>
      <c r="M49" s="2143" t="s">
        <v>2189</v>
      </c>
      <c r="N49" s="2142" t="s">
        <v>2190</v>
      </c>
      <c r="O49" s="2142" t="s">
        <v>2191</v>
      </c>
      <c r="P49" s="2142" t="s">
        <v>2163</v>
      </c>
      <c r="Q49" s="2144">
        <v>83</v>
      </c>
      <c r="AH49" s="2028"/>
    </row>
    <row r="50" spans="1:34" ht="15.75" customHeight="1">
      <c r="A50" s="2030"/>
      <c r="B50" s="2056"/>
      <c r="C50" s="2085">
        <f>_xlfn.IFNA(VLOOKUP(B50,Ertragsermittlung!$R$23:$S$47,2,"falsch"),"0")</f>
        <v>0</v>
      </c>
      <c r="D50" s="2058"/>
      <c r="E50" s="2059"/>
      <c r="F50" s="2086">
        <f t="shared" si="4"/>
        <v>0</v>
      </c>
      <c r="G50" s="2031"/>
      <c r="H50" s="2103"/>
      <c r="I50" s="2103"/>
      <c r="J50" s="2872" t="s">
        <v>2090</v>
      </c>
      <c r="K50" s="2873"/>
      <c r="L50" s="2142" t="s">
        <v>2155</v>
      </c>
      <c r="M50" s="2143" t="s">
        <v>2192</v>
      </c>
      <c r="N50" s="2142" t="s">
        <v>284</v>
      </c>
      <c r="O50" s="2142" t="s">
        <v>2193</v>
      </c>
      <c r="P50" s="2142" t="s">
        <v>2164</v>
      </c>
      <c r="Q50" s="2144">
        <v>36</v>
      </c>
      <c r="Z50" s="1542"/>
      <c r="AA50" s="1542"/>
      <c r="AB50" s="1542"/>
      <c r="AC50" s="1542"/>
      <c r="AH50" s="2028"/>
    </row>
    <row r="51" spans="1:34" ht="15.75" customHeight="1">
      <c r="A51" s="2030"/>
      <c r="B51" s="2056"/>
      <c r="C51" s="2085">
        <f>_xlfn.IFNA(VLOOKUP(B51,Ertragsermittlung!$R$23:$S$47,2,"falsch"),"0")</f>
        <v>0</v>
      </c>
      <c r="D51" s="2058"/>
      <c r="E51" s="2059"/>
      <c r="F51" s="2086">
        <f t="shared" si="4"/>
        <v>0</v>
      </c>
      <c r="G51" s="2031"/>
      <c r="H51" s="2103"/>
      <c r="I51" s="2103"/>
      <c r="J51" s="2872" t="s">
        <v>2091</v>
      </c>
      <c r="K51" s="2873"/>
      <c r="L51" s="2142" t="s">
        <v>1992</v>
      </c>
      <c r="M51" s="2143" t="s">
        <v>2194</v>
      </c>
      <c r="N51" s="2142" t="s">
        <v>251</v>
      </c>
      <c r="O51" s="2142" t="s">
        <v>2195</v>
      </c>
      <c r="P51" s="2142" t="s">
        <v>2165</v>
      </c>
      <c r="Q51" s="2144">
        <v>72</v>
      </c>
      <c r="Z51" s="1542"/>
      <c r="AA51" s="1542"/>
      <c r="AB51" s="1542"/>
      <c r="AC51" s="1542"/>
      <c r="AH51" s="2028"/>
    </row>
    <row r="52" spans="1:34" ht="15">
      <c r="A52" s="2106"/>
      <c r="B52" s="2107"/>
      <c r="C52" s="2107"/>
      <c r="D52" s="2107"/>
      <c r="E52" s="2107"/>
      <c r="F52" s="2107"/>
      <c r="G52" s="2108"/>
      <c r="H52" s="2103"/>
      <c r="I52" s="2103"/>
      <c r="J52" s="2872" t="s">
        <v>2092</v>
      </c>
      <c r="K52" s="2873"/>
      <c r="L52" s="2142" t="s">
        <v>2156</v>
      </c>
      <c r="M52" s="2143" t="s">
        <v>2196</v>
      </c>
      <c r="N52" s="2142" t="s">
        <v>2197</v>
      </c>
      <c r="O52" s="2142" t="s">
        <v>2198</v>
      </c>
      <c r="P52" s="2142" t="s">
        <v>2166</v>
      </c>
      <c r="Q52" s="2144">
        <v>25</v>
      </c>
      <c r="R52" s="2028"/>
      <c r="S52" s="2028"/>
      <c r="T52" s="2028"/>
      <c r="U52" s="2028"/>
      <c r="V52" s="2028"/>
      <c r="W52" s="2028"/>
      <c r="X52" s="2028"/>
      <c r="Y52" s="2028"/>
      <c r="Z52" s="2028"/>
      <c r="AA52" s="2028"/>
      <c r="AB52" s="2028"/>
      <c r="AC52" s="2028"/>
      <c r="AD52" s="2028"/>
      <c r="AE52" s="2028"/>
      <c r="AF52" s="2028"/>
      <c r="AG52" s="2028"/>
      <c r="AH52" s="2028"/>
    </row>
    <row r="53" spans="1:34" ht="3.75" customHeight="1">
      <c r="A53" s="2109"/>
      <c r="B53" s="2028"/>
      <c r="C53" s="2028"/>
      <c r="D53" s="2028"/>
      <c r="E53" s="2028"/>
      <c r="F53" s="2028"/>
      <c r="G53" s="2028"/>
      <c r="H53" s="2028"/>
      <c r="I53" s="2028"/>
      <c r="J53" s="2028"/>
      <c r="K53" s="2028"/>
      <c r="L53" s="2028"/>
      <c r="M53" s="2028"/>
      <c r="N53" s="2028"/>
      <c r="O53" s="2028"/>
      <c r="P53" s="2028"/>
      <c r="Q53" s="2028"/>
      <c r="Z53" s="1542"/>
      <c r="AA53" s="1542"/>
      <c r="AB53" s="1542"/>
      <c r="AC53" s="1542"/>
      <c r="AH53" s="2028"/>
    </row>
    <row r="54" spans="1:34" ht="28.5" customHeight="1">
      <c r="A54" s="2874" t="s">
        <v>2123</v>
      </c>
      <c r="B54" s="2874"/>
      <c r="C54" s="2874"/>
      <c r="D54" s="2874"/>
      <c r="E54" s="2874"/>
      <c r="F54" s="2874"/>
      <c r="G54" s="2874"/>
      <c r="H54" s="2110"/>
      <c r="I54" s="2110"/>
      <c r="J54" s="2028"/>
      <c r="K54" s="2028"/>
      <c r="L54" s="2028"/>
      <c r="M54" s="2028"/>
      <c r="N54" s="2028"/>
      <c r="O54" s="2028"/>
      <c r="P54" s="2028"/>
      <c r="Q54" s="2028"/>
      <c r="R54" s="2110"/>
      <c r="S54" s="2110"/>
      <c r="T54" s="2110"/>
      <c r="U54" s="2110"/>
      <c r="V54" s="2110"/>
      <c r="W54" s="2110"/>
      <c r="X54" s="2110"/>
      <c r="Y54" s="2110"/>
      <c r="Z54" s="2110"/>
      <c r="AA54" s="2110"/>
      <c r="AB54" s="2110"/>
      <c r="AC54" s="2110"/>
      <c r="AD54" s="2110"/>
      <c r="AE54" s="2110"/>
      <c r="AF54" s="2110"/>
      <c r="AG54" s="2110"/>
      <c r="AH54" s="2028"/>
    </row>
    <row r="55" spans="1:34" ht="9.75" customHeight="1">
      <c r="A55" s="2110"/>
      <c r="B55" s="2110"/>
      <c r="C55" s="2110"/>
      <c r="D55" s="2110"/>
      <c r="E55" s="2110"/>
      <c r="F55" s="2110"/>
      <c r="G55" s="2110"/>
      <c r="H55" s="2110"/>
      <c r="I55" s="2110"/>
      <c r="J55" s="2028"/>
      <c r="K55" s="2028"/>
      <c r="L55" s="2028"/>
      <c r="M55" s="2028"/>
      <c r="N55" s="2028"/>
      <c r="O55" s="2028"/>
      <c r="P55" s="2028"/>
      <c r="Q55" s="2028"/>
      <c r="R55" s="2110"/>
      <c r="S55" s="2110"/>
      <c r="T55" s="2110"/>
      <c r="U55" s="2110"/>
      <c r="V55" s="2110"/>
      <c r="W55" s="2110"/>
      <c r="X55" s="2110"/>
      <c r="Y55" s="2110"/>
      <c r="Z55" s="2110"/>
      <c r="AA55" s="2110"/>
      <c r="AB55" s="2110"/>
      <c r="AC55" s="2110"/>
      <c r="AD55" s="2110"/>
      <c r="AE55" s="2110"/>
      <c r="AF55" s="2110"/>
      <c r="AG55" s="2110"/>
      <c r="AH55" s="2028"/>
    </row>
    <row r="56" spans="1:34" ht="48.75" customHeight="1">
      <c r="A56" s="2110"/>
      <c r="B56" s="2111" t="s">
        <v>2124</v>
      </c>
      <c r="C56" s="2112" t="s">
        <v>2125</v>
      </c>
      <c r="D56" s="2113"/>
      <c r="E56" s="2111" t="s">
        <v>2126</v>
      </c>
      <c r="F56" s="2114" t="s">
        <v>2127</v>
      </c>
      <c r="G56" s="2111" t="s">
        <v>2128</v>
      </c>
      <c r="H56" s="2110"/>
      <c r="I56" s="2110"/>
      <c r="J56" s="2028"/>
      <c r="K56" s="2028"/>
      <c r="L56" s="2028"/>
      <c r="M56" s="2028"/>
      <c r="N56" s="2028"/>
      <c r="O56" s="2028"/>
      <c r="P56" s="2028"/>
      <c r="Q56" s="2028"/>
      <c r="Z56" s="1542"/>
      <c r="AA56" s="1542"/>
      <c r="AB56" s="1542"/>
      <c r="AC56" s="1542"/>
      <c r="AH56" s="2028"/>
    </row>
    <row r="57" spans="1:34" ht="28.5" customHeight="1">
      <c r="A57" s="2110"/>
      <c r="B57" s="2115" t="s">
        <v>2129</v>
      </c>
      <c r="C57" s="2112"/>
      <c r="D57" s="2116"/>
      <c r="E57" s="2111"/>
      <c r="F57" s="2114"/>
      <c r="G57" s="2112"/>
      <c r="H57" s="2110"/>
      <c r="I57" s="2110"/>
      <c r="J57" s="2028"/>
      <c r="K57" s="2028"/>
      <c r="L57" s="2028"/>
      <c r="M57" s="2028"/>
      <c r="N57" s="2028"/>
      <c r="O57" s="2028"/>
      <c r="P57" s="2028"/>
      <c r="Q57" s="2028"/>
      <c r="Z57" s="1542"/>
      <c r="AA57" s="1542"/>
      <c r="AB57" s="1542"/>
      <c r="AC57" s="1542"/>
      <c r="AH57" s="2028"/>
    </row>
    <row r="58" spans="1:34" ht="16.5" customHeight="1">
      <c r="A58" s="2110"/>
      <c r="B58" s="2118"/>
      <c r="C58" s="2119"/>
      <c r="D58" s="2116"/>
      <c r="E58" s="2119"/>
      <c r="F58" s="2120"/>
      <c r="G58" s="2121">
        <f>IF(ISNUMBER(F58),((E58/2)^2)*3.14*C58*F58,((E58/2)^2)*3.14*C58)</f>
        <v>0</v>
      </c>
      <c r="H58" s="2110"/>
      <c r="I58" s="2110"/>
      <c r="J58" s="2028"/>
      <c r="K58" s="2028"/>
      <c r="L58" s="2028"/>
      <c r="M58" s="2028"/>
      <c r="N58" s="2028"/>
      <c r="O58" s="2028"/>
      <c r="P58" s="2028"/>
      <c r="Q58" s="2028"/>
      <c r="Z58" s="1542"/>
      <c r="AA58" s="1542"/>
      <c r="AB58" s="1542"/>
      <c r="AC58" s="1542"/>
      <c r="AH58" s="2028"/>
    </row>
    <row r="59" spans="1:34" ht="16.5" customHeight="1">
      <c r="A59" s="2110"/>
      <c r="B59" s="2118"/>
      <c r="C59" s="2119"/>
      <c r="D59" s="2116"/>
      <c r="E59" s="2119"/>
      <c r="F59" s="2120"/>
      <c r="G59" s="2121">
        <f>IF(ISNUMBER(F59),((E59/2)^2)*3.14*C59*F59,((E59/2)^2)*3.14*C59)</f>
        <v>0</v>
      </c>
      <c r="H59" s="2110"/>
      <c r="I59" s="2110"/>
      <c r="J59" s="2028"/>
      <c r="K59" s="2028"/>
      <c r="L59" s="2028"/>
      <c r="M59" s="2028"/>
      <c r="N59" s="2028"/>
      <c r="O59" s="2028"/>
      <c r="P59" s="2028"/>
      <c r="Q59" s="2028"/>
      <c r="Z59" s="1542"/>
      <c r="AA59" s="1542"/>
      <c r="AB59" s="1542"/>
      <c r="AC59" s="1542"/>
      <c r="AH59" s="2028"/>
    </row>
    <row r="60" spans="1:34" ht="16.5" customHeight="1">
      <c r="A60" s="2110"/>
      <c r="B60" s="2118"/>
      <c r="C60" s="2119"/>
      <c r="D60" s="2116"/>
      <c r="E60" s="2119"/>
      <c r="F60" s="2120"/>
      <c r="G60" s="2121">
        <f>IF(ISNUMBER(F60),((E60/2)^2)*3.14*C60*F60,((E60/2)^2)*3.14*C60)</f>
        <v>0</v>
      </c>
      <c r="H60" s="2110"/>
      <c r="I60" s="2110"/>
      <c r="J60" s="2028"/>
      <c r="K60" s="2028"/>
      <c r="L60" s="2028"/>
      <c r="M60" s="2028"/>
      <c r="N60" s="2028"/>
      <c r="O60" s="2028"/>
      <c r="P60" s="2028"/>
      <c r="Q60" s="2028"/>
      <c r="Z60" s="1542"/>
      <c r="AA60" s="1542"/>
      <c r="AB60" s="1542"/>
      <c r="AC60" s="1542"/>
      <c r="AH60" s="2028"/>
    </row>
    <row r="61" spans="1:34" ht="16.5" customHeight="1">
      <c r="A61" s="2110"/>
      <c r="B61" s="2118"/>
      <c r="C61" s="2119"/>
      <c r="D61" s="2116"/>
      <c r="E61" s="2119"/>
      <c r="F61" s="2120"/>
      <c r="G61" s="2121">
        <f>IF(ISNUMBER(F61),((E61/2)^2)*3.14*C61*F61,((E61/2)^2)*3.14*C61)</f>
        <v>0</v>
      </c>
      <c r="H61" s="2110"/>
      <c r="I61" s="2110"/>
      <c r="J61" s="2028"/>
      <c r="K61" s="2028"/>
      <c r="L61" s="2028"/>
      <c r="M61" s="2028"/>
      <c r="N61" s="2028"/>
      <c r="O61" s="2028"/>
      <c r="P61" s="2028"/>
      <c r="Q61" s="2028"/>
      <c r="Z61" s="1542"/>
      <c r="AA61" s="1542"/>
      <c r="AB61" s="1542"/>
      <c r="AC61" s="1542"/>
      <c r="AH61" s="2028"/>
    </row>
    <row r="62" spans="1:34" ht="16.5" customHeight="1">
      <c r="A62" s="2110"/>
      <c r="B62" s="2118"/>
      <c r="C62" s="2119"/>
      <c r="D62" s="2122"/>
      <c r="E62" s="2119"/>
      <c r="F62" s="2120"/>
      <c r="G62" s="2121">
        <f>IF(ISNUMBER(F62),((E62/2)^2)*3.14*C62*F62,((E62/2)^2)*3.14*C62)</f>
        <v>0</v>
      </c>
      <c r="H62" s="2110"/>
      <c r="I62" s="2110"/>
      <c r="J62" s="2028"/>
      <c r="K62" s="2028"/>
      <c r="L62" s="2028"/>
      <c r="M62" s="2028"/>
      <c r="N62" s="2028"/>
      <c r="O62" s="2028"/>
      <c r="P62" s="2028"/>
      <c r="Q62" s="2028"/>
      <c r="AH62" s="2028"/>
    </row>
    <row r="63" spans="1:34">
      <c r="A63" s="2110"/>
      <c r="B63" s="2110"/>
      <c r="C63" s="2110"/>
      <c r="D63" s="2110"/>
      <c r="E63" s="2110"/>
      <c r="F63" s="2110"/>
      <c r="G63" s="2110"/>
      <c r="H63" s="2110"/>
      <c r="I63" s="2110"/>
      <c r="J63" s="2028"/>
      <c r="K63" s="2028"/>
      <c r="L63" s="2028"/>
      <c r="M63" s="2028"/>
      <c r="N63" s="2028"/>
      <c r="O63" s="2028"/>
      <c r="P63" s="2028"/>
      <c r="Q63" s="2028"/>
      <c r="AH63" s="2028"/>
    </row>
    <row r="64" spans="1:34" ht="52.8">
      <c r="A64" s="2110"/>
      <c r="B64" s="2123" t="s">
        <v>2130</v>
      </c>
      <c r="C64" s="2111" t="s">
        <v>2131</v>
      </c>
      <c r="D64" s="2111" t="s">
        <v>2132</v>
      </c>
      <c r="E64" s="2124" t="s">
        <v>2126</v>
      </c>
      <c r="F64" s="2114" t="s">
        <v>2127</v>
      </c>
      <c r="G64" s="2111" t="s">
        <v>2128</v>
      </c>
      <c r="H64" s="2110"/>
      <c r="I64" s="2110"/>
      <c r="J64" s="2028"/>
      <c r="K64" s="2028"/>
      <c r="L64" s="2028"/>
      <c r="M64" s="2028"/>
      <c r="N64" s="2028"/>
      <c r="O64" s="2028"/>
      <c r="P64" s="2028"/>
      <c r="Q64" s="2028"/>
      <c r="AH64" s="2028"/>
    </row>
    <row r="65" spans="1:34" ht="20.25" customHeight="1">
      <c r="A65" s="2110"/>
      <c r="B65" s="2118"/>
      <c r="C65" s="2119"/>
      <c r="D65" s="2119"/>
      <c r="E65" s="2125"/>
      <c r="F65" s="2120"/>
      <c r="G65" s="2121">
        <f>IF(ISNUMBER(F65),(((E65/2)^2)*3.14*C65+((((E65/2)^2)*3.14*D65)/3))*F65,((E65/2)^2)*3.14*C65+((((E65/2)^2)*3.14*D65)/3))</f>
        <v>0</v>
      </c>
      <c r="H65" s="2110"/>
      <c r="I65" s="2110"/>
      <c r="J65" s="2028"/>
      <c r="K65" s="2028"/>
      <c r="L65" s="2028"/>
      <c r="M65" s="2028"/>
      <c r="N65" s="2028"/>
      <c r="O65" s="2028"/>
      <c r="P65" s="2028"/>
      <c r="Q65" s="2028"/>
      <c r="AH65" s="2028"/>
    </row>
    <row r="66" spans="1:34" ht="20.25" customHeight="1">
      <c r="A66" s="2110"/>
      <c r="B66" s="2118"/>
      <c r="C66" s="2119"/>
      <c r="D66" s="2119"/>
      <c r="E66" s="2125"/>
      <c r="F66" s="2120"/>
      <c r="G66" s="2121">
        <f>IF(ISNUMBER(F66),(((E66/2)^2)*3.14*C66+((((E66/2)^2)*3.14*D66)/3))*F66,((E66/2)^2)*3.14*C66+((((E66/2)^2)*3.14*D66)/3))</f>
        <v>0</v>
      </c>
      <c r="H66" s="2110"/>
      <c r="I66" s="2110"/>
      <c r="J66" s="2028"/>
      <c r="K66" s="2028"/>
      <c r="L66" s="2028"/>
      <c r="M66" s="2028"/>
      <c r="N66" s="2028"/>
      <c r="O66" s="2028"/>
      <c r="P66" s="2028"/>
      <c r="Q66" s="2028"/>
      <c r="AH66" s="2028"/>
    </row>
    <row r="67" spans="1:34" ht="20.25" customHeight="1">
      <c r="A67" s="2110"/>
      <c r="B67" s="2118"/>
      <c r="C67" s="2119"/>
      <c r="D67" s="2119"/>
      <c r="E67" s="2126"/>
      <c r="F67" s="2120"/>
      <c r="G67" s="2121">
        <f>IF(ISNUMBER(F67),(((E67/2)^2)*3.14*C67+((((E67/2)^2)*3.14*D67)/3))*F67,((E67/2)^2)*3.14*C67+((((E67/2)^2)*3.14*D67)/3))</f>
        <v>0</v>
      </c>
      <c r="H67" s="2110"/>
      <c r="I67" s="2110"/>
      <c r="J67" s="2028"/>
      <c r="K67" s="2028"/>
      <c r="L67" s="2028"/>
      <c r="M67" s="2028"/>
      <c r="N67" s="2028"/>
      <c r="O67" s="2028"/>
      <c r="P67" s="2028"/>
      <c r="Q67" s="2028"/>
      <c r="AH67" s="2028"/>
    </row>
    <row r="68" spans="1:34" ht="20.25" customHeight="1">
      <c r="A68" s="2110"/>
      <c r="B68" s="2118"/>
      <c r="C68" s="2119"/>
      <c r="D68" s="2119"/>
      <c r="E68" s="2126"/>
      <c r="F68" s="2120"/>
      <c r="G68" s="2121">
        <f>IF(ISNUMBER(F68),(((E68/2)^2)*3.14*C68+((((E68/2)^2)*3.14*D68)/3))*F68,((E68/2)^2)*3.14*C68+((((E68/2)^2)*3.14*D68)/3))</f>
        <v>0</v>
      </c>
      <c r="H68" s="2110"/>
      <c r="I68" s="2110"/>
      <c r="J68" s="2028"/>
      <c r="K68" s="2028"/>
      <c r="L68" s="2028"/>
      <c r="M68" s="2028"/>
      <c r="N68" s="2028"/>
      <c r="O68" s="2028"/>
      <c r="P68" s="2028"/>
      <c r="Q68" s="2028"/>
      <c r="AH68" s="2028"/>
    </row>
    <row r="69" spans="1:34" ht="20.25" customHeight="1">
      <c r="A69" s="2110"/>
      <c r="B69" s="2118"/>
      <c r="C69" s="2119"/>
      <c r="D69" s="2119"/>
      <c r="E69" s="2126"/>
      <c r="F69" s="2120"/>
      <c r="G69" s="2121">
        <f>IF(ISNUMBER(F69),(((E69/2)^2)*3.14*C69+((((E69/2)^2)*3.14*D69)/3))*F69,((E69/2)^2)*3.14*C69+((((E69/2)^2)*3.14*D69)/3))</f>
        <v>0</v>
      </c>
      <c r="H69" s="2110"/>
      <c r="I69" s="2110"/>
      <c r="J69" s="2028"/>
      <c r="K69" s="2028"/>
      <c r="L69" s="2028"/>
      <c r="M69" s="2028"/>
      <c r="N69" s="2028"/>
      <c r="O69" s="2028"/>
      <c r="P69" s="2028"/>
      <c r="Q69" s="2028"/>
      <c r="AH69" s="2028"/>
    </row>
    <row r="70" spans="1:34">
      <c r="A70" s="2110"/>
      <c r="B70" s="2110"/>
      <c r="C70" s="2110"/>
      <c r="D70" s="2110"/>
      <c r="E70" s="2110"/>
      <c r="F70" s="2110"/>
      <c r="G70" s="2110"/>
      <c r="H70" s="2110"/>
      <c r="I70" s="2110"/>
      <c r="J70" s="2028"/>
      <c r="K70" s="2028"/>
      <c r="L70" s="2028"/>
      <c r="M70" s="2028"/>
      <c r="N70" s="2028"/>
      <c r="O70" s="2028"/>
      <c r="P70" s="2028"/>
      <c r="Q70" s="2028"/>
      <c r="AH70" s="2028"/>
    </row>
    <row r="71" spans="1:34" ht="52.8">
      <c r="A71" s="2110"/>
      <c r="B71" s="2127" t="s">
        <v>2133</v>
      </c>
      <c r="C71" s="2112" t="s">
        <v>2134</v>
      </c>
      <c r="D71" s="2112" t="s">
        <v>2135</v>
      </c>
      <c r="E71" s="2128" t="s">
        <v>2136</v>
      </c>
      <c r="F71" s="2114" t="s">
        <v>2127</v>
      </c>
      <c r="G71" s="2111" t="s">
        <v>2128</v>
      </c>
      <c r="H71" s="2110"/>
      <c r="I71" s="2110"/>
      <c r="J71" s="2110"/>
      <c r="K71" s="2110"/>
      <c r="L71" s="2110"/>
      <c r="M71" s="2110"/>
      <c r="N71" s="2028"/>
      <c r="O71" s="2028"/>
      <c r="P71" s="2028"/>
      <c r="Q71" s="2028"/>
      <c r="AH71" s="2028"/>
    </row>
    <row r="72" spans="1:34" ht="15.75" customHeight="1">
      <c r="A72" s="2110"/>
      <c r="B72" s="2118"/>
      <c r="C72" s="2119"/>
      <c r="D72" s="2119"/>
      <c r="E72" s="2129"/>
      <c r="F72" s="2120"/>
      <c r="G72" s="2121">
        <f>IF(ISNUMBER(F72),C72*D72*E72*F72,C72*D72*E72)</f>
        <v>0</v>
      </c>
      <c r="H72" s="2110"/>
      <c r="I72" s="2110"/>
      <c r="J72" s="2110"/>
      <c r="K72" s="2110"/>
      <c r="L72" s="2110"/>
      <c r="M72" s="2110"/>
      <c r="N72" s="2028"/>
      <c r="O72" s="2028"/>
      <c r="P72" s="2028"/>
      <c r="Q72" s="2028"/>
      <c r="AH72" s="2028"/>
    </row>
    <row r="73" spans="1:34" ht="15.75" customHeight="1">
      <c r="A73" s="2110"/>
      <c r="B73" s="2118"/>
      <c r="C73" s="2119"/>
      <c r="D73" s="2119"/>
      <c r="E73" s="2129"/>
      <c r="F73" s="2120"/>
      <c r="G73" s="2121">
        <f>IF(ISNUMBER(F73),C73*D73*E73*F73,C73*D73*E73)</f>
        <v>0</v>
      </c>
      <c r="H73" s="2110"/>
      <c r="I73" s="2110"/>
      <c r="J73" s="2110"/>
      <c r="K73" s="2110"/>
      <c r="L73" s="2110"/>
      <c r="M73" s="2110"/>
      <c r="N73" s="2028"/>
      <c r="O73" s="2028"/>
      <c r="P73" s="2028"/>
      <c r="Q73" s="2028"/>
      <c r="AH73" s="2028"/>
    </row>
    <row r="74" spans="1:34" ht="15.75" customHeight="1">
      <c r="A74" s="2110"/>
      <c r="B74" s="2118"/>
      <c r="C74" s="2119"/>
      <c r="D74" s="2119"/>
      <c r="E74" s="2129"/>
      <c r="F74" s="2120"/>
      <c r="G74" s="2121">
        <f>IF(ISNUMBER(F74),C74*D74*E74*F74,C74*D74*E74)</f>
        <v>0</v>
      </c>
      <c r="H74" s="2110"/>
      <c r="I74" s="2110"/>
      <c r="J74" s="2110"/>
      <c r="K74" s="2110"/>
      <c r="L74" s="2110"/>
      <c r="M74" s="2110"/>
      <c r="N74" s="2028"/>
      <c r="O74" s="2028"/>
      <c r="P74" s="2028"/>
      <c r="Q74" s="2028"/>
      <c r="AH74" s="2028"/>
    </row>
    <row r="75" spans="1:34" ht="15.75" customHeight="1">
      <c r="A75" s="2110"/>
      <c r="B75" s="2118"/>
      <c r="C75" s="2119"/>
      <c r="D75" s="2119"/>
      <c r="E75" s="2129"/>
      <c r="F75" s="2120"/>
      <c r="G75" s="2121">
        <f>IF(ISNUMBER(F75),C75*D75*E75*F75,C75*D75*E75)</f>
        <v>0</v>
      </c>
      <c r="H75" s="2110"/>
      <c r="I75" s="2110"/>
      <c r="J75" s="2110"/>
      <c r="K75" s="2110"/>
      <c r="L75" s="2110"/>
      <c r="M75" s="2110"/>
      <c r="N75" s="2028"/>
      <c r="O75" s="2028"/>
      <c r="P75" s="2028"/>
      <c r="Q75" s="2028"/>
      <c r="AH75" s="2028"/>
    </row>
    <row r="76" spans="1:34" ht="15.75" customHeight="1">
      <c r="A76" s="2110"/>
      <c r="B76" s="2118"/>
      <c r="C76" s="2119"/>
      <c r="D76" s="2119"/>
      <c r="E76" s="2129"/>
      <c r="F76" s="2120"/>
      <c r="G76" s="2121">
        <f>IF(ISNUMBER(F76),C76*D76*E76*F76,C76*D76*E76)</f>
        <v>0</v>
      </c>
      <c r="H76" s="2110"/>
      <c r="I76" s="2110"/>
      <c r="J76" s="2110"/>
      <c r="K76" s="2110"/>
      <c r="L76" s="2110"/>
      <c r="M76" s="2110"/>
      <c r="N76" s="2028"/>
      <c r="O76" s="2028"/>
      <c r="P76" s="2028"/>
      <c r="Q76" s="2028"/>
      <c r="AH76" s="2028"/>
    </row>
    <row r="77" spans="1:34" ht="18.75" customHeight="1">
      <c r="A77" s="2110"/>
      <c r="B77" s="2117" t="s">
        <v>2137</v>
      </c>
      <c r="C77" s="2110"/>
      <c r="D77" s="2110"/>
      <c r="E77" s="2110"/>
      <c r="F77" s="2110"/>
      <c r="G77" s="2110"/>
      <c r="H77" s="2110"/>
      <c r="I77" s="2110"/>
      <c r="J77" s="2110"/>
      <c r="K77" s="2110"/>
      <c r="L77" s="2110"/>
      <c r="M77" s="2110"/>
      <c r="N77" s="2028"/>
      <c r="O77" s="2028"/>
      <c r="P77" s="2028"/>
      <c r="Q77" s="2028"/>
      <c r="AH77" s="2028"/>
    </row>
    <row r="78" spans="1:34" ht="52.8">
      <c r="A78" s="2110"/>
      <c r="B78" s="2123" t="s">
        <v>2138</v>
      </c>
      <c r="C78" s="2112" t="s">
        <v>2134</v>
      </c>
      <c r="D78" s="2112" t="s">
        <v>2135</v>
      </c>
      <c r="E78" s="2111" t="s">
        <v>2139</v>
      </c>
      <c r="F78" s="2111" t="s">
        <v>2140</v>
      </c>
      <c r="G78" s="2114" t="s">
        <v>2127</v>
      </c>
      <c r="H78" s="2111" t="s">
        <v>2128</v>
      </c>
      <c r="I78" s="2110"/>
      <c r="J78" s="2110"/>
      <c r="K78" s="2110"/>
      <c r="L78" s="2110"/>
      <c r="M78" s="2110"/>
      <c r="N78" s="2028"/>
      <c r="O78" s="2028"/>
      <c r="P78" s="2028"/>
      <c r="Q78" s="2028"/>
      <c r="AH78" s="2028"/>
    </row>
    <row r="79" spans="1:34" ht="18.75" customHeight="1">
      <c r="A79" s="2110"/>
      <c r="B79" s="2118"/>
      <c r="C79" s="2119"/>
      <c r="D79" s="2119"/>
      <c r="E79" s="2119"/>
      <c r="F79" s="2119"/>
      <c r="G79" s="2120"/>
      <c r="H79" s="2121">
        <f>IF(ISNUMBER(G79),((C79*D79*E79)+((C79*D79*F79)/3))*G79,(C79*D79*E79)+((C79*D79*F79)/3))</f>
        <v>0</v>
      </c>
      <c r="I79" s="2110"/>
      <c r="J79" s="2110"/>
      <c r="K79" s="2110"/>
      <c r="L79" s="2110"/>
      <c r="M79" s="2110"/>
      <c r="N79" s="2028"/>
      <c r="O79" s="2028"/>
      <c r="P79" s="2028"/>
      <c r="Q79" s="2028"/>
      <c r="AH79" s="2028"/>
    </row>
    <row r="80" spans="1:34" ht="18.75" customHeight="1">
      <c r="A80" s="2110"/>
      <c r="B80" s="2118"/>
      <c r="C80" s="2119"/>
      <c r="D80" s="2119"/>
      <c r="E80" s="2119"/>
      <c r="F80" s="2119"/>
      <c r="G80" s="2120"/>
      <c r="H80" s="2121">
        <f>IF(ISNUMBER(G80),((C80*D80*E80)+((C80*D80*F80)/3))*G80,(C80*D80*E80)+((C80*D80*F80)/3))</f>
        <v>0</v>
      </c>
      <c r="I80" s="2110"/>
      <c r="J80" s="2110"/>
      <c r="K80" s="2110"/>
      <c r="L80" s="2110"/>
      <c r="M80" s="2110"/>
      <c r="N80" s="2028"/>
      <c r="O80" s="2028"/>
      <c r="P80" s="2028"/>
      <c r="Q80" s="2028"/>
      <c r="AH80" s="2028"/>
    </row>
    <row r="81" spans="1:34" ht="18.75" customHeight="1">
      <c r="A81" s="2110"/>
      <c r="B81" s="2118"/>
      <c r="C81" s="2119"/>
      <c r="D81" s="2119"/>
      <c r="E81" s="2119"/>
      <c r="F81" s="2119"/>
      <c r="G81" s="2120"/>
      <c r="H81" s="2121">
        <f>IF(ISNUMBER(G81),((C81*D81*E81)+((C81*D81*F81)/3))*G81,(C81*D81*E81)+((C81*D81*F81)/3))</f>
        <v>0</v>
      </c>
      <c r="I81" s="2110"/>
      <c r="J81" s="2110"/>
      <c r="K81" s="2110"/>
      <c r="L81" s="2110"/>
      <c r="M81" s="2110"/>
      <c r="N81" s="2028"/>
      <c r="O81" s="2028"/>
      <c r="P81" s="2028"/>
      <c r="Q81" s="2028"/>
      <c r="AH81" s="2028"/>
    </row>
    <row r="82" spans="1:34" ht="18.75" customHeight="1">
      <c r="A82" s="2110"/>
      <c r="B82" s="2118"/>
      <c r="C82" s="2119"/>
      <c r="D82" s="2119"/>
      <c r="E82" s="2119"/>
      <c r="F82" s="2119"/>
      <c r="G82" s="2120"/>
      <c r="H82" s="2121">
        <f>IF(ISNUMBER(G82),((C82*D82*E82)+((C82*D82*F82)/3))*G82,(C82*D82*E82)+((C82*D82*F82)/3))</f>
        <v>0</v>
      </c>
      <c r="I82" s="2110"/>
      <c r="J82" s="2110"/>
      <c r="K82" s="2110"/>
      <c r="L82" s="2110"/>
      <c r="M82" s="2110"/>
      <c r="N82" s="2028"/>
      <c r="O82" s="2028"/>
      <c r="P82" s="2028"/>
      <c r="Q82" s="2028"/>
      <c r="AH82" s="2028"/>
    </row>
    <row r="83" spans="1:34" ht="18.75" customHeight="1">
      <c r="A83" s="2110"/>
      <c r="B83" s="2118"/>
      <c r="C83" s="2119"/>
      <c r="D83" s="2119"/>
      <c r="E83" s="2119"/>
      <c r="F83" s="2119"/>
      <c r="G83" s="2120"/>
      <c r="H83" s="2121">
        <f>IF(ISNUMBER(G83),((C83*D83*E83)+((C83*D83*F83)/3))*G83,(C83*D83*E83)+((C83*D83*F83)/3))</f>
        <v>0</v>
      </c>
      <c r="I83" s="2110"/>
      <c r="J83" s="2110"/>
      <c r="K83" s="2110"/>
      <c r="L83" s="2110"/>
      <c r="M83" s="2110"/>
      <c r="N83" s="2028"/>
      <c r="O83" s="2028"/>
      <c r="P83" s="2028"/>
      <c r="Q83" s="2028"/>
      <c r="AH83" s="2028"/>
    </row>
    <row r="84" spans="1:34" ht="9" customHeight="1">
      <c r="A84" s="2110"/>
      <c r="B84" s="2110"/>
      <c r="C84" s="2110"/>
      <c r="D84" s="2110"/>
      <c r="E84" s="2110"/>
      <c r="F84" s="2110"/>
      <c r="G84" s="2110"/>
      <c r="H84" s="2110"/>
      <c r="I84" s="2110"/>
      <c r="J84" s="2110"/>
      <c r="K84" s="2110"/>
      <c r="L84" s="2110"/>
      <c r="M84" s="2110"/>
      <c r="N84" s="2028"/>
      <c r="O84" s="2028"/>
      <c r="P84" s="2028"/>
      <c r="Q84" s="2028"/>
      <c r="AH84" s="2028"/>
    </row>
    <row r="85" spans="1:34" ht="39.6">
      <c r="A85" s="2110"/>
      <c r="B85" s="2123" t="s">
        <v>2141</v>
      </c>
      <c r="C85" s="2111" t="s">
        <v>2142</v>
      </c>
      <c r="D85" s="2111" t="s">
        <v>2143</v>
      </c>
      <c r="E85" s="2111" t="s">
        <v>2125</v>
      </c>
      <c r="F85" s="2111" t="s">
        <v>2134</v>
      </c>
      <c r="G85" s="2114" t="s">
        <v>2144</v>
      </c>
      <c r="H85" s="2111" t="s">
        <v>2128</v>
      </c>
      <c r="I85" s="2110"/>
      <c r="J85" s="2110"/>
      <c r="K85" s="2110"/>
      <c r="L85" s="2110"/>
      <c r="M85" s="2110"/>
      <c r="N85" s="2028"/>
      <c r="O85" s="2028"/>
      <c r="P85" s="2028"/>
      <c r="Q85" s="2028"/>
      <c r="AH85" s="2028"/>
    </row>
    <row r="86" spans="1:34" ht="17.25" customHeight="1">
      <c r="A86" s="2110"/>
      <c r="B86" s="2118"/>
      <c r="C86" s="2119"/>
      <c r="D86" s="2119"/>
      <c r="E86" s="2119"/>
      <c r="F86" s="2130"/>
      <c r="G86" s="2131"/>
      <c r="H86" s="2121">
        <f>IF(ISNUMBER(G86),(((((C86+D86)*E86)/2)*F86)*G86),((((C86+D86)*E86)/2)*F86))</f>
        <v>0</v>
      </c>
      <c r="I86" s="2110"/>
      <c r="J86" s="2110"/>
      <c r="K86" s="2110"/>
      <c r="L86" s="2110"/>
      <c r="M86" s="2110"/>
      <c r="N86" s="2028"/>
      <c r="O86" s="2028"/>
      <c r="P86" s="2028"/>
      <c r="Q86" s="2028"/>
      <c r="AH86" s="2028"/>
    </row>
    <row r="87" spans="1:34" ht="17.25" customHeight="1">
      <c r="A87" s="2110"/>
      <c r="B87" s="2118"/>
      <c r="C87" s="2119"/>
      <c r="D87" s="2119"/>
      <c r="E87" s="2119"/>
      <c r="F87" s="2130"/>
      <c r="G87" s="2131"/>
      <c r="H87" s="2121">
        <f>IF(ISNUMBER(G87),(((((C87+D87)*E87)/2)*F87)*G87),((((C87+D87)*E87)/2)*F87))</f>
        <v>0</v>
      </c>
      <c r="I87" s="2110"/>
      <c r="J87" s="2110"/>
      <c r="K87" s="2110"/>
      <c r="L87" s="2110"/>
      <c r="M87" s="2110"/>
      <c r="N87" s="2028"/>
      <c r="O87" s="2028"/>
      <c r="P87" s="2028"/>
      <c r="Q87" s="2028"/>
      <c r="AH87" s="2028"/>
    </row>
    <row r="88" spans="1:34" ht="17.25" customHeight="1">
      <c r="A88" s="2110"/>
      <c r="B88" s="2118"/>
      <c r="C88" s="2119"/>
      <c r="D88" s="2119"/>
      <c r="E88" s="2119"/>
      <c r="F88" s="2130"/>
      <c r="G88" s="2131"/>
      <c r="H88" s="2121">
        <f>IF(ISNUMBER(G88),(((((C88+D88)*E88)/2)*F88)*G88),((((C88+D88)*E88)/2)*F88))</f>
        <v>0</v>
      </c>
      <c r="I88" s="2110"/>
      <c r="J88" s="2110"/>
      <c r="K88" s="2110"/>
      <c r="L88" s="2110"/>
      <c r="M88" s="2110"/>
      <c r="N88" s="2028"/>
      <c r="O88" s="2028"/>
      <c r="P88" s="2028"/>
      <c r="Q88" s="2028"/>
      <c r="AH88" s="2028"/>
    </row>
    <row r="89" spans="1:34" ht="17.25" customHeight="1">
      <c r="A89" s="2110"/>
      <c r="B89" s="2118"/>
      <c r="C89" s="2119"/>
      <c r="D89" s="2119"/>
      <c r="E89" s="2119"/>
      <c r="F89" s="2130"/>
      <c r="G89" s="2131"/>
      <c r="H89" s="2121">
        <f>IF(ISNUMBER(G89),(((((C89+D89)*E89)/2)*F89)*G89),((((C89+D89)*E89)/2)*F89))</f>
        <v>0</v>
      </c>
      <c r="I89" s="2110"/>
      <c r="J89" s="2110"/>
      <c r="K89" s="2110"/>
      <c r="L89" s="2110"/>
      <c r="M89" s="2110"/>
      <c r="N89" s="2028"/>
      <c r="O89" s="2028"/>
      <c r="P89" s="2028"/>
      <c r="Q89" s="2028"/>
      <c r="AH89" s="2028"/>
    </row>
    <row r="90" spans="1:34" ht="17.25" customHeight="1">
      <c r="A90" s="2110"/>
      <c r="B90" s="2118"/>
      <c r="C90" s="2119"/>
      <c r="D90" s="2119"/>
      <c r="E90" s="2119"/>
      <c r="F90" s="2130"/>
      <c r="G90" s="2131"/>
      <c r="H90" s="2121">
        <f>IF(ISNUMBER(G90),(((((C90+D90)*E90)/2)*F90)*G90),((((C90+D90)*E90)/2)*F90))</f>
        <v>0</v>
      </c>
      <c r="I90" s="2110"/>
      <c r="J90" s="2110"/>
      <c r="K90" s="2110"/>
      <c r="L90" s="2110"/>
      <c r="M90" s="2110"/>
      <c r="N90" s="2028"/>
      <c r="O90" s="2028"/>
      <c r="P90" s="2028"/>
      <c r="Q90" s="2028"/>
      <c r="AH90" s="2028"/>
    </row>
    <row r="91" spans="1:34" ht="15.75" customHeight="1">
      <c r="A91" s="2110"/>
      <c r="B91" s="2110"/>
      <c r="C91" s="2110"/>
      <c r="D91" s="2110"/>
      <c r="E91" s="2110"/>
      <c r="F91" s="2110"/>
      <c r="G91" s="2110"/>
      <c r="H91" s="2110"/>
      <c r="I91" s="2110"/>
      <c r="J91" s="2110"/>
      <c r="K91" s="2110"/>
      <c r="L91" s="2110"/>
      <c r="M91" s="2110"/>
      <c r="N91" s="2028"/>
      <c r="O91" s="2028"/>
      <c r="P91" s="2028"/>
      <c r="Q91" s="2028"/>
      <c r="AH91" s="2028"/>
    </row>
    <row r="92" spans="1:34" ht="13.2">
      <c r="B92" s="2132"/>
      <c r="C92" s="2132"/>
      <c r="D92" s="2132"/>
      <c r="E92" s="2132"/>
      <c r="F92" s="2132"/>
      <c r="G92" s="2132"/>
      <c r="H92" s="2133"/>
      <c r="I92" s="2133"/>
    </row>
    <row r="93" spans="1:34" ht="13.2">
      <c r="B93" s="2132"/>
      <c r="C93" s="2132"/>
      <c r="D93" s="2132"/>
      <c r="E93" s="2132"/>
      <c r="F93" s="2132"/>
      <c r="G93" s="2132"/>
      <c r="H93" s="2133"/>
      <c r="I93" s="2133"/>
    </row>
  </sheetData>
  <sheetProtection password="CAEF" sheet="1" formatCells="0" formatColumns="0" formatRows="0"/>
  <mergeCells count="61">
    <mergeCell ref="J49:K49"/>
    <mergeCell ref="J50:K50"/>
    <mergeCell ref="A54:G54"/>
    <mergeCell ref="J30:L31"/>
    <mergeCell ref="J51:K51"/>
    <mergeCell ref="J52:K52"/>
    <mergeCell ref="J45:K45"/>
    <mergeCell ref="J42:K42"/>
    <mergeCell ref="J43:K43"/>
    <mergeCell ref="J44:K44"/>
    <mergeCell ref="J46:K46"/>
    <mergeCell ref="J47:K47"/>
    <mergeCell ref="J37:K37"/>
    <mergeCell ref="J38:K38"/>
    <mergeCell ref="J39:K39"/>
    <mergeCell ref="J40:K40"/>
    <mergeCell ref="M30:M31"/>
    <mergeCell ref="P30:P31"/>
    <mergeCell ref="N30:O31"/>
    <mergeCell ref="J41:K41"/>
    <mergeCell ref="J48:K48"/>
    <mergeCell ref="J32:L33"/>
    <mergeCell ref="M32:M33"/>
    <mergeCell ref="P32:P33"/>
    <mergeCell ref="N32:O33"/>
    <mergeCell ref="J26:L27"/>
    <mergeCell ref="M26:M27"/>
    <mergeCell ref="P26:P27"/>
    <mergeCell ref="J28:L29"/>
    <mergeCell ref="M28:M29"/>
    <mergeCell ref="N26:O27"/>
    <mergeCell ref="M24:M25"/>
    <mergeCell ref="N20:O21"/>
    <mergeCell ref="A1:G1"/>
    <mergeCell ref="J1:P1"/>
    <mergeCell ref="N17:P17"/>
    <mergeCell ref="J18:L19"/>
    <mergeCell ref="M18:M19"/>
    <mergeCell ref="P18:P19"/>
    <mergeCell ref="N11:O13"/>
    <mergeCell ref="N10:O10"/>
    <mergeCell ref="N18:O19"/>
    <mergeCell ref="P24:P25"/>
    <mergeCell ref="N22:O23"/>
    <mergeCell ref="N24:O25"/>
    <mergeCell ref="AI1:AJ1"/>
    <mergeCell ref="AK1:AL1"/>
    <mergeCell ref="R1:R2"/>
    <mergeCell ref="H2:H32"/>
    <mergeCell ref="J3:P4"/>
    <mergeCell ref="J6:P6"/>
    <mergeCell ref="J7:P9"/>
    <mergeCell ref="P11:P13"/>
    <mergeCell ref="J17:M17"/>
    <mergeCell ref="J20:L21"/>
    <mergeCell ref="M20:M21"/>
    <mergeCell ref="P20:P21"/>
    <mergeCell ref="J22:L23"/>
    <mergeCell ref="M22:M23"/>
    <mergeCell ref="P22:P23"/>
    <mergeCell ref="J24:L25"/>
  </mergeCells>
  <dataValidations count="4">
    <dataValidation type="list" allowBlank="1" showInputMessage="1" sqref="B15">
      <formula1>$R$3:$R$15</formula1>
    </dataValidation>
    <dataValidation type="list" allowBlank="1" showInputMessage="1" sqref="B47:B51 B17:B21 B27:B31 B37:B41 B7:B11">
      <formula1>$R$22:$R$47</formula1>
    </dataValidation>
    <dataValidation type="list" allowBlank="1" showInputMessage="1" sqref="B4 B14 B24 B34 B44">
      <formula1>Auswahl_Kulturen</formula1>
    </dataValidation>
    <dataValidation type="list" allowBlank="1" showInputMessage="1" sqref="B35 B25 B45">
      <formula1>#REF!</formula1>
    </dataValidation>
  </dataValidations>
  <hyperlinks>
    <hyperlink ref="AI1" location="Mineral!B3" display="◄"/>
    <hyperlink ref="AI1:AJ1" location="Ergebnis!C3" display="◄"/>
    <hyperlink ref="AK1:AL1" location="'WD-Vertrag'!A1" display="  ►"/>
  </hyperlinks>
  <pageMargins left="0.71" right="0.77" top="0.51181102362204722" bottom="0.39370078740157483" header="0.31496062992125984" footer="0.31496062992125984"/>
  <pageSetup paperSize="8" scale="125" fitToHeight="2" orientation="portrait" blackAndWhite="1" r:id="rId1"/>
  <drawing r:id="rId2"/>
  <legacyDrawing r:id="rId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12">
    <tabColor rgb="FF92D050"/>
    <pageSetUpPr fitToPage="1"/>
  </sheetPr>
  <dimension ref="A1:AA46"/>
  <sheetViews>
    <sheetView showZeros="0" zoomScaleNormal="100" zoomScalePageLayoutView="75" workbookViewId="0">
      <selection activeCell="C7" sqref="C7:L7"/>
    </sheetView>
  </sheetViews>
  <sheetFormatPr baseColWidth="10" defaultColWidth="7.109375" defaultRowHeight="13.2"/>
  <cols>
    <col min="1" max="1" width="16.33203125" style="1542" customWidth="1"/>
    <col min="2" max="2" width="10.33203125" style="1542" customWidth="1"/>
    <col min="3" max="3" width="7.6640625" style="1542" customWidth="1"/>
    <col min="4" max="4" width="7.88671875" style="1542" customWidth="1"/>
    <col min="5" max="7" width="7.6640625" style="1542" customWidth="1"/>
    <col min="8" max="12" width="9" style="1542" customWidth="1"/>
    <col min="13" max="16384" width="7.109375" style="1542"/>
  </cols>
  <sheetData>
    <row r="1" spans="1:27" ht="27" customHeight="1">
      <c r="A1" s="2898" t="s">
        <v>2029</v>
      </c>
      <c r="B1" s="2898"/>
      <c r="C1" s="2898"/>
      <c r="D1" s="2898"/>
      <c r="E1" s="2898"/>
      <c r="F1" s="2898"/>
      <c r="G1" s="2898"/>
      <c r="H1" s="2898"/>
      <c r="I1" s="2898"/>
      <c r="J1" s="2898"/>
      <c r="K1" s="2898"/>
      <c r="L1" s="2898"/>
      <c r="M1" s="2877" t="s">
        <v>2493</v>
      </c>
      <c r="N1" s="2878"/>
      <c r="O1" s="2879"/>
      <c r="P1" s="2809" t="s">
        <v>1383</v>
      </c>
      <c r="Q1" s="2809"/>
      <c r="R1" s="2809" t="s">
        <v>1355</v>
      </c>
      <c r="S1" s="2809"/>
    </row>
    <row r="2" spans="1:27" ht="31.5" customHeight="1" thickBot="1">
      <c r="A2" s="2007" t="s">
        <v>2030</v>
      </c>
      <c r="B2" s="2153"/>
      <c r="C2" s="2007"/>
      <c r="D2" s="2008"/>
      <c r="E2" s="2009"/>
      <c r="F2" s="2009"/>
      <c r="G2" s="2009"/>
      <c r="H2" s="2009"/>
      <c r="I2" s="2009"/>
      <c r="J2" s="2009"/>
      <c r="K2" s="2009"/>
      <c r="L2" s="2010"/>
      <c r="M2" s="2880"/>
      <c r="N2" s="2881"/>
      <c r="O2" s="2882"/>
    </row>
    <row r="3" spans="1:27" ht="20.25" customHeight="1">
      <c r="A3" s="2899" t="s">
        <v>2031</v>
      </c>
      <c r="B3" s="2900"/>
      <c r="C3" s="2901">
        <f>Betrieb!B4</f>
        <v>0</v>
      </c>
      <c r="D3" s="2902"/>
      <c r="E3" s="2902"/>
      <c r="F3" s="2902"/>
      <c r="G3" s="2902"/>
      <c r="H3" s="2902"/>
      <c r="I3" s="2902"/>
      <c r="J3" s="2902"/>
      <c r="K3" s="2902"/>
      <c r="L3" s="2903"/>
    </row>
    <row r="4" spans="1:27" ht="20.25" customHeight="1">
      <c r="A4" s="2899" t="s">
        <v>1870</v>
      </c>
      <c r="B4" s="2900"/>
      <c r="C4" s="2901">
        <f>Betrieb!B3</f>
        <v>0</v>
      </c>
      <c r="D4" s="2902"/>
      <c r="E4" s="2902"/>
      <c r="F4" s="2902"/>
      <c r="G4" s="2902"/>
      <c r="H4" s="2902"/>
      <c r="I4" s="2902"/>
      <c r="J4" s="2902"/>
      <c r="K4" s="2902"/>
      <c r="L4" s="2903"/>
    </row>
    <row r="5" spans="1:27" ht="20.25" customHeight="1">
      <c r="A5" s="2899" t="s">
        <v>2032</v>
      </c>
      <c r="B5" s="2900"/>
      <c r="C5" s="2901" t="str">
        <f>IF(AND(Betrieb!B6="",Betrieb!B5=""),"",Betrieb!B6&amp;", "&amp;Betrieb!B5)</f>
        <v/>
      </c>
      <c r="D5" s="2902"/>
      <c r="E5" s="2902"/>
      <c r="F5" s="2902"/>
      <c r="G5" s="2902"/>
      <c r="H5" s="2902"/>
      <c r="I5" s="2902"/>
      <c r="J5" s="2902"/>
      <c r="K5" s="2902"/>
      <c r="L5" s="2903"/>
    </row>
    <row r="6" spans="1:27" ht="26.25" customHeight="1">
      <c r="A6" s="2007" t="s">
        <v>2033</v>
      </c>
      <c r="B6" s="2153"/>
      <c r="C6" s="2007"/>
      <c r="D6" s="2011"/>
      <c r="E6" s="2012"/>
      <c r="F6" s="2012"/>
      <c r="G6" s="2012"/>
      <c r="H6" s="2012"/>
      <c r="I6" s="2012"/>
      <c r="J6" s="2012"/>
      <c r="K6" s="2012"/>
      <c r="L6" s="2013"/>
    </row>
    <row r="7" spans="1:27" ht="20.25" customHeight="1">
      <c r="A7" s="2904" t="s">
        <v>2031</v>
      </c>
      <c r="B7" s="2905"/>
      <c r="C7" s="2906"/>
      <c r="D7" s="2907"/>
      <c r="E7" s="2907"/>
      <c r="F7" s="2907"/>
      <c r="G7" s="2907"/>
      <c r="H7" s="2907"/>
      <c r="I7" s="2907"/>
      <c r="J7" s="2907"/>
      <c r="K7" s="2907"/>
      <c r="L7" s="2908"/>
    </row>
    <row r="8" spans="1:27" ht="20.25" customHeight="1">
      <c r="A8" s="2904" t="s">
        <v>1870</v>
      </c>
      <c r="B8" s="2905"/>
      <c r="C8" s="2890"/>
      <c r="D8" s="2891"/>
      <c r="E8" s="2891"/>
      <c r="F8" s="2891"/>
      <c r="G8" s="2891"/>
      <c r="H8" s="2891"/>
      <c r="I8" s="2891"/>
      <c r="J8" s="2891"/>
      <c r="K8" s="2891"/>
      <c r="L8" s="2892"/>
    </row>
    <row r="9" spans="1:27" ht="20.25" customHeight="1">
      <c r="A9" s="2904" t="s">
        <v>2032</v>
      </c>
      <c r="B9" s="2905"/>
      <c r="C9" s="2890"/>
      <c r="D9" s="2891"/>
      <c r="E9" s="2891"/>
      <c r="F9" s="2891"/>
      <c r="G9" s="2891"/>
      <c r="H9" s="2891"/>
      <c r="I9" s="2891"/>
      <c r="J9" s="2891"/>
      <c r="K9" s="2891"/>
      <c r="L9" s="2892"/>
    </row>
    <row r="10" spans="1:27">
      <c r="A10" s="2013"/>
      <c r="B10" s="2013"/>
      <c r="C10" s="2013"/>
      <c r="D10" s="2013"/>
      <c r="E10" s="2014"/>
      <c r="F10" s="2014"/>
      <c r="G10" s="2014"/>
      <c r="H10" s="2014"/>
      <c r="I10" s="2014"/>
      <c r="J10" s="2013"/>
      <c r="K10" s="2013"/>
      <c r="L10" s="2013"/>
    </row>
    <row r="11" spans="1:27" s="269" customFormat="1" ht="22.5" customHeight="1">
      <c r="A11" s="2893" t="s">
        <v>2015</v>
      </c>
      <c r="B11" s="2893"/>
      <c r="C11" s="2893"/>
      <c r="D11" s="2893"/>
      <c r="E11" s="2893"/>
      <c r="F11" s="2893"/>
      <c r="G11" s="2893"/>
      <c r="H11" s="2893"/>
      <c r="I11" s="2893"/>
      <c r="J11" s="2893"/>
      <c r="K11" s="2893"/>
      <c r="L11" s="2893"/>
      <c r="O11" s="1542"/>
      <c r="P11" s="1542"/>
      <c r="Q11" s="1542"/>
      <c r="R11" s="1542"/>
      <c r="S11" s="1542"/>
      <c r="T11" s="1542"/>
      <c r="U11" s="1542"/>
      <c r="V11" s="1542"/>
      <c r="W11" s="1542"/>
      <c r="X11" s="1542"/>
      <c r="Y11" s="1542"/>
      <c r="Z11" s="1542"/>
      <c r="AA11" s="1542"/>
    </row>
    <row r="12" spans="1:27" s="471" customFormat="1" ht="48" customHeight="1">
      <c r="A12" s="2894" t="s">
        <v>2034</v>
      </c>
      <c r="B12" s="2894"/>
      <c r="C12" s="2894"/>
      <c r="D12" s="2894"/>
      <c r="E12" s="2894"/>
      <c r="F12" s="2894"/>
      <c r="G12" s="2894"/>
      <c r="H12" s="2894"/>
      <c r="I12" s="2894"/>
      <c r="J12" s="2894"/>
      <c r="K12" s="2894"/>
      <c r="L12" s="2894"/>
      <c r="O12" s="1542"/>
      <c r="P12" s="1542"/>
      <c r="Q12" s="1542"/>
      <c r="R12" s="1542"/>
      <c r="S12" s="1542"/>
      <c r="T12" s="1542"/>
      <c r="U12" s="1542"/>
      <c r="V12" s="1542"/>
      <c r="W12" s="1542"/>
      <c r="X12" s="1542"/>
      <c r="Y12" s="1542"/>
      <c r="Z12" s="1542"/>
      <c r="AA12" s="1542"/>
    </row>
    <row r="13" spans="1:27">
      <c r="A13" s="2010"/>
      <c r="B13" s="2010"/>
      <c r="C13" s="2010"/>
      <c r="D13" s="2010"/>
      <c r="E13" s="2010"/>
      <c r="F13" s="2010"/>
      <c r="G13" s="2010"/>
      <c r="H13" s="2010"/>
      <c r="I13" s="2010"/>
      <c r="J13" s="2010"/>
      <c r="K13" s="2010"/>
      <c r="L13" s="2010"/>
    </row>
    <row r="14" spans="1:27" s="269" customFormat="1" ht="22.5" customHeight="1">
      <c r="A14" s="2893" t="s">
        <v>2016</v>
      </c>
      <c r="B14" s="2893"/>
      <c r="C14" s="2893"/>
      <c r="D14" s="2893"/>
      <c r="E14" s="2893"/>
      <c r="F14" s="2893"/>
      <c r="G14" s="2893"/>
      <c r="H14" s="2893"/>
      <c r="I14" s="2893"/>
      <c r="J14" s="2893"/>
      <c r="K14" s="2893"/>
      <c r="L14" s="2893"/>
    </row>
    <row r="15" spans="1:27" ht="45.75" customHeight="1">
      <c r="A15" s="2894" t="s">
        <v>2035</v>
      </c>
      <c r="B15" s="2894"/>
      <c r="C15" s="2894"/>
      <c r="D15" s="2894"/>
      <c r="E15" s="2894"/>
      <c r="F15" s="2894"/>
      <c r="G15" s="2894"/>
      <c r="H15" s="2894"/>
      <c r="I15" s="2894"/>
      <c r="J15" s="2894"/>
      <c r="K15" s="2894"/>
      <c r="L15" s="2894"/>
    </row>
    <row r="16" spans="1:27" ht="13.8">
      <c r="A16" s="2015"/>
      <c r="B16" s="2015"/>
      <c r="C16" s="2015"/>
      <c r="D16" s="2015"/>
      <c r="E16" s="2015"/>
      <c r="F16" s="2015"/>
      <c r="G16" s="2015"/>
      <c r="H16" s="2015"/>
      <c r="I16" s="2015"/>
      <c r="J16" s="2015"/>
      <c r="K16" s="2013"/>
      <c r="L16" s="2013"/>
    </row>
    <row r="17" spans="1:12" ht="16.5" customHeight="1">
      <c r="A17" s="2883" t="s">
        <v>2036</v>
      </c>
      <c r="B17" s="2884"/>
      <c r="C17" s="2885" t="s">
        <v>2492</v>
      </c>
      <c r="D17" s="2886"/>
      <c r="E17" s="2886"/>
      <c r="F17" s="2886"/>
      <c r="G17" s="2887"/>
      <c r="H17" s="2897" t="s">
        <v>2025</v>
      </c>
      <c r="I17" s="2886"/>
      <c r="J17" s="2886"/>
      <c r="K17" s="2886"/>
      <c r="L17" s="2887"/>
    </row>
    <row r="18" spans="1:12" ht="36" customHeight="1">
      <c r="A18" s="1998" t="s">
        <v>836</v>
      </c>
      <c r="B18" s="1998" t="s">
        <v>2037</v>
      </c>
      <c r="C18" s="1999" t="s">
        <v>1014</v>
      </c>
      <c r="D18" s="2147" t="s">
        <v>1015</v>
      </c>
      <c r="E18" s="1999" t="s">
        <v>1016</v>
      </c>
      <c r="F18" s="2000" t="s">
        <v>1017</v>
      </c>
      <c r="G18" s="1999" t="s">
        <v>1018</v>
      </c>
      <c r="H18" s="2001" t="s">
        <v>2038</v>
      </c>
      <c r="I18" s="2146" t="s">
        <v>2039</v>
      </c>
      <c r="J18" s="2001" t="s">
        <v>2040</v>
      </c>
      <c r="K18" s="2001" t="s">
        <v>2041</v>
      </c>
      <c r="L18" s="1800" t="s">
        <v>2042</v>
      </c>
    </row>
    <row r="19" spans="1:12" ht="13.8">
      <c r="A19" s="2165" t="s">
        <v>1502</v>
      </c>
      <c r="B19" s="2162">
        <f>Tiere!C23</f>
        <v>0</v>
      </c>
      <c r="C19" s="2163">
        <f>Tiere!D23</f>
        <v>0</v>
      </c>
      <c r="D19" s="2164">
        <f>Tiere!E23</f>
        <v>0</v>
      </c>
      <c r="E19" s="2163">
        <f>Tiere!F23</f>
        <v>0</v>
      </c>
      <c r="F19" s="2163">
        <f>Tiere!G23</f>
        <v>0</v>
      </c>
      <c r="G19" s="2163">
        <f>Tiere!H23</f>
        <v>0</v>
      </c>
      <c r="H19" s="2167">
        <f>Tiere!I23</f>
        <v>0</v>
      </c>
      <c r="I19" s="2168">
        <f>Tiere!J23</f>
        <v>0</v>
      </c>
      <c r="J19" s="2167">
        <f>Tiere!K23</f>
        <v>0</v>
      </c>
      <c r="K19" s="2167">
        <f>Tiere!L23</f>
        <v>0</v>
      </c>
      <c r="L19" s="2167">
        <f>Tiere!M23</f>
        <v>0</v>
      </c>
    </row>
    <row r="20" spans="1:12" ht="13.8">
      <c r="A20" s="2165" t="s">
        <v>1506</v>
      </c>
      <c r="B20" s="2162">
        <f>Tiere!C24</f>
        <v>0</v>
      </c>
      <c r="C20" s="2163">
        <f>Tiere!D24</f>
        <v>0</v>
      </c>
      <c r="D20" s="2164">
        <f>Tiere!E24</f>
        <v>0</v>
      </c>
      <c r="E20" s="2163">
        <f>Tiere!F24</f>
        <v>0</v>
      </c>
      <c r="F20" s="2163">
        <f>Tiere!G24</f>
        <v>0</v>
      </c>
      <c r="G20" s="2163">
        <f>Tiere!H24</f>
        <v>0</v>
      </c>
      <c r="H20" s="2167">
        <f>Tiere!I24</f>
        <v>0</v>
      </c>
      <c r="I20" s="2168">
        <f>Tiere!J24</f>
        <v>0</v>
      </c>
      <c r="J20" s="2167">
        <f>Tiere!K24</f>
        <v>0</v>
      </c>
      <c r="K20" s="2167">
        <f>Tiere!L24</f>
        <v>0</v>
      </c>
      <c r="L20" s="2167">
        <f>Tiere!M24</f>
        <v>0</v>
      </c>
    </row>
    <row r="21" spans="1:12" ht="13.8">
      <c r="A21" s="2165" t="s">
        <v>1595</v>
      </c>
      <c r="B21" s="2162">
        <f>Tiere!C25</f>
        <v>0</v>
      </c>
      <c r="C21" s="2163">
        <f>Tiere!D25</f>
        <v>0</v>
      </c>
      <c r="D21" s="2164">
        <f>Tiere!E25</f>
        <v>0</v>
      </c>
      <c r="E21" s="2163">
        <f>Tiere!F25</f>
        <v>0</v>
      </c>
      <c r="F21" s="2163">
        <f>Tiere!G25</f>
        <v>0</v>
      </c>
      <c r="G21" s="2163">
        <f>Tiere!H25</f>
        <v>0</v>
      </c>
      <c r="H21" s="2167">
        <f>Tiere!I25</f>
        <v>0</v>
      </c>
      <c r="I21" s="2168">
        <f>Tiere!J25</f>
        <v>0</v>
      </c>
      <c r="J21" s="2167">
        <f>Tiere!K25</f>
        <v>0</v>
      </c>
      <c r="K21" s="2167">
        <f>Tiere!L25</f>
        <v>0</v>
      </c>
      <c r="L21" s="2167">
        <f>Tiere!M25</f>
        <v>0</v>
      </c>
    </row>
    <row r="22" spans="1:12" ht="13.8">
      <c r="A22" s="2165" t="s">
        <v>926</v>
      </c>
      <c r="B22" s="2162">
        <f>Tiere!C26</f>
        <v>0</v>
      </c>
      <c r="C22" s="2163">
        <f>Tiere!D26</f>
        <v>0</v>
      </c>
      <c r="D22" s="2164">
        <f>Tiere!E26</f>
        <v>0</v>
      </c>
      <c r="E22" s="2163">
        <f>Tiere!F26</f>
        <v>0</v>
      </c>
      <c r="F22" s="2163">
        <f>Tiere!G26</f>
        <v>0</v>
      </c>
      <c r="G22" s="2163">
        <f>Tiere!H26</f>
        <v>0</v>
      </c>
      <c r="H22" s="2167">
        <f>Tiere!I26</f>
        <v>0</v>
      </c>
      <c r="I22" s="2168">
        <f>Tiere!J26</f>
        <v>0</v>
      </c>
      <c r="J22" s="2167">
        <f>Tiere!K26</f>
        <v>0</v>
      </c>
      <c r="K22" s="2167">
        <f>Tiere!L26</f>
        <v>0</v>
      </c>
      <c r="L22" s="2167">
        <f>Tiere!M26</f>
        <v>0</v>
      </c>
    </row>
    <row r="23" spans="1:12" ht="13.8">
      <c r="A23" s="2165" t="s">
        <v>687</v>
      </c>
      <c r="B23" s="2162">
        <f>Tiere!C27</f>
        <v>0</v>
      </c>
      <c r="C23" s="2163">
        <f>Tiere!D27</f>
        <v>0</v>
      </c>
      <c r="D23" s="2164">
        <f>Tiere!E27</f>
        <v>0</v>
      </c>
      <c r="E23" s="2163">
        <f>Tiere!F27</f>
        <v>0</v>
      </c>
      <c r="F23" s="2163">
        <f>Tiere!G27</f>
        <v>0</v>
      </c>
      <c r="G23" s="2163">
        <f>Tiere!H27</f>
        <v>0</v>
      </c>
      <c r="H23" s="2167">
        <f>Tiere!I27</f>
        <v>0</v>
      </c>
      <c r="I23" s="2168">
        <f>Tiere!J27</f>
        <v>0</v>
      </c>
      <c r="J23" s="2167">
        <f>Tiere!K27</f>
        <v>0</v>
      </c>
      <c r="K23" s="2167">
        <f>Tiere!L27</f>
        <v>0</v>
      </c>
      <c r="L23" s="2167">
        <f>Tiere!M27</f>
        <v>0</v>
      </c>
    </row>
    <row r="24" spans="1:12" ht="13.8">
      <c r="A24" s="2165" t="s">
        <v>1181</v>
      </c>
      <c r="B24" s="2162">
        <f>Tiere!C28</f>
        <v>0</v>
      </c>
      <c r="C24" s="2163">
        <f>Tiere!D28</f>
        <v>0</v>
      </c>
      <c r="D24" s="2164">
        <f>Tiere!E28</f>
        <v>0</v>
      </c>
      <c r="E24" s="2163">
        <f>Tiere!F28</f>
        <v>0</v>
      </c>
      <c r="F24" s="2163">
        <f>Tiere!G28</f>
        <v>0</v>
      </c>
      <c r="G24" s="2163">
        <f>Tiere!H28</f>
        <v>0</v>
      </c>
      <c r="H24" s="2167">
        <f>Tiere!I28</f>
        <v>0</v>
      </c>
      <c r="I24" s="2168">
        <f>Tiere!J28</f>
        <v>0</v>
      </c>
      <c r="J24" s="2167">
        <f>Tiere!K28</f>
        <v>0</v>
      </c>
      <c r="K24" s="2167">
        <f>Tiere!L28</f>
        <v>0</v>
      </c>
      <c r="L24" s="2167">
        <f>Tiere!M28</f>
        <v>0</v>
      </c>
    </row>
    <row r="25" spans="1:12" ht="15.6">
      <c r="A25" s="2016" t="s">
        <v>2043</v>
      </c>
      <c r="B25" s="2012"/>
      <c r="C25" s="2012"/>
      <c r="D25" s="2012"/>
      <c r="E25" s="2012"/>
      <c r="F25" s="2012"/>
      <c r="G25" s="2012"/>
      <c r="H25" s="2012"/>
      <c r="I25" s="2012"/>
      <c r="J25" s="2012"/>
      <c r="K25" s="2013"/>
      <c r="L25" s="2013"/>
    </row>
    <row r="26" spans="1:12" ht="13.8">
      <c r="A26" s="2012"/>
      <c r="B26" s="2012"/>
      <c r="C26" s="2012"/>
      <c r="D26" s="2012"/>
      <c r="E26" s="2012"/>
      <c r="F26" s="2012"/>
      <c r="G26" s="2012"/>
      <c r="H26" s="2012"/>
      <c r="I26" s="2012"/>
      <c r="J26" s="2012"/>
      <c r="K26" s="2013"/>
      <c r="L26" s="2013"/>
    </row>
    <row r="27" spans="1:12" s="269" customFormat="1" ht="22.5" customHeight="1">
      <c r="A27" s="2017" t="s">
        <v>2017</v>
      </c>
      <c r="B27" s="2018"/>
      <c r="C27" s="2018"/>
      <c r="D27" s="2018"/>
      <c r="E27" s="2018"/>
      <c r="F27" s="2018"/>
      <c r="G27" s="2018"/>
      <c r="H27" s="2018"/>
      <c r="I27" s="2018"/>
      <c r="J27" s="2018"/>
      <c r="K27" s="2018"/>
      <c r="L27" s="2018"/>
    </row>
    <row r="28" spans="1:12" ht="17.100000000000001" customHeight="1">
      <c r="A28" s="2149" t="s">
        <v>2205</v>
      </c>
      <c r="B28" s="2150"/>
      <c r="C28" s="2150"/>
      <c r="D28" s="2150"/>
      <c r="E28" s="2150"/>
      <c r="F28" s="2150"/>
      <c r="G28" s="2150"/>
      <c r="H28" s="2150"/>
      <c r="I28" s="2150"/>
      <c r="J28" s="2150"/>
      <c r="K28" s="2150"/>
      <c r="L28" s="2150"/>
    </row>
    <row r="29" spans="1:12" ht="17.100000000000001" customHeight="1">
      <c r="A29" s="2151" t="s">
        <v>2206</v>
      </c>
      <c r="B29" s="2889"/>
      <c r="C29" s="2889"/>
      <c r="D29" s="2889"/>
      <c r="E29" s="269"/>
      <c r="F29" s="2152" t="s">
        <v>2204</v>
      </c>
      <c r="G29" s="269"/>
      <c r="H29" s="2889"/>
      <c r="I29" s="2889"/>
      <c r="J29" s="2889"/>
      <c r="K29" s="2150" t="s">
        <v>2203</v>
      </c>
      <c r="L29" s="2150"/>
    </row>
    <row r="30" spans="1:12" ht="17.100000000000001" customHeight="1">
      <c r="A30" s="2149" t="s">
        <v>2202</v>
      </c>
      <c r="B30" s="2148"/>
      <c r="C30" s="2148"/>
      <c r="D30" s="2148"/>
      <c r="E30" s="2148"/>
      <c r="F30" s="2148"/>
      <c r="G30" s="2148"/>
      <c r="H30" s="2148"/>
      <c r="I30" s="2148"/>
      <c r="J30" s="2148"/>
      <c r="K30" s="2148"/>
      <c r="L30" s="2148"/>
    </row>
    <row r="31" spans="1:12" ht="21" customHeight="1">
      <c r="A31" s="2019" t="s">
        <v>2018</v>
      </c>
      <c r="B31" s="2020"/>
      <c r="C31" s="2020"/>
      <c r="D31" s="2020"/>
      <c r="E31" s="2020"/>
      <c r="F31" s="2020"/>
      <c r="G31" s="2020"/>
      <c r="H31" s="2020"/>
      <c r="I31" s="2020"/>
      <c r="J31" s="2020"/>
      <c r="K31" s="2020"/>
      <c r="L31" s="2020"/>
    </row>
    <row r="32" spans="1:12" ht="33" customHeight="1">
      <c r="A32" s="2896" t="s">
        <v>2044</v>
      </c>
      <c r="B32" s="2896"/>
      <c r="C32" s="2896"/>
      <c r="D32" s="2896"/>
      <c r="E32" s="2896"/>
      <c r="F32" s="2896"/>
      <c r="G32" s="2896"/>
      <c r="H32" s="2896"/>
      <c r="I32" s="2896"/>
      <c r="J32" s="2896"/>
      <c r="K32" s="2896"/>
      <c r="L32" s="2896"/>
    </row>
    <row r="33" spans="1:13" ht="11.25" customHeight="1">
      <c r="A33" s="2012"/>
      <c r="B33" s="2012"/>
      <c r="C33" s="2012"/>
      <c r="D33" s="2012"/>
      <c r="E33" s="2012"/>
      <c r="F33" s="2012"/>
      <c r="G33" s="2012"/>
      <c r="H33" s="2012"/>
      <c r="I33" s="2012"/>
      <c r="J33" s="2012"/>
      <c r="K33" s="2013"/>
      <c r="L33" s="2013"/>
    </row>
    <row r="34" spans="1:13" ht="18.75" customHeight="1">
      <c r="A34" s="2019" t="s">
        <v>2019</v>
      </c>
      <c r="B34" s="2160" t="s">
        <v>2207</v>
      </c>
      <c r="C34" s="2021"/>
      <c r="D34" s="2022"/>
      <c r="G34" s="2888"/>
      <c r="H34" s="2888"/>
      <c r="I34" s="2161" t="s">
        <v>2047</v>
      </c>
      <c r="J34" s="2023"/>
      <c r="K34" s="2023"/>
      <c r="L34" s="2023"/>
    </row>
    <row r="35" spans="1:13" ht="9.75" customHeight="1">
      <c r="A35" s="2012"/>
      <c r="B35" s="2012"/>
      <c r="C35" s="2012"/>
      <c r="D35" s="2012"/>
      <c r="E35" s="2012"/>
      <c r="F35" s="2012"/>
      <c r="G35" s="2012"/>
      <c r="H35" s="2023"/>
      <c r="I35" s="2023"/>
      <c r="J35" s="2023"/>
      <c r="K35" s="2023"/>
      <c r="L35" s="2013"/>
    </row>
    <row r="36" spans="1:13" s="269" customFormat="1" ht="15.6">
      <c r="A36" s="2017" t="s">
        <v>2020</v>
      </c>
      <c r="B36" s="2018"/>
      <c r="C36" s="2018"/>
      <c r="D36" s="2018"/>
      <c r="E36" s="2018"/>
      <c r="F36" s="2018"/>
      <c r="G36" s="2018"/>
      <c r="H36" s="2018"/>
      <c r="I36" s="2018"/>
      <c r="J36" s="2018"/>
      <c r="K36" s="2018"/>
      <c r="L36" s="2018"/>
    </row>
    <row r="37" spans="1:13" ht="64.5" customHeight="1">
      <c r="A37" s="2894" t="s">
        <v>2045</v>
      </c>
      <c r="B37" s="2894"/>
      <c r="C37" s="2894"/>
      <c r="D37" s="2894"/>
      <c r="E37" s="2894"/>
      <c r="F37" s="2894"/>
      <c r="G37" s="2894"/>
      <c r="H37" s="2894"/>
      <c r="I37" s="2894"/>
      <c r="J37" s="2894"/>
      <c r="K37" s="2894"/>
      <c r="L37" s="2894"/>
    </row>
    <row r="38" spans="1:13">
      <c r="A38" s="2010"/>
      <c r="B38" s="2010"/>
      <c r="C38" s="2010"/>
      <c r="D38" s="2010"/>
      <c r="E38" s="2010"/>
      <c r="F38" s="2010"/>
      <c r="G38" s="2010"/>
      <c r="H38" s="2010"/>
      <c r="I38" s="2010"/>
      <c r="J38" s="2010"/>
      <c r="K38" s="2010"/>
      <c r="L38" s="2010"/>
    </row>
    <row r="39" spans="1:13" s="269" customFormat="1" ht="22.5" customHeight="1">
      <c r="A39" s="2017" t="s">
        <v>2021</v>
      </c>
      <c r="B39" s="2024"/>
      <c r="C39" s="2003" t="s">
        <v>2046</v>
      </c>
      <c r="D39" s="2002"/>
      <c r="E39" s="2002"/>
      <c r="F39" s="2002"/>
      <c r="G39" s="2002"/>
      <c r="H39" s="2002"/>
      <c r="I39" s="2002"/>
      <c r="J39" s="2002"/>
      <c r="K39" s="2002"/>
      <c r="L39" s="2002"/>
    </row>
    <row r="40" spans="1:13" s="269" customFormat="1" ht="13.5" customHeight="1">
      <c r="A40" s="2024"/>
      <c r="B40" s="2024"/>
      <c r="C40" s="2024"/>
      <c r="D40" s="2024"/>
      <c r="E40" s="2024"/>
      <c r="F40" s="2024"/>
      <c r="G40" s="2024"/>
      <c r="H40" s="2024"/>
      <c r="I40" s="2024"/>
      <c r="J40" s="2024"/>
      <c r="K40" s="2024"/>
      <c r="L40" s="2024"/>
    </row>
    <row r="41" spans="1:13" ht="32.25" customHeight="1">
      <c r="A41" s="2004" t="s">
        <v>2024</v>
      </c>
      <c r="B41" s="2004"/>
      <c r="C41" s="2004"/>
      <c r="D41" s="2023"/>
      <c r="E41" s="2004" t="s">
        <v>2024</v>
      </c>
      <c r="F41" s="2004"/>
      <c r="G41" s="2004"/>
      <c r="H41" s="2004"/>
      <c r="I41" s="2023"/>
      <c r="J41" s="2004" t="s">
        <v>2491</v>
      </c>
      <c r="K41" s="2004"/>
      <c r="L41" s="2004"/>
      <c r="M41" s="214"/>
    </row>
    <row r="42" spans="1:13">
      <c r="A42" s="2156" t="s">
        <v>2022</v>
      </c>
      <c r="B42" s="2155"/>
      <c r="C42" s="2155"/>
      <c r="D42" s="2155"/>
      <c r="E42" s="2895" t="s">
        <v>2023</v>
      </c>
      <c r="F42" s="2895"/>
      <c r="G42" s="2895"/>
      <c r="H42" s="2895"/>
      <c r="I42" s="2025"/>
      <c r="K42" s="2157" t="s">
        <v>2208</v>
      </c>
      <c r="L42" s="2154"/>
      <c r="M42" s="2521"/>
    </row>
    <row r="43" spans="1:13" ht="9.75" customHeight="1">
      <c r="A43" s="2013"/>
      <c r="B43" s="2013"/>
      <c r="C43" s="2013"/>
      <c r="D43" s="2013"/>
      <c r="E43" s="2013"/>
      <c r="F43" s="2013"/>
      <c r="G43" s="2013"/>
      <c r="H43" s="2013"/>
      <c r="I43" s="2013"/>
      <c r="J43" s="2013"/>
      <c r="K43" s="2013"/>
      <c r="L43" s="2013"/>
    </row>
    <row r="44" spans="1:13">
      <c r="A44" s="2026"/>
      <c r="B44" s="2027"/>
      <c r="C44" s="2027"/>
      <c r="D44" s="2023"/>
      <c r="E44" s="2023"/>
      <c r="F44" s="2023"/>
      <c r="G44" s="2023"/>
      <c r="H44" s="2023"/>
      <c r="I44" s="2023"/>
      <c r="J44" s="2023"/>
      <c r="K44" s="2023"/>
      <c r="L44" s="2023"/>
    </row>
    <row r="45" spans="1:13">
      <c r="A45" s="2023"/>
      <c r="B45" s="2023"/>
      <c r="C45" s="2023"/>
      <c r="D45" s="2023"/>
      <c r="E45" s="2023"/>
      <c r="F45" s="2023"/>
      <c r="G45" s="2023"/>
      <c r="H45" s="2023"/>
      <c r="I45" s="2023"/>
      <c r="J45" s="2023"/>
      <c r="K45" s="2023"/>
      <c r="L45" s="2023"/>
    </row>
    <row r="46" spans="1:13">
      <c r="A46" s="2023"/>
      <c r="B46" s="2023"/>
      <c r="C46" s="2023"/>
      <c r="D46" s="2023"/>
      <c r="E46" s="2023"/>
      <c r="F46" s="2023"/>
      <c r="G46" s="2023"/>
      <c r="H46" s="2023"/>
      <c r="I46" s="2023"/>
      <c r="J46" s="2023"/>
      <c r="K46" s="2023"/>
      <c r="L46" s="2023"/>
    </row>
  </sheetData>
  <sheetProtection password="CAEF" sheet="1" formatCells="0" formatColumns="0" formatRows="0"/>
  <mergeCells count="29">
    <mergeCell ref="E42:H42"/>
    <mergeCell ref="A32:L32"/>
    <mergeCell ref="A37:L37"/>
    <mergeCell ref="H17:L17"/>
    <mergeCell ref="A1:L1"/>
    <mergeCell ref="A3:B3"/>
    <mergeCell ref="C3:L3"/>
    <mergeCell ref="A4:B4"/>
    <mergeCell ref="C4:L4"/>
    <mergeCell ref="A5:B5"/>
    <mergeCell ref="C5:L5"/>
    <mergeCell ref="A7:B7"/>
    <mergeCell ref="C7:L7"/>
    <mergeCell ref="A8:B8"/>
    <mergeCell ref="C8:L8"/>
    <mergeCell ref="A9:B9"/>
    <mergeCell ref="G34:H34"/>
    <mergeCell ref="B29:D29"/>
    <mergeCell ref="H29:J29"/>
    <mergeCell ref="C9:L9"/>
    <mergeCell ref="A11:L11"/>
    <mergeCell ref="A12:L12"/>
    <mergeCell ref="A14:L14"/>
    <mergeCell ref="A15:L15"/>
    <mergeCell ref="M1:O2"/>
    <mergeCell ref="P1:Q1"/>
    <mergeCell ref="R1:S1"/>
    <mergeCell ref="A17:B17"/>
    <mergeCell ref="C17:G17"/>
  </mergeCells>
  <hyperlinks>
    <hyperlink ref="M1:O2" location="Hofdung!A1" display="◄ zurück zu Tabellenblatt Hofdung"/>
    <hyperlink ref="P1" location="Mineral!B3" display="◄"/>
    <hyperlink ref="P1:Q1" location="Ertragsermittlung!C3" display="◄"/>
    <hyperlink ref="R1:S1" location="'System I'!A1" display="  ►"/>
  </hyperlinks>
  <pageMargins left="0.51181102362204722" right="0.4" top="0.67" bottom="0.54" header="0.31496062992125984" footer="0.31496062992125984"/>
  <pageSetup paperSize="9" scale="86" orientation="portrait" blackAndWhite="1" r:id="rId1"/>
  <legacyDrawing r:id="rId2"/>
  <extLst>
    <ext xmlns:x14="http://schemas.microsoft.com/office/spreadsheetml/2009/9/main" uri="{78C0D931-6437-407d-A8EE-F0AAD7539E65}">
      <x14:conditionalFormattings>
        <x14:conditionalFormatting xmlns:xm="http://schemas.microsoft.com/office/excel/2006/main">
          <x14:cfRule type="expression" priority="3" id="{E7009F6C-2A95-4F18-80CA-6191D2337BFE}">
            <xm:f>AND($C$7="",SUM(Hofdung!$F$13:$F$18)&gt;0,SUM(Hofdung!$G$13:$G$18)&gt;0,SUM(Hofdung!$C$13:$C$18)&gt;0)</xm:f>
            <x14:dxf>
              <fill>
                <patternFill>
                  <bgColor rgb="FFFFC000"/>
                </patternFill>
              </fill>
            </x14:dxf>
          </x14:cfRule>
          <xm:sqref>C7:L7</xm:sqref>
        </x14:conditionalFormatting>
        <x14:conditionalFormatting xmlns:xm="http://schemas.microsoft.com/office/excel/2006/main">
          <x14:cfRule type="expression" priority="2" id="{9A5EA26E-74C8-4C71-82AE-AA8EFC39BAAA}">
            <xm:f>AND($C$8="",$C$7&lt;&gt;"",SUM(Hofdung!$F$13:$F$18)&gt;0,SUM(Hofdung!$G$13:$G$18)&gt;0,SUM(Hofdung!$C$13:$C$18)&gt;0)</xm:f>
            <x14:dxf>
              <fill>
                <patternFill>
                  <bgColor rgb="FFFFC000"/>
                </patternFill>
              </fill>
            </x14:dxf>
          </x14:cfRule>
          <xm:sqref>C8:L8</xm:sqref>
        </x14:conditionalFormatting>
        <x14:conditionalFormatting xmlns:xm="http://schemas.microsoft.com/office/excel/2006/main">
          <x14:cfRule type="expression" priority="1" id="{5FA8E538-54D6-4FFC-B0CE-9A8154FDEBB1}">
            <xm:f>AND($C$7&lt;&gt;"",$C$8&lt;&gt;"",$C$9="",SUM(Hofdung!$F$13:$F$18)&gt;0,SUM(Hofdung!$G$13:$G$18)&gt;0,SUM(Hofdung!$C$13:$C$18)&gt;0)</xm:f>
            <x14:dxf>
              <fill>
                <patternFill>
                  <bgColor rgb="FFFFC000"/>
                </patternFill>
              </fill>
            </x14:dxf>
          </x14:cfRule>
          <xm:sqref>C9:L9</xm:sqref>
        </x14:conditionalFormatting>
      </x14:conditionalFormattings>
    </ext>
    <ext xmlns:x14="http://schemas.microsoft.com/office/spreadsheetml/2009/9/main" uri="{CCE6A557-97BC-4b89-ADB6-D9C93CAAB3DF}">
      <x14:dataValidations xmlns:xm="http://schemas.microsoft.com/office/excel/2006/main" disablePrompts="1" count="1">
        <x14:dataValidation type="list" allowBlank="1" showInputMessage="1" showErrorMessage="1">
          <x14:formula1>
            <xm:f>Tiere!$B$23:$B$28</xm:f>
          </x14:formula1>
          <xm:sqref>A20:A25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3">
    <tabColor rgb="FF92D050"/>
  </sheetPr>
  <dimension ref="A1:BU142"/>
  <sheetViews>
    <sheetView showZeros="0" zoomScale="75" zoomScaleNormal="75" workbookViewId="0">
      <pane ySplit="8" topLeftCell="A9" activePane="bottomLeft" state="frozen"/>
      <selection pane="bottomLeft" activeCell="A9" sqref="A9"/>
    </sheetView>
  </sheetViews>
  <sheetFormatPr baseColWidth="10" defaultRowHeight="13.2"/>
  <cols>
    <col min="1" max="1" width="5" customWidth="1"/>
    <col min="2" max="2" width="5.44140625" customWidth="1"/>
    <col min="3" max="3" width="6.6640625" customWidth="1"/>
    <col min="4" max="4" width="12.44140625" customWidth="1"/>
    <col min="5" max="5" width="6.33203125" customWidth="1"/>
    <col min="6" max="6" width="9" customWidth="1"/>
    <col min="7" max="7" width="5.33203125" customWidth="1"/>
    <col min="8" max="8" width="7.44140625" customWidth="1"/>
    <col min="9" max="9" width="12.44140625" customWidth="1"/>
    <col min="10" max="10" width="7.44140625" customWidth="1"/>
    <col min="11" max="11" width="4.6640625" customWidth="1"/>
    <col min="12" max="12" width="6.88671875" customWidth="1"/>
    <col min="13" max="13" width="13" customWidth="1"/>
    <col min="14" max="14" width="4.6640625" customWidth="1"/>
    <col min="15" max="15" width="6.88671875" customWidth="1"/>
    <col min="16" max="16" width="4.44140625" customWidth="1"/>
    <col min="17" max="17" width="6.88671875" customWidth="1"/>
    <col min="18" max="18" width="13.88671875" customWidth="1"/>
    <col min="19" max="19" width="4.88671875" customWidth="1"/>
    <col min="20" max="20" width="6.88671875" customWidth="1"/>
    <col min="21" max="21" width="4.44140625" customWidth="1"/>
    <col min="22" max="22" width="6" customWidth="1"/>
    <col min="23" max="23" width="15.33203125" customWidth="1"/>
    <col min="24" max="24" width="4.88671875" customWidth="1"/>
    <col min="25" max="25" width="6" customWidth="1"/>
    <col min="26" max="26" width="5.109375" customWidth="1"/>
    <col min="27" max="27" width="13.88671875" customWidth="1"/>
    <col min="28" max="28" width="36.88671875" customWidth="1"/>
    <col min="29" max="29" width="11.44140625" hidden="1" customWidth="1"/>
    <col min="30" max="30" width="28" hidden="1" customWidth="1"/>
    <col min="31" max="31" width="10.44140625" hidden="1" customWidth="1"/>
    <col min="32" max="32" width="10" hidden="1" customWidth="1"/>
    <col min="33" max="33" width="10.109375" hidden="1" customWidth="1"/>
    <col min="34" max="35" width="8" hidden="1" customWidth="1"/>
    <col min="36" max="36" width="10.44140625" hidden="1" customWidth="1"/>
    <col min="37" max="38" width="7.44140625" hidden="1" customWidth="1"/>
    <col min="39" max="39" width="3.6640625" hidden="1" customWidth="1"/>
    <col min="40" max="40" width="5.44140625" hidden="1" customWidth="1"/>
    <col min="41" max="41" width="6.44140625" hidden="1" customWidth="1"/>
    <col min="42" max="44" width="5.44140625" hidden="1" customWidth="1"/>
    <col min="45" max="45" width="1.44140625" hidden="1" customWidth="1"/>
    <col min="46" max="51" width="5.88671875" hidden="1" customWidth="1"/>
    <col min="52" max="52" width="2.44140625" hidden="1" customWidth="1"/>
    <col min="53" max="57" width="5.88671875" hidden="1" customWidth="1"/>
    <col min="58" max="58" width="2.88671875" hidden="1" customWidth="1"/>
    <col min="59" max="62" width="9" hidden="1" customWidth="1"/>
    <col min="63" max="63" width="3" hidden="1" customWidth="1"/>
    <col min="64" max="66" width="6.44140625" hidden="1" customWidth="1"/>
    <col min="67" max="67" width="8.44140625" hidden="1" customWidth="1"/>
    <col min="68" max="68" width="4.6640625" style="214" hidden="1" customWidth="1"/>
    <col min="69" max="69" width="29.33203125" style="214" hidden="1" customWidth="1"/>
    <col min="70" max="70" width="3.5546875" style="214" hidden="1" customWidth="1"/>
    <col min="71" max="71" width="4.6640625" style="1542" hidden="1" customWidth="1"/>
    <col min="72" max="72" width="68.5546875" customWidth="1"/>
    <col min="73" max="73" width="32.44140625" customWidth="1"/>
  </cols>
  <sheetData>
    <row r="1" spans="1:73" ht="36" customHeight="1">
      <c r="A1" s="1336" t="s">
        <v>1865</v>
      </c>
      <c r="B1" s="1326"/>
      <c r="C1" s="1327"/>
      <c r="D1" s="1327"/>
      <c r="E1" s="1327"/>
      <c r="F1" s="1327"/>
      <c r="G1" s="1328"/>
      <c r="H1" s="1328"/>
      <c r="I1" s="1328"/>
      <c r="J1" s="1328"/>
      <c r="K1" s="1328"/>
      <c r="L1" s="1328"/>
      <c r="M1" s="1328"/>
      <c r="N1" s="1328"/>
      <c r="O1" s="1328"/>
      <c r="P1" s="1328"/>
      <c r="Q1" s="1328"/>
      <c r="R1" s="2522" t="s">
        <v>1383</v>
      </c>
      <c r="S1" s="2522" t="s">
        <v>1355</v>
      </c>
      <c r="T1" s="2522"/>
      <c r="U1" s="1328"/>
      <c r="V1" s="1328"/>
      <c r="W1" s="1328"/>
      <c r="X1" s="1328"/>
      <c r="Y1" s="1328"/>
      <c r="Z1" s="1328"/>
      <c r="AA1" s="1328"/>
      <c r="AB1" s="1328"/>
      <c r="AC1" s="418" t="s">
        <v>1866</v>
      </c>
      <c r="AD1" t="s">
        <v>1867</v>
      </c>
      <c r="AE1" s="1470"/>
      <c r="AG1" s="1471"/>
      <c r="AH1" s="1471"/>
      <c r="AI1" s="1471" t="s">
        <v>1868</v>
      </c>
      <c r="AJ1" s="1472" t="e">
        <f>AJ4/AJ2</f>
        <v>#DIV/0!</v>
      </c>
      <c r="BS1" s="1373"/>
      <c r="BT1" s="2982" t="s">
        <v>1869</v>
      </c>
      <c r="BU1" s="2983"/>
    </row>
    <row r="2" spans="1:73" ht="24.75" customHeight="1">
      <c r="A2" s="1361" t="str">
        <f>IF(AND(Betrieb!B4="",Betrieb!B6=""),"",Betrieb!B4&amp;", "&amp;Betrieb!B6)</f>
        <v/>
      </c>
      <c r="B2" s="1362"/>
      <c r="C2" s="1363"/>
      <c r="D2" s="1363"/>
      <c r="E2" s="1363"/>
      <c r="F2" s="1364"/>
      <c r="G2" s="1364"/>
      <c r="H2" s="1364"/>
      <c r="I2" s="1364"/>
      <c r="J2" s="1362"/>
      <c r="K2" s="1362"/>
      <c r="L2" s="1362"/>
      <c r="M2" s="1362"/>
      <c r="N2" s="1366" t="s">
        <v>873</v>
      </c>
      <c r="O2" s="2938">
        <f>Betrieb!B3</f>
        <v>0</v>
      </c>
      <c r="P2" s="2942"/>
      <c r="Q2" s="2939"/>
      <c r="R2" s="1366" t="s">
        <v>872</v>
      </c>
      <c r="S2" s="2938">
        <f>Betrieb!D4</f>
        <v>2022</v>
      </c>
      <c r="T2" s="2939"/>
      <c r="U2" s="1380"/>
      <c r="V2" s="1381" t="str">
        <f>"der Aufzeichnungszeitraum reicht von 1. Jänner bis 31. Dezember "&amp;Betrieb!D4</f>
        <v>der Aufzeichnungszeitraum reicht von 1. Jänner bis 31. Dezember 2022</v>
      </c>
      <c r="W2" s="1380"/>
      <c r="X2" s="1380"/>
      <c r="Y2" s="1380"/>
      <c r="Z2" s="1380"/>
      <c r="AA2" s="1380"/>
      <c r="AB2" s="1380"/>
      <c r="AC2" s="419" t="s">
        <v>1871</v>
      </c>
      <c r="AD2" t="s">
        <v>1872</v>
      </c>
      <c r="AI2" s="420" t="s">
        <v>1873</v>
      </c>
      <c r="AJ2" s="421">
        <f>H3</f>
        <v>0</v>
      </c>
      <c r="BS2" s="1373"/>
      <c r="BT2" s="2980" t="s">
        <v>1874</v>
      </c>
      <c r="BU2" s="2981"/>
    </row>
    <row r="3" spans="1:73" ht="20.25" customHeight="1">
      <c r="A3" s="1365"/>
      <c r="B3" s="1365"/>
      <c r="C3" s="1365"/>
      <c r="D3" s="1365"/>
      <c r="E3" s="1365"/>
      <c r="F3" s="1365"/>
      <c r="G3" s="1366" t="s">
        <v>878</v>
      </c>
      <c r="H3" s="2917">
        <f>Betrieb!D14</f>
        <v>0</v>
      </c>
      <c r="I3" s="2918"/>
      <c r="J3" s="1365"/>
      <c r="K3" s="1369" t="s">
        <v>1875</v>
      </c>
      <c r="L3" s="1365"/>
      <c r="M3" s="1365"/>
      <c r="N3" s="1365"/>
      <c r="O3" s="1365"/>
      <c r="P3" s="1370"/>
      <c r="Q3" s="1370"/>
      <c r="R3" s="1370"/>
      <c r="S3" s="1370"/>
      <c r="T3" s="1370"/>
      <c r="U3" s="1371"/>
      <c r="V3" s="1371"/>
      <c r="W3" s="1371"/>
      <c r="X3" s="1371"/>
      <c r="Y3" s="1371"/>
      <c r="Z3" s="1372"/>
      <c r="AA3" s="1372"/>
      <c r="AB3" s="1372"/>
      <c r="AC3" s="1373"/>
      <c r="AD3" s="1373" t="s">
        <v>1838</v>
      </c>
      <c r="AE3" s="1373"/>
      <c r="AF3" s="1373"/>
      <c r="AG3" s="1373"/>
      <c r="AH3" s="1373"/>
      <c r="AI3" s="1374" t="s">
        <v>1876</v>
      </c>
      <c r="AJ3" s="1375">
        <f>SUM(C9:C118)</f>
        <v>0</v>
      </c>
      <c r="AK3" s="1373"/>
      <c r="AL3" s="1373"/>
      <c r="AM3" s="1373"/>
      <c r="AN3" s="1373"/>
      <c r="AO3" s="1373"/>
      <c r="AP3" s="1373"/>
      <c r="AQ3" s="1373"/>
      <c r="AR3" s="1373"/>
      <c r="AS3" s="1373"/>
      <c r="AT3" s="1373"/>
      <c r="AU3" s="1373"/>
      <c r="AV3" s="1373"/>
      <c r="AW3" s="1373"/>
      <c r="AX3" s="1373"/>
      <c r="AY3" s="1373"/>
      <c r="BA3" s="1373"/>
      <c r="BB3" s="1373"/>
      <c r="BC3" s="1373"/>
      <c r="BD3" s="1373"/>
      <c r="BE3" s="1373"/>
      <c r="BF3" s="1373"/>
      <c r="BG3" s="1373"/>
      <c r="BH3" s="1373"/>
      <c r="BI3" s="1373"/>
      <c r="BJ3" s="1373"/>
      <c r="BK3" s="1373"/>
      <c r="BL3" s="1373"/>
      <c r="BM3" s="1373"/>
      <c r="BN3" s="1373"/>
      <c r="BO3" s="1373"/>
      <c r="BS3" s="1373"/>
      <c r="BT3" s="2980"/>
      <c r="BU3" s="2981"/>
    </row>
    <row r="4" spans="1:73" ht="21" customHeight="1" thickBot="1">
      <c r="A4" s="1365"/>
      <c r="B4" s="1365"/>
      <c r="C4" s="1365"/>
      <c r="D4" s="1365"/>
      <c r="E4" s="1365"/>
      <c r="F4" s="1367"/>
      <c r="G4" s="1368" t="s">
        <v>879</v>
      </c>
      <c r="H4" s="2919">
        <f>SUM(C9:C118)</f>
        <v>0</v>
      </c>
      <c r="I4" s="2920"/>
      <c r="J4" s="1367"/>
      <c r="K4" s="1376" t="s">
        <v>1877</v>
      </c>
      <c r="L4" s="1367"/>
      <c r="M4" s="1367"/>
      <c r="N4" s="1367"/>
      <c r="O4" s="1367"/>
      <c r="P4" s="1367"/>
      <c r="Q4" s="1367"/>
      <c r="R4" s="1367"/>
      <c r="S4" s="1367"/>
      <c r="T4" s="1367"/>
      <c r="U4" s="1367"/>
      <c r="V4" s="1367"/>
      <c r="W4" s="1367"/>
      <c r="X4" s="1367"/>
      <c r="Y4" s="1367"/>
      <c r="Z4" s="1372"/>
      <c r="AA4" s="1372"/>
      <c r="AB4" s="1372"/>
      <c r="AC4" s="1373"/>
      <c r="AD4" s="1373"/>
      <c r="AE4" s="1373"/>
      <c r="AF4" s="1373"/>
      <c r="AG4" s="1377"/>
      <c r="AH4" s="1377"/>
      <c r="AI4" s="1378" t="s">
        <v>1878</v>
      </c>
      <c r="AJ4" s="1379">
        <f>SUM(AK9:AK118)</f>
        <v>0</v>
      </c>
      <c r="AK4" s="1373" t="s">
        <v>1388</v>
      </c>
      <c r="AL4" s="1373"/>
      <c r="AM4" s="1373"/>
      <c r="AN4" s="1373"/>
      <c r="AO4" s="1373"/>
      <c r="AP4" s="1373"/>
      <c r="AQ4" s="1373"/>
      <c r="AR4" s="1373"/>
      <c r="AS4" s="1373"/>
      <c r="AT4" s="1373"/>
      <c r="AU4" s="1373"/>
      <c r="AV4" s="1373"/>
      <c r="AW4" s="1373"/>
      <c r="AX4" s="1373"/>
      <c r="AY4" s="1373"/>
      <c r="BA4" s="1373"/>
      <c r="BB4" s="1373"/>
      <c r="BC4" s="1373"/>
      <c r="BD4" s="1373"/>
      <c r="BE4" s="1373"/>
      <c r="BF4" s="1373"/>
      <c r="BG4" s="1373"/>
      <c r="BH4" s="1373"/>
      <c r="BI4" s="1373"/>
      <c r="BJ4" s="1373"/>
      <c r="BK4" s="1373"/>
      <c r="BL4" s="1373"/>
      <c r="BM4" s="1373"/>
      <c r="BN4" s="1373"/>
      <c r="BO4" s="1373"/>
      <c r="BS4" s="1373"/>
      <c r="BT4" s="2980"/>
      <c r="BU4" s="2981"/>
    </row>
    <row r="5" spans="1:73" ht="38.25" customHeight="1" thickBot="1">
      <c r="A5" s="2921" t="s">
        <v>1879</v>
      </c>
      <c r="B5" s="2924" t="s">
        <v>1880</v>
      </c>
      <c r="C5" s="2927" t="s">
        <v>1881</v>
      </c>
      <c r="D5" s="2930" t="s">
        <v>1882</v>
      </c>
      <c r="E5" s="2933" t="s">
        <v>1883</v>
      </c>
      <c r="F5" s="2909" t="s">
        <v>1884</v>
      </c>
      <c r="G5" s="2912" t="s">
        <v>1885</v>
      </c>
      <c r="H5" s="2914" t="s">
        <v>1886</v>
      </c>
      <c r="I5" s="2915"/>
      <c r="J5" s="2916"/>
      <c r="K5" s="2912" t="s">
        <v>1885</v>
      </c>
      <c r="L5" s="2940" t="s">
        <v>1887</v>
      </c>
      <c r="M5" s="2941"/>
      <c r="N5" s="2941"/>
      <c r="O5" s="2916"/>
      <c r="P5" s="2912" t="s">
        <v>1885</v>
      </c>
      <c r="Q5" s="2940" t="s">
        <v>1888</v>
      </c>
      <c r="R5" s="2941"/>
      <c r="S5" s="2941"/>
      <c r="T5" s="2916"/>
      <c r="U5" s="2912" t="s">
        <v>1885</v>
      </c>
      <c r="V5" s="2940" t="s">
        <v>1889</v>
      </c>
      <c r="W5" s="2941"/>
      <c r="X5" s="2941"/>
      <c r="Y5" s="2916"/>
      <c r="Z5" s="2912" t="s">
        <v>1885</v>
      </c>
      <c r="AA5" s="2966" t="s">
        <v>1890</v>
      </c>
      <c r="AB5" s="2967"/>
      <c r="AC5" s="2972" t="s">
        <v>1891</v>
      </c>
      <c r="AD5" s="1457" t="s">
        <v>1892</v>
      </c>
      <c r="AE5" s="1457" t="s">
        <v>1885</v>
      </c>
      <c r="AF5" s="1457" t="s">
        <v>1893</v>
      </c>
      <c r="AG5" s="1458" t="s">
        <v>1894</v>
      </c>
      <c r="AH5" s="1458" t="s">
        <v>1895</v>
      </c>
      <c r="AI5" s="422" t="s">
        <v>1633</v>
      </c>
      <c r="AJ5" s="1462" t="s">
        <v>1896</v>
      </c>
      <c r="AK5" s="2946" t="s">
        <v>1775</v>
      </c>
      <c r="AL5" s="2947"/>
      <c r="AM5" s="423"/>
      <c r="AN5" s="2957" t="s">
        <v>1897</v>
      </c>
      <c r="AO5" s="2958"/>
      <c r="AP5" s="2958"/>
      <c r="AQ5" s="2958"/>
      <c r="AR5" s="2975"/>
      <c r="AT5" s="2957" t="s">
        <v>1898</v>
      </c>
      <c r="AU5" s="2958"/>
      <c r="AV5" s="2958"/>
      <c r="AW5" s="2958"/>
      <c r="AX5" s="2959"/>
      <c r="AY5" s="2954" t="s">
        <v>1899</v>
      </c>
      <c r="BA5" s="2957" t="s">
        <v>1900</v>
      </c>
      <c r="BB5" s="2958"/>
      <c r="BC5" s="2958"/>
      <c r="BD5" s="2959"/>
      <c r="BE5" s="2954" t="s">
        <v>1836</v>
      </c>
      <c r="BG5" s="2948" t="s">
        <v>1901</v>
      </c>
      <c r="BH5" s="2949"/>
      <c r="BI5" s="2949"/>
      <c r="BJ5" s="2943" t="s">
        <v>1902</v>
      </c>
      <c r="BL5" s="2948" t="s">
        <v>2297</v>
      </c>
      <c r="BM5" s="2949"/>
      <c r="BN5" s="2949"/>
      <c r="BO5" s="2943" t="s">
        <v>1903</v>
      </c>
      <c r="BS5" s="1373"/>
      <c r="BT5" s="2988" t="s">
        <v>2305</v>
      </c>
      <c r="BU5" s="2989"/>
    </row>
    <row r="6" spans="1:73" ht="15.9" customHeight="1">
      <c r="A6" s="2922"/>
      <c r="B6" s="2925"/>
      <c r="C6" s="2928"/>
      <c r="D6" s="2931"/>
      <c r="E6" s="2934"/>
      <c r="F6" s="2910"/>
      <c r="G6" s="2913"/>
      <c r="H6" s="1393" t="s">
        <v>1904</v>
      </c>
      <c r="I6" s="1394"/>
      <c r="J6" s="1395" t="s">
        <v>1905</v>
      </c>
      <c r="K6" s="2913"/>
      <c r="L6" s="1396"/>
      <c r="M6" s="1394" t="str">
        <f>"("&amp;$C2&amp;")"</f>
        <v>()</v>
      </c>
      <c r="N6" s="1397"/>
      <c r="O6" s="1395" t="s">
        <v>1905</v>
      </c>
      <c r="P6" s="2913"/>
      <c r="Q6" s="1396"/>
      <c r="R6" s="1394" t="str">
        <f>"("&amp;$C2&amp;")"</f>
        <v>()</v>
      </c>
      <c r="S6" s="1397"/>
      <c r="T6" s="1395" t="s">
        <v>1905</v>
      </c>
      <c r="U6" s="2913"/>
      <c r="V6" s="1396"/>
      <c r="W6" s="1394" t="str">
        <f>"("&amp;$C2&amp;")"</f>
        <v>()</v>
      </c>
      <c r="X6" s="1397"/>
      <c r="Y6" s="1395" t="s">
        <v>1905</v>
      </c>
      <c r="Z6" s="2913"/>
      <c r="AA6" s="2968"/>
      <c r="AB6" s="2969"/>
      <c r="AC6" s="2973"/>
      <c r="AD6" s="1459"/>
      <c r="AE6" s="1457"/>
      <c r="AF6" s="1457"/>
      <c r="AG6" s="1458"/>
      <c r="AH6" s="1458"/>
      <c r="AI6" s="424"/>
      <c r="AJ6" s="1462"/>
      <c r="AK6" s="1462"/>
      <c r="AL6" s="1459"/>
      <c r="AM6" s="307"/>
      <c r="AN6" s="2960"/>
      <c r="AO6" s="2961"/>
      <c r="AP6" s="2961"/>
      <c r="AQ6" s="2961"/>
      <c r="AR6" s="2976"/>
      <c r="AT6" s="2960"/>
      <c r="AU6" s="2961"/>
      <c r="AV6" s="2961"/>
      <c r="AW6" s="2961"/>
      <c r="AX6" s="2962"/>
      <c r="AY6" s="2955"/>
      <c r="BA6" s="2960"/>
      <c r="BB6" s="2961"/>
      <c r="BC6" s="2961"/>
      <c r="BD6" s="2962"/>
      <c r="BE6" s="2955"/>
      <c r="BG6" s="2950"/>
      <c r="BH6" s="2951"/>
      <c r="BI6" s="2951"/>
      <c r="BJ6" s="2944"/>
      <c r="BL6" s="2950"/>
      <c r="BM6" s="2951"/>
      <c r="BN6" s="2951"/>
      <c r="BO6" s="2944"/>
      <c r="BS6" s="1373"/>
      <c r="BT6" s="2980" t="s">
        <v>1906</v>
      </c>
      <c r="BU6" s="2981"/>
    </row>
    <row r="7" spans="1:73" ht="15.9" customHeight="1" thickBot="1">
      <c r="A7" s="2922"/>
      <c r="B7" s="2925"/>
      <c r="C7" s="2929"/>
      <c r="D7" s="2931"/>
      <c r="E7" s="2934"/>
      <c r="F7" s="2910"/>
      <c r="G7" s="2913"/>
      <c r="H7" s="1398" t="s">
        <v>1907</v>
      </c>
      <c r="I7" s="1399"/>
      <c r="J7" s="1400" t="s">
        <v>1908</v>
      </c>
      <c r="K7" s="2913"/>
      <c r="L7" s="1401" t="s">
        <v>1907</v>
      </c>
      <c r="M7" s="1399"/>
      <c r="N7" s="1399"/>
      <c r="O7" s="1400" t="s">
        <v>1908</v>
      </c>
      <c r="P7" s="2913"/>
      <c r="Q7" s="1401" t="s">
        <v>1907</v>
      </c>
      <c r="R7" s="1399"/>
      <c r="S7" s="1399"/>
      <c r="T7" s="1400" t="s">
        <v>1908</v>
      </c>
      <c r="U7" s="2913"/>
      <c r="V7" s="1401" t="s">
        <v>1907</v>
      </c>
      <c r="W7" s="1399"/>
      <c r="X7" s="1399"/>
      <c r="Y7" s="1400" t="s">
        <v>1908</v>
      </c>
      <c r="Z7" s="2913"/>
      <c r="AA7" s="2970"/>
      <c r="AB7" s="2971"/>
      <c r="AC7" s="2974"/>
      <c r="AD7" s="1459"/>
      <c r="AE7" s="1457"/>
      <c r="AF7" s="1457"/>
      <c r="AG7" s="1458"/>
      <c r="AH7" s="1458"/>
      <c r="AI7" s="424"/>
      <c r="AJ7" s="1462"/>
      <c r="AK7" s="1462"/>
      <c r="AL7" s="1459"/>
      <c r="AM7" s="307"/>
      <c r="AN7" s="2963"/>
      <c r="AO7" s="2964"/>
      <c r="AP7" s="2964"/>
      <c r="AQ7" s="2964"/>
      <c r="AR7" s="2977"/>
      <c r="AT7" s="2963"/>
      <c r="AU7" s="2964"/>
      <c r="AV7" s="2964"/>
      <c r="AW7" s="2964"/>
      <c r="AX7" s="2965"/>
      <c r="AY7" s="2956"/>
      <c r="BA7" s="2963"/>
      <c r="BB7" s="2964"/>
      <c r="BC7" s="2964"/>
      <c r="BD7" s="2965"/>
      <c r="BE7" s="2956"/>
      <c r="BG7" s="2952"/>
      <c r="BH7" s="2953"/>
      <c r="BI7" s="2953"/>
      <c r="BJ7" s="2945"/>
      <c r="BL7" s="2952"/>
      <c r="BM7" s="2953"/>
      <c r="BN7" s="2953"/>
      <c r="BO7" s="2945"/>
      <c r="BS7" s="1373"/>
      <c r="BT7" s="2980"/>
      <c r="BU7" s="2981"/>
    </row>
    <row r="8" spans="1:73" ht="26.25" customHeight="1" thickBot="1">
      <c r="A8" s="2923"/>
      <c r="B8" s="2926"/>
      <c r="C8" s="1392" t="s">
        <v>1388</v>
      </c>
      <c r="D8" s="2932"/>
      <c r="E8" s="2935"/>
      <c r="F8" s="2911"/>
      <c r="G8" s="1387" t="s">
        <v>1909</v>
      </c>
      <c r="H8" s="1389" t="s">
        <v>1850</v>
      </c>
      <c r="I8" s="1390" t="s">
        <v>1910</v>
      </c>
      <c r="J8" s="1391" t="s">
        <v>1850</v>
      </c>
      <c r="K8" s="1387" t="s">
        <v>1909</v>
      </c>
      <c r="L8" s="1388" t="s">
        <v>1850</v>
      </c>
      <c r="M8" s="1384" t="s">
        <v>1910</v>
      </c>
      <c r="N8" s="1385" t="s">
        <v>1911</v>
      </c>
      <c r="O8" s="1386" t="s">
        <v>1850</v>
      </c>
      <c r="P8" s="1387" t="s">
        <v>1909</v>
      </c>
      <c r="Q8" s="1382" t="s">
        <v>1850</v>
      </c>
      <c r="R8" s="1384" t="s">
        <v>1910</v>
      </c>
      <c r="S8" s="1385" t="s">
        <v>1911</v>
      </c>
      <c r="T8" s="1386" t="s">
        <v>1850</v>
      </c>
      <c r="U8" s="1116" t="s">
        <v>1909</v>
      </c>
      <c r="V8" s="1382" t="s">
        <v>1850</v>
      </c>
      <c r="W8" s="1384" t="s">
        <v>1910</v>
      </c>
      <c r="X8" s="1385" t="s">
        <v>1911</v>
      </c>
      <c r="Y8" s="1386" t="s">
        <v>1850</v>
      </c>
      <c r="Z8" s="1116" t="s">
        <v>1909</v>
      </c>
      <c r="AA8" s="1382" t="s">
        <v>1912</v>
      </c>
      <c r="AB8" s="1383" t="s">
        <v>1913</v>
      </c>
      <c r="AC8" s="425">
        <f>IF($S2=2018,AC9,IF($S2=2019,AC10,IF($S2=2020,(AC11+1),IF($S2=2021,AC12,IF($S2=2022,AC13,IF($S2=2023,AC14,IF($S2=2024,(AC15+1),0)))))))</f>
        <v>44562</v>
      </c>
      <c r="AD8" s="1460"/>
      <c r="AE8" s="1457" t="s">
        <v>1914</v>
      </c>
      <c r="AF8" s="1457" t="s">
        <v>1915</v>
      </c>
      <c r="AG8" s="1461" t="s">
        <v>1916</v>
      </c>
      <c r="AH8" s="1461" t="s">
        <v>1917</v>
      </c>
      <c r="AI8" s="426"/>
      <c r="AJ8" s="1457" t="s">
        <v>1918</v>
      </c>
      <c r="AK8" s="2936" t="s">
        <v>1388</v>
      </c>
      <c r="AL8" s="2937"/>
      <c r="AM8" s="308"/>
      <c r="AN8" s="1463" t="s">
        <v>1919</v>
      </c>
      <c r="AO8" s="1464" t="s">
        <v>1920</v>
      </c>
      <c r="AP8" s="1464" t="s">
        <v>1921</v>
      </c>
      <c r="AQ8" s="1464" t="s">
        <v>1922</v>
      </c>
      <c r="AR8" s="1465" t="s">
        <v>1923</v>
      </c>
      <c r="AT8" s="1463" t="s">
        <v>1919</v>
      </c>
      <c r="AU8" s="1464" t="s">
        <v>1920</v>
      </c>
      <c r="AV8" s="1464" t="s">
        <v>1921</v>
      </c>
      <c r="AW8" s="1464" t="s">
        <v>1922</v>
      </c>
      <c r="AX8" s="1465" t="s">
        <v>1923</v>
      </c>
      <c r="AY8" s="1466" t="s">
        <v>1924</v>
      </c>
      <c r="BA8" s="1463" t="s">
        <v>1920</v>
      </c>
      <c r="BB8" s="1464" t="s">
        <v>1921</v>
      </c>
      <c r="BC8" s="1464" t="s">
        <v>1922</v>
      </c>
      <c r="BD8" s="1465" t="s">
        <v>1923</v>
      </c>
      <c r="BE8" s="1466" t="s">
        <v>1925</v>
      </c>
      <c r="BG8" s="1461" t="s">
        <v>1926</v>
      </c>
      <c r="BH8" s="1461" t="s">
        <v>1927</v>
      </c>
      <c r="BI8" s="1461" t="s">
        <v>1928</v>
      </c>
      <c r="BJ8" s="1461" t="s">
        <v>1924</v>
      </c>
      <c r="BL8" s="1467" t="s">
        <v>1929</v>
      </c>
      <c r="BM8" s="1467" t="s">
        <v>1930</v>
      </c>
      <c r="BN8" s="1467" t="s">
        <v>1931</v>
      </c>
      <c r="BO8" s="1468" t="s">
        <v>1633</v>
      </c>
      <c r="BQ8" s="2341" t="s">
        <v>1379</v>
      </c>
      <c r="BR8" s="1542"/>
      <c r="BS8" s="1373"/>
      <c r="BT8" s="2980"/>
      <c r="BU8" s="2981"/>
    </row>
    <row r="9" spans="1:73" ht="45.75" customHeight="1" thickBot="1">
      <c r="A9" s="2336"/>
      <c r="B9" s="2336"/>
      <c r="C9" s="2340"/>
      <c r="D9" s="2337"/>
      <c r="E9" s="2338"/>
      <c r="F9" s="2327"/>
      <c r="G9" s="2339" t="str">
        <f>IFERROR(IF(AN9&gt;0,AN9,""),0)</f>
        <v/>
      </c>
      <c r="H9" s="2327"/>
      <c r="I9" s="2326"/>
      <c r="J9" s="2327"/>
      <c r="K9" s="2328">
        <f>AO9</f>
        <v>0</v>
      </c>
      <c r="L9" s="2327"/>
      <c r="M9" s="2326"/>
      <c r="N9" s="2329"/>
      <c r="O9" s="2327"/>
      <c r="P9" s="2328">
        <f>AP9</f>
        <v>0</v>
      </c>
      <c r="Q9" s="2327"/>
      <c r="R9" s="2326"/>
      <c r="S9" s="2329"/>
      <c r="T9" s="2330"/>
      <c r="U9" s="2331">
        <f t="shared" ref="U9:U40" si="0">AQ9</f>
        <v>0</v>
      </c>
      <c r="V9" s="2332"/>
      <c r="W9" s="2326"/>
      <c r="X9" s="2329"/>
      <c r="Y9" s="2330"/>
      <c r="Z9" s="2333">
        <f t="shared" ref="Z9:Z40" si="1">AR9</f>
        <v>0</v>
      </c>
      <c r="AA9" s="2334">
        <f>IF(AND($H$3=0,C9&lt;&gt;""),"Ackerfläche noch nicht angeführt",IF(ISBLANK(C9),0,IF(AJ9=0,"ja",IF(AI9&gt;0,CONCATENATE("nein - ",ROUND(AL9*100,1)," % ","nicht begrünt"),""))))</f>
        <v>0</v>
      </c>
      <c r="AB9" s="2335" t="str">
        <f t="shared" ref="AB9:AB40" si="2">AD9</f>
        <v/>
      </c>
      <c r="AC9" s="308">
        <v>43101</v>
      </c>
      <c r="AD9" s="427" t="str">
        <f>IF(AND(AE9=1,N9="",L9&gt;0,AO9&lt;=50,AT9&lt;&gt;1,AV9&lt;&gt;1,AW9&lt;&gt;1),$BQ$9,IF(AND(AE9=1,S9="",Q9&gt;0,AP9&lt;=50,N9="HF",AT9&lt;&gt;1,AU9&lt;&gt;1,AW9&lt;&gt;1),$BQ$10,IF(AND(AE9=1,X9="",V9&gt;0,AQ9&lt;=50,S9="HF",AT9&lt;&gt;1,AU9&lt;&gt;1,AV9&lt;&gt;1),$BQ$11,IF(AND(AF9=1,AI9=1),$BQ$15,IF(AND(AE9=1,AI9=1),$BQ$13,IF(AND(AG9=1,AI9=1),$BQ$14,IF(AND(AH9=1,AI9=1),$BQ$12,IF(AND($AE9=1,$AF9=1,AI9=2),CONCATENATE($BQ$13," &amp; ",$BQ$15),IF(AND($AE9=1,$AG9=1,AI9=2),CONCATENATE($BQ$13," &amp; ",$BQ$14),IF(AND($AE9=1,$AH9=1,AI9=2),CONCATENATE($BQ$13," &amp; ",$BQ$12),IF(AND($AF9=1,$AG9=1,AI9=2),CONCATENATE($BQ$15," &amp; ",$BQ$14),IF(AND($AF9=1,$AH9=1,AI9=2),CONCATENATE($BQ$15," &amp; ",$BQ$12),IF(AND($AG9=1,$AH9=1,AI9=2),CONCATENATE($BQ$14," &amp; ",$BQ$12),IF(AND($AE9=1,$AF9=1,$AG9=1,AI9=3),CONCATENATE($BQ$13," &amp; ",$BQ$15," &amp; ",$BQ$14),IF(AND($AE9=1,$AG9=1,$AH9=1,AI9=3),CONCATENATE($BQ$13," &amp; ",$BQ$14," &amp; ",$BQ$12),IF(AND($AF9=1,$AG9=1,$AH9=1,AI9=3),CONCATENATE($BQ$15," &amp; ",$BQ$14," &amp; ",$BQ$12),IF(AND($AE9=1,$AF9=1,$AH9=1,AI9=3),CONCATENATE($BQ$13," &amp; ",$BQ$15," &amp; ",$BQ$12),IF(AI9=4,"Fehler in Eingabe",""))))))))))))))))))</f>
        <v/>
      </c>
      <c r="AE9" s="428">
        <f t="shared" ref="AE9:AE118" si="3">IF(AY9&gt;0,1,0)</f>
        <v>0</v>
      </c>
      <c r="AF9" s="428">
        <f t="shared" ref="AF9:AF118" si="4">IF(BJ9&gt;0,1,0)</f>
        <v>0</v>
      </c>
      <c r="AG9" s="428">
        <f t="shared" ref="AG9:AG118" si="5">IF(BO9&gt;0,1,0)</f>
        <v>0</v>
      </c>
      <c r="AH9" s="428">
        <f t="shared" ref="AH9:AH118" si="6">IF(BE9=1,1,0)</f>
        <v>0</v>
      </c>
      <c r="AI9" s="429">
        <f t="shared" ref="AI9:AI118" si="7">SUM(AE9:AH9)</f>
        <v>0</v>
      </c>
      <c r="AJ9" s="430">
        <f t="shared" ref="AJ9:AJ118" si="8">IF(OR(ISBLANK(I9),AI9&gt;0),1,0)</f>
        <v>1</v>
      </c>
      <c r="AK9" s="428">
        <f t="shared" ref="AK9:AK118" si="9">IF(AJ9=1,C9,0)</f>
        <v>0</v>
      </c>
      <c r="AL9" s="431" t="e">
        <f t="shared" ref="AL9:AL118" si="10">AK9/$AJ$2</f>
        <v>#DIV/0!</v>
      </c>
      <c r="AM9" s="308"/>
      <c r="AN9" s="432">
        <f t="shared" ref="AN9:AN118" si="11">IF(E9="nein",H9-$AC$8,H9-F9)</f>
        <v>0</v>
      </c>
      <c r="AO9" s="430">
        <f t="shared" ref="AO9:AO118" si="12">IF(ISBLANK(J9),0,IF(ISBLANK(L9),($AC$8+365)-J9,L9-J9))</f>
        <v>0</v>
      </c>
      <c r="AP9" s="430">
        <f t="shared" ref="AP9:AP118" si="13">IF(ISBLANK(O9),0,IF(ISBLANK(Q9),($AC$8+365)-O9,Q9-O9))</f>
        <v>0</v>
      </c>
      <c r="AQ9" s="430">
        <f t="shared" ref="AQ9:AQ118" si="14">IF(ISBLANK(T9),0,IF(ISBLANK(V9),($AC$8+365)-T9,V9-T9))</f>
        <v>0</v>
      </c>
      <c r="AR9" s="433">
        <f t="shared" ref="AR9:AR118" si="15">IF(ISBLANK(Y9),0,($AC$8+365)-Y9)</f>
        <v>0</v>
      </c>
      <c r="AT9" s="434">
        <f t="shared" ref="AT9:AT118" si="16">IF(AND(E9="nein",AN9&gt;30),1,IF(AND(E9="ja ZWF",AN9&gt;30),1,IF(AND(E9="ja HF",AN9&gt;50),1,0)))</f>
        <v>0</v>
      </c>
      <c r="AU9" s="430">
        <f t="shared" ref="AU9:AU118" si="17">IF(AND(N9="",L9&gt;0,AO9&gt;30),1,IF(AND(N9="ZWF",AO9&gt;30),1,IF(AND(N9="HF",AO9&gt;50),1,0)))</f>
        <v>0</v>
      </c>
      <c r="AV9" s="1469">
        <f t="shared" ref="AV9:AV14" si="18">IF(AND(S9="",Q9&gt;0,AP9&gt;30),1,IF(AND(S9="ZWF",AP9&gt;30),1,IF(AND(N9="ZWF",AP9&gt;30),1,IF(AND(S9="HF",N9="HF",AP9&gt;50),1,0))))</f>
        <v>0</v>
      </c>
      <c r="AW9" s="1469">
        <f t="shared" ref="AW9:AW14" si="19">IF(AND(X9="",V9&gt;0,AQ9&gt;30),1,IF(AND(X9="ZWF",AP9&gt;30),1,IF(AND(S9="ZWF",AQ9&gt;30),1,IF(AND(X9="HF",S9="HF",AQ9&gt;50),1,0))))</f>
        <v>0</v>
      </c>
      <c r="AX9" s="430">
        <f t="shared" ref="AX9:AX118" si="20">IF(AR9&lt;31,0,IF(AND(X9="ZWF",AR9&lt;31),0,IF(AND(X9="HF",AR9&lt;51),0,1)))</f>
        <v>0</v>
      </c>
      <c r="AY9" s="435">
        <f t="shared" ref="AY9:AY118" si="21">SUM(AT9:AX9)</f>
        <v>0</v>
      </c>
      <c r="BA9" s="434">
        <f t="shared" ref="BA9:BA118" si="22">IF(AND(J9&gt;0,L9=0),1,0)</f>
        <v>0</v>
      </c>
      <c r="BB9" s="430">
        <f t="shared" ref="BB9:BB118" si="23">IF(AND(O9&gt;0,Q9=0),1,0)</f>
        <v>0</v>
      </c>
      <c r="BC9" s="430">
        <f t="shared" ref="BC9:BC118" si="24">IF(AND(T9&gt;0,V9=0),1,0)</f>
        <v>0</v>
      </c>
      <c r="BD9" s="430">
        <f t="shared" ref="BD9:BD118" si="25">IF(Y9&gt;0,1,0)</f>
        <v>0</v>
      </c>
      <c r="BE9" s="435">
        <f t="shared" ref="BE9:BE118" si="26">SUM(BA9:BD9)</f>
        <v>0</v>
      </c>
      <c r="BG9" s="428">
        <f t="shared" ref="BG9:BG118" si="27">IF(ISBLANK(O9),($AC$8+365)-L9,O9-L9)</f>
        <v>44927</v>
      </c>
      <c r="BH9" s="428">
        <f t="shared" ref="BH9:BH118" si="28">IF(ISBLANK(T9),($AC$8+365)-Q9,T9-Q9)</f>
        <v>44927</v>
      </c>
      <c r="BI9" s="428">
        <f t="shared" ref="BI9:BI118" si="29">IF(ISBLANK(Y9),($AC$8+365)-V9,Y9-V9)</f>
        <v>44927</v>
      </c>
      <c r="BJ9" s="428">
        <f>IF(AND(BG9&lt;36,N9="ZWF"),1,IF(AND(BH9&lt;36,S9="ZWF"),1,IF(AND(BI9&lt;36,X9="ZWF"),1,0)))</f>
        <v>0</v>
      </c>
      <c r="BK9" s="310"/>
      <c r="BL9" s="432">
        <f t="shared" ref="BL9:BL118" si="30">IF(AND(N9="ZWF",L9&gt;($AC$8+273)),1,0)</f>
        <v>0</v>
      </c>
      <c r="BM9" s="428">
        <f t="shared" ref="BM9:BM118" si="31">IF(AND(S9="ZWF",Q9&gt;($AC$8+273)),1,0)</f>
        <v>0</v>
      </c>
      <c r="BN9" s="428">
        <f t="shared" ref="BN9:BN118" si="32">IF(AND(X9="ZWF",V9&gt;($AC$8+273)),1,0)</f>
        <v>0</v>
      </c>
      <c r="BO9" s="436">
        <f t="shared" ref="BO9:BO118" si="33">SUM(BL9:BN9)</f>
        <v>0</v>
      </c>
      <c r="BQ9" s="2342" t="s">
        <v>2290</v>
      </c>
      <c r="BR9" s="1542">
        <v>9</v>
      </c>
      <c r="BS9" s="1373"/>
      <c r="BT9" s="2984" t="s">
        <v>2303</v>
      </c>
      <c r="BU9" s="2985"/>
    </row>
    <row r="10" spans="1:73" ht="45.75" customHeight="1" thickBot="1">
      <c r="A10" s="2336"/>
      <c r="B10" s="2336"/>
      <c r="C10" s="2340"/>
      <c r="D10" s="2337"/>
      <c r="E10" s="2338"/>
      <c r="F10" s="2327"/>
      <c r="G10" s="2339" t="str">
        <f t="shared" ref="G10:G73" si="34">IFERROR(IF(AN10&gt;0,AN10,""),0)</f>
        <v/>
      </c>
      <c r="H10" s="451"/>
      <c r="I10" s="2326"/>
      <c r="J10" s="2327"/>
      <c r="K10" s="2328">
        <f t="shared" ref="K10:K11" si="35">AO10</f>
        <v>0</v>
      </c>
      <c r="L10" s="2327"/>
      <c r="M10" s="2326"/>
      <c r="N10" s="2329"/>
      <c r="O10" s="2327"/>
      <c r="P10" s="2328">
        <f t="shared" ref="P10:P40" si="36">AP10</f>
        <v>0</v>
      </c>
      <c r="Q10" s="2327"/>
      <c r="R10" s="2326"/>
      <c r="S10" s="2329"/>
      <c r="T10" s="2330"/>
      <c r="U10" s="2331">
        <f t="shared" si="0"/>
        <v>0</v>
      </c>
      <c r="V10" s="2332"/>
      <c r="W10" s="2326"/>
      <c r="X10" s="2329"/>
      <c r="Y10" s="2330"/>
      <c r="Z10" s="2333">
        <f t="shared" si="1"/>
        <v>0</v>
      </c>
      <c r="AA10" s="2334">
        <f t="shared" ref="AA10:AA73" si="37">IF(AND($H$3=0,C10&lt;&gt;""),"Ackerfläche noch nicht angeführt",IF(ISBLANK(C10),0,IF(AJ10=0,"ja",IF(AI10&gt;0,CONCATENATE("nein - ",ROUND(AL10*100,1)," % ","nicht begrünt"),""))))</f>
        <v>0</v>
      </c>
      <c r="AB10" s="2335" t="str">
        <f t="shared" si="2"/>
        <v/>
      </c>
      <c r="AC10" s="308">
        <v>43466</v>
      </c>
      <c r="AD10" s="427" t="str">
        <f t="shared" ref="AD10:AD73" si="38">IF(AND(AE10=1,N10="",L10&gt;0,AO10&lt;=50,AT10&lt;&gt;1,AV10&lt;&gt;1,AW10&lt;&gt;1),$BQ$9,IF(AND(AE10=1,S10="",Q10&gt;0,AP10&lt;=50,N10="HF",AT10&lt;&gt;1,AU10&lt;&gt;1,AW10&lt;&gt;1),$BQ$10,IF(AND(AE10=1,X10="",V10&gt;0,AQ10&lt;=50,S10="HF",AT10&lt;&gt;1,AU10&lt;&gt;1,AV10&lt;&gt;1),$BQ$11,IF(AND(AF10=1,AI10=1),$BQ$15,IF(AND(AE10=1,AI10=1),$BQ$13,IF(AND(AG10=1,AI10=1),$BQ$14,IF(AND(AH10=1,AI10=1),$BQ$12,IF(AND($AE10=1,$AF10=1,AI10=2),CONCATENATE($BQ$13," &amp; ",$BQ$15),IF(AND($AE10=1,$AG10=1,AI10=2),CONCATENATE($BQ$13," &amp; ",$BQ$14),IF(AND($AE10=1,$AH10=1,AI10=2),CONCATENATE($BQ$13," &amp; ",$BQ$12),IF(AND($AF10=1,$AG10=1,AI10=2),CONCATENATE($BQ$15," &amp; ",$BQ$14),IF(AND($AF10=1,$AH10=1,AI10=2),CONCATENATE($BQ$15," &amp; ",$BQ$12),IF(AND($AG10=1,$AH10=1,AI10=2),CONCATENATE($BQ$14," &amp; ",$BQ$12),IF(AND($AE10=1,$AF10=1,$AG10=1,AI10=3),CONCATENATE($BQ$13," &amp; ",$BQ$15," &amp; ",$BQ$14),IF(AND($AE10=1,$AG10=1,$AH10=1,AI10=3),CONCATENATE($BQ$13," &amp; ",$BQ$14," &amp; ",$BQ$12),IF(AND($AF10=1,$AG10=1,$AH10=1,AI10=3),CONCATENATE($BQ$15," &amp; ",$BQ$14," &amp; ",$BQ$12),IF(AND($AE10=1,$AF10=1,$AH10=1,AI10=3),CONCATENATE($BQ$13," &amp; ",$BQ$15," &amp; ",$BQ$12),IF(AI10=4,"Fehler in Eingabe",""))))))))))))))))))</f>
        <v/>
      </c>
      <c r="AE10" s="428">
        <f t="shared" si="3"/>
        <v>0</v>
      </c>
      <c r="AF10" s="428">
        <f t="shared" si="4"/>
        <v>0</v>
      </c>
      <c r="AG10" s="428">
        <f t="shared" si="5"/>
        <v>0</v>
      </c>
      <c r="AH10" s="428">
        <f t="shared" si="6"/>
        <v>0</v>
      </c>
      <c r="AI10" s="429">
        <f t="shared" si="7"/>
        <v>0</v>
      </c>
      <c r="AJ10" s="430">
        <f t="shared" si="8"/>
        <v>1</v>
      </c>
      <c r="AK10" s="428">
        <f t="shared" si="9"/>
        <v>0</v>
      </c>
      <c r="AL10" s="431" t="e">
        <f t="shared" si="10"/>
        <v>#DIV/0!</v>
      </c>
      <c r="AM10" s="308"/>
      <c r="AN10" s="432">
        <f t="shared" si="11"/>
        <v>0</v>
      </c>
      <c r="AO10" s="430">
        <f t="shared" si="12"/>
        <v>0</v>
      </c>
      <c r="AP10" s="430">
        <f t="shared" si="13"/>
        <v>0</v>
      </c>
      <c r="AQ10" s="430">
        <f t="shared" si="14"/>
        <v>0</v>
      </c>
      <c r="AR10" s="433">
        <f t="shared" si="15"/>
        <v>0</v>
      </c>
      <c r="AT10" s="434">
        <f t="shared" si="16"/>
        <v>0</v>
      </c>
      <c r="AU10" s="430">
        <f t="shared" si="17"/>
        <v>0</v>
      </c>
      <c r="AV10" s="1469">
        <f t="shared" si="18"/>
        <v>0</v>
      </c>
      <c r="AW10" s="1469">
        <f t="shared" si="19"/>
        <v>0</v>
      </c>
      <c r="AX10" s="430">
        <f t="shared" si="20"/>
        <v>0</v>
      </c>
      <c r="AY10" s="435">
        <f t="shared" si="21"/>
        <v>0</v>
      </c>
      <c r="AZ10" s="309"/>
      <c r="BA10" s="434">
        <f t="shared" si="22"/>
        <v>0</v>
      </c>
      <c r="BB10" s="430">
        <f t="shared" si="23"/>
        <v>0</v>
      </c>
      <c r="BC10" s="430">
        <f t="shared" si="24"/>
        <v>0</v>
      </c>
      <c r="BD10" s="430">
        <f t="shared" si="25"/>
        <v>0</v>
      </c>
      <c r="BE10" s="435">
        <f t="shared" si="26"/>
        <v>0</v>
      </c>
      <c r="BG10" s="428">
        <f t="shared" si="27"/>
        <v>44927</v>
      </c>
      <c r="BH10" s="428">
        <f t="shared" si="28"/>
        <v>44927</v>
      </c>
      <c r="BI10" s="428">
        <f t="shared" si="29"/>
        <v>44927</v>
      </c>
      <c r="BJ10" s="428">
        <f t="shared" ref="BJ10:BJ73" si="39">IF(AND(BG10&lt;36,N10="ZWF"),1,IF(AND(BH10&lt;36,S10="ZWF"),1,IF(AND(BI10&lt;36,X10="ZWF"),1,0)))</f>
        <v>0</v>
      </c>
      <c r="BL10" s="432">
        <f t="shared" si="30"/>
        <v>0</v>
      </c>
      <c r="BM10" s="428">
        <f t="shared" si="31"/>
        <v>0</v>
      </c>
      <c r="BN10" s="428">
        <f t="shared" si="32"/>
        <v>0</v>
      </c>
      <c r="BO10" s="436">
        <f t="shared" si="33"/>
        <v>0</v>
      </c>
      <c r="BQ10" s="2342" t="s">
        <v>2291</v>
      </c>
      <c r="BR10" s="1542">
        <v>10</v>
      </c>
      <c r="BS10" s="1373"/>
      <c r="BT10" s="2986"/>
      <c r="BU10" s="2987"/>
    </row>
    <row r="11" spans="1:73" ht="45.75" customHeight="1" thickBot="1">
      <c r="A11" s="2336"/>
      <c r="B11" s="2336"/>
      <c r="C11" s="2340"/>
      <c r="D11" s="2337"/>
      <c r="E11" s="2338"/>
      <c r="F11" s="2327"/>
      <c r="G11" s="2339" t="str">
        <f t="shared" si="34"/>
        <v/>
      </c>
      <c r="H11" s="451"/>
      <c r="I11" s="2326"/>
      <c r="J11" s="2327"/>
      <c r="K11" s="2328">
        <f t="shared" si="35"/>
        <v>0</v>
      </c>
      <c r="L11" s="2327"/>
      <c r="M11" s="2326"/>
      <c r="N11" s="2329"/>
      <c r="O11" s="2327"/>
      <c r="P11" s="2328">
        <f t="shared" si="36"/>
        <v>0</v>
      </c>
      <c r="Q11" s="2327"/>
      <c r="R11" s="2326"/>
      <c r="S11" s="2329"/>
      <c r="T11" s="2330"/>
      <c r="U11" s="2331">
        <f t="shared" si="0"/>
        <v>0</v>
      </c>
      <c r="V11" s="2332"/>
      <c r="W11" s="2326"/>
      <c r="X11" s="2329"/>
      <c r="Y11" s="2330"/>
      <c r="Z11" s="2333">
        <f t="shared" si="1"/>
        <v>0</v>
      </c>
      <c r="AA11" s="2334">
        <f t="shared" si="37"/>
        <v>0</v>
      </c>
      <c r="AB11" s="2335" t="str">
        <f t="shared" si="2"/>
        <v/>
      </c>
      <c r="AC11" s="308">
        <v>43831</v>
      </c>
      <c r="AD11" s="427" t="str">
        <f t="shared" si="38"/>
        <v/>
      </c>
      <c r="AE11" s="428">
        <f t="shared" si="3"/>
        <v>0</v>
      </c>
      <c r="AF11" s="428">
        <f t="shared" si="4"/>
        <v>0</v>
      </c>
      <c r="AG11" s="428">
        <f t="shared" si="5"/>
        <v>0</v>
      </c>
      <c r="AH11" s="428">
        <f t="shared" si="6"/>
        <v>0</v>
      </c>
      <c r="AI11" s="429">
        <f t="shared" si="7"/>
        <v>0</v>
      </c>
      <c r="AJ11" s="430">
        <f t="shared" si="8"/>
        <v>1</v>
      </c>
      <c r="AK11" s="428">
        <f t="shared" si="9"/>
        <v>0</v>
      </c>
      <c r="AL11" s="431" t="e">
        <f t="shared" si="10"/>
        <v>#DIV/0!</v>
      </c>
      <c r="AM11" s="308"/>
      <c r="AN11" s="432">
        <f t="shared" si="11"/>
        <v>0</v>
      </c>
      <c r="AO11" s="430">
        <f t="shared" si="12"/>
        <v>0</v>
      </c>
      <c r="AP11" s="430">
        <f t="shared" si="13"/>
        <v>0</v>
      </c>
      <c r="AQ11" s="430">
        <f t="shared" si="14"/>
        <v>0</v>
      </c>
      <c r="AR11" s="433">
        <f t="shared" si="15"/>
        <v>0</v>
      </c>
      <c r="AT11" s="434">
        <f t="shared" si="16"/>
        <v>0</v>
      </c>
      <c r="AU11" s="430">
        <f t="shared" si="17"/>
        <v>0</v>
      </c>
      <c r="AV11" s="1469">
        <f t="shared" si="18"/>
        <v>0</v>
      </c>
      <c r="AW11" s="1469">
        <f t="shared" si="19"/>
        <v>0</v>
      </c>
      <c r="AX11" s="430">
        <f t="shared" si="20"/>
        <v>0</v>
      </c>
      <c r="AY11" s="435">
        <f t="shared" si="21"/>
        <v>0</v>
      </c>
      <c r="AZ11" s="309"/>
      <c r="BA11" s="434">
        <f t="shared" si="22"/>
        <v>0</v>
      </c>
      <c r="BB11" s="430">
        <f t="shared" si="23"/>
        <v>0</v>
      </c>
      <c r="BC11" s="430">
        <f t="shared" si="24"/>
        <v>0</v>
      </c>
      <c r="BD11" s="430">
        <f t="shared" si="25"/>
        <v>0</v>
      </c>
      <c r="BE11" s="435">
        <f t="shared" si="26"/>
        <v>0</v>
      </c>
      <c r="BG11" s="428">
        <f t="shared" si="27"/>
        <v>44927</v>
      </c>
      <c r="BH11" s="428">
        <f t="shared" si="28"/>
        <v>44927</v>
      </c>
      <c r="BI11" s="428">
        <f t="shared" si="29"/>
        <v>44927</v>
      </c>
      <c r="BJ11" s="428">
        <f t="shared" si="39"/>
        <v>0</v>
      </c>
      <c r="BL11" s="432">
        <f t="shared" si="30"/>
        <v>0</v>
      </c>
      <c r="BM11" s="428">
        <f t="shared" si="31"/>
        <v>0</v>
      </c>
      <c r="BN11" s="428">
        <f t="shared" si="32"/>
        <v>0</v>
      </c>
      <c r="BO11" s="436">
        <f t="shared" si="33"/>
        <v>0</v>
      </c>
      <c r="BQ11" s="2342" t="s">
        <v>2292</v>
      </c>
      <c r="BR11" s="1542">
        <v>11</v>
      </c>
      <c r="BS11" s="1373"/>
      <c r="BT11" s="2978" t="s">
        <v>2300</v>
      </c>
      <c r="BU11" s="2979"/>
    </row>
    <row r="12" spans="1:73" ht="45.75" customHeight="1" thickBot="1">
      <c r="A12" s="2336"/>
      <c r="B12" s="2336"/>
      <c r="C12" s="2340"/>
      <c r="D12" s="2337"/>
      <c r="E12" s="2338"/>
      <c r="F12" s="2327"/>
      <c r="G12" s="2339" t="str">
        <f t="shared" si="34"/>
        <v/>
      </c>
      <c r="H12" s="451"/>
      <c r="I12" s="2326"/>
      <c r="J12" s="2327"/>
      <c r="K12" s="2328">
        <f t="shared" ref="K12:K40" si="40">AO12</f>
        <v>0</v>
      </c>
      <c r="L12" s="2327"/>
      <c r="M12" s="2326"/>
      <c r="N12" s="2329"/>
      <c r="O12" s="2327"/>
      <c r="P12" s="2328">
        <f t="shared" si="36"/>
        <v>0</v>
      </c>
      <c r="Q12" s="2327"/>
      <c r="R12" s="2326"/>
      <c r="S12" s="2329"/>
      <c r="T12" s="2330"/>
      <c r="U12" s="2331">
        <f t="shared" si="0"/>
        <v>0</v>
      </c>
      <c r="V12" s="2332"/>
      <c r="W12" s="2326"/>
      <c r="X12" s="2329"/>
      <c r="Y12" s="2330"/>
      <c r="Z12" s="2333">
        <f t="shared" si="1"/>
        <v>0</v>
      </c>
      <c r="AA12" s="2334">
        <f t="shared" si="37"/>
        <v>0</v>
      </c>
      <c r="AB12" s="2335" t="str">
        <f t="shared" si="2"/>
        <v/>
      </c>
      <c r="AC12" s="308">
        <v>44197</v>
      </c>
      <c r="AD12" s="427" t="str">
        <f t="shared" si="38"/>
        <v/>
      </c>
      <c r="AE12" s="428">
        <f t="shared" si="3"/>
        <v>0</v>
      </c>
      <c r="AF12" s="428">
        <f t="shared" si="4"/>
        <v>0</v>
      </c>
      <c r="AG12" s="428">
        <f t="shared" si="5"/>
        <v>0</v>
      </c>
      <c r="AH12" s="428">
        <f t="shared" si="6"/>
        <v>0</v>
      </c>
      <c r="AI12" s="429">
        <f t="shared" si="7"/>
        <v>0</v>
      </c>
      <c r="AJ12" s="430">
        <f t="shared" si="8"/>
        <v>1</v>
      </c>
      <c r="AK12" s="428">
        <f t="shared" si="9"/>
        <v>0</v>
      </c>
      <c r="AL12" s="431" t="e">
        <f t="shared" si="10"/>
        <v>#DIV/0!</v>
      </c>
      <c r="AM12" s="308"/>
      <c r="AN12" s="432">
        <f t="shared" si="11"/>
        <v>0</v>
      </c>
      <c r="AO12" s="430">
        <f t="shared" si="12"/>
        <v>0</v>
      </c>
      <c r="AP12" s="430">
        <f t="shared" si="13"/>
        <v>0</v>
      </c>
      <c r="AQ12" s="430">
        <f t="shared" si="14"/>
        <v>0</v>
      </c>
      <c r="AR12" s="433">
        <f t="shared" si="15"/>
        <v>0</v>
      </c>
      <c r="AT12" s="434">
        <f t="shared" si="16"/>
        <v>0</v>
      </c>
      <c r="AU12" s="430">
        <f t="shared" si="17"/>
        <v>0</v>
      </c>
      <c r="AV12" s="1469">
        <f t="shared" si="18"/>
        <v>0</v>
      </c>
      <c r="AW12" s="1469">
        <f t="shared" si="19"/>
        <v>0</v>
      </c>
      <c r="AX12" s="430">
        <f t="shared" si="20"/>
        <v>0</v>
      </c>
      <c r="AY12" s="435">
        <f t="shared" si="21"/>
        <v>0</v>
      </c>
      <c r="AZ12" s="309"/>
      <c r="BA12" s="434">
        <f t="shared" si="22"/>
        <v>0</v>
      </c>
      <c r="BB12" s="430">
        <f t="shared" si="23"/>
        <v>0</v>
      </c>
      <c r="BC12" s="430">
        <f t="shared" si="24"/>
        <v>0</v>
      </c>
      <c r="BD12" s="430">
        <f t="shared" si="25"/>
        <v>0</v>
      </c>
      <c r="BE12" s="435">
        <f t="shared" si="26"/>
        <v>0</v>
      </c>
      <c r="BG12" s="428">
        <f t="shared" si="27"/>
        <v>44927</v>
      </c>
      <c r="BH12" s="428">
        <f t="shared" si="28"/>
        <v>44927</v>
      </c>
      <c r="BI12" s="428">
        <f t="shared" si="29"/>
        <v>44927</v>
      </c>
      <c r="BJ12" s="428">
        <f t="shared" si="39"/>
        <v>0</v>
      </c>
      <c r="BL12" s="432">
        <f t="shared" si="30"/>
        <v>0</v>
      </c>
      <c r="BM12" s="428">
        <f t="shared" si="31"/>
        <v>0</v>
      </c>
      <c r="BN12" s="428">
        <f t="shared" si="32"/>
        <v>0</v>
      </c>
      <c r="BO12" s="436">
        <f t="shared" si="33"/>
        <v>0</v>
      </c>
      <c r="BQ12" s="2343" t="s">
        <v>2293</v>
      </c>
      <c r="BR12" s="1542">
        <v>12</v>
      </c>
      <c r="BS12" s="1373"/>
      <c r="BT12" s="2978"/>
      <c r="BU12" s="2979"/>
    </row>
    <row r="13" spans="1:73" ht="45.75" customHeight="1" thickBot="1">
      <c r="A13" s="2336"/>
      <c r="B13" s="2336"/>
      <c r="C13" s="2340"/>
      <c r="D13" s="2337"/>
      <c r="E13" s="2338"/>
      <c r="F13" s="2327"/>
      <c r="G13" s="2339" t="str">
        <f t="shared" si="34"/>
        <v/>
      </c>
      <c r="H13" s="451"/>
      <c r="I13" s="2326"/>
      <c r="J13" s="2327"/>
      <c r="K13" s="2328">
        <f t="shared" si="40"/>
        <v>0</v>
      </c>
      <c r="L13" s="2327"/>
      <c r="M13" s="2326"/>
      <c r="N13" s="2329"/>
      <c r="O13" s="2327"/>
      <c r="P13" s="2328">
        <f t="shared" si="36"/>
        <v>0</v>
      </c>
      <c r="Q13" s="2327"/>
      <c r="R13" s="2326"/>
      <c r="S13" s="2329"/>
      <c r="T13" s="2330"/>
      <c r="U13" s="2331">
        <f t="shared" si="0"/>
        <v>0</v>
      </c>
      <c r="V13" s="2332"/>
      <c r="W13" s="2326"/>
      <c r="X13" s="2329"/>
      <c r="Y13" s="2330"/>
      <c r="Z13" s="2333">
        <f t="shared" si="1"/>
        <v>0</v>
      </c>
      <c r="AA13" s="2334">
        <f t="shared" si="37"/>
        <v>0</v>
      </c>
      <c r="AB13" s="2335" t="str">
        <f t="shared" si="2"/>
        <v/>
      </c>
      <c r="AC13" s="308">
        <v>44562</v>
      </c>
      <c r="AD13" s="427" t="str">
        <f t="shared" si="38"/>
        <v/>
      </c>
      <c r="AE13" s="428">
        <f t="shared" si="3"/>
        <v>0</v>
      </c>
      <c r="AF13" s="428">
        <f t="shared" si="4"/>
        <v>0</v>
      </c>
      <c r="AG13" s="428">
        <f t="shared" si="5"/>
        <v>0</v>
      </c>
      <c r="AH13" s="428">
        <f t="shared" si="6"/>
        <v>0</v>
      </c>
      <c r="AI13" s="429">
        <f t="shared" si="7"/>
        <v>0</v>
      </c>
      <c r="AJ13" s="430">
        <f t="shared" si="8"/>
        <v>1</v>
      </c>
      <c r="AK13" s="428">
        <f t="shared" si="9"/>
        <v>0</v>
      </c>
      <c r="AL13" s="431" t="e">
        <f t="shared" si="10"/>
        <v>#DIV/0!</v>
      </c>
      <c r="AM13" s="308"/>
      <c r="AN13" s="432">
        <f t="shared" si="11"/>
        <v>0</v>
      </c>
      <c r="AO13" s="430">
        <f t="shared" si="12"/>
        <v>0</v>
      </c>
      <c r="AP13" s="430">
        <f t="shared" si="13"/>
        <v>0</v>
      </c>
      <c r="AQ13" s="430">
        <f t="shared" si="14"/>
        <v>0</v>
      </c>
      <c r="AR13" s="433">
        <f t="shared" si="15"/>
        <v>0</v>
      </c>
      <c r="AT13" s="434">
        <f t="shared" si="16"/>
        <v>0</v>
      </c>
      <c r="AU13" s="430">
        <f t="shared" si="17"/>
        <v>0</v>
      </c>
      <c r="AV13" s="1469">
        <f t="shared" si="18"/>
        <v>0</v>
      </c>
      <c r="AW13" s="1469">
        <f t="shared" si="19"/>
        <v>0</v>
      </c>
      <c r="AX13" s="430">
        <f t="shared" si="20"/>
        <v>0</v>
      </c>
      <c r="AY13" s="435">
        <f t="shared" si="21"/>
        <v>0</v>
      </c>
      <c r="AZ13" s="309"/>
      <c r="BA13" s="434">
        <f t="shared" si="22"/>
        <v>0</v>
      </c>
      <c r="BB13" s="430">
        <f t="shared" si="23"/>
        <v>0</v>
      </c>
      <c r="BC13" s="430">
        <f t="shared" si="24"/>
        <v>0</v>
      </c>
      <c r="BD13" s="430">
        <f t="shared" si="25"/>
        <v>0</v>
      </c>
      <c r="BE13" s="435">
        <f t="shared" si="26"/>
        <v>0</v>
      </c>
      <c r="BG13" s="428">
        <f t="shared" si="27"/>
        <v>44927</v>
      </c>
      <c r="BH13" s="428">
        <f t="shared" si="28"/>
        <v>44927</v>
      </c>
      <c r="BI13" s="428">
        <f t="shared" si="29"/>
        <v>44927</v>
      </c>
      <c r="BJ13" s="428">
        <f t="shared" si="39"/>
        <v>0</v>
      </c>
      <c r="BL13" s="432">
        <f t="shared" si="30"/>
        <v>0</v>
      </c>
      <c r="BM13" s="428">
        <f t="shared" si="31"/>
        <v>0</v>
      </c>
      <c r="BN13" s="428">
        <f t="shared" si="32"/>
        <v>0</v>
      </c>
      <c r="BO13" s="436">
        <f t="shared" si="33"/>
        <v>0</v>
      </c>
      <c r="BQ13" s="2343" t="s">
        <v>2294</v>
      </c>
      <c r="BR13" s="1542">
        <v>13</v>
      </c>
      <c r="BS13" s="1373"/>
      <c r="BT13" s="2984" t="s">
        <v>2301</v>
      </c>
      <c r="BU13" s="2985"/>
    </row>
    <row r="14" spans="1:73" ht="45.75" customHeight="1" thickBot="1">
      <c r="A14" s="2336"/>
      <c r="B14" s="2336"/>
      <c r="C14" s="2340"/>
      <c r="D14" s="2337"/>
      <c r="E14" s="2338"/>
      <c r="F14" s="2327"/>
      <c r="G14" s="2339" t="str">
        <f t="shared" si="34"/>
        <v/>
      </c>
      <c r="H14" s="451"/>
      <c r="I14" s="2326"/>
      <c r="J14" s="2327"/>
      <c r="K14" s="2328">
        <f t="shared" si="40"/>
        <v>0</v>
      </c>
      <c r="L14" s="2327"/>
      <c r="M14" s="2326"/>
      <c r="N14" s="2329"/>
      <c r="O14" s="2327"/>
      <c r="P14" s="2328">
        <f t="shared" si="36"/>
        <v>0</v>
      </c>
      <c r="Q14" s="2327"/>
      <c r="R14" s="2326"/>
      <c r="S14" s="2329"/>
      <c r="T14" s="2330"/>
      <c r="U14" s="2331">
        <f t="shared" si="0"/>
        <v>0</v>
      </c>
      <c r="V14" s="2332"/>
      <c r="W14" s="2326"/>
      <c r="X14" s="2329"/>
      <c r="Y14" s="2330"/>
      <c r="Z14" s="2333">
        <f t="shared" si="1"/>
        <v>0</v>
      </c>
      <c r="AA14" s="2334">
        <f t="shared" si="37"/>
        <v>0</v>
      </c>
      <c r="AB14" s="2335" t="str">
        <f t="shared" si="2"/>
        <v/>
      </c>
      <c r="AC14" s="308">
        <v>44927</v>
      </c>
      <c r="AD14" s="427" t="str">
        <f t="shared" si="38"/>
        <v/>
      </c>
      <c r="AE14" s="428">
        <f t="shared" si="3"/>
        <v>0</v>
      </c>
      <c r="AF14" s="428">
        <f t="shared" si="4"/>
        <v>0</v>
      </c>
      <c r="AG14" s="428">
        <f t="shared" si="5"/>
        <v>0</v>
      </c>
      <c r="AH14" s="428">
        <f t="shared" si="6"/>
        <v>0</v>
      </c>
      <c r="AI14" s="429">
        <f t="shared" si="7"/>
        <v>0</v>
      </c>
      <c r="AJ14" s="430">
        <f t="shared" si="8"/>
        <v>1</v>
      </c>
      <c r="AK14" s="428">
        <f t="shared" si="9"/>
        <v>0</v>
      </c>
      <c r="AL14" s="431" t="e">
        <f t="shared" si="10"/>
        <v>#DIV/0!</v>
      </c>
      <c r="AM14" s="308"/>
      <c r="AN14" s="432">
        <f t="shared" si="11"/>
        <v>0</v>
      </c>
      <c r="AO14" s="430">
        <f t="shared" si="12"/>
        <v>0</v>
      </c>
      <c r="AP14" s="430">
        <f t="shared" si="13"/>
        <v>0</v>
      </c>
      <c r="AQ14" s="430">
        <f t="shared" si="14"/>
        <v>0</v>
      </c>
      <c r="AR14" s="433">
        <f t="shared" si="15"/>
        <v>0</v>
      </c>
      <c r="AT14" s="434">
        <f t="shared" si="16"/>
        <v>0</v>
      </c>
      <c r="AU14" s="430">
        <f t="shared" si="17"/>
        <v>0</v>
      </c>
      <c r="AV14" s="1469">
        <f t="shared" si="18"/>
        <v>0</v>
      </c>
      <c r="AW14" s="1469">
        <f t="shared" si="19"/>
        <v>0</v>
      </c>
      <c r="AX14" s="430">
        <f t="shared" si="20"/>
        <v>0</v>
      </c>
      <c r="AY14" s="435">
        <f t="shared" si="21"/>
        <v>0</v>
      </c>
      <c r="AZ14" s="309"/>
      <c r="BA14" s="434">
        <f t="shared" si="22"/>
        <v>0</v>
      </c>
      <c r="BB14" s="430">
        <f t="shared" si="23"/>
        <v>0</v>
      </c>
      <c r="BC14" s="430">
        <f t="shared" si="24"/>
        <v>0</v>
      </c>
      <c r="BD14" s="430">
        <f t="shared" si="25"/>
        <v>0</v>
      </c>
      <c r="BE14" s="435">
        <f t="shared" si="26"/>
        <v>0</v>
      </c>
      <c r="BG14" s="428">
        <f t="shared" si="27"/>
        <v>44927</v>
      </c>
      <c r="BH14" s="428">
        <f t="shared" si="28"/>
        <v>44927</v>
      </c>
      <c r="BI14" s="428">
        <f t="shared" si="29"/>
        <v>44927</v>
      </c>
      <c r="BJ14" s="428">
        <f t="shared" si="39"/>
        <v>0</v>
      </c>
      <c r="BL14" s="432">
        <f t="shared" si="30"/>
        <v>0</v>
      </c>
      <c r="BM14" s="428">
        <f t="shared" si="31"/>
        <v>0</v>
      </c>
      <c r="BN14" s="428">
        <f t="shared" si="32"/>
        <v>0</v>
      </c>
      <c r="BO14" s="436">
        <f t="shared" si="33"/>
        <v>0</v>
      </c>
      <c r="BQ14" s="2343" t="s">
        <v>2295</v>
      </c>
      <c r="BR14" s="1542">
        <v>14</v>
      </c>
      <c r="BS14" s="1373"/>
      <c r="BT14" s="2986"/>
      <c r="BU14" s="2987"/>
    </row>
    <row r="15" spans="1:73" ht="45.75" customHeight="1" thickBot="1">
      <c r="A15" s="2336"/>
      <c r="B15" s="2336"/>
      <c r="C15" s="2340"/>
      <c r="D15" s="2337"/>
      <c r="E15" s="2338"/>
      <c r="F15" s="2327"/>
      <c r="G15" s="2339" t="str">
        <f t="shared" si="34"/>
        <v/>
      </c>
      <c r="H15" s="451"/>
      <c r="I15" s="2326"/>
      <c r="J15" s="2327"/>
      <c r="K15" s="2328">
        <f t="shared" si="40"/>
        <v>0</v>
      </c>
      <c r="L15" s="2327"/>
      <c r="M15" s="2326"/>
      <c r="N15" s="2329"/>
      <c r="O15" s="2327"/>
      <c r="P15" s="2328">
        <f t="shared" si="36"/>
        <v>0</v>
      </c>
      <c r="Q15" s="2327"/>
      <c r="R15" s="2326"/>
      <c r="S15" s="2329"/>
      <c r="T15" s="2330"/>
      <c r="U15" s="2331">
        <f t="shared" si="0"/>
        <v>0</v>
      </c>
      <c r="V15" s="2332"/>
      <c r="W15" s="2326"/>
      <c r="X15" s="2329"/>
      <c r="Y15" s="2330"/>
      <c r="Z15" s="2333">
        <f t="shared" si="1"/>
        <v>0</v>
      </c>
      <c r="AA15" s="2334">
        <f t="shared" si="37"/>
        <v>0</v>
      </c>
      <c r="AB15" s="2335" t="str">
        <f t="shared" si="2"/>
        <v/>
      </c>
      <c r="AC15" s="308">
        <v>45292</v>
      </c>
      <c r="AD15" s="427" t="str">
        <f t="shared" si="38"/>
        <v/>
      </c>
      <c r="AE15" s="428">
        <f t="shared" si="3"/>
        <v>0</v>
      </c>
      <c r="AF15" s="428">
        <f t="shared" si="4"/>
        <v>0</v>
      </c>
      <c r="AG15" s="428">
        <f t="shared" si="5"/>
        <v>0</v>
      </c>
      <c r="AH15" s="428">
        <f t="shared" si="6"/>
        <v>0</v>
      </c>
      <c r="AI15" s="429">
        <f t="shared" si="7"/>
        <v>0</v>
      </c>
      <c r="AJ15" s="430">
        <f t="shared" si="8"/>
        <v>1</v>
      </c>
      <c r="AK15" s="428">
        <f t="shared" si="9"/>
        <v>0</v>
      </c>
      <c r="AL15" s="431" t="e">
        <f t="shared" si="10"/>
        <v>#DIV/0!</v>
      </c>
      <c r="AM15" s="308"/>
      <c r="AN15" s="432">
        <f t="shared" si="11"/>
        <v>0</v>
      </c>
      <c r="AO15" s="430">
        <f t="shared" si="12"/>
        <v>0</v>
      </c>
      <c r="AP15" s="430">
        <f t="shared" si="13"/>
        <v>0</v>
      </c>
      <c r="AQ15" s="430">
        <f t="shared" si="14"/>
        <v>0</v>
      </c>
      <c r="AR15" s="433">
        <f t="shared" si="15"/>
        <v>0</v>
      </c>
      <c r="AT15" s="434">
        <f t="shared" si="16"/>
        <v>0</v>
      </c>
      <c r="AU15" s="430">
        <f t="shared" si="17"/>
        <v>0</v>
      </c>
      <c r="AV15" s="1469">
        <f t="shared" ref="AV15:AV78" si="41">IF(AND(S15="",Q15&gt;0,AP15&gt;30),1,IF(AND(S15="ZWF",AP15&gt;30),1,IF(AND(N15="ZWF",AP15&gt;30),1,IF(AND(S15="HF",N15="HF",AP15&gt;50),1,0))))</f>
        <v>0</v>
      </c>
      <c r="AW15" s="1469">
        <f t="shared" ref="AW15:AW78" si="42">IF(AND(X15="",V15&gt;0,AQ15&gt;30),1,IF(AND(X15="ZWF",AP15&gt;30),1,IF(AND(S15="ZWF",AQ15&gt;30),1,IF(AND(X15="HF",S15="HF",AQ15&gt;50),1,0))))</f>
        <v>0</v>
      </c>
      <c r="AX15" s="430">
        <f t="shared" si="20"/>
        <v>0</v>
      </c>
      <c r="AY15" s="435">
        <f t="shared" si="21"/>
        <v>0</v>
      </c>
      <c r="AZ15" s="309"/>
      <c r="BA15" s="434">
        <f t="shared" si="22"/>
        <v>0</v>
      </c>
      <c r="BB15" s="430">
        <f t="shared" si="23"/>
        <v>0</v>
      </c>
      <c r="BC15" s="430">
        <f t="shared" si="24"/>
        <v>0</v>
      </c>
      <c r="BD15" s="430">
        <f t="shared" si="25"/>
        <v>0</v>
      </c>
      <c r="BE15" s="435">
        <f t="shared" si="26"/>
        <v>0</v>
      </c>
      <c r="BG15" s="428">
        <f t="shared" si="27"/>
        <v>44927</v>
      </c>
      <c r="BH15" s="428">
        <f t="shared" si="28"/>
        <v>44927</v>
      </c>
      <c r="BI15" s="428">
        <f t="shared" si="29"/>
        <v>44927</v>
      </c>
      <c r="BJ15" s="428">
        <f t="shared" si="39"/>
        <v>0</v>
      </c>
      <c r="BL15" s="432">
        <f t="shared" si="30"/>
        <v>0</v>
      </c>
      <c r="BM15" s="428">
        <f t="shared" si="31"/>
        <v>0</v>
      </c>
      <c r="BN15" s="428">
        <f t="shared" si="32"/>
        <v>0</v>
      </c>
      <c r="BO15" s="436">
        <f t="shared" si="33"/>
        <v>0</v>
      </c>
      <c r="BQ15" s="2343" t="s">
        <v>2296</v>
      </c>
      <c r="BR15" s="1542">
        <v>15</v>
      </c>
      <c r="BS15" s="1373"/>
      <c r="BT15" s="2978" t="s">
        <v>494</v>
      </c>
      <c r="BU15" s="2979"/>
    </row>
    <row r="16" spans="1:73" ht="45.75" customHeight="1">
      <c r="A16" s="2336"/>
      <c r="B16" s="2336"/>
      <c r="C16" s="2340"/>
      <c r="D16" s="2337"/>
      <c r="E16" s="2338"/>
      <c r="F16" s="2327"/>
      <c r="G16" s="2339" t="str">
        <f t="shared" si="34"/>
        <v/>
      </c>
      <c r="H16" s="451"/>
      <c r="I16" s="2326"/>
      <c r="J16" s="2327"/>
      <c r="K16" s="2328">
        <f t="shared" si="40"/>
        <v>0</v>
      </c>
      <c r="L16" s="2327"/>
      <c r="M16" s="2326"/>
      <c r="N16" s="2329"/>
      <c r="O16" s="2327"/>
      <c r="P16" s="2328">
        <f t="shared" si="36"/>
        <v>0</v>
      </c>
      <c r="Q16" s="2327"/>
      <c r="R16" s="2326"/>
      <c r="S16" s="2329"/>
      <c r="T16" s="2330"/>
      <c r="U16" s="2331">
        <f t="shared" si="0"/>
        <v>0</v>
      </c>
      <c r="V16" s="2332"/>
      <c r="W16" s="2326"/>
      <c r="X16" s="2329"/>
      <c r="Y16" s="2330"/>
      <c r="Z16" s="2333">
        <f t="shared" si="1"/>
        <v>0</v>
      </c>
      <c r="AA16" s="2334">
        <f t="shared" si="37"/>
        <v>0</v>
      </c>
      <c r="AB16" s="2335" t="str">
        <f t="shared" si="2"/>
        <v/>
      </c>
      <c r="AC16" s="201"/>
      <c r="AD16" s="427" t="str">
        <f t="shared" si="38"/>
        <v/>
      </c>
      <c r="AE16" s="428">
        <f t="shared" si="3"/>
        <v>0</v>
      </c>
      <c r="AF16" s="428">
        <f t="shared" si="4"/>
        <v>0</v>
      </c>
      <c r="AG16" s="428">
        <f t="shared" si="5"/>
        <v>0</v>
      </c>
      <c r="AH16" s="428">
        <f t="shared" si="6"/>
        <v>0</v>
      </c>
      <c r="AI16" s="429">
        <f t="shared" si="7"/>
        <v>0</v>
      </c>
      <c r="AJ16" s="430">
        <f t="shared" si="8"/>
        <v>1</v>
      </c>
      <c r="AK16" s="428">
        <f t="shared" si="9"/>
        <v>0</v>
      </c>
      <c r="AL16" s="431" t="e">
        <f t="shared" si="10"/>
        <v>#DIV/0!</v>
      </c>
      <c r="AM16" s="308"/>
      <c r="AN16" s="432">
        <f t="shared" si="11"/>
        <v>0</v>
      </c>
      <c r="AO16" s="430">
        <f t="shared" si="12"/>
        <v>0</v>
      </c>
      <c r="AP16" s="430">
        <f t="shared" si="13"/>
        <v>0</v>
      </c>
      <c r="AQ16" s="430">
        <f t="shared" si="14"/>
        <v>0</v>
      </c>
      <c r="AR16" s="433">
        <f t="shared" si="15"/>
        <v>0</v>
      </c>
      <c r="AT16" s="434">
        <f t="shared" si="16"/>
        <v>0</v>
      </c>
      <c r="AU16" s="430">
        <f t="shared" si="17"/>
        <v>0</v>
      </c>
      <c r="AV16" s="1469">
        <f t="shared" si="41"/>
        <v>0</v>
      </c>
      <c r="AW16" s="1469">
        <f t="shared" si="42"/>
        <v>0</v>
      </c>
      <c r="AX16" s="430">
        <f t="shared" si="20"/>
        <v>0</v>
      </c>
      <c r="AY16" s="435">
        <f t="shared" si="21"/>
        <v>0</v>
      </c>
      <c r="AZ16" s="309"/>
      <c r="BA16" s="434">
        <f t="shared" si="22"/>
        <v>0</v>
      </c>
      <c r="BB16" s="430">
        <f t="shared" si="23"/>
        <v>0</v>
      </c>
      <c r="BC16" s="430">
        <f t="shared" si="24"/>
        <v>0</v>
      </c>
      <c r="BD16" s="430">
        <f t="shared" si="25"/>
        <v>0</v>
      </c>
      <c r="BE16" s="435">
        <f t="shared" si="26"/>
        <v>0</v>
      </c>
      <c r="BG16" s="428">
        <f t="shared" si="27"/>
        <v>44927</v>
      </c>
      <c r="BH16" s="428">
        <f t="shared" si="28"/>
        <v>44927</v>
      </c>
      <c r="BI16" s="428">
        <f t="shared" si="29"/>
        <v>44927</v>
      </c>
      <c r="BJ16" s="428">
        <f t="shared" si="39"/>
        <v>0</v>
      </c>
      <c r="BL16" s="432">
        <f t="shared" si="30"/>
        <v>0</v>
      </c>
      <c r="BM16" s="428">
        <f t="shared" si="31"/>
        <v>0</v>
      </c>
      <c r="BN16" s="428">
        <f t="shared" si="32"/>
        <v>0</v>
      </c>
      <c r="BO16" s="436">
        <f t="shared" si="33"/>
        <v>0</v>
      </c>
      <c r="BS16" s="1373"/>
      <c r="BT16" s="2978" t="s">
        <v>2298</v>
      </c>
      <c r="BU16" s="2979"/>
    </row>
    <row r="17" spans="1:73" ht="45.75" customHeight="1">
      <c r="A17" s="2336"/>
      <c r="B17" s="2336"/>
      <c r="C17" s="2340"/>
      <c r="D17" s="2337"/>
      <c r="E17" s="2338"/>
      <c r="F17" s="2327"/>
      <c r="G17" s="2339" t="str">
        <f t="shared" si="34"/>
        <v/>
      </c>
      <c r="H17" s="451"/>
      <c r="I17" s="2326"/>
      <c r="J17" s="2327"/>
      <c r="K17" s="2328">
        <f t="shared" si="40"/>
        <v>0</v>
      </c>
      <c r="L17" s="2327"/>
      <c r="M17" s="2326"/>
      <c r="N17" s="2329"/>
      <c r="O17" s="2327"/>
      <c r="P17" s="2328">
        <f t="shared" si="36"/>
        <v>0</v>
      </c>
      <c r="Q17" s="2327"/>
      <c r="R17" s="2326"/>
      <c r="S17" s="2329"/>
      <c r="T17" s="2330"/>
      <c r="U17" s="2331">
        <f t="shared" si="0"/>
        <v>0</v>
      </c>
      <c r="V17" s="2332"/>
      <c r="W17" s="2326"/>
      <c r="X17" s="2329"/>
      <c r="Y17" s="2330"/>
      <c r="Z17" s="2333">
        <f t="shared" si="1"/>
        <v>0</v>
      </c>
      <c r="AA17" s="2334">
        <f t="shared" si="37"/>
        <v>0</v>
      </c>
      <c r="AB17" s="2335" t="str">
        <f t="shared" si="2"/>
        <v/>
      </c>
      <c r="AC17" s="201"/>
      <c r="AD17" s="427" t="str">
        <f t="shared" si="38"/>
        <v/>
      </c>
      <c r="AE17" s="428">
        <f t="shared" si="3"/>
        <v>0</v>
      </c>
      <c r="AF17" s="428">
        <f t="shared" si="4"/>
        <v>0</v>
      </c>
      <c r="AG17" s="428">
        <f t="shared" si="5"/>
        <v>0</v>
      </c>
      <c r="AH17" s="428">
        <f t="shared" si="6"/>
        <v>0</v>
      </c>
      <c r="AI17" s="429">
        <f t="shared" si="7"/>
        <v>0</v>
      </c>
      <c r="AJ17" s="430">
        <f t="shared" si="8"/>
        <v>1</v>
      </c>
      <c r="AK17" s="428">
        <f t="shared" si="9"/>
        <v>0</v>
      </c>
      <c r="AL17" s="431" t="e">
        <f t="shared" si="10"/>
        <v>#DIV/0!</v>
      </c>
      <c r="AM17" s="308"/>
      <c r="AN17" s="432">
        <f t="shared" si="11"/>
        <v>0</v>
      </c>
      <c r="AO17" s="430">
        <f t="shared" si="12"/>
        <v>0</v>
      </c>
      <c r="AP17" s="430">
        <f t="shared" si="13"/>
        <v>0</v>
      </c>
      <c r="AQ17" s="430">
        <f t="shared" si="14"/>
        <v>0</v>
      </c>
      <c r="AR17" s="433">
        <f t="shared" si="15"/>
        <v>0</v>
      </c>
      <c r="AT17" s="434">
        <f t="shared" si="16"/>
        <v>0</v>
      </c>
      <c r="AU17" s="430">
        <f t="shared" si="17"/>
        <v>0</v>
      </c>
      <c r="AV17" s="1469">
        <f t="shared" si="41"/>
        <v>0</v>
      </c>
      <c r="AW17" s="1469">
        <f t="shared" si="42"/>
        <v>0</v>
      </c>
      <c r="AX17" s="430">
        <f t="shared" si="20"/>
        <v>0</v>
      </c>
      <c r="AY17" s="435">
        <f t="shared" si="21"/>
        <v>0</v>
      </c>
      <c r="AZ17" s="309"/>
      <c r="BA17" s="434">
        <f t="shared" si="22"/>
        <v>0</v>
      </c>
      <c r="BB17" s="430">
        <f t="shared" si="23"/>
        <v>0</v>
      </c>
      <c r="BC17" s="430">
        <f t="shared" si="24"/>
        <v>0</v>
      </c>
      <c r="BD17" s="430">
        <f t="shared" si="25"/>
        <v>0</v>
      </c>
      <c r="BE17" s="435">
        <f t="shared" si="26"/>
        <v>0</v>
      </c>
      <c r="BG17" s="428">
        <f t="shared" si="27"/>
        <v>44927</v>
      </c>
      <c r="BH17" s="428">
        <f t="shared" si="28"/>
        <v>44927</v>
      </c>
      <c r="BI17" s="428">
        <f t="shared" si="29"/>
        <v>44927</v>
      </c>
      <c r="BJ17" s="428">
        <f t="shared" si="39"/>
        <v>0</v>
      </c>
      <c r="BL17" s="432">
        <f t="shared" si="30"/>
        <v>0</v>
      </c>
      <c r="BM17" s="428">
        <f t="shared" si="31"/>
        <v>0</v>
      </c>
      <c r="BN17" s="428">
        <f t="shared" si="32"/>
        <v>0</v>
      </c>
      <c r="BO17" s="436">
        <f t="shared" si="33"/>
        <v>0</v>
      </c>
      <c r="BS17" s="1373"/>
      <c r="BT17" s="2978" t="s">
        <v>2299</v>
      </c>
      <c r="BU17" s="2979"/>
    </row>
    <row r="18" spans="1:73" ht="45.75" customHeight="1">
      <c r="A18" s="2336"/>
      <c r="B18" s="2336"/>
      <c r="C18" s="2340"/>
      <c r="D18" s="2337"/>
      <c r="E18" s="2338"/>
      <c r="F18" s="2327"/>
      <c r="G18" s="2339" t="str">
        <f t="shared" si="34"/>
        <v/>
      </c>
      <c r="H18" s="451"/>
      <c r="I18" s="2326"/>
      <c r="J18" s="2327"/>
      <c r="K18" s="2328">
        <f t="shared" si="40"/>
        <v>0</v>
      </c>
      <c r="L18" s="2327"/>
      <c r="M18" s="2326"/>
      <c r="N18" s="2329"/>
      <c r="O18" s="2327"/>
      <c r="P18" s="2328">
        <f t="shared" si="36"/>
        <v>0</v>
      </c>
      <c r="Q18" s="2327"/>
      <c r="R18" s="2326"/>
      <c r="S18" s="2329"/>
      <c r="T18" s="2330"/>
      <c r="U18" s="2331">
        <f t="shared" si="0"/>
        <v>0</v>
      </c>
      <c r="V18" s="2332"/>
      <c r="W18" s="2326"/>
      <c r="X18" s="2329"/>
      <c r="Y18" s="2330"/>
      <c r="Z18" s="2333">
        <f t="shared" si="1"/>
        <v>0</v>
      </c>
      <c r="AA18" s="2334">
        <f t="shared" si="37"/>
        <v>0</v>
      </c>
      <c r="AB18" s="2335" t="str">
        <f t="shared" si="2"/>
        <v/>
      </c>
      <c r="AC18" s="201"/>
      <c r="AD18" s="427" t="str">
        <f t="shared" si="38"/>
        <v/>
      </c>
      <c r="AE18" s="428">
        <f t="shared" si="3"/>
        <v>0</v>
      </c>
      <c r="AF18" s="428">
        <f t="shared" si="4"/>
        <v>0</v>
      </c>
      <c r="AG18" s="428">
        <f t="shared" si="5"/>
        <v>0</v>
      </c>
      <c r="AH18" s="428">
        <f t="shared" si="6"/>
        <v>0</v>
      </c>
      <c r="AI18" s="429">
        <f t="shared" si="7"/>
        <v>0</v>
      </c>
      <c r="AJ18" s="430">
        <f t="shared" si="8"/>
        <v>1</v>
      </c>
      <c r="AK18" s="428">
        <f t="shared" si="9"/>
        <v>0</v>
      </c>
      <c r="AL18" s="431" t="e">
        <f t="shared" si="10"/>
        <v>#DIV/0!</v>
      </c>
      <c r="AM18" s="308"/>
      <c r="AN18" s="432">
        <f t="shared" si="11"/>
        <v>0</v>
      </c>
      <c r="AO18" s="430">
        <f t="shared" si="12"/>
        <v>0</v>
      </c>
      <c r="AP18" s="430">
        <f t="shared" si="13"/>
        <v>0</v>
      </c>
      <c r="AQ18" s="430">
        <f t="shared" si="14"/>
        <v>0</v>
      </c>
      <c r="AR18" s="433">
        <f t="shared" si="15"/>
        <v>0</v>
      </c>
      <c r="AT18" s="434">
        <f t="shared" si="16"/>
        <v>0</v>
      </c>
      <c r="AU18" s="430">
        <f t="shared" si="17"/>
        <v>0</v>
      </c>
      <c r="AV18" s="1469">
        <f t="shared" si="41"/>
        <v>0</v>
      </c>
      <c r="AW18" s="1469">
        <f t="shared" si="42"/>
        <v>0</v>
      </c>
      <c r="AX18" s="430">
        <f t="shared" si="20"/>
        <v>0</v>
      </c>
      <c r="AY18" s="435">
        <f t="shared" si="21"/>
        <v>0</v>
      </c>
      <c r="AZ18" s="309"/>
      <c r="BA18" s="434">
        <f t="shared" si="22"/>
        <v>0</v>
      </c>
      <c r="BB18" s="430">
        <f t="shared" si="23"/>
        <v>0</v>
      </c>
      <c r="BC18" s="430">
        <f t="shared" si="24"/>
        <v>0</v>
      </c>
      <c r="BD18" s="430">
        <f t="shared" si="25"/>
        <v>0</v>
      </c>
      <c r="BE18" s="435">
        <f t="shared" si="26"/>
        <v>0</v>
      </c>
      <c r="BG18" s="428">
        <f t="shared" si="27"/>
        <v>44927</v>
      </c>
      <c r="BH18" s="428">
        <f t="shared" si="28"/>
        <v>44927</v>
      </c>
      <c r="BI18" s="428">
        <f t="shared" si="29"/>
        <v>44927</v>
      </c>
      <c r="BJ18" s="428">
        <f t="shared" si="39"/>
        <v>0</v>
      </c>
      <c r="BL18" s="432">
        <f t="shared" si="30"/>
        <v>0</v>
      </c>
      <c r="BM18" s="428">
        <f t="shared" si="31"/>
        <v>0</v>
      </c>
      <c r="BN18" s="428">
        <f t="shared" si="32"/>
        <v>0</v>
      </c>
      <c r="BO18" s="436">
        <f t="shared" si="33"/>
        <v>0</v>
      </c>
      <c r="BS18" s="1373"/>
      <c r="BT18" s="2984" t="s">
        <v>2302</v>
      </c>
      <c r="BU18" s="2985"/>
    </row>
    <row r="19" spans="1:73" ht="45.75" customHeight="1">
      <c r="A19" s="2336"/>
      <c r="B19" s="2336"/>
      <c r="C19" s="2340"/>
      <c r="D19" s="2337"/>
      <c r="E19" s="2338"/>
      <c r="F19" s="2327"/>
      <c r="G19" s="2339" t="str">
        <f t="shared" si="34"/>
        <v/>
      </c>
      <c r="H19" s="451"/>
      <c r="I19" s="2326"/>
      <c r="J19" s="2327"/>
      <c r="K19" s="2328">
        <f t="shared" si="40"/>
        <v>0</v>
      </c>
      <c r="L19" s="2327"/>
      <c r="M19" s="2326"/>
      <c r="N19" s="2329"/>
      <c r="O19" s="2327"/>
      <c r="P19" s="2328">
        <f t="shared" si="36"/>
        <v>0</v>
      </c>
      <c r="Q19" s="2327"/>
      <c r="R19" s="2326"/>
      <c r="S19" s="2329"/>
      <c r="T19" s="2330"/>
      <c r="U19" s="2331">
        <f t="shared" si="0"/>
        <v>0</v>
      </c>
      <c r="V19" s="2332"/>
      <c r="W19" s="2326"/>
      <c r="X19" s="2329"/>
      <c r="Y19" s="2330"/>
      <c r="Z19" s="2333">
        <f t="shared" si="1"/>
        <v>0</v>
      </c>
      <c r="AA19" s="2334">
        <f t="shared" si="37"/>
        <v>0</v>
      </c>
      <c r="AB19" s="2335" t="str">
        <f t="shared" si="2"/>
        <v/>
      </c>
      <c r="AC19" s="201"/>
      <c r="AD19" s="427" t="str">
        <f t="shared" si="38"/>
        <v/>
      </c>
      <c r="AE19" s="428">
        <f t="shared" si="3"/>
        <v>0</v>
      </c>
      <c r="AF19" s="428">
        <f t="shared" si="4"/>
        <v>0</v>
      </c>
      <c r="AG19" s="428">
        <f t="shared" si="5"/>
        <v>0</v>
      </c>
      <c r="AH19" s="428">
        <f t="shared" si="6"/>
        <v>0</v>
      </c>
      <c r="AI19" s="429">
        <f t="shared" si="7"/>
        <v>0</v>
      </c>
      <c r="AJ19" s="430">
        <f t="shared" si="8"/>
        <v>1</v>
      </c>
      <c r="AK19" s="428">
        <f t="shared" si="9"/>
        <v>0</v>
      </c>
      <c r="AL19" s="431" t="e">
        <f t="shared" si="10"/>
        <v>#DIV/0!</v>
      </c>
      <c r="AM19" s="308"/>
      <c r="AN19" s="432">
        <f t="shared" si="11"/>
        <v>0</v>
      </c>
      <c r="AO19" s="430">
        <f t="shared" si="12"/>
        <v>0</v>
      </c>
      <c r="AP19" s="430">
        <f t="shared" si="13"/>
        <v>0</v>
      </c>
      <c r="AQ19" s="430">
        <f t="shared" si="14"/>
        <v>0</v>
      </c>
      <c r="AR19" s="433">
        <f t="shared" si="15"/>
        <v>0</v>
      </c>
      <c r="AT19" s="434">
        <f t="shared" si="16"/>
        <v>0</v>
      </c>
      <c r="AU19" s="430">
        <f t="shared" si="17"/>
        <v>0</v>
      </c>
      <c r="AV19" s="1469">
        <f t="shared" si="41"/>
        <v>0</v>
      </c>
      <c r="AW19" s="1469">
        <f t="shared" si="42"/>
        <v>0</v>
      </c>
      <c r="AX19" s="430">
        <f t="shared" si="20"/>
        <v>0</v>
      </c>
      <c r="AY19" s="435">
        <f t="shared" si="21"/>
        <v>0</v>
      </c>
      <c r="AZ19" s="309"/>
      <c r="BA19" s="434">
        <f t="shared" si="22"/>
        <v>0</v>
      </c>
      <c r="BB19" s="430">
        <f t="shared" si="23"/>
        <v>0</v>
      </c>
      <c r="BC19" s="430">
        <f t="shared" si="24"/>
        <v>0</v>
      </c>
      <c r="BD19" s="430">
        <f t="shared" si="25"/>
        <v>0</v>
      </c>
      <c r="BE19" s="435">
        <f t="shared" si="26"/>
        <v>0</v>
      </c>
      <c r="BG19" s="428">
        <f t="shared" si="27"/>
        <v>44927</v>
      </c>
      <c r="BH19" s="428">
        <f t="shared" si="28"/>
        <v>44927</v>
      </c>
      <c r="BI19" s="428">
        <f t="shared" si="29"/>
        <v>44927</v>
      </c>
      <c r="BJ19" s="428">
        <f t="shared" si="39"/>
        <v>0</v>
      </c>
      <c r="BL19" s="432">
        <f t="shared" si="30"/>
        <v>0</v>
      </c>
      <c r="BM19" s="428">
        <f t="shared" si="31"/>
        <v>0</v>
      </c>
      <c r="BN19" s="428">
        <f t="shared" si="32"/>
        <v>0</v>
      </c>
      <c r="BO19" s="436">
        <f t="shared" si="33"/>
        <v>0</v>
      </c>
      <c r="BS19" s="1373"/>
      <c r="BT19" s="2993"/>
      <c r="BU19" s="2994"/>
    </row>
    <row r="20" spans="1:73" ht="45.75" customHeight="1" thickBot="1">
      <c r="A20" s="2336"/>
      <c r="B20" s="2336"/>
      <c r="C20" s="2340"/>
      <c r="D20" s="2337"/>
      <c r="E20" s="2338"/>
      <c r="F20" s="2327"/>
      <c r="G20" s="2339" t="str">
        <f t="shared" si="34"/>
        <v/>
      </c>
      <c r="H20" s="451"/>
      <c r="I20" s="2326"/>
      <c r="J20" s="2327"/>
      <c r="K20" s="2328">
        <f t="shared" si="40"/>
        <v>0</v>
      </c>
      <c r="L20" s="2327"/>
      <c r="M20" s="2326"/>
      <c r="N20" s="2329"/>
      <c r="O20" s="2327"/>
      <c r="P20" s="2328">
        <f t="shared" si="36"/>
        <v>0</v>
      </c>
      <c r="Q20" s="2327"/>
      <c r="R20" s="2326"/>
      <c r="S20" s="2329"/>
      <c r="T20" s="2330"/>
      <c r="U20" s="2331">
        <f t="shared" si="0"/>
        <v>0</v>
      </c>
      <c r="V20" s="2332"/>
      <c r="W20" s="2326"/>
      <c r="X20" s="2329"/>
      <c r="Y20" s="2330"/>
      <c r="Z20" s="2333">
        <f t="shared" si="1"/>
        <v>0</v>
      </c>
      <c r="AA20" s="2334">
        <f t="shared" si="37"/>
        <v>0</v>
      </c>
      <c r="AB20" s="2335" t="str">
        <f t="shared" si="2"/>
        <v/>
      </c>
      <c r="AC20" s="201"/>
      <c r="AD20" s="427" t="str">
        <f t="shared" si="38"/>
        <v/>
      </c>
      <c r="AE20" s="428">
        <f t="shared" si="3"/>
        <v>0</v>
      </c>
      <c r="AF20" s="428">
        <f t="shared" si="4"/>
        <v>0</v>
      </c>
      <c r="AG20" s="428">
        <f t="shared" si="5"/>
        <v>0</v>
      </c>
      <c r="AH20" s="428">
        <f t="shared" si="6"/>
        <v>0</v>
      </c>
      <c r="AI20" s="429">
        <f t="shared" si="7"/>
        <v>0</v>
      </c>
      <c r="AJ20" s="430">
        <f t="shared" si="8"/>
        <v>1</v>
      </c>
      <c r="AK20" s="428">
        <f t="shared" si="9"/>
        <v>0</v>
      </c>
      <c r="AL20" s="431" t="e">
        <f t="shared" si="10"/>
        <v>#DIV/0!</v>
      </c>
      <c r="AM20" s="308"/>
      <c r="AN20" s="432">
        <f t="shared" si="11"/>
        <v>0</v>
      </c>
      <c r="AO20" s="430">
        <f t="shared" si="12"/>
        <v>0</v>
      </c>
      <c r="AP20" s="430">
        <f t="shared" si="13"/>
        <v>0</v>
      </c>
      <c r="AQ20" s="430">
        <f t="shared" si="14"/>
        <v>0</v>
      </c>
      <c r="AR20" s="433">
        <f t="shared" si="15"/>
        <v>0</v>
      </c>
      <c r="AT20" s="434">
        <f t="shared" si="16"/>
        <v>0</v>
      </c>
      <c r="AU20" s="430">
        <f t="shared" si="17"/>
        <v>0</v>
      </c>
      <c r="AV20" s="1469">
        <f t="shared" si="41"/>
        <v>0</v>
      </c>
      <c r="AW20" s="1469">
        <f t="shared" si="42"/>
        <v>0</v>
      </c>
      <c r="AX20" s="430">
        <f t="shared" si="20"/>
        <v>0</v>
      </c>
      <c r="AY20" s="435">
        <f t="shared" si="21"/>
        <v>0</v>
      </c>
      <c r="AZ20" s="309"/>
      <c r="BA20" s="434">
        <f t="shared" si="22"/>
        <v>0</v>
      </c>
      <c r="BB20" s="430">
        <f t="shared" si="23"/>
        <v>0</v>
      </c>
      <c r="BC20" s="430">
        <f t="shared" si="24"/>
        <v>0</v>
      </c>
      <c r="BD20" s="430">
        <f t="shared" si="25"/>
        <v>0</v>
      </c>
      <c r="BE20" s="435">
        <f t="shared" si="26"/>
        <v>0</v>
      </c>
      <c r="BG20" s="428">
        <f t="shared" si="27"/>
        <v>44927</v>
      </c>
      <c r="BH20" s="428">
        <f t="shared" si="28"/>
        <v>44927</v>
      </c>
      <c r="BI20" s="428">
        <f t="shared" si="29"/>
        <v>44927</v>
      </c>
      <c r="BJ20" s="428">
        <f t="shared" si="39"/>
        <v>0</v>
      </c>
      <c r="BL20" s="432">
        <f t="shared" si="30"/>
        <v>0</v>
      </c>
      <c r="BM20" s="428">
        <f t="shared" si="31"/>
        <v>0</v>
      </c>
      <c r="BN20" s="428">
        <f t="shared" si="32"/>
        <v>0</v>
      </c>
      <c r="BO20" s="436">
        <f t="shared" si="33"/>
        <v>0</v>
      </c>
      <c r="BS20" s="1373"/>
      <c r="BT20" s="2990" t="s">
        <v>2304</v>
      </c>
      <c r="BU20" s="2991"/>
    </row>
    <row r="21" spans="1:73" ht="45.75" customHeight="1">
      <c r="A21" s="2336"/>
      <c r="B21" s="2336"/>
      <c r="C21" s="2340"/>
      <c r="D21" s="2337"/>
      <c r="E21" s="2338"/>
      <c r="F21" s="2327"/>
      <c r="G21" s="2339" t="str">
        <f t="shared" si="34"/>
        <v/>
      </c>
      <c r="H21" s="451"/>
      <c r="I21" s="2326"/>
      <c r="J21" s="2327"/>
      <c r="K21" s="2328">
        <f t="shared" si="40"/>
        <v>0</v>
      </c>
      <c r="L21" s="2327"/>
      <c r="M21" s="2326"/>
      <c r="N21" s="2329"/>
      <c r="O21" s="2327"/>
      <c r="P21" s="2328">
        <f t="shared" si="36"/>
        <v>0</v>
      </c>
      <c r="Q21" s="2327"/>
      <c r="R21" s="2326"/>
      <c r="S21" s="2329"/>
      <c r="T21" s="2330"/>
      <c r="U21" s="2331">
        <f t="shared" si="0"/>
        <v>0</v>
      </c>
      <c r="V21" s="2332"/>
      <c r="W21" s="2326"/>
      <c r="X21" s="2329"/>
      <c r="Y21" s="2330"/>
      <c r="Z21" s="2333">
        <f t="shared" si="1"/>
        <v>0</v>
      </c>
      <c r="AA21" s="2334">
        <f t="shared" si="37"/>
        <v>0</v>
      </c>
      <c r="AB21" s="2335" t="str">
        <f t="shared" si="2"/>
        <v/>
      </c>
      <c r="AC21" s="201"/>
      <c r="AD21" s="427" t="str">
        <f t="shared" si="38"/>
        <v/>
      </c>
      <c r="AE21" s="428">
        <f t="shared" si="3"/>
        <v>0</v>
      </c>
      <c r="AF21" s="428">
        <f t="shared" si="4"/>
        <v>0</v>
      </c>
      <c r="AG21" s="428">
        <f t="shared" si="5"/>
        <v>0</v>
      </c>
      <c r="AH21" s="428">
        <f t="shared" si="6"/>
        <v>0</v>
      </c>
      <c r="AI21" s="429">
        <f t="shared" si="7"/>
        <v>0</v>
      </c>
      <c r="AJ21" s="430">
        <f t="shared" si="8"/>
        <v>1</v>
      </c>
      <c r="AK21" s="428">
        <f t="shared" si="9"/>
        <v>0</v>
      </c>
      <c r="AL21" s="431" t="e">
        <f t="shared" si="10"/>
        <v>#DIV/0!</v>
      </c>
      <c r="AM21" s="308"/>
      <c r="AN21" s="432">
        <f t="shared" si="11"/>
        <v>0</v>
      </c>
      <c r="AO21" s="430">
        <f t="shared" si="12"/>
        <v>0</v>
      </c>
      <c r="AP21" s="430">
        <f t="shared" si="13"/>
        <v>0</v>
      </c>
      <c r="AQ21" s="430">
        <f t="shared" si="14"/>
        <v>0</v>
      </c>
      <c r="AR21" s="433">
        <f t="shared" si="15"/>
        <v>0</v>
      </c>
      <c r="AT21" s="434">
        <f t="shared" si="16"/>
        <v>0</v>
      </c>
      <c r="AU21" s="430">
        <f t="shared" si="17"/>
        <v>0</v>
      </c>
      <c r="AV21" s="1469">
        <f t="shared" si="41"/>
        <v>0</v>
      </c>
      <c r="AW21" s="1469">
        <f t="shared" si="42"/>
        <v>0</v>
      </c>
      <c r="AX21" s="430">
        <f t="shared" si="20"/>
        <v>0</v>
      </c>
      <c r="AY21" s="435">
        <f t="shared" si="21"/>
        <v>0</v>
      </c>
      <c r="AZ21" s="309"/>
      <c r="BA21" s="434">
        <f t="shared" si="22"/>
        <v>0</v>
      </c>
      <c r="BB21" s="430">
        <f t="shared" si="23"/>
        <v>0</v>
      </c>
      <c r="BC21" s="430">
        <f t="shared" si="24"/>
        <v>0</v>
      </c>
      <c r="BD21" s="430">
        <f t="shared" si="25"/>
        <v>0</v>
      </c>
      <c r="BE21" s="435">
        <f t="shared" si="26"/>
        <v>0</v>
      </c>
      <c r="BG21" s="428">
        <f t="shared" si="27"/>
        <v>44927</v>
      </c>
      <c r="BH21" s="428">
        <f t="shared" si="28"/>
        <v>44927</v>
      </c>
      <c r="BI21" s="428">
        <f t="shared" si="29"/>
        <v>44927</v>
      </c>
      <c r="BJ21" s="428">
        <f t="shared" si="39"/>
        <v>0</v>
      </c>
      <c r="BL21" s="432">
        <f t="shared" si="30"/>
        <v>0</v>
      </c>
      <c r="BM21" s="428">
        <f t="shared" si="31"/>
        <v>0</v>
      </c>
      <c r="BN21" s="428">
        <f t="shared" si="32"/>
        <v>0</v>
      </c>
      <c r="BO21" s="436">
        <f t="shared" si="33"/>
        <v>0</v>
      </c>
      <c r="BS21" s="1373"/>
      <c r="BT21" s="2992"/>
      <c r="BU21" s="2992"/>
    </row>
    <row r="22" spans="1:73" ht="45.75" customHeight="1">
      <c r="A22" s="2336"/>
      <c r="B22" s="2336"/>
      <c r="C22" s="2340"/>
      <c r="D22" s="2337"/>
      <c r="E22" s="2338"/>
      <c r="F22" s="2327"/>
      <c r="G22" s="2339" t="str">
        <f t="shared" si="34"/>
        <v/>
      </c>
      <c r="H22" s="451"/>
      <c r="I22" s="2326"/>
      <c r="J22" s="2327"/>
      <c r="K22" s="2328">
        <f t="shared" si="40"/>
        <v>0</v>
      </c>
      <c r="L22" s="2327"/>
      <c r="M22" s="2326"/>
      <c r="N22" s="2329"/>
      <c r="O22" s="2327"/>
      <c r="P22" s="2328">
        <f t="shared" si="36"/>
        <v>0</v>
      </c>
      <c r="Q22" s="2327"/>
      <c r="R22" s="2326"/>
      <c r="S22" s="2329"/>
      <c r="T22" s="2330"/>
      <c r="U22" s="2331">
        <f t="shared" si="0"/>
        <v>0</v>
      </c>
      <c r="V22" s="2332"/>
      <c r="W22" s="2326"/>
      <c r="X22" s="2329"/>
      <c r="Y22" s="2330"/>
      <c r="Z22" s="2333">
        <f t="shared" si="1"/>
        <v>0</v>
      </c>
      <c r="AA22" s="2334">
        <f t="shared" si="37"/>
        <v>0</v>
      </c>
      <c r="AB22" s="2335" t="str">
        <f t="shared" si="2"/>
        <v/>
      </c>
      <c r="AC22" s="201"/>
      <c r="AD22" s="427" t="str">
        <f t="shared" si="38"/>
        <v/>
      </c>
      <c r="AE22" s="428">
        <f t="shared" si="3"/>
        <v>0</v>
      </c>
      <c r="AF22" s="428">
        <f t="shared" si="4"/>
        <v>0</v>
      </c>
      <c r="AG22" s="428">
        <f t="shared" si="5"/>
        <v>0</v>
      </c>
      <c r="AH22" s="428">
        <f t="shared" si="6"/>
        <v>0</v>
      </c>
      <c r="AI22" s="429">
        <f t="shared" si="7"/>
        <v>0</v>
      </c>
      <c r="AJ22" s="430">
        <f t="shared" si="8"/>
        <v>1</v>
      </c>
      <c r="AK22" s="428">
        <f t="shared" si="9"/>
        <v>0</v>
      </c>
      <c r="AL22" s="431" t="e">
        <f t="shared" si="10"/>
        <v>#DIV/0!</v>
      </c>
      <c r="AM22" s="308"/>
      <c r="AN22" s="432">
        <f t="shared" si="11"/>
        <v>0</v>
      </c>
      <c r="AO22" s="430">
        <f t="shared" si="12"/>
        <v>0</v>
      </c>
      <c r="AP22" s="430">
        <f t="shared" si="13"/>
        <v>0</v>
      </c>
      <c r="AQ22" s="430">
        <f t="shared" si="14"/>
        <v>0</v>
      </c>
      <c r="AR22" s="433">
        <f t="shared" si="15"/>
        <v>0</v>
      </c>
      <c r="AT22" s="434">
        <f t="shared" si="16"/>
        <v>0</v>
      </c>
      <c r="AU22" s="430">
        <f t="shared" si="17"/>
        <v>0</v>
      </c>
      <c r="AV22" s="1469">
        <f t="shared" si="41"/>
        <v>0</v>
      </c>
      <c r="AW22" s="1469">
        <f t="shared" si="42"/>
        <v>0</v>
      </c>
      <c r="AX22" s="430">
        <f t="shared" si="20"/>
        <v>0</v>
      </c>
      <c r="AY22" s="435">
        <f t="shared" si="21"/>
        <v>0</v>
      </c>
      <c r="AZ22" s="309"/>
      <c r="BA22" s="434">
        <f t="shared" si="22"/>
        <v>0</v>
      </c>
      <c r="BB22" s="430">
        <f t="shared" si="23"/>
        <v>0</v>
      </c>
      <c r="BC22" s="430">
        <f t="shared" si="24"/>
        <v>0</v>
      </c>
      <c r="BD22" s="430">
        <f t="shared" si="25"/>
        <v>0</v>
      </c>
      <c r="BE22" s="435">
        <f t="shared" si="26"/>
        <v>0</v>
      </c>
      <c r="BG22" s="428">
        <f t="shared" si="27"/>
        <v>44927</v>
      </c>
      <c r="BH22" s="428">
        <f t="shared" si="28"/>
        <v>44927</v>
      </c>
      <c r="BI22" s="428">
        <f t="shared" si="29"/>
        <v>44927</v>
      </c>
      <c r="BJ22" s="428">
        <f t="shared" si="39"/>
        <v>0</v>
      </c>
      <c r="BL22" s="432">
        <f t="shared" si="30"/>
        <v>0</v>
      </c>
      <c r="BM22" s="428">
        <f t="shared" si="31"/>
        <v>0</v>
      </c>
      <c r="BN22" s="428">
        <f t="shared" si="32"/>
        <v>0</v>
      </c>
      <c r="BO22" s="436">
        <f t="shared" si="33"/>
        <v>0</v>
      </c>
      <c r="BS22" s="1373"/>
    </row>
    <row r="23" spans="1:73" ht="45.75" customHeight="1">
      <c r="A23" s="2336"/>
      <c r="B23" s="2336"/>
      <c r="C23" s="2340"/>
      <c r="D23" s="2337"/>
      <c r="E23" s="2338"/>
      <c r="F23" s="2327"/>
      <c r="G23" s="2339" t="str">
        <f t="shared" si="34"/>
        <v/>
      </c>
      <c r="H23" s="451"/>
      <c r="I23" s="2326"/>
      <c r="J23" s="2327"/>
      <c r="K23" s="2328">
        <f t="shared" si="40"/>
        <v>0</v>
      </c>
      <c r="L23" s="2327"/>
      <c r="M23" s="2326"/>
      <c r="N23" s="2329"/>
      <c r="O23" s="2327"/>
      <c r="P23" s="2328">
        <f t="shared" si="36"/>
        <v>0</v>
      </c>
      <c r="Q23" s="2327"/>
      <c r="R23" s="2326"/>
      <c r="S23" s="2329"/>
      <c r="T23" s="2330"/>
      <c r="U23" s="2331">
        <f t="shared" si="0"/>
        <v>0</v>
      </c>
      <c r="V23" s="2332"/>
      <c r="W23" s="2326"/>
      <c r="X23" s="2329"/>
      <c r="Y23" s="2330"/>
      <c r="Z23" s="2333">
        <f t="shared" si="1"/>
        <v>0</v>
      </c>
      <c r="AA23" s="2334">
        <f t="shared" si="37"/>
        <v>0</v>
      </c>
      <c r="AB23" s="2335" t="str">
        <f t="shared" si="2"/>
        <v/>
      </c>
      <c r="AC23" s="201"/>
      <c r="AD23" s="427" t="str">
        <f t="shared" si="38"/>
        <v/>
      </c>
      <c r="AE23" s="428">
        <f t="shared" si="3"/>
        <v>0</v>
      </c>
      <c r="AF23" s="428">
        <f t="shared" si="4"/>
        <v>0</v>
      </c>
      <c r="AG23" s="428">
        <f t="shared" si="5"/>
        <v>0</v>
      </c>
      <c r="AH23" s="428">
        <f t="shared" si="6"/>
        <v>0</v>
      </c>
      <c r="AI23" s="429">
        <f t="shared" si="7"/>
        <v>0</v>
      </c>
      <c r="AJ23" s="430">
        <f t="shared" si="8"/>
        <v>1</v>
      </c>
      <c r="AK23" s="428">
        <f t="shared" si="9"/>
        <v>0</v>
      </c>
      <c r="AL23" s="431" t="e">
        <f t="shared" si="10"/>
        <v>#DIV/0!</v>
      </c>
      <c r="AM23" s="308"/>
      <c r="AN23" s="432">
        <f t="shared" si="11"/>
        <v>0</v>
      </c>
      <c r="AO23" s="430">
        <f t="shared" si="12"/>
        <v>0</v>
      </c>
      <c r="AP23" s="430">
        <f t="shared" si="13"/>
        <v>0</v>
      </c>
      <c r="AQ23" s="430">
        <f t="shared" si="14"/>
        <v>0</v>
      </c>
      <c r="AR23" s="433">
        <f t="shared" si="15"/>
        <v>0</v>
      </c>
      <c r="AT23" s="434">
        <f t="shared" si="16"/>
        <v>0</v>
      </c>
      <c r="AU23" s="430">
        <f t="shared" si="17"/>
        <v>0</v>
      </c>
      <c r="AV23" s="1469">
        <f t="shared" si="41"/>
        <v>0</v>
      </c>
      <c r="AW23" s="1469">
        <f t="shared" si="42"/>
        <v>0</v>
      </c>
      <c r="AX23" s="430">
        <f t="shared" si="20"/>
        <v>0</v>
      </c>
      <c r="AY23" s="435">
        <f t="shared" si="21"/>
        <v>0</v>
      </c>
      <c r="AZ23" s="309"/>
      <c r="BA23" s="434">
        <f t="shared" si="22"/>
        <v>0</v>
      </c>
      <c r="BB23" s="430">
        <f t="shared" si="23"/>
        <v>0</v>
      </c>
      <c r="BC23" s="430">
        <f t="shared" si="24"/>
        <v>0</v>
      </c>
      <c r="BD23" s="430">
        <f t="shared" si="25"/>
        <v>0</v>
      </c>
      <c r="BE23" s="435">
        <f t="shared" si="26"/>
        <v>0</v>
      </c>
      <c r="BG23" s="428">
        <f t="shared" si="27"/>
        <v>44927</v>
      </c>
      <c r="BH23" s="428">
        <f t="shared" si="28"/>
        <v>44927</v>
      </c>
      <c r="BI23" s="428">
        <f t="shared" si="29"/>
        <v>44927</v>
      </c>
      <c r="BJ23" s="428">
        <f t="shared" si="39"/>
        <v>0</v>
      </c>
      <c r="BL23" s="432">
        <f t="shared" si="30"/>
        <v>0</v>
      </c>
      <c r="BM23" s="428">
        <f t="shared" si="31"/>
        <v>0</v>
      </c>
      <c r="BN23" s="428">
        <f t="shared" si="32"/>
        <v>0</v>
      </c>
      <c r="BO23" s="436">
        <f t="shared" si="33"/>
        <v>0</v>
      </c>
      <c r="BS23" s="1373"/>
    </row>
    <row r="24" spans="1:73" ht="45.75" customHeight="1">
      <c r="A24" s="2336"/>
      <c r="B24" s="2336"/>
      <c r="C24" s="2340"/>
      <c r="D24" s="2337"/>
      <c r="E24" s="2338"/>
      <c r="F24" s="2327"/>
      <c r="G24" s="2339" t="str">
        <f t="shared" si="34"/>
        <v/>
      </c>
      <c r="H24" s="451"/>
      <c r="I24" s="2326"/>
      <c r="J24" s="2327"/>
      <c r="K24" s="2328">
        <f t="shared" si="40"/>
        <v>0</v>
      </c>
      <c r="L24" s="2327"/>
      <c r="M24" s="2326"/>
      <c r="N24" s="2329"/>
      <c r="O24" s="2327"/>
      <c r="P24" s="2328">
        <f t="shared" si="36"/>
        <v>0</v>
      </c>
      <c r="Q24" s="2327"/>
      <c r="R24" s="2326"/>
      <c r="S24" s="2329"/>
      <c r="T24" s="2330"/>
      <c r="U24" s="2331">
        <f t="shared" si="0"/>
        <v>0</v>
      </c>
      <c r="V24" s="2332"/>
      <c r="W24" s="2326"/>
      <c r="X24" s="2329"/>
      <c r="Y24" s="2330"/>
      <c r="Z24" s="2333">
        <f t="shared" si="1"/>
        <v>0</v>
      </c>
      <c r="AA24" s="2334">
        <f t="shared" si="37"/>
        <v>0</v>
      </c>
      <c r="AB24" s="2335" t="str">
        <f t="shared" si="2"/>
        <v/>
      </c>
      <c r="AC24" s="201"/>
      <c r="AD24" s="427" t="str">
        <f t="shared" si="38"/>
        <v/>
      </c>
      <c r="AE24" s="428">
        <f t="shared" si="3"/>
        <v>0</v>
      </c>
      <c r="AF24" s="428">
        <f t="shared" si="4"/>
        <v>0</v>
      </c>
      <c r="AG24" s="428">
        <f t="shared" si="5"/>
        <v>0</v>
      </c>
      <c r="AH24" s="428">
        <f t="shared" si="6"/>
        <v>0</v>
      </c>
      <c r="AI24" s="429">
        <f t="shared" si="7"/>
        <v>0</v>
      </c>
      <c r="AJ24" s="430">
        <f t="shared" si="8"/>
        <v>1</v>
      </c>
      <c r="AK24" s="428">
        <f t="shared" si="9"/>
        <v>0</v>
      </c>
      <c r="AL24" s="431" t="e">
        <f t="shared" si="10"/>
        <v>#DIV/0!</v>
      </c>
      <c r="AM24" s="308"/>
      <c r="AN24" s="432">
        <f t="shared" si="11"/>
        <v>0</v>
      </c>
      <c r="AO24" s="430">
        <f t="shared" si="12"/>
        <v>0</v>
      </c>
      <c r="AP24" s="430">
        <f t="shared" si="13"/>
        <v>0</v>
      </c>
      <c r="AQ24" s="430">
        <f t="shared" si="14"/>
        <v>0</v>
      </c>
      <c r="AR24" s="433">
        <f t="shared" si="15"/>
        <v>0</v>
      </c>
      <c r="AT24" s="434">
        <f t="shared" si="16"/>
        <v>0</v>
      </c>
      <c r="AU24" s="430">
        <f t="shared" si="17"/>
        <v>0</v>
      </c>
      <c r="AV24" s="1469">
        <f t="shared" si="41"/>
        <v>0</v>
      </c>
      <c r="AW24" s="1469">
        <f t="shared" si="42"/>
        <v>0</v>
      </c>
      <c r="AX24" s="430">
        <f t="shared" si="20"/>
        <v>0</v>
      </c>
      <c r="AY24" s="435">
        <f t="shared" si="21"/>
        <v>0</v>
      </c>
      <c r="AZ24" s="309"/>
      <c r="BA24" s="434">
        <f t="shared" si="22"/>
        <v>0</v>
      </c>
      <c r="BB24" s="430">
        <f t="shared" si="23"/>
        <v>0</v>
      </c>
      <c r="BC24" s="430">
        <f t="shared" si="24"/>
        <v>0</v>
      </c>
      <c r="BD24" s="430">
        <f t="shared" si="25"/>
        <v>0</v>
      </c>
      <c r="BE24" s="435">
        <f t="shared" si="26"/>
        <v>0</v>
      </c>
      <c r="BG24" s="428">
        <f t="shared" si="27"/>
        <v>44927</v>
      </c>
      <c r="BH24" s="428">
        <f t="shared" si="28"/>
        <v>44927</v>
      </c>
      <c r="BI24" s="428">
        <f t="shared" si="29"/>
        <v>44927</v>
      </c>
      <c r="BJ24" s="428">
        <f t="shared" si="39"/>
        <v>0</v>
      </c>
      <c r="BL24" s="432">
        <f t="shared" si="30"/>
        <v>0</v>
      </c>
      <c r="BM24" s="428">
        <f t="shared" si="31"/>
        <v>0</v>
      </c>
      <c r="BN24" s="428">
        <f t="shared" si="32"/>
        <v>0</v>
      </c>
      <c r="BO24" s="436">
        <f t="shared" si="33"/>
        <v>0</v>
      </c>
      <c r="BS24" s="1373"/>
    </row>
    <row r="25" spans="1:73" ht="45.75" customHeight="1">
      <c r="A25" s="2336"/>
      <c r="B25" s="2336"/>
      <c r="C25" s="2340"/>
      <c r="D25" s="2337"/>
      <c r="E25" s="2338"/>
      <c r="F25" s="2327"/>
      <c r="G25" s="2339" t="str">
        <f t="shared" si="34"/>
        <v/>
      </c>
      <c r="H25" s="451"/>
      <c r="I25" s="2326"/>
      <c r="J25" s="2327"/>
      <c r="K25" s="2328">
        <f t="shared" si="40"/>
        <v>0</v>
      </c>
      <c r="L25" s="2327"/>
      <c r="M25" s="2326"/>
      <c r="N25" s="2329"/>
      <c r="O25" s="2327"/>
      <c r="P25" s="2328">
        <f t="shared" si="36"/>
        <v>0</v>
      </c>
      <c r="Q25" s="2327"/>
      <c r="R25" s="2326"/>
      <c r="S25" s="2329"/>
      <c r="T25" s="2330"/>
      <c r="U25" s="2331">
        <f t="shared" si="0"/>
        <v>0</v>
      </c>
      <c r="V25" s="2332"/>
      <c r="W25" s="2326"/>
      <c r="X25" s="2329"/>
      <c r="Y25" s="2330"/>
      <c r="Z25" s="2333">
        <f t="shared" si="1"/>
        <v>0</v>
      </c>
      <c r="AA25" s="2334">
        <f t="shared" si="37"/>
        <v>0</v>
      </c>
      <c r="AB25" s="2335" t="str">
        <f t="shared" si="2"/>
        <v/>
      </c>
      <c r="AC25" s="201"/>
      <c r="AD25" s="427" t="str">
        <f t="shared" si="38"/>
        <v/>
      </c>
      <c r="AE25" s="428">
        <f t="shared" si="3"/>
        <v>0</v>
      </c>
      <c r="AF25" s="428">
        <f t="shared" si="4"/>
        <v>0</v>
      </c>
      <c r="AG25" s="428">
        <f t="shared" si="5"/>
        <v>0</v>
      </c>
      <c r="AH25" s="428">
        <f t="shared" si="6"/>
        <v>0</v>
      </c>
      <c r="AI25" s="429">
        <f t="shared" si="7"/>
        <v>0</v>
      </c>
      <c r="AJ25" s="430">
        <f t="shared" si="8"/>
        <v>1</v>
      </c>
      <c r="AK25" s="428">
        <f t="shared" si="9"/>
        <v>0</v>
      </c>
      <c r="AL25" s="431" t="e">
        <f t="shared" si="10"/>
        <v>#DIV/0!</v>
      </c>
      <c r="AM25" s="308"/>
      <c r="AN25" s="432">
        <f t="shared" si="11"/>
        <v>0</v>
      </c>
      <c r="AO25" s="430">
        <f t="shared" si="12"/>
        <v>0</v>
      </c>
      <c r="AP25" s="430">
        <f t="shared" si="13"/>
        <v>0</v>
      </c>
      <c r="AQ25" s="430">
        <f t="shared" si="14"/>
        <v>0</v>
      </c>
      <c r="AR25" s="433">
        <f t="shared" si="15"/>
        <v>0</v>
      </c>
      <c r="AT25" s="434">
        <f t="shared" si="16"/>
        <v>0</v>
      </c>
      <c r="AU25" s="430">
        <f t="shared" si="17"/>
        <v>0</v>
      </c>
      <c r="AV25" s="1469">
        <f t="shared" si="41"/>
        <v>0</v>
      </c>
      <c r="AW25" s="1469">
        <f t="shared" si="42"/>
        <v>0</v>
      </c>
      <c r="AX25" s="430">
        <f t="shared" si="20"/>
        <v>0</v>
      </c>
      <c r="AY25" s="435">
        <f t="shared" si="21"/>
        <v>0</v>
      </c>
      <c r="AZ25" s="309"/>
      <c r="BA25" s="434">
        <f t="shared" si="22"/>
        <v>0</v>
      </c>
      <c r="BB25" s="430">
        <f t="shared" si="23"/>
        <v>0</v>
      </c>
      <c r="BC25" s="430">
        <f t="shared" si="24"/>
        <v>0</v>
      </c>
      <c r="BD25" s="430">
        <f t="shared" si="25"/>
        <v>0</v>
      </c>
      <c r="BE25" s="435">
        <f t="shared" si="26"/>
        <v>0</v>
      </c>
      <c r="BG25" s="428">
        <f t="shared" si="27"/>
        <v>44927</v>
      </c>
      <c r="BH25" s="428">
        <f t="shared" si="28"/>
        <v>44927</v>
      </c>
      <c r="BI25" s="428">
        <f t="shared" si="29"/>
        <v>44927</v>
      </c>
      <c r="BJ25" s="428">
        <f t="shared" si="39"/>
        <v>0</v>
      </c>
      <c r="BL25" s="432">
        <f t="shared" si="30"/>
        <v>0</v>
      </c>
      <c r="BM25" s="428">
        <f t="shared" si="31"/>
        <v>0</v>
      </c>
      <c r="BN25" s="428">
        <f t="shared" si="32"/>
        <v>0</v>
      </c>
      <c r="BO25" s="436">
        <f t="shared" si="33"/>
        <v>0</v>
      </c>
      <c r="BS25" s="1373"/>
    </row>
    <row r="26" spans="1:73" ht="45.75" customHeight="1">
      <c r="A26" s="2336"/>
      <c r="B26" s="2336"/>
      <c r="C26" s="2340"/>
      <c r="D26" s="2337"/>
      <c r="E26" s="2338"/>
      <c r="F26" s="2327"/>
      <c r="G26" s="2339" t="str">
        <f t="shared" si="34"/>
        <v/>
      </c>
      <c r="H26" s="451"/>
      <c r="I26" s="2326"/>
      <c r="J26" s="2327"/>
      <c r="K26" s="2328">
        <f t="shared" si="40"/>
        <v>0</v>
      </c>
      <c r="L26" s="2327"/>
      <c r="M26" s="2326"/>
      <c r="N26" s="2329"/>
      <c r="O26" s="2327"/>
      <c r="P26" s="2328">
        <f t="shared" si="36"/>
        <v>0</v>
      </c>
      <c r="Q26" s="2327"/>
      <c r="R26" s="2326"/>
      <c r="S26" s="2329"/>
      <c r="T26" s="2330"/>
      <c r="U26" s="2331">
        <f t="shared" si="0"/>
        <v>0</v>
      </c>
      <c r="V26" s="2332"/>
      <c r="W26" s="2326"/>
      <c r="X26" s="2329"/>
      <c r="Y26" s="2330"/>
      <c r="Z26" s="2333">
        <f t="shared" si="1"/>
        <v>0</v>
      </c>
      <c r="AA26" s="2334">
        <f t="shared" si="37"/>
        <v>0</v>
      </c>
      <c r="AB26" s="2335" t="str">
        <f t="shared" si="2"/>
        <v/>
      </c>
      <c r="AC26" s="201"/>
      <c r="AD26" s="427" t="str">
        <f t="shared" si="38"/>
        <v/>
      </c>
      <c r="AE26" s="428">
        <f t="shared" si="3"/>
        <v>0</v>
      </c>
      <c r="AF26" s="428">
        <f t="shared" si="4"/>
        <v>0</v>
      </c>
      <c r="AG26" s="428">
        <f t="shared" si="5"/>
        <v>0</v>
      </c>
      <c r="AH26" s="428">
        <f t="shared" si="6"/>
        <v>0</v>
      </c>
      <c r="AI26" s="429">
        <f t="shared" si="7"/>
        <v>0</v>
      </c>
      <c r="AJ26" s="430">
        <f t="shared" si="8"/>
        <v>1</v>
      </c>
      <c r="AK26" s="428">
        <f t="shared" si="9"/>
        <v>0</v>
      </c>
      <c r="AL26" s="431" t="e">
        <f t="shared" si="10"/>
        <v>#DIV/0!</v>
      </c>
      <c r="AM26" s="308"/>
      <c r="AN26" s="432">
        <f t="shared" si="11"/>
        <v>0</v>
      </c>
      <c r="AO26" s="430">
        <f t="shared" si="12"/>
        <v>0</v>
      </c>
      <c r="AP26" s="430">
        <f t="shared" si="13"/>
        <v>0</v>
      </c>
      <c r="AQ26" s="430">
        <f t="shared" si="14"/>
        <v>0</v>
      </c>
      <c r="AR26" s="433">
        <f t="shared" si="15"/>
        <v>0</v>
      </c>
      <c r="AT26" s="434">
        <f t="shared" si="16"/>
        <v>0</v>
      </c>
      <c r="AU26" s="430">
        <f t="shared" si="17"/>
        <v>0</v>
      </c>
      <c r="AV26" s="1469">
        <f t="shared" si="41"/>
        <v>0</v>
      </c>
      <c r="AW26" s="1469">
        <f t="shared" si="42"/>
        <v>0</v>
      </c>
      <c r="AX26" s="430">
        <f t="shared" si="20"/>
        <v>0</v>
      </c>
      <c r="AY26" s="435">
        <f t="shared" si="21"/>
        <v>0</v>
      </c>
      <c r="AZ26" s="309"/>
      <c r="BA26" s="434">
        <f t="shared" si="22"/>
        <v>0</v>
      </c>
      <c r="BB26" s="430">
        <f t="shared" si="23"/>
        <v>0</v>
      </c>
      <c r="BC26" s="430">
        <f t="shared" si="24"/>
        <v>0</v>
      </c>
      <c r="BD26" s="430">
        <f t="shared" si="25"/>
        <v>0</v>
      </c>
      <c r="BE26" s="435">
        <f t="shared" si="26"/>
        <v>0</v>
      </c>
      <c r="BG26" s="428">
        <f t="shared" si="27"/>
        <v>44927</v>
      </c>
      <c r="BH26" s="428">
        <f t="shared" si="28"/>
        <v>44927</v>
      </c>
      <c r="BI26" s="428">
        <f t="shared" si="29"/>
        <v>44927</v>
      </c>
      <c r="BJ26" s="428">
        <f t="shared" si="39"/>
        <v>0</v>
      </c>
      <c r="BL26" s="432">
        <f t="shared" si="30"/>
        <v>0</v>
      </c>
      <c r="BM26" s="428">
        <f t="shared" si="31"/>
        <v>0</v>
      </c>
      <c r="BN26" s="428">
        <f t="shared" si="32"/>
        <v>0</v>
      </c>
      <c r="BO26" s="436">
        <f t="shared" si="33"/>
        <v>0</v>
      </c>
      <c r="BS26" s="1373"/>
      <c r="BT26" s="437"/>
    </row>
    <row r="27" spans="1:73" ht="45.75" customHeight="1">
      <c r="A27" s="2336"/>
      <c r="B27" s="2336"/>
      <c r="C27" s="2340"/>
      <c r="D27" s="2337"/>
      <c r="E27" s="2338"/>
      <c r="F27" s="2327"/>
      <c r="G27" s="2339" t="str">
        <f t="shared" si="34"/>
        <v/>
      </c>
      <c r="H27" s="451"/>
      <c r="I27" s="2326"/>
      <c r="J27" s="2327"/>
      <c r="K27" s="2328">
        <f t="shared" si="40"/>
        <v>0</v>
      </c>
      <c r="L27" s="2327"/>
      <c r="M27" s="2326"/>
      <c r="N27" s="2329"/>
      <c r="O27" s="2327"/>
      <c r="P27" s="2328">
        <f t="shared" si="36"/>
        <v>0</v>
      </c>
      <c r="Q27" s="2327"/>
      <c r="R27" s="2326"/>
      <c r="S27" s="2329"/>
      <c r="T27" s="2330"/>
      <c r="U27" s="2331">
        <f t="shared" si="0"/>
        <v>0</v>
      </c>
      <c r="V27" s="2332"/>
      <c r="W27" s="2326"/>
      <c r="X27" s="2329"/>
      <c r="Y27" s="2330"/>
      <c r="Z27" s="2333">
        <f t="shared" si="1"/>
        <v>0</v>
      </c>
      <c r="AA27" s="2334">
        <f t="shared" si="37"/>
        <v>0</v>
      </c>
      <c r="AB27" s="2335" t="str">
        <f t="shared" si="2"/>
        <v/>
      </c>
      <c r="AC27" s="201"/>
      <c r="AD27" s="427" t="str">
        <f t="shared" si="38"/>
        <v/>
      </c>
      <c r="AE27" s="428">
        <f t="shared" si="3"/>
        <v>0</v>
      </c>
      <c r="AF27" s="428">
        <f t="shared" si="4"/>
        <v>0</v>
      </c>
      <c r="AG27" s="428">
        <f t="shared" si="5"/>
        <v>0</v>
      </c>
      <c r="AH27" s="428">
        <f t="shared" si="6"/>
        <v>0</v>
      </c>
      <c r="AI27" s="429">
        <f t="shared" si="7"/>
        <v>0</v>
      </c>
      <c r="AJ27" s="430">
        <f t="shared" si="8"/>
        <v>1</v>
      </c>
      <c r="AK27" s="428">
        <f t="shared" si="9"/>
        <v>0</v>
      </c>
      <c r="AL27" s="431" t="e">
        <f t="shared" si="10"/>
        <v>#DIV/0!</v>
      </c>
      <c r="AM27" s="308"/>
      <c r="AN27" s="432">
        <f t="shared" si="11"/>
        <v>0</v>
      </c>
      <c r="AO27" s="430">
        <f t="shared" si="12"/>
        <v>0</v>
      </c>
      <c r="AP27" s="430">
        <f t="shared" si="13"/>
        <v>0</v>
      </c>
      <c r="AQ27" s="430">
        <f t="shared" si="14"/>
        <v>0</v>
      </c>
      <c r="AR27" s="433">
        <f t="shared" si="15"/>
        <v>0</v>
      </c>
      <c r="AT27" s="434">
        <f t="shared" si="16"/>
        <v>0</v>
      </c>
      <c r="AU27" s="430">
        <f t="shared" si="17"/>
        <v>0</v>
      </c>
      <c r="AV27" s="1469">
        <f t="shared" si="41"/>
        <v>0</v>
      </c>
      <c r="AW27" s="1469">
        <f t="shared" si="42"/>
        <v>0</v>
      </c>
      <c r="AX27" s="430">
        <f t="shared" si="20"/>
        <v>0</v>
      </c>
      <c r="AY27" s="435">
        <f t="shared" si="21"/>
        <v>0</v>
      </c>
      <c r="AZ27" s="309"/>
      <c r="BA27" s="434">
        <f t="shared" si="22"/>
        <v>0</v>
      </c>
      <c r="BB27" s="430">
        <f t="shared" si="23"/>
        <v>0</v>
      </c>
      <c r="BC27" s="430">
        <f t="shared" si="24"/>
        <v>0</v>
      </c>
      <c r="BD27" s="430">
        <f t="shared" si="25"/>
        <v>0</v>
      </c>
      <c r="BE27" s="435">
        <f t="shared" si="26"/>
        <v>0</v>
      </c>
      <c r="BG27" s="428">
        <f t="shared" si="27"/>
        <v>44927</v>
      </c>
      <c r="BH27" s="428">
        <f t="shared" si="28"/>
        <v>44927</v>
      </c>
      <c r="BI27" s="428">
        <f t="shared" si="29"/>
        <v>44927</v>
      </c>
      <c r="BJ27" s="428">
        <f t="shared" si="39"/>
        <v>0</v>
      </c>
      <c r="BL27" s="432">
        <f t="shared" si="30"/>
        <v>0</v>
      </c>
      <c r="BM27" s="428">
        <f t="shared" si="31"/>
        <v>0</v>
      </c>
      <c r="BN27" s="428">
        <f t="shared" si="32"/>
        <v>0</v>
      </c>
      <c r="BO27" s="436">
        <f t="shared" si="33"/>
        <v>0</v>
      </c>
      <c r="BS27" s="1373"/>
      <c r="BT27" s="450"/>
    </row>
    <row r="28" spans="1:73" ht="45.75" customHeight="1">
      <c r="A28" s="2336"/>
      <c r="B28" s="2336"/>
      <c r="C28" s="2340"/>
      <c r="D28" s="2337"/>
      <c r="E28" s="2338"/>
      <c r="F28" s="2327"/>
      <c r="G28" s="2339" t="str">
        <f t="shared" si="34"/>
        <v/>
      </c>
      <c r="H28" s="451"/>
      <c r="I28" s="2326"/>
      <c r="J28" s="2327"/>
      <c r="K28" s="2328">
        <f t="shared" si="40"/>
        <v>0</v>
      </c>
      <c r="L28" s="2327"/>
      <c r="M28" s="2326"/>
      <c r="N28" s="2329"/>
      <c r="O28" s="2327"/>
      <c r="P28" s="2328">
        <f t="shared" si="36"/>
        <v>0</v>
      </c>
      <c r="Q28" s="2327"/>
      <c r="R28" s="2326"/>
      <c r="S28" s="2329"/>
      <c r="T28" s="2330"/>
      <c r="U28" s="2331">
        <f t="shared" si="0"/>
        <v>0</v>
      </c>
      <c r="V28" s="2332"/>
      <c r="W28" s="2326"/>
      <c r="X28" s="2329"/>
      <c r="Y28" s="2330"/>
      <c r="Z28" s="2333">
        <f t="shared" si="1"/>
        <v>0</v>
      </c>
      <c r="AA28" s="2334">
        <f t="shared" si="37"/>
        <v>0</v>
      </c>
      <c r="AB28" s="2335" t="str">
        <f t="shared" si="2"/>
        <v/>
      </c>
      <c r="AC28" s="201"/>
      <c r="AD28" s="427" t="str">
        <f t="shared" si="38"/>
        <v/>
      </c>
      <c r="AE28" s="428">
        <f t="shared" si="3"/>
        <v>0</v>
      </c>
      <c r="AF28" s="428">
        <f t="shared" si="4"/>
        <v>0</v>
      </c>
      <c r="AG28" s="428">
        <f t="shared" si="5"/>
        <v>0</v>
      </c>
      <c r="AH28" s="428">
        <f t="shared" si="6"/>
        <v>0</v>
      </c>
      <c r="AI28" s="429">
        <f t="shared" si="7"/>
        <v>0</v>
      </c>
      <c r="AJ28" s="430">
        <f t="shared" si="8"/>
        <v>1</v>
      </c>
      <c r="AK28" s="428">
        <f t="shared" si="9"/>
        <v>0</v>
      </c>
      <c r="AL28" s="431" t="e">
        <f t="shared" si="10"/>
        <v>#DIV/0!</v>
      </c>
      <c r="AM28" s="308"/>
      <c r="AN28" s="432">
        <f t="shared" si="11"/>
        <v>0</v>
      </c>
      <c r="AO28" s="430">
        <f t="shared" si="12"/>
        <v>0</v>
      </c>
      <c r="AP28" s="430">
        <f t="shared" si="13"/>
        <v>0</v>
      </c>
      <c r="AQ28" s="430">
        <f t="shared" si="14"/>
        <v>0</v>
      </c>
      <c r="AR28" s="433">
        <f t="shared" si="15"/>
        <v>0</v>
      </c>
      <c r="AT28" s="434">
        <f t="shared" si="16"/>
        <v>0</v>
      </c>
      <c r="AU28" s="430">
        <f t="shared" si="17"/>
        <v>0</v>
      </c>
      <c r="AV28" s="1469">
        <f t="shared" si="41"/>
        <v>0</v>
      </c>
      <c r="AW28" s="1469">
        <f t="shared" si="42"/>
        <v>0</v>
      </c>
      <c r="AX28" s="430">
        <f t="shared" si="20"/>
        <v>0</v>
      </c>
      <c r="AY28" s="435">
        <f t="shared" si="21"/>
        <v>0</v>
      </c>
      <c r="AZ28" s="309"/>
      <c r="BA28" s="434">
        <f t="shared" si="22"/>
        <v>0</v>
      </c>
      <c r="BB28" s="430">
        <f t="shared" si="23"/>
        <v>0</v>
      </c>
      <c r="BC28" s="430">
        <f t="shared" si="24"/>
        <v>0</v>
      </c>
      <c r="BD28" s="430">
        <f t="shared" si="25"/>
        <v>0</v>
      </c>
      <c r="BE28" s="435">
        <f t="shared" si="26"/>
        <v>0</v>
      </c>
      <c r="BG28" s="428">
        <f t="shared" si="27"/>
        <v>44927</v>
      </c>
      <c r="BH28" s="428">
        <f t="shared" si="28"/>
        <v>44927</v>
      </c>
      <c r="BI28" s="428">
        <f t="shared" si="29"/>
        <v>44927</v>
      </c>
      <c r="BJ28" s="428">
        <f t="shared" si="39"/>
        <v>0</v>
      </c>
      <c r="BL28" s="432">
        <f t="shared" si="30"/>
        <v>0</v>
      </c>
      <c r="BM28" s="428">
        <f t="shared" si="31"/>
        <v>0</v>
      </c>
      <c r="BN28" s="428">
        <f t="shared" si="32"/>
        <v>0</v>
      </c>
      <c r="BO28" s="436">
        <f t="shared" si="33"/>
        <v>0</v>
      </c>
      <c r="BS28" s="1373"/>
      <c r="BT28" s="450"/>
    </row>
    <row r="29" spans="1:73" ht="45.75" customHeight="1">
      <c r="A29" s="2336"/>
      <c r="B29" s="2336"/>
      <c r="C29" s="2340"/>
      <c r="D29" s="2337"/>
      <c r="E29" s="2338"/>
      <c r="F29" s="2327"/>
      <c r="G29" s="2339" t="str">
        <f t="shared" si="34"/>
        <v/>
      </c>
      <c r="H29" s="451"/>
      <c r="I29" s="2326"/>
      <c r="J29" s="2327"/>
      <c r="K29" s="2328">
        <f t="shared" si="40"/>
        <v>0</v>
      </c>
      <c r="L29" s="2327"/>
      <c r="M29" s="2326"/>
      <c r="N29" s="2329"/>
      <c r="O29" s="2327"/>
      <c r="P29" s="2328">
        <f t="shared" si="36"/>
        <v>0</v>
      </c>
      <c r="Q29" s="2327"/>
      <c r="R29" s="2326"/>
      <c r="S29" s="2329"/>
      <c r="T29" s="2330"/>
      <c r="U29" s="2331">
        <f t="shared" si="0"/>
        <v>0</v>
      </c>
      <c r="V29" s="2332"/>
      <c r="W29" s="2326"/>
      <c r="X29" s="2329"/>
      <c r="Y29" s="2330"/>
      <c r="Z29" s="2333">
        <f t="shared" si="1"/>
        <v>0</v>
      </c>
      <c r="AA29" s="2334">
        <f t="shared" si="37"/>
        <v>0</v>
      </c>
      <c r="AB29" s="2335" t="str">
        <f t="shared" si="2"/>
        <v/>
      </c>
      <c r="AC29" s="201"/>
      <c r="AD29" s="427" t="str">
        <f t="shared" si="38"/>
        <v/>
      </c>
      <c r="AE29" s="428">
        <f t="shared" si="3"/>
        <v>0</v>
      </c>
      <c r="AF29" s="428">
        <f t="shared" si="4"/>
        <v>0</v>
      </c>
      <c r="AG29" s="428">
        <f t="shared" si="5"/>
        <v>0</v>
      </c>
      <c r="AH29" s="428">
        <f t="shared" si="6"/>
        <v>0</v>
      </c>
      <c r="AI29" s="429">
        <f t="shared" si="7"/>
        <v>0</v>
      </c>
      <c r="AJ29" s="430">
        <f t="shared" si="8"/>
        <v>1</v>
      </c>
      <c r="AK29" s="428">
        <f t="shared" si="9"/>
        <v>0</v>
      </c>
      <c r="AL29" s="431" t="e">
        <f t="shared" si="10"/>
        <v>#DIV/0!</v>
      </c>
      <c r="AM29" s="308"/>
      <c r="AN29" s="432">
        <f t="shared" si="11"/>
        <v>0</v>
      </c>
      <c r="AO29" s="430">
        <f t="shared" si="12"/>
        <v>0</v>
      </c>
      <c r="AP29" s="430">
        <f t="shared" si="13"/>
        <v>0</v>
      </c>
      <c r="AQ29" s="430">
        <f t="shared" si="14"/>
        <v>0</v>
      </c>
      <c r="AR29" s="433">
        <f t="shared" si="15"/>
        <v>0</v>
      </c>
      <c r="AT29" s="434">
        <f t="shared" si="16"/>
        <v>0</v>
      </c>
      <c r="AU29" s="430">
        <f t="shared" si="17"/>
        <v>0</v>
      </c>
      <c r="AV29" s="1469">
        <f t="shared" si="41"/>
        <v>0</v>
      </c>
      <c r="AW29" s="1469">
        <f t="shared" si="42"/>
        <v>0</v>
      </c>
      <c r="AX29" s="430">
        <f t="shared" si="20"/>
        <v>0</v>
      </c>
      <c r="AY29" s="435">
        <f t="shared" si="21"/>
        <v>0</v>
      </c>
      <c r="AZ29" s="309"/>
      <c r="BA29" s="434">
        <f t="shared" si="22"/>
        <v>0</v>
      </c>
      <c r="BB29" s="430">
        <f t="shared" si="23"/>
        <v>0</v>
      </c>
      <c r="BC29" s="430">
        <f t="shared" si="24"/>
        <v>0</v>
      </c>
      <c r="BD29" s="430">
        <f t="shared" si="25"/>
        <v>0</v>
      </c>
      <c r="BE29" s="435">
        <f t="shared" si="26"/>
        <v>0</v>
      </c>
      <c r="BG29" s="428">
        <f t="shared" si="27"/>
        <v>44927</v>
      </c>
      <c r="BH29" s="428">
        <f t="shared" si="28"/>
        <v>44927</v>
      </c>
      <c r="BI29" s="428">
        <f t="shared" si="29"/>
        <v>44927</v>
      </c>
      <c r="BJ29" s="428">
        <f t="shared" si="39"/>
        <v>0</v>
      </c>
      <c r="BL29" s="432">
        <f t="shared" si="30"/>
        <v>0</v>
      </c>
      <c r="BM29" s="428">
        <f t="shared" si="31"/>
        <v>0</v>
      </c>
      <c r="BN29" s="428">
        <f t="shared" si="32"/>
        <v>0</v>
      </c>
      <c r="BO29" s="436">
        <f t="shared" si="33"/>
        <v>0</v>
      </c>
      <c r="BS29" s="1373"/>
    </row>
    <row r="30" spans="1:73" ht="45.75" customHeight="1">
      <c r="A30" s="2336"/>
      <c r="B30" s="2336"/>
      <c r="C30" s="2340"/>
      <c r="D30" s="2337"/>
      <c r="E30" s="2338"/>
      <c r="F30" s="2327"/>
      <c r="G30" s="2339" t="str">
        <f t="shared" si="34"/>
        <v/>
      </c>
      <c r="H30" s="451"/>
      <c r="I30" s="2326"/>
      <c r="J30" s="2327"/>
      <c r="K30" s="2328">
        <f t="shared" si="40"/>
        <v>0</v>
      </c>
      <c r="L30" s="2327"/>
      <c r="M30" s="2326"/>
      <c r="N30" s="2329"/>
      <c r="O30" s="2327"/>
      <c r="P30" s="2328">
        <f t="shared" si="36"/>
        <v>0</v>
      </c>
      <c r="Q30" s="2327"/>
      <c r="R30" s="2326"/>
      <c r="S30" s="2329"/>
      <c r="T30" s="2330"/>
      <c r="U30" s="2331">
        <f t="shared" si="0"/>
        <v>0</v>
      </c>
      <c r="V30" s="2332"/>
      <c r="W30" s="2326"/>
      <c r="X30" s="2329"/>
      <c r="Y30" s="2330"/>
      <c r="Z30" s="2333">
        <f t="shared" si="1"/>
        <v>0</v>
      </c>
      <c r="AA30" s="2334">
        <f t="shared" si="37"/>
        <v>0</v>
      </c>
      <c r="AB30" s="2335" t="str">
        <f t="shared" si="2"/>
        <v/>
      </c>
      <c r="AC30" s="201"/>
      <c r="AD30" s="427" t="str">
        <f t="shared" si="38"/>
        <v/>
      </c>
      <c r="AE30" s="428">
        <f t="shared" si="3"/>
        <v>0</v>
      </c>
      <c r="AF30" s="428">
        <f t="shared" si="4"/>
        <v>0</v>
      </c>
      <c r="AG30" s="428">
        <f t="shared" si="5"/>
        <v>0</v>
      </c>
      <c r="AH30" s="428">
        <f t="shared" si="6"/>
        <v>0</v>
      </c>
      <c r="AI30" s="429">
        <f t="shared" si="7"/>
        <v>0</v>
      </c>
      <c r="AJ30" s="430">
        <f t="shared" si="8"/>
        <v>1</v>
      </c>
      <c r="AK30" s="428">
        <f t="shared" si="9"/>
        <v>0</v>
      </c>
      <c r="AL30" s="431" t="e">
        <f t="shared" si="10"/>
        <v>#DIV/0!</v>
      </c>
      <c r="AM30" s="308"/>
      <c r="AN30" s="432">
        <f t="shared" si="11"/>
        <v>0</v>
      </c>
      <c r="AO30" s="430">
        <f t="shared" si="12"/>
        <v>0</v>
      </c>
      <c r="AP30" s="430">
        <f t="shared" si="13"/>
        <v>0</v>
      </c>
      <c r="AQ30" s="430">
        <f t="shared" si="14"/>
        <v>0</v>
      </c>
      <c r="AR30" s="433">
        <f t="shared" si="15"/>
        <v>0</v>
      </c>
      <c r="AT30" s="434">
        <f t="shared" si="16"/>
        <v>0</v>
      </c>
      <c r="AU30" s="430">
        <f t="shared" si="17"/>
        <v>0</v>
      </c>
      <c r="AV30" s="1469">
        <f t="shared" si="41"/>
        <v>0</v>
      </c>
      <c r="AW30" s="1469">
        <f t="shared" si="42"/>
        <v>0</v>
      </c>
      <c r="AX30" s="430">
        <f t="shared" si="20"/>
        <v>0</v>
      </c>
      <c r="AY30" s="435">
        <f t="shared" si="21"/>
        <v>0</v>
      </c>
      <c r="AZ30" s="309"/>
      <c r="BA30" s="434">
        <f t="shared" si="22"/>
        <v>0</v>
      </c>
      <c r="BB30" s="430">
        <f t="shared" si="23"/>
        <v>0</v>
      </c>
      <c r="BC30" s="430">
        <f t="shared" si="24"/>
        <v>0</v>
      </c>
      <c r="BD30" s="430">
        <f t="shared" si="25"/>
        <v>0</v>
      </c>
      <c r="BE30" s="435">
        <f t="shared" si="26"/>
        <v>0</v>
      </c>
      <c r="BG30" s="428">
        <f t="shared" si="27"/>
        <v>44927</v>
      </c>
      <c r="BH30" s="428">
        <f t="shared" si="28"/>
        <v>44927</v>
      </c>
      <c r="BI30" s="428">
        <f t="shared" si="29"/>
        <v>44927</v>
      </c>
      <c r="BJ30" s="428">
        <f t="shared" si="39"/>
        <v>0</v>
      </c>
      <c r="BL30" s="432">
        <f t="shared" si="30"/>
        <v>0</v>
      </c>
      <c r="BM30" s="428">
        <f t="shared" si="31"/>
        <v>0</v>
      </c>
      <c r="BN30" s="428">
        <f t="shared" si="32"/>
        <v>0</v>
      </c>
      <c r="BO30" s="436">
        <f t="shared" si="33"/>
        <v>0</v>
      </c>
      <c r="BS30" s="1373"/>
    </row>
    <row r="31" spans="1:73" ht="45.75" customHeight="1">
      <c r="A31" s="2336"/>
      <c r="B31" s="2336"/>
      <c r="C31" s="2340"/>
      <c r="D31" s="2337"/>
      <c r="E31" s="2338"/>
      <c r="F31" s="2327"/>
      <c r="G31" s="2339" t="str">
        <f t="shared" si="34"/>
        <v/>
      </c>
      <c r="H31" s="451"/>
      <c r="I31" s="2326"/>
      <c r="J31" s="2327"/>
      <c r="K31" s="2328">
        <f t="shared" si="40"/>
        <v>0</v>
      </c>
      <c r="L31" s="2327"/>
      <c r="M31" s="2326"/>
      <c r="N31" s="2329"/>
      <c r="O31" s="2327"/>
      <c r="P31" s="2328">
        <f t="shared" si="36"/>
        <v>0</v>
      </c>
      <c r="Q31" s="2327"/>
      <c r="R31" s="2326"/>
      <c r="S31" s="2329"/>
      <c r="T31" s="2330"/>
      <c r="U31" s="2331">
        <f t="shared" si="0"/>
        <v>0</v>
      </c>
      <c r="V31" s="2332"/>
      <c r="W31" s="2326"/>
      <c r="X31" s="2329"/>
      <c r="Y31" s="2330"/>
      <c r="Z31" s="2333">
        <f t="shared" si="1"/>
        <v>0</v>
      </c>
      <c r="AA31" s="2334">
        <f t="shared" si="37"/>
        <v>0</v>
      </c>
      <c r="AB31" s="2335" t="str">
        <f t="shared" si="2"/>
        <v/>
      </c>
      <c r="AC31" s="201"/>
      <c r="AD31" s="427" t="str">
        <f t="shared" si="38"/>
        <v/>
      </c>
      <c r="AE31" s="428">
        <f t="shared" si="3"/>
        <v>0</v>
      </c>
      <c r="AF31" s="428">
        <f t="shared" si="4"/>
        <v>0</v>
      </c>
      <c r="AG31" s="428">
        <f t="shared" si="5"/>
        <v>0</v>
      </c>
      <c r="AH31" s="428">
        <f t="shared" si="6"/>
        <v>0</v>
      </c>
      <c r="AI31" s="429">
        <f t="shared" si="7"/>
        <v>0</v>
      </c>
      <c r="AJ31" s="430">
        <f t="shared" si="8"/>
        <v>1</v>
      </c>
      <c r="AK31" s="428">
        <f t="shared" si="9"/>
        <v>0</v>
      </c>
      <c r="AL31" s="431" t="e">
        <f t="shared" si="10"/>
        <v>#DIV/0!</v>
      </c>
      <c r="AM31" s="308"/>
      <c r="AN31" s="432">
        <f t="shared" si="11"/>
        <v>0</v>
      </c>
      <c r="AO31" s="430">
        <f t="shared" si="12"/>
        <v>0</v>
      </c>
      <c r="AP31" s="430">
        <f t="shared" si="13"/>
        <v>0</v>
      </c>
      <c r="AQ31" s="430">
        <f t="shared" si="14"/>
        <v>0</v>
      </c>
      <c r="AR31" s="433">
        <f t="shared" si="15"/>
        <v>0</v>
      </c>
      <c r="AT31" s="434">
        <f t="shared" si="16"/>
        <v>0</v>
      </c>
      <c r="AU31" s="430">
        <f t="shared" si="17"/>
        <v>0</v>
      </c>
      <c r="AV31" s="1469">
        <f t="shared" si="41"/>
        <v>0</v>
      </c>
      <c r="AW31" s="1469">
        <f t="shared" si="42"/>
        <v>0</v>
      </c>
      <c r="AX31" s="430">
        <f t="shared" si="20"/>
        <v>0</v>
      </c>
      <c r="AY31" s="435">
        <f t="shared" si="21"/>
        <v>0</v>
      </c>
      <c r="AZ31" s="309"/>
      <c r="BA31" s="434">
        <f t="shared" si="22"/>
        <v>0</v>
      </c>
      <c r="BB31" s="430">
        <f t="shared" si="23"/>
        <v>0</v>
      </c>
      <c r="BC31" s="430">
        <f t="shared" si="24"/>
        <v>0</v>
      </c>
      <c r="BD31" s="430">
        <f t="shared" si="25"/>
        <v>0</v>
      </c>
      <c r="BE31" s="435">
        <f t="shared" si="26"/>
        <v>0</v>
      </c>
      <c r="BG31" s="428">
        <f t="shared" si="27"/>
        <v>44927</v>
      </c>
      <c r="BH31" s="428">
        <f t="shared" si="28"/>
        <v>44927</v>
      </c>
      <c r="BI31" s="428">
        <f t="shared" si="29"/>
        <v>44927</v>
      </c>
      <c r="BJ31" s="428">
        <f t="shared" si="39"/>
        <v>0</v>
      </c>
      <c r="BL31" s="432">
        <f t="shared" si="30"/>
        <v>0</v>
      </c>
      <c r="BM31" s="428">
        <f t="shared" si="31"/>
        <v>0</v>
      </c>
      <c r="BN31" s="428">
        <f t="shared" si="32"/>
        <v>0</v>
      </c>
      <c r="BO31" s="436">
        <f t="shared" si="33"/>
        <v>0</v>
      </c>
      <c r="BS31" s="1373"/>
    </row>
    <row r="32" spans="1:73" ht="45.75" customHeight="1">
      <c r="A32" s="2336"/>
      <c r="B32" s="2336"/>
      <c r="C32" s="2340"/>
      <c r="D32" s="2337"/>
      <c r="E32" s="2338"/>
      <c r="F32" s="2327"/>
      <c r="G32" s="2339" t="str">
        <f t="shared" si="34"/>
        <v/>
      </c>
      <c r="H32" s="451"/>
      <c r="I32" s="2326"/>
      <c r="J32" s="2327"/>
      <c r="K32" s="2328">
        <f t="shared" si="40"/>
        <v>0</v>
      </c>
      <c r="L32" s="2327"/>
      <c r="M32" s="2326"/>
      <c r="N32" s="2329"/>
      <c r="O32" s="2327"/>
      <c r="P32" s="2328">
        <f t="shared" si="36"/>
        <v>0</v>
      </c>
      <c r="Q32" s="2327"/>
      <c r="R32" s="2326"/>
      <c r="S32" s="2329"/>
      <c r="T32" s="2330"/>
      <c r="U32" s="2331">
        <f t="shared" si="0"/>
        <v>0</v>
      </c>
      <c r="V32" s="2332"/>
      <c r="W32" s="2326"/>
      <c r="X32" s="2329"/>
      <c r="Y32" s="2330"/>
      <c r="Z32" s="2333">
        <f t="shared" si="1"/>
        <v>0</v>
      </c>
      <c r="AA32" s="2334">
        <f t="shared" si="37"/>
        <v>0</v>
      </c>
      <c r="AB32" s="2335" t="str">
        <f t="shared" si="2"/>
        <v/>
      </c>
      <c r="AC32" s="201"/>
      <c r="AD32" s="427" t="str">
        <f t="shared" si="38"/>
        <v/>
      </c>
      <c r="AE32" s="428">
        <f t="shared" si="3"/>
        <v>0</v>
      </c>
      <c r="AF32" s="428">
        <f t="shared" si="4"/>
        <v>0</v>
      </c>
      <c r="AG32" s="428">
        <f t="shared" si="5"/>
        <v>0</v>
      </c>
      <c r="AH32" s="428">
        <f t="shared" si="6"/>
        <v>0</v>
      </c>
      <c r="AI32" s="429">
        <f t="shared" si="7"/>
        <v>0</v>
      </c>
      <c r="AJ32" s="430">
        <f t="shared" si="8"/>
        <v>1</v>
      </c>
      <c r="AK32" s="428">
        <f t="shared" si="9"/>
        <v>0</v>
      </c>
      <c r="AL32" s="431" t="e">
        <f t="shared" si="10"/>
        <v>#DIV/0!</v>
      </c>
      <c r="AM32" s="308"/>
      <c r="AN32" s="432">
        <f t="shared" si="11"/>
        <v>0</v>
      </c>
      <c r="AO32" s="430">
        <f t="shared" si="12"/>
        <v>0</v>
      </c>
      <c r="AP32" s="430">
        <f t="shared" si="13"/>
        <v>0</v>
      </c>
      <c r="AQ32" s="430">
        <f t="shared" si="14"/>
        <v>0</v>
      </c>
      <c r="AR32" s="433">
        <f t="shared" si="15"/>
        <v>0</v>
      </c>
      <c r="AT32" s="434">
        <f t="shared" si="16"/>
        <v>0</v>
      </c>
      <c r="AU32" s="430">
        <f t="shared" si="17"/>
        <v>0</v>
      </c>
      <c r="AV32" s="1469">
        <f t="shared" si="41"/>
        <v>0</v>
      </c>
      <c r="AW32" s="1469">
        <f t="shared" si="42"/>
        <v>0</v>
      </c>
      <c r="AX32" s="430">
        <f t="shared" si="20"/>
        <v>0</v>
      </c>
      <c r="AY32" s="435">
        <f t="shared" si="21"/>
        <v>0</v>
      </c>
      <c r="AZ32" s="309"/>
      <c r="BA32" s="434">
        <f t="shared" si="22"/>
        <v>0</v>
      </c>
      <c r="BB32" s="430">
        <f t="shared" si="23"/>
        <v>0</v>
      </c>
      <c r="BC32" s="430">
        <f t="shared" si="24"/>
        <v>0</v>
      </c>
      <c r="BD32" s="430">
        <f t="shared" si="25"/>
        <v>0</v>
      </c>
      <c r="BE32" s="435">
        <f t="shared" si="26"/>
        <v>0</v>
      </c>
      <c r="BG32" s="428">
        <f t="shared" si="27"/>
        <v>44927</v>
      </c>
      <c r="BH32" s="428">
        <f t="shared" si="28"/>
        <v>44927</v>
      </c>
      <c r="BI32" s="428">
        <f t="shared" si="29"/>
        <v>44927</v>
      </c>
      <c r="BJ32" s="428">
        <f t="shared" si="39"/>
        <v>0</v>
      </c>
      <c r="BL32" s="432">
        <f t="shared" si="30"/>
        <v>0</v>
      </c>
      <c r="BM32" s="428">
        <f t="shared" si="31"/>
        <v>0</v>
      </c>
      <c r="BN32" s="428">
        <f t="shared" si="32"/>
        <v>0</v>
      </c>
      <c r="BO32" s="436">
        <f t="shared" si="33"/>
        <v>0</v>
      </c>
      <c r="BS32" s="1373"/>
    </row>
    <row r="33" spans="1:71" ht="45.75" customHeight="1">
      <c r="A33" s="2336"/>
      <c r="B33" s="2336"/>
      <c r="C33" s="2340"/>
      <c r="D33" s="2337"/>
      <c r="E33" s="2338"/>
      <c r="F33" s="2327"/>
      <c r="G33" s="2339" t="str">
        <f t="shared" si="34"/>
        <v/>
      </c>
      <c r="H33" s="451"/>
      <c r="I33" s="2326"/>
      <c r="J33" s="2327"/>
      <c r="K33" s="2328">
        <f t="shared" si="40"/>
        <v>0</v>
      </c>
      <c r="L33" s="2327"/>
      <c r="M33" s="2326"/>
      <c r="N33" s="2329"/>
      <c r="O33" s="2327"/>
      <c r="P33" s="2328">
        <f t="shared" si="36"/>
        <v>0</v>
      </c>
      <c r="Q33" s="2327"/>
      <c r="R33" s="2326"/>
      <c r="S33" s="2329"/>
      <c r="T33" s="2330"/>
      <c r="U33" s="2331">
        <f t="shared" si="0"/>
        <v>0</v>
      </c>
      <c r="V33" s="2332"/>
      <c r="W33" s="2326"/>
      <c r="X33" s="2329"/>
      <c r="Y33" s="2330"/>
      <c r="Z33" s="2333">
        <f t="shared" si="1"/>
        <v>0</v>
      </c>
      <c r="AA33" s="2334">
        <f t="shared" si="37"/>
        <v>0</v>
      </c>
      <c r="AB33" s="2335" t="str">
        <f t="shared" si="2"/>
        <v/>
      </c>
      <c r="AC33" s="201"/>
      <c r="AD33" s="427" t="str">
        <f t="shared" si="38"/>
        <v/>
      </c>
      <c r="AE33" s="428">
        <f t="shared" si="3"/>
        <v>0</v>
      </c>
      <c r="AF33" s="428">
        <f t="shared" si="4"/>
        <v>0</v>
      </c>
      <c r="AG33" s="428">
        <f t="shared" si="5"/>
        <v>0</v>
      </c>
      <c r="AH33" s="428">
        <f t="shared" si="6"/>
        <v>0</v>
      </c>
      <c r="AI33" s="429">
        <f t="shared" si="7"/>
        <v>0</v>
      </c>
      <c r="AJ33" s="430">
        <f t="shared" si="8"/>
        <v>1</v>
      </c>
      <c r="AK33" s="428">
        <f t="shared" si="9"/>
        <v>0</v>
      </c>
      <c r="AL33" s="431" t="e">
        <f t="shared" si="10"/>
        <v>#DIV/0!</v>
      </c>
      <c r="AM33" s="308"/>
      <c r="AN33" s="432">
        <f t="shared" si="11"/>
        <v>0</v>
      </c>
      <c r="AO33" s="430">
        <f t="shared" si="12"/>
        <v>0</v>
      </c>
      <c r="AP33" s="430">
        <f t="shared" si="13"/>
        <v>0</v>
      </c>
      <c r="AQ33" s="430">
        <f t="shared" si="14"/>
        <v>0</v>
      </c>
      <c r="AR33" s="433">
        <f t="shared" si="15"/>
        <v>0</v>
      </c>
      <c r="AT33" s="434">
        <f t="shared" si="16"/>
        <v>0</v>
      </c>
      <c r="AU33" s="430">
        <f t="shared" si="17"/>
        <v>0</v>
      </c>
      <c r="AV33" s="1469">
        <f t="shared" si="41"/>
        <v>0</v>
      </c>
      <c r="AW33" s="1469">
        <f t="shared" si="42"/>
        <v>0</v>
      </c>
      <c r="AX33" s="430">
        <f t="shared" si="20"/>
        <v>0</v>
      </c>
      <c r="AY33" s="435">
        <f t="shared" si="21"/>
        <v>0</v>
      </c>
      <c r="AZ33" s="309"/>
      <c r="BA33" s="434">
        <f t="shared" si="22"/>
        <v>0</v>
      </c>
      <c r="BB33" s="430">
        <f t="shared" si="23"/>
        <v>0</v>
      </c>
      <c r="BC33" s="430">
        <f t="shared" si="24"/>
        <v>0</v>
      </c>
      <c r="BD33" s="430">
        <f t="shared" si="25"/>
        <v>0</v>
      </c>
      <c r="BE33" s="435">
        <f t="shared" si="26"/>
        <v>0</v>
      </c>
      <c r="BG33" s="428">
        <f t="shared" si="27"/>
        <v>44927</v>
      </c>
      <c r="BH33" s="428">
        <f t="shared" si="28"/>
        <v>44927</v>
      </c>
      <c r="BI33" s="428">
        <f t="shared" si="29"/>
        <v>44927</v>
      </c>
      <c r="BJ33" s="428">
        <f t="shared" si="39"/>
        <v>0</v>
      </c>
      <c r="BL33" s="432">
        <f t="shared" si="30"/>
        <v>0</v>
      </c>
      <c r="BM33" s="428">
        <f t="shared" si="31"/>
        <v>0</v>
      </c>
      <c r="BN33" s="428">
        <f t="shared" si="32"/>
        <v>0</v>
      </c>
      <c r="BO33" s="436">
        <f t="shared" si="33"/>
        <v>0</v>
      </c>
      <c r="BS33" s="1373"/>
    </row>
    <row r="34" spans="1:71" ht="45.75" customHeight="1">
      <c r="A34" s="2336"/>
      <c r="B34" s="2336"/>
      <c r="C34" s="2340"/>
      <c r="D34" s="2337"/>
      <c r="E34" s="2338"/>
      <c r="F34" s="2327"/>
      <c r="G34" s="2339" t="str">
        <f t="shared" si="34"/>
        <v/>
      </c>
      <c r="H34" s="451"/>
      <c r="I34" s="2326"/>
      <c r="J34" s="2327"/>
      <c r="K34" s="2328">
        <f t="shared" si="40"/>
        <v>0</v>
      </c>
      <c r="L34" s="2327"/>
      <c r="M34" s="2326"/>
      <c r="N34" s="2329"/>
      <c r="O34" s="2327"/>
      <c r="P34" s="2328">
        <f t="shared" si="36"/>
        <v>0</v>
      </c>
      <c r="Q34" s="2327"/>
      <c r="R34" s="2326"/>
      <c r="S34" s="2329"/>
      <c r="T34" s="2330"/>
      <c r="U34" s="2331">
        <f t="shared" si="0"/>
        <v>0</v>
      </c>
      <c r="V34" s="2332"/>
      <c r="W34" s="2326"/>
      <c r="X34" s="2329"/>
      <c r="Y34" s="2330"/>
      <c r="Z34" s="2333">
        <f t="shared" si="1"/>
        <v>0</v>
      </c>
      <c r="AA34" s="2334">
        <f t="shared" si="37"/>
        <v>0</v>
      </c>
      <c r="AB34" s="2335" t="str">
        <f t="shared" si="2"/>
        <v/>
      </c>
      <c r="AC34" s="201"/>
      <c r="AD34" s="427" t="str">
        <f t="shared" si="38"/>
        <v/>
      </c>
      <c r="AE34" s="428">
        <f t="shared" si="3"/>
        <v>0</v>
      </c>
      <c r="AF34" s="428">
        <f t="shared" si="4"/>
        <v>0</v>
      </c>
      <c r="AG34" s="428">
        <f t="shared" si="5"/>
        <v>0</v>
      </c>
      <c r="AH34" s="428">
        <f t="shared" si="6"/>
        <v>0</v>
      </c>
      <c r="AI34" s="429">
        <f t="shared" si="7"/>
        <v>0</v>
      </c>
      <c r="AJ34" s="430">
        <f t="shared" si="8"/>
        <v>1</v>
      </c>
      <c r="AK34" s="428">
        <f t="shared" si="9"/>
        <v>0</v>
      </c>
      <c r="AL34" s="431" t="e">
        <f t="shared" si="10"/>
        <v>#DIV/0!</v>
      </c>
      <c r="AM34" s="308"/>
      <c r="AN34" s="432">
        <f t="shared" si="11"/>
        <v>0</v>
      </c>
      <c r="AO34" s="430">
        <f t="shared" si="12"/>
        <v>0</v>
      </c>
      <c r="AP34" s="430">
        <f t="shared" si="13"/>
        <v>0</v>
      </c>
      <c r="AQ34" s="430">
        <f t="shared" si="14"/>
        <v>0</v>
      </c>
      <c r="AR34" s="433">
        <f t="shared" si="15"/>
        <v>0</v>
      </c>
      <c r="AT34" s="434">
        <f t="shared" si="16"/>
        <v>0</v>
      </c>
      <c r="AU34" s="430">
        <f t="shared" si="17"/>
        <v>0</v>
      </c>
      <c r="AV34" s="1469">
        <f t="shared" si="41"/>
        <v>0</v>
      </c>
      <c r="AW34" s="1469">
        <f t="shared" si="42"/>
        <v>0</v>
      </c>
      <c r="AX34" s="430">
        <f t="shared" si="20"/>
        <v>0</v>
      </c>
      <c r="AY34" s="435">
        <f t="shared" si="21"/>
        <v>0</v>
      </c>
      <c r="AZ34" s="309"/>
      <c r="BA34" s="434">
        <f t="shared" si="22"/>
        <v>0</v>
      </c>
      <c r="BB34" s="430">
        <f t="shared" si="23"/>
        <v>0</v>
      </c>
      <c r="BC34" s="430">
        <f t="shared" si="24"/>
        <v>0</v>
      </c>
      <c r="BD34" s="430">
        <f t="shared" si="25"/>
        <v>0</v>
      </c>
      <c r="BE34" s="435">
        <f t="shared" si="26"/>
        <v>0</v>
      </c>
      <c r="BG34" s="428">
        <f t="shared" si="27"/>
        <v>44927</v>
      </c>
      <c r="BH34" s="428">
        <f t="shared" si="28"/>
        <v>44927</v>
      </c>
      <c r="BI34" s="428">
        <f t="shared" si="29"/>
        <v>44927</v>
      </c>
      <c r="BJ34" s="428">
        <f t="shared" si="39"/>
        <v>0</v>
      </c>
      <c r="BL34" s="432">
        <f t="shared" si="30"/>
        <v>0</v>
      </c>
      <c r="BM34" s="428">
        <f t="shared" si="31"/>
        <v>0</v>
      </c>
      <c r="BN34" s="428">
        <f t="shared" si="32"/>
        <v>0</v>
      </c>
      <c r="BO34" s="436">
        <f t="shared" si="33"/>
        <v>0</v>
      </c>
      <c r="BS34" s="1373"/>
    </row>
    <row r="35" spans="1:71" ht="45.75" customHeight="1">
      <c r="A35" s="2336"/>
      <c r="B35" s="2336"/>
      <c r="C35" s="2340"/>
      <c r="D35" s="2337"/>
      <c r="E35" s="2338"/>
      <c r="F35" s="2327"/>
      <c r="G35" s="2339" t="str">
        <f t="shared" si="34"/>
        <v/>
      </c>
      <c r="H35" s="451"/>
      <c r="I35" s="2326"/>
      <c r="J35" s="2327"/>
      <c r="K35" s="2328">
        <f t="shared" si="40"/>
        <v>0</v>
      </c>
      <c r="L35" s="2327"/>
      <c r="M35" s="2326"/>
      <c r="N35" s="2329"/>
      <c r="O35" s="2327"/>
      <c r="P35" s="2328">
        <f t="shared" si="36"/>
        <v>0</v>
      </c>
      <c r="Q35" s="2327"/>
      <c r="R35" s="2326"/>
      <c r="S35" s="2329"/>
      <c r="T35" s="2330"/>
      <c r="U35" s="2331">
        <f t="shared" si="0"/>
        <v>0</v>
      </c>
      <c r="V35" s="2332"/>
      <c r="W35" s="2326"/>
      <c r="X35" s="2329"/>
      <c r="Y35" s="2330"/>
      <c r="Z35" s="2333">
        <f t="shared" si="1"/>
        <v>0</v>
      </c>
      <c r="AA35" s="2334">
        <f t="shared" si="37"/>
        <v>0</v>
      </c>
      <c r="AB35" s="2335" t="str">
        <f t="shared" si="2"/>
        <v/>
      </c>
      <c r="AC35" s="201"/>
      <c r="AD35" s="427" t="str">
        <f t="shared" si="38"/>
        <v/>
      </c>
      <c r="AE35" s="428">
        <f t="shared" si="3"/>
        <v>0</v>
      </c>
      <c r="AF35" s="428">
        <f t="shared" si="4"/>
        <v>0</v>
      </c>
      <c r="AG35" s="428">
        <f t="shared" si="5"/>
        <v>0</v>
      </c>
      <c r="AH35" s="428">
        <f t="shared" si="6"/>
        <v>0</v>
      </c>
      <c r="AI35" s="429">
        <f t="shared" si="7"/>
        <v>0</v>
      </c>
      <c r="AJ35" s="430">
        <f t="shared" si="8"/>
        <v>1</v>
      </c>
      <c r="AK35" s="428">
        <f t="shared" si="9"/>
        <v>0</v>
      </c>
      <c r="AL35" s="431" t="e">
        <f t="shared" si="10"/>
        <v>#DIV/0!</v>
      </c>
      <c r="AM35" s="308"/>
      <c r="AN35" s="432">
        <f t="shared" si="11"/>
        <v>0</v>
      </c>
      <c r="AO35" s="430">
        <f t="shared" si="12"/>
        <v>0</v>
      </c>
      <c r="AP35" s="430">
        <f t="shared" si="13"/>
        <v>0</v>
      </c>
      <c r="AQ35" s="430">
        <f t="shared" si="14"/>
        <v>0</v>
      </c>
      <c r="AR35" s="433">
        <f t="shared" si="15"/>
        <v>0</v>
      </c>
      <c r="AT35" s="434">
        <f t="shared" si="16"/>
        <v>0</v>
      </c>
      <c r="AU35" s="430">
        <f t="shared" si="17"/>
        <v>0</v>
      </c>
      <c r="AV35" s="1469">
        <f t="shared" si="41"/>
        <v>0</v>
      </c>
      <c r="AW35" s="1469">
        <f t="shared" si="42"/>
        <v>0</v>
      </c>
      <c r="AX35" s="430">
        <f t="shared" si="20"/>
        <v>0</v>
      </c>
      <c r="AY35" s="435">
        <f t="shared" si="21"/>
        <v>0</v>
      </c>
      <c r="AZ35" s="309"/>
      <c r="BA35" s="434">
        <f t="shared" si="22"/>
        <v>0</v>
      </c>
      <c r="BB35" s="430">
        <f t="shared" si="23"/>
        <v>0</v>
      </c>
      <c r="BC35" s="430">
        <f t="shared" si="24"/>
        <v>0</v>
      </c>
      <c r="BD35" s="430">
        <f t="shared" si="25"/>
        <v>0</v>
      </c>
      <c r="BE35" s="435">
        <f t="shared" si="26"/>
        <v>0</v>
      </c>
      <c r="BG35" s="428">
        <f t="shared" si="27"/>
        <v>44927</v>
      </c>
      <c r="BH35" s="428">
        <f t="shared" si="28"/>
        <v>44927</v>
      </c>
      <c r="BI35" s="428">
        <f t="shared" si="29"/>
        <v>44927</v>
      </c>
      <c r="BJ35" s="428">
        <f t="shared" si="39"/>
        <v>0</v>
      </c>
      <c r="BL35" s="432">
        <f t="shared" si="30"/>
        <v>0</v>
      </c>
      <c r="BM35" s="428">
        <f t="shared" si="31"/>
        <v>0</v>
      </c>
      <c r="BN35" s="428">
        <f t="shared" si="32"/>
        <v>0</v>
      </c>
      <c r="BO35" s="436">
        <f t="shared" si="33"/>
        <v>0</v>
      </c>
      <c r="BS35" s="1373"/>
    </row>
    <row r="36" spans="1:71" ht="45.75" customHeight="1">
      <c r="A36" s="2336"/>
      <c r="B36" s="2336"/>
      <c r="C36" s="2340"/>
      <c r="D36" s="2337"/>
      <c r="E36" s="2338"/>
      <c r="F36" s="2327"/>
      <c r="G36" s="2339" t="str">
        <f t="shared" si="34"/>
        <v/>
      </c>
      <c r="H36" s="451"/>
      <c r="I36" s="2326"/>
      <c r="J36" s="2327"/>
      <c r="K36" s="2328">
        <f t="shared" si="40"/>
        <v>0</v>
      </c>
      <c r="L36" s="2327"/>
      <c r="M36" s="2326"/>
      <c r="N36" s="2329"/>
      <c r="O36" s="2327"/>
      <c r="P36" s="2328">
        <f t="shared" si="36"/>
        <v>0</v>
      </c>
      <c r="Q36" s="2327"/>
      <c r="R36" s="2326"/>
      <c r="S36" s="2329"/>
      <c r="T36" s="2330"/>
      <c r="U36" s="2331">
        <f t="shared" si="0"/>
        <v>0</v>
      </c>
      <c r="V36" s="2332"/>
      <c r="W36" s="2326"/>
      <c r="X36" s="2329"/>
      <c r="Y36" s="2330"/>
      <c r="Z36" s="2333">
        <f t="shared" si="1"/>
        <v>0</v>
      </c>
      <c r="AA36" s="2334">
        <f t="shared" si="37"/>
        <v>0</v>
      </c>
      <c r="AB36" s="2335" t="str">
        <f t="shared" si="2"/>
        <v/>
      </c>
      <c r="AC36" s="201"/>
      <c r="AD36" s="427" t="str">
        <f t="shared" si="38"/>
        <v/>
      </c>
      <c r="AE36" s="428">
        <f t="shared" si="3"/>
        <v>0</v>
      </c>
      <c r="AF36" s="428">
        <f t="shared" si="4"/>
        <v>0</v>
      </c>
      <c r="AG36" s="428">
        <f t="shared" si="5"/>
        <v>0</v>
      </c>
      <c r="AH36" s="428">
        <f t="shared" si="6"/>
        <v>0</v>
      </c>
      <c r="AI36" s="429">
        <f t="shared" si="7"/>
        <v>0</v>
      </c>
      <c r="AJ36" s="430">
        <f t="shared" si="8"/>
        <v>1</v>
      </c>
      <c r="AK36" s="428">
        <f t="shared" si="9"/>
        <v>0</v>
      </c>
      <c r="AL36" s="431" t="e">
        <f t="shared" si="10"/>
        <v>#DIV/0!</v>
      </c>
      <c r="AM36" s="308"/>
      <c r="AN36" s="432">
        <f t="shared" si="11"/>
        <v>0</v>
      </c>
      <c r="AO36" s="430">
        <f t="shared" si="12"/>
        <v>0</v>
      </c>
      <c r="AP36" s="430">
        <f t="shared" si="13"/>
        <v>0</v>
      </c>
      <c r="AQ36" s="430">
        <f t="shared" si="14"/>
        <v>0</v>
      </c>
      <c r="AR36" s="433">
        <f t="shared" si="15"/>
        <v>0</v>
      </c>
      <c r="AT36" s="434">
        <f t="shared" si="16"/>
        <v>0</v>
      </c>
      <c r="AU36" s="430">
        <f t="shared" si="17"/>
        <v>0</v>
      </c>
      <c r="AV36" s="1469">
        <f t="shared" si="41"/>
        <v>0</v>
      </c>
      <c r="AW36" s="1469">
        <f t="shared" si="42"/>
        <v>0</v>
      </c>
      <c r="AX36" s="430">
        <f t="shared" si="20"/>
        <v>0</v>
      </c>
      <c r="AY36" s="435">
        <f t="shared" si="21"/>
        <v>0</v>
      </c>
      <c r="AZ36" s="309"/>
      <c r="BA36" s="434">
        <f t="shared" si="22"/>
        <v>0</v>
      </c>
      <c r="BB36" s="430">
        <f t="shared" si="23"/>
        <v>0</v>
      </c>
      <c r="BC36" s="430">
        <f t="shared" si="24"/>
        <v>0</v>
      </c>
      <c r="BD36" s="430">
        <f t="shared" si="25"/>
        <v>0</v>
      </c>
      <c r="BE36" s="435">
        <f t="shared" si="26"/>
        <v>0</v>
      </c>
      <c r="BG36" s="428">
        <f t="shared" si="27"/>
        <v>44927</v>
      </c>
      <c r="BH36" s="428">
        <f t="shared" si="28"/>
        <v>44927</v>
      </c>
      <c r="BI36" s="428">
        <f t="shared" si="29"/>
        <v>44927</v>
      </c>
      <c r="BJ36" s="428">
        <f t="shared" si="39"/>
        <v>0</v>
      </c>
      <c r="BL36" s="432">
        <f t="shared" si="30"/>
        <v>0</v>
      </c>
      <c r="BM36" s="428">
        <f t="shared" si="31"/>
        <v>0</v>
      </c>
      <c r="BN36" s="428">
        <f t="shared" si="32"/>
        <v>0</v>
      </c>
      <c r="BO36" s="436">
        <f t="shared" si="33"/>
        <v>0</v>
      </c>
      <c r="BS36" s="1373"/>
    </row>
    <row r="37" spans="1:71" ht="45.75" customHeight="1">
      <c r="A37" s="2336"/>
      <c r="B37" s="2336"/>
      <c r="C37" s="2340"/>
      <c r="D37" s="2337"/>
      <c r="E37" s="2338"/>
      <c r="F37" s="2327"/>
      <c r="G37" s="2339" t="str">
        <f t="shared" si="34"/>
        <v/>
      </c>
      <c r="H37" s="451"/>
      <c r="I37" s="2326"/>
      <c r="J37" s="2327"/>
      <c r="K37" s="2328">
        <f t="shared" si="40"/>
        <v>0</v>
      </c>
      <c r="L37" s="2327"/>
      <c r="M37" s="2326"/>
      <c r="N37" s="2329"/>
      <c r="O37" s="2327"/>
      <c r="P37" s="2328">
        <f t="shared" si="36"/>
        <v>0</v>
      </c>
      <c r="Q37" s="2327"/>
      <c r="R37" s="2326"/>
      <c r="S37" s="2329"/>
      <c r="T37" s="2330"/>
      <c r="U37" s="2331">
        <f t="shared" si="0"/>
        <v>0</v>
      </c>
      <c r="V37" s="2332"/>
      <c r="W37" s="2326"/>
      <c r="X37" s="2329"/>
      <c r="Y37" s="2330"/>
      <c r="Z37" s="2333">
        <f t="shared" si="1"/>
        <v>0</v>
      </c>
      <c r="AA37" s="2334">
        <f t="shared" si="37"/>
        <v>0</v>
      </c>
      <c r="AB37" s="2335" t="str">
        <f t="shared" si="2"/>
        <v/>
      </c>
      <c r="AC37" s="201"/>
      <c r="AD37" s="427" t="str">
        <f t="shared" si="38"/>
        <v/>
      </c>
      <c r="AE37" s="428">
        <f t="shared" si="3"/>
        <v>0</v>
      </c>
      <c r="AF37" s="428">
        <f t="shared" si="4"/>
        <v>0</v>
      </c>
      <c r="AG37" s="428">
        <f t="shared" si="5"/>
        <v>0</v>
      </c>
      <c r="AH37" s="428">
        <f t="shared" si="6"/>
        <v>0</v>
      </c>
      <c r="AI37" s="429">
        <f t="shared" si="7"/>
        <v>0</v>
      </c>
      <c r="AJ37" s="430">
        <f t="shared" si="8"/>
        <v>1</v>
      </c>
      <c r="AK37" s="428">
        <f t="shared" si="9"/>
        <v>0</v>
      </c>
      <c r="AL37" s="431" t="e">
        <f t="shared" si="10"/>
        <v>#DIV/0!</v>
      </c>
      <c r="AM37" s="308"/>
      <c r="AN37" s="432">
        <f t="shared" si="11"/>
        <v>0</v>
      </c>
      <c r="AO37" s="430">
        <f t="shared" si="12"/>
        <v>0</v>
      </c>
      <c r="AP37" s="430">
        <f t="shared" si="13"/>
        <v>0</v>
      </c>
      <c r="AQ37" s="430">
        <f t="shared" si="14"/>
        <v>0</v>
      </c>
      <c r="AR37" s="433">
        <f t="shared" si="15"/>
        <v>0</v>
      </c>
      <c r="AT37" s="434">
        <f t="shared" si="16"/>
        <v>0</v>
      </c>
      <c r="AU37" s="430">
        <f t="shared" si="17"/>
        <v>0</v>
      </c>
      <c r="AV37" s="1469">
        <f t="shared" si="41"/>
        <v>0</v>
      </c>
      <c r="AW37" s="1469">
        <f t="shared" si="42"/>
        <v>0</v>
      </c>
      <c r="AX37" s="430">
        <f t="shared" si="20"/>
        <v>0</v>
      </c>
      <c r="AY37" s="435">
        <f t="shared" si="21"/>
        <v>0</v>
      </c>
      <c r="AZ37" s="309"/>
      <c r="BA37" s="434">
        <f t="shared" si="22"/>
        <v>0</v>
      </c>
      <c r="BB37" s="430">
        <f t="shared" si="23"/>
        <v>0</v>
      </c>
      <c r="BC37" s="430">
        <f t="shared" si="24"/>
        <v>0</v>
      </c>
      <c r="BD37" s="430">
        <f t="shared" si="25"/>
        <v>0</v>
      </c>
      <c r="BE37" s="435">
        <f t="shared" si="26"/>
        <v>0</v>
      </c>
      <c r="BG37" s="428">
        <f t="shared" si="27"/>
        <v>44927</v>
      </c>
      <c r="BH37" s="428">
        <f t="shared" si="28"/>
        <v>44927</v>
      </c>
      <c r="BI37" s="428">
        <f t="shared" si="29"/>
        <v>44927</v>
      </c>
      <c r="BJ37" s="428">
        <f t="shared" si="39"/>
        <v>0</v>
      </c>
      <c r="BL37" s="432">
        <f t="shared" si="30"/>
        <v>0</v>
      </c>
      <c r="BM37" s="428">
        <f t="shared" si="31"/>
        <v>0</v>
      </c>
      <c r="BN37" s="428">
        <f t="shared" si="32"/>
        <v>0</v>
      </c>
      <c r="BO37" s="436">
        <f t="shared" si="33"/>
        <v>0</v>
      </c>
      <c r="BS37" s="1373"/>
    </row>
    <row r="38" spans="1:71" ht="45.75" customHeight="1">
      <c r="A38" s="2336"/>
      <c r="B38" s="2336"/>
      <c r="C38" s="2340"/>
      <c r="D38" s="2337"/>
      <c r="E38" s="2338"/>
      <c r="F38" s="2327"/>
      <c r="G38" s="2339" t="str">
        <f t="shared" si="34"/>
        <v/>
      </c>
      <c r="H38" s="451"/>
      <c r="I38" s="2326"/>
      <c r="J38" s="2327"/>
      <c r="K38" s="2328">
        <f t="shared" si="40"/>
        <v>0</v>
      </c>
      <c r="L38" s="2327"/>
      <c r="M38" s="2326"/>
      <c r="N38" s="2329"/>
      <c r="O38" s="2327"/>
      <c r="P38" s="2328">
        <f t="shared" si="36"/>
        <v>0</v>
      </c>
      <c r="Q38" s="2327"/>
      <c r="R38" s="2326"/>
      <c r="S38" s="2329"/>
      <c r="T38" s="2330"/>
      <c r="U38" s="2331">
        <f t="shared" si="0"/>
        <v>0</v>
      </c>
      <c r="V38" s="2332"/>
      <c r="W38" s="2326"/>
      <c r="X38" s="2329"/>
      <c r="Y38" s="2330"/>
      <c r="Z38" s="2333">
        <f t="shared" si="1"/>
        <v>0</v>
      </c>
      <c r="AA38" s="2334">
        <f t="shared" si="37"/>
        <v>0</v>
      </c>
      <c r="AB38" s="2335" t="str">
        <f t="shared" si="2"/>
        <v/>
      </c>
      <c r="AC38" s="201"/>
      <c r="AD38" s="427" t="str">
        <f t="shared" si="38"/>
        <v/>
      </c>
      <c r="AE38" s="428">
        <f t="shared" si="3"/>
        <v>0</v>
      </c>
      <c r="AF38" s="428">
        <f t="shared" si="4"/>
        <v>0</v>
      </c>
      <c r="AG38" s="428">
        <f t="shared" si="5"/>
        <v>0</v>
      </c>
      <c r="AH38" s="428">
        <f t="shared" si="6"/>
        <v>0</v>
      </c>
      <c r="AI38" s="429">
        <f t="shared" si="7"/>
        <v>0</v>
      </c>
      <c r="AJ38" s="430">
        <f t="shared" si="8"/>
        <v>1</v>
      </c>
      <c r="AK38" s="428">
        <f t="shared" si="9"/>
        <v>0</v>
      </c>
      <c r="AL38" s="431" t="e">
        <f t="shared" si="10"/>
        <v>#DIV/0!</v>
      </c>
      <c r="AM38" s="308"/>
      <c r="AN38" s="432">
        <f t="shared" si="11"/>
        <v>0</v>
      </c>
      <c r="AO38" s="430">
        <f t="shared" si="12"/>
        <v>0</v>
      </c>
      <c r="AP38" s="430">
        <f t="shared" si="13"/>
        <v>0</v>
      </c>
      <c r="AQ38" s="430">
        <f t="shared" si="14"/>
        <v>0</v>
      </c>
      <c r="AR38" s="433">
        <f t="shared" si="15"/>
        <v>0</v>
      </c>
      <c r="AT38" s="434">
        <f t="shared" si="16"/>
        <v>0</v>
      </c>
      <c r="AU38" s="430">
        <f t="shared" si="17"/>
        <v>0</v>
      </c>
      <c r="AV38" s="1469">
        <f t="shared" si="41"/>
        <v>0</v>
      </c>
      <c r="AW38" s="1469">
        <f t="shared" si="42"/>
        <v>0</v>
      </c>
      <c r="AX38" s="430">
        <f t="shared" si="20"/>
        <v>0</v>
      </c>
      <c r="AY38" s="435">
        <f t="shared" si="21"/>
        <v>0</v>
      </c>
      <c r="AZ38" s="309"/>
      <c r="BA38" s="434">
        <f t="shared" si="22"/>
        <v>0</v>
      </c>
      <c r="BB38" s="430">
        <f t="shared" si="23"/>
        <v>0</v>
      </c>
      <c r="BC38" s="430">
        <f t="shared" si="24"/>
        <v>0</v>
      </c>
      <c r="BD38" s="430">
        <f t="shared" si="25"/>
        <v>0</v>
      </c>
      <c r="BE38" s="435">
        <f t="shared" si="26"/>
        <v>0</v>
      </c>
      <c r="BG38" s="428">
        <f t="shared" si="27"/>
        <v>44927</v>
      </c>
      <c r="BH38" s="428">
        <f t="shared" si="28"/>
        <v>44927</v>
      </c>
      <c r="BI38" s="428">
        <f t="shared" si="29"/>
        <v>44927</v>
      </c>
      <c r="BJ38" s="428">
        <f t="shared" si="39"/>
        <v>0</v>
      </c>
      <c r="BL38" s="432">
        <f t="shared" si="30"/>
        <v>0</v>
      </c>
      <c r="BM38" s="428">
        <f t="shared" si="31"/>
        <v>0</v>
      </c>
      <c r="BN38" s="428">
        <f t="shared" si="32"/>
        <v>0</v>
      </c>
      <c r="BO38" s="436">
        <f t="shared" si="33"/>
        <v>0</v>
      </c>
      <c r="BS38" s="1373"/>
    </row>
    <row r="39" spans="1:71" ht="45.75" customHeight="1">
      <c r="A39" s="2336"/>
      <c r="B39" s="2336"/>
      <c r="C39" s="2340"/>
      <c r="D39" s="2337"/>
      <c r="E39" s="2338"/>
      <c r="F39" s="2327"/>
      <c r="G39" s="2339" t="str">
        <f t="shared" si="34"/>
        <v/>
      </c>
      <c r="H39" s="451"/>
      <c r="I39" s="2326"/>
      <c r="J39" s="2327"/>
      <c r="K39" s="2328">
        <f t="shared" si="40"/>
        <v>0</v>
      </c>
      <c r="L39" s="2327"/>
      <c r="M39" s="2326"/>
      <c r="N39" s="2329"/>
      <c r="O39" s="2327"/>
      <c r="P39" s="2328">
        <f t="shared" si="36"/>
        <v>0</v>
      </c>
      <c r="Q39" s="2327"/>
      <c r="R39" s="2326"/>
      <c r="S39" s="2329"/>
      <c r="T39" s="2330"/>
      <c r="U39" s="2331">
        <f t="shared" si="0"/>
        <v>0</v>
      </c>
      <c r="V39" s="2332"/>
      <c r="W39" s="2326"/>
      <c r="X39" s="2329"/>
      <c r="Y39" s="2330"/>
      <c r="Z39" s="2333">
        <f t="shared" si="1"/>
        <v>0</v>
      </c>
      <c r="AA39" s="2334">
        <f t="shared" si="37"/>
        <v>0</v>
      </c>
      <c r="AB39" s="2335" t="str">
        <f t="shared" si="2"/>
        <v/>
      </c>
      <c r="AC39" s="201"/>
      <c r="AD39" s="427" t="str">
        <f t="shared" si="38"/>
        <v/>
      </c>
      <c r="AE39" s="428">
        <f t="shared" si="3"/>
        <v>0</v>
      </c>
      <c r="AF39" s="428">
        <f t="shared" si="4"/>
        <v>0</v>
      </c>
      <c r="AG39" s="428">
        <f t="shared" si="5"/>
        <v>0</v>
      </c>
      <c r="AH39" s="428">
        <f t="shared" si="6"/>
        <v>0</v>
      </c>
      <c r="AI39" s="429">
        <f t="shared" si="7"/>
        <v>0</v>
      </c>
      <c r="AJ39" s="430">
        <f t="shared" si="8"/>
        <v>1</v>
      </c>
      <c r="AK39" s="428">
        <f t="shared" si="9"/>
        <v>0</v>
      </c>
      <c r="AL39" s="431" t="e">
        <f t="shared" si="10"/>
        <v>#DIV/0!</v>
      </c>
      <c r="AM39" s="308"/>
      <c r="AN39" s="432">
        <f t="shared" si="11"/>
        <v>0</v>
      </c>
      <c r="AO39" s="430">
        <f t="shared" si="12"/>
        <v>0</v>
      </c>
      <c r="AP39" s="430">
        <f t="shared" si="13"/>
        <v>0</v>
      </c>
      <c r="AQ39" s="430">
        <f t="shared" si="14"/>
        <v>0</v>
      </c>
      <c r="AR39" s="433">
        <f t="shared" si="15"/>
        <v>0</v>
      </c>
      <c r="AT39" s="434">
        <f t="shared" si="16"/>
        <v>0</v>
      </c>
      <c r="AU39" s="430">
        <f t="shared" si="17"/>
        <v>0</v>
      </c>
      <c r="AV39" s="1469">
        <f t="shared" si="41"/>
        <v>0</v>
      </c>
      <c r="AW39" s="1469">
        <f t="shared" si="42"/>
        <v>0</v>
      </c>
      <c r="AX39" s="430">
        <f t="shared" si="20"/>
        <v>0</v>
      </c>
      <c r="AY39" s="435">
        <f t="shared" si="21"/>
        <v>0</v>
      </c>
      <c r="AZ39" s="309"/>
      <c r="BA39" s="434">
        <f t="shared" si="22"/>
        <v>0</v>
      </c>
      <c r="BB39" s="430">
        <f t="shared" si="23"/>
        <v>0</v>
      </c>
      <c r="BC39" s="430">
        <f t="shared" si="24"/>
        <v>0</v>
      </c>
      <c r="BD39" s="430">
        <f t="shared" si="25"/>
        <v>0</v>
      </c>
      <c r="BE39" s="435">
        <f t="shared" si="26"/>
        <v>0</v>
      </c>
      <c r="BG39" s="428">
        <f t="shared" si="27"/>
        <v>44927</v>
      </c>
      <c r="BH39" s="428">
        <f t="shared" si="28"/>
        <v>44927</v>
      </c>
      <c r="BI39" s="428">
        <f t="shared" si="29"/>
        <v>44927</v>
      </c>
      <c r="BJ39" s="428">
        <f t="shared" si="39"/>
        <v>0</v>
      </c>
      <c r="BL39" s="432">
        <f t="shared" si="30"/>
        <v>0</v>
      </c>
      <c r="BM39" s="428">
        <f t="shared" si="31"/>
        <v>0</v>
      </c>
      <c r="BN39" s="428">
        <f t="shared" si="32"/>
        <v>0</v>
      </c>
      <c r="BO39" s="436">
        <f t="shared" si="33"/>
        <v>0</v>
      </c>
      <c r="BS39" s="1373"/>
    </row>
    <row r="40" spans="1:71" ht="45.75" customHeight="1">
      <c r="A40" s="2336"/>
      <c r="B40" s="2336"/>
      <c r="C40" s="2340"/>
      <c r="D40" s="2337"/>
      <c r="E40" s="2338"/>
      <c r="F40" s="2327"/>
      <c r="G40" s="2339" t="str">
        <f t="shared" si="34"/>
        <v/>
      </c>
      <c r="H40" s="451"/>
      <c r="I40" s="2326"/>
      <c r="J40" s="2327"/>
      <c r="K40" s="2328">
        <f t="shared" si="40"/>
        <v>0</v>
      </c>
      <c r="L40" s="2327"/>
      <c r="M40" s="2326"/>
      <c r="N40" s="2329"/>
      <c r="O40" s="2327"/>
      <c r="P40" s="2328">
        <f t="shared" si="36"/>
        <v>0</v>
      </c>
      <c r="Q40" s="2327"/>
      <c r="R40" s="2326"/>
      <c r="S40" s="2329"/>
      <c r="T40" s="2330"/>
      <c r="U40" s="2331">
        <f t="shared" si="0"/>
        <v>0</v>
      </c>
      <c r="V40" s="2332"/>
      <c r="W40" s="2326"/>
      <c r="X40" s="2329"/>
      <c r="Y40" s="2330"/>
      <c r="Z40" s="2333">
        <f t="shared" si="1"/>
        <v>0</v>
      </c>
      <c r="AA40" s="2334">
        <f t="shared" si="37"/>
        <v>0</v>
      </c>
      <c r="AB40" s="2335" t="str">
        <f t="shared" si="2"/>
        <v/>
      </c>
      <c r="AC40" s="201"/>
      <c r="AD40" s="427" t="str">
        <f t="shared" si="38"/>
        <v/>
      </c>
      <c r="AE40" s="428">
        <f t="shared" si="3"/>
        <v>0</v>
      </c>
      <c r="AF40" s="428">
        <f t="shared" si="4"/>
        <v>0</v>
      </c>
      <c r="AG40" s="428">
        <f t="shared" si="5"/>
        <v>0</v>
      </c>
      <c r="AH40" s="428">
        <f t="shared" si="6"/>
        <v>0</v>
      </c>
      <c r="AI40" s="429">
        <f t="shared" si="7"/>
        <v>0</v>
      </c>
      <c r="AJ40" s="430">
        <f t="shared" si="8"/>
        <v>1</v>
      </c>
      <c r="AK40" s="428">
        <f t="shared" si="9"/>
        <v>0</v>
      </c>
      <c r="AL40" s="431" t="e">
        <f t="shared" si="10"/>
        <v>#DIV/0!</v>
      </c>
      <c r="AM40" s="308"/>
      <c r="AN40" s="432">
        <f t="shared" si="11"/>
        <v>0</v>
      </c>
      <c r="AO40" s="430">
        <f t="shared" si="12"/>
        <v>0</v>
      </c>
      <c r="AP40" s="430">
        <f t="shared" si="13"/>
        <v>0</v>
      </c>
      <c r="AQ40" s="430">
        <f t="shared" si="14"/>
        <v>0</v>
      </c>
      <c r="AR40" s="433">
        <f t="shared" si="15"/>
        <v>0</v>
      </c>
      <c r="AT40" s="434">
        <f t="shared" si="16"/>
        <v>0</v>
      </c>
      <c r="AU40" s="430">
        <f t="shared" si="17"/>
        <v>0</v>
      </c>
      <c r="AV40" s="1469">
        <f t="shared" si="41"/>
        <v>0</v>
      </c>
      <c r="AW40" s="1469">
        <f t="shared" si="42"/>
        <v>0</v>
      </c>
      <c r="AX40" s="430">
        <f t="shared" si="20"/>
        <v>0</v>
      </c>
      <c r="AY40" s="435">
        <f t="shared" si="21"/>
        <v>0</v>
      </c>
      <c r="AZ40" s="309"/>
      <c r="BA40" s="434">
        <f t="shared" si="22"/>
        <v>0</v>
      </c>
      <c r="BB40" s="430">
        <f t="shared" si="23"/>
        <v>0</v>
      </c>
      <c r="BC40" s="430">
        <f t="shared" si="24"/>
        <v>0</v>
      </c>
      <c r="BD40" s="430">
        <f t="shared" si="25"/>
        <v>0</v>
      </c>
      <c r="BE40" s="435">
        <f t="shared" si="26"/>
        <v>0</v>
      </c>
      <c r="BG40" s="428">
        <f t="shared" si="27"/>
        <v>44927</v>
      </c>
      <c r="BH40" s="428">
        <f t="shared" si="28"/>
        <v>44927</v>
      </c>
      <c r="BI40" s="428">
        <f t="shared" si="29"/>
        <v>44927</v>
      </c>
      <c r="BJ40" s="428">
        <f t="shared" si="39"/>
        <v>0</v>
      </c>
      <c r="BL40" s="432">
        <f t="shared" si="30"/>
        <v>0</v>
      </c>
      <c r="BM40" s="428">
        <f t="shared" si="31"/>
        <v>0</v>
      </c>
      <c r="BN40" s="428">
        <f t="shared" si="32"/>
        <v>0</v>
      </c>
      <c r="BO40" s="436">
        <f t="shared" si="33"/>
        <v>0</v>
      </c>
      <c r="BS40" s="1373"/>
    </row>
    <row r="41" spans="1:71" ht="45.75" customHeight="1">
      <c r="A41" s="2336"/>
      <c r="B41" s="2336"/>
      <c r="C41" s="2340"/>
      <c r="D41" s="2337"/>
      <c r="E41" s="2338"/>
      <c r="F41" s="2327"/>
      <c r="G41" s="2339" t="str">
        <f t="shared" si="34"/>
        <v/>
      </c>
      <c r="H41" s="451"/>
      <c r="I41" s="2326"/>
      <c r="J41" s="2327"/>
      <c r="K41" s="2328">
        <f t="shared" ref="K41:K72" si="43">AO41</f>
        <v>0</v>
      </c>
      <c r="L41" s="2327"/>
      <c r="M41" s="2326"/>
      <c r="N41" s="2329"/>
      <c r="O41" s="2327"/>
      <c r="P41" s="2328">
        <f t="shared" ref="P41:P72" si="44">AP41</f>
        <v>0</v>
      </c>
      <c r="Q41" s="2327"/>
      <c r="R41" s="2326"/>
      <c r="S41" s="2329"/>
      <c r="T41" s="2330"/>
      <c r="U41" s="2331">
        <f t="shared" ref="U41:U72" si="45">AQ41</f>
        <v>0</v>
      </c>
      <c r="V41" s="2332"/>
      <c r="W41" s="2326"/>
      <c r="X41" s="2329"/>
      <c r="Y41" s="2330"/>
      <c r="Z41" s="2333">
        <f t="shared" ref="Z41:Z72" si="46">AR41</f>
        <v>0</v>
      </c>
      <c r="AA41" s="2334">
        <f t="shared" si="37"/>
        <v>0</v>
      </c>
      <c r="AB41" s="2335" t="str">
        <f t="shared" ref="AB41:AB72" si="47">AD41</f>
        <v/>
      </c>
      <c r="AC41" s="201"/>
      <c r="AD41" s="427" t="str">
        <f t="shared" si="38"/>
        <v/>
      </c>
      <c r="AE41" s="428">
        <f t="shared" si="3"/>
        <v>0</v>
      </c>
      <c r="AF41" s="428">
        <f t="shared" si="4"/>
        <v>0</v>
      </c>
      <c r="AG41" s="428">
        <f t="shared" si="5"/>
        <v>0</v>
      </c>
      <c r="AH41" s="428">
        <f t="shared" si="6"/>
        <v>0</v>
      </c>
      <c r="AI41" s="429">
        <f t="shared" si="7"/>
        <v>0</v>
      </c>
      <c r="AJ41" s="430">
        <f t="shared" si="8"/>
        <v>1</v>
      </c>
      <c r="AK41" s="428">
        <f t="shared" si="9"/>
        <v>0</v>
      </c>
      <c r="AL41" s="431" t="e">
        <f t="shared" si="10"/>
        <v>#DIV/0!</v>
      </c>
      <c r="AM41" s="308"/>
      <c r="AN41" s="432">
        <f t="shared" si="11"/>
        <v>0</v>
      </c>
      <c r="AO41" s="430">
        <f t="shared" si="12"/>
        <v>0</v>
      </c>
      <c r="AP41" s="430">
        <f t="shared" si="13"/>
        <v>0</v>
      </c>
      <c r="AQ41" s="430">
        <f t="shared" si="14"/>
        <v>0</v>
      </c>
      <c r="AR41" s="433">
        <f t="shared" si="15"/>
        <v>0</v>
      </c>
      <c r="AT41" s="434">
        <f t="shared" si="16"/>
        <v>0</v>
      </c>
      <c r="AU41" s="430">
        <f t="shared" si="17"/>
        <v>0</v>
      </c>
      <c r="AV41" s="1469">
        <f t="shared" si="41"/>
        <v>0</v>
      </c>
      <c r="AW41" s="1469">
        <f t="shared" si="42"/>
        <v>0</v>
      </c>
      <c r="AX41" s="430">
        <f t="shared" si="20"/>
        <v>0</v>
      </c>
      <c r="AY41" s="435">
        <f t="shared" si="21"/>
        <v>0</v>
      </c>
      <c r="AZ41" s="309"/>
      <c r="BA41" s="434">
        <f t="shared" si="22"/>
        <v>0</v>
      </c>
      <c r="BB41" s="430">
        <f t="shared" si="23"/>
        <v>0</v>
      </c>
      <c r="BC41" s="430">
        <f t="shared" si="24"/>
        <v>0</v>
      </c>
      <c r="BD41" s="430">
        <f t="shared" si="25"/>
        <v>0</v>
      </c>
      <c r="BE41" s="435">
        <f t="shared" si="26"/>
        <v>0</v>
      </c>
      <c r="BG41" s="428">
        <f t="shared" si="27"/>
        <v>44927</v>
      </c>
      <c r="BH41" s="428">
        <f t="shared" si="28"/>
        <v>44927</v>
      </c>
      <c r="BI41" s="428">
        <f t="shared" si="29"/>
        <v>44927</v>
      </c>
      <c r="BJ41" s="428">
        <f t="shared" si="39"/>
        <v>0</v>
      </c>
      <c r="BL41" s="432">
        <f t="shared" si="30"/>
        <v>0</v>
      </c>
      <c r="BM41" s="428">
        <f t="shared" si="31"/>
        <v>0</v>
      </c>
      <c r="BN41" s="428">
        <f t="shared" si="32"/>
        <v>0</v>
      </c>
      <c r="BO41" s="436">
        <f t="shared" si="33"/>
        <v>0</v>
      </c>
      <c r="BS41" s="1373"/>
    </row>
    <row r="42" spans="1:71" ht="45.75" customHeight="1">
      <c r="A42" s="2336"/>
      <c r="B42" s="2336"/>
      <c r="C42" s="2340"/>
      <c r="D42" s="2337"/>
      <c r="E42" s="2338"/>
      <c r="F42" s="2327"/>
      <c r="G42" s="2339" t="str">
        <f t="shared" si="34"/>
        <v/>
      </c>
      <c r="H42" s="451"/>
      <c r="I42" s="2326"/>
      <c r="J42" s="2327"/>
      <c r="K42" s="2328">
        <f t="shared" si="43"/>
        <v>0</v>
      </c>
      <c r="L42" s="2327"/>
      <c r="M42" s="2326"/>
      <c r="N42" s="2329"/>
      <c r="O42" s="2327"/>
      <c r="P42" s="2328">
        <f t="shared" si="44"/>
        <v>0</v>
      </c>
      <c r="Q42" s="2327"/>
      <c r="R42" s="2326"/>
      <c r="S42" s="2329"/>
      <c r="T42" s="2330"/>
      <c r="U42" s="2331">
        <f t="shared" si="45"/>
        <v>0</v>
      </c>
      <c r="V42" s="2332"/>
      <c r="W42" s="2326"/>
      <c r="X42" s="2329"/>
      <c r="Y42" s="2330"/>
      <c r="Z42" s="2333">
        <f t="shared" si="46"/>
        <v>0</v>
      </c>
      <c r="AA42" s="2334">
        <f t="shared" si="37"/>
        <v>0</v>
      </c>
      <c r="AB42" s="2335" t="str">
        <f t="shared" si="47"/>
        <v/>
      </c>
      <c r="AC42" s="201"/>
      <c r="AD42" s="427" t="str">
        <f t="shared" si="38"/>
        <v/>
      </c>
      <c r="AE42" s="428">
        <f t="shared" si="3"/>
        <v>0</v>
      </c>
      <c r="AF42" s="428">
        <f t="shared" si="4"/>
        <v>0</v>
      </c>
      <c r="AG42" s="428">
        <f t="shared" si="5"/>
        <v>0</v>
      </c>
      <c r="AH42" s="428">
        <f t="shared" si="6"/>
        <v>0</v>
      </c>
      <c r="AI42" s="429">
        <f t="shared" si="7"/>
        <v>0</v>
      </c>
      <c r="AJ42" s="430">
        <f t="shared" si="8"/>
        <v>1</v>
      </c>
      <c r="AK42" s="428">
        <f t="shared" si="9"/>
        <v>0</v>
      </c>
      <c r="AL42" s="431" t="e">
        <f t="shared" si="10"/>
        <v>#DIV/0!</v>
      </c>
      <c r="AM42" s="308"/>
      <c r="AN42" s="432">
        <f t="shared" si="11"/>
        <v>0</v>
      </c>
      <c r="AO42" s="430">
        <f t="shared" si="12"/>
        <v>0</v>
      </c>
      <c r="AP42" s="430">
        <f t="shared" si="13"/>
        <v>0</v>
      </c>
      <c r="AQ42" s="430">
        <f t="shared" si="14"/>
        <v>0</v>
      </c>
      <c r="AR42" s="433">
        <f t="shared" si="15"/>
        <v>0</v>
      </c>
      <c r="AT42" s="434">
        <f t="shared" si="16"/>
        <v>0</v>
      </c>
      <c r="AU42" s="430">
        <f t="shared" si="17"/>
        <v>0</v>
      </c>
      <c r="AV42" s="1469">
        <f t="shared" si="41"/>
        <v>0</v>
      </c>
      <c r="AW42" s="1469">
        <f t="shared" si="42"/>
        <v>0</v>
      </c>
      <c r="AX42" s="430">
        <f t="shared" si="20"/>
        <v>0</v>
      </c>
      <c r="AY42" s="435">
        <f t="shared" si="21"/>
        <v>0</v>
      </c>
      <c r="AZ42" s="309"/>
      <c r="BA42" s="434">
        <f t="shared" si="22"/>
        <v>0</v>
      </c>
      <c r="BB42" s="430">
        <f t="shared" si="23"/>
        <v>0</v>
      </c>
      <c r="BC42" s="430">
        <f t="shared" si="24"/>
        <v>0</v>
      </c>
      <c r="BD42" s="430">
        <f t="shared" si="25"/>
        <v>0</v>
      </c>
      <c r="BE42" s="435">
        <f t="shared" si="26"/>
        <v>0</v>
      </c>
      <c r="BG42" s="428">
        <f t="shared" si="27"/>
        <v>44927</v>
      </c>
      <c r="BH42" s="428">
        <f t="shared" si="28"/>
        <v>44927</v>
      </c>
      <c r="BI42" s="428">
        <f t="shared" si="29"/>
        <v>44927</v>
      </c>
      <c r="BJ42" s="428">
        <f t="shared" si="39"/>
        <v>0</v>
      </c>
      <c r="BL42" s="432">
        <f t="shared" si="30"/>
        <v>0</v>
      </c>
      <c r="BM42" s="428">
        <f t="shared" si="31"/>
        <v>0</v>
      </c>
      <c r="BN42" s="428">
        <f t="shared" si="32"/>
        <v>0</v>
      </c>
      <c r="BO42" s="436">
        <f t="shared" si="33"/>
        <v>0</v>
      </c>
      <c r="BS42" s="1373"/>
    </row>
    <row r="43" spans="1:71" ht="45.75" customHeight="1">
      <c r="A43" s="2336"/>
      <c r="B43" s="2336"/>
      <c r="C43" s="2340"/>
      <c r="D43" s="2337"/>
      <c r="E43" s="2338"/>
      <c r="F43" s="2327"/>
      <c r="G43" s="2339" t="str">
        <f t="shared" si="34"/>
        <v/>
      </c>
      <c r="H43" s="451"/>
      <c r="I43" s="2326"/>
      <c r="J43" s="2327"/>
      <c r="K43" s="2328">
        <f t="shared" si="43"/>
        <v>0</v>
      </c>
      <c r="L43" s="2327"/>
      <c r="M43" s="2326"/>
      <c r="N43" s="2329"/>
      <c r="O43" s="2327"/>
      <c r="P43" s="2328">
        <f t="shared" si="44"/>
        <v>0</v>
      </c>
      <c r="Q43" s="2327"/>
      <c r="R43" s="2326"/>
      <c r="S43" s="2329"/>
      <c r="T43" s="2330"/>
      <c r="U43" s="2331">
        <f t="shared" si="45"/>
        <v>0</v>
      </c>
      <c r="V43" s="2332"/>
      <c r="W43" s="2326"/>
      <c r="X43" s="2329"/>
      <c r="Y43" s="2330"/>
      <c r="Z43" s="2333">
        <f t="shared" si="46"/>
        <v>0</v>
      </c>
      <c r="AA43" s="2334">
        <f t="shared" si="37"/>
        <v>0</v>
      </c>
      <c r="AB43" s="2335" t="str">
        <f t="shared" si="47"/>
        <v/>
      </c>
      <c r="AC43" s="201"/>
      <c r="AD43" s="427" t="str">
        <f t="shared" si="38"/>
        <v/>
      </c>
      <c r="AE43" s="428">
        <f t="shared" si="3"/>
        <v>0</v>
      </c>
      <c r="AF43" s="428">
        <f t="shared" si="4"/>
        <v>0</v>
      </c>
      <c r="AG43" s="428">
        <f t="shared" si="5"/>
        <v>0</v>
      </c>
      <c r="AH43" s="428">
        <f t="shared" si="6"/>
        <v>0</v>
      </c>
      <c r="AI43" s="429">
        <f t="shared" si="7"/>
        <v>0</v>
      </c>
      <c r="AJ43" s="430">
        <f t="shared" si="8"/>
        <v>1</v>
      </c>
      <c r="AK43" s="428">
        <f t="shared" si="9"/>
        <v>0</v>
      </c>
      <c r="AL43" s="431" t="e">
        <f t="shared" si="10"/>
        <v>#DIV/0!</v>
      </c>
      <c r="AM43" s="308"/>
      <c r="AN43" s="432">
        <f t="shared" si="11"/>
        <v>0</v>
      </c>
      <c r="AO43" s="430">
        <f t="shared" si="12"/>
        <v>0</v>
      </c>
      <c r="AP43" s="430">
        <f t="shared" si="13"/>
        <v>0</v>
      </c>
      <c r="AQ43" s="430">
        <f t="shared" si="14"/>
        <v>0</v>
      </c>
      <c r="AR43" s="433">
        <f t="shared" si="15"/>
        <v>0</v>
      </c>
      <c r="AT43" s="434">
        <f t="shared" si="16"/>
        <v>0</v>
      </c>
      <c r="AU43" s="430">
        <f t="shared" si="17"/>
        <v>0</v>
      </c>
      <c r="AV43" s="1469">
        <f t="shared" si="41"/>
        <v>0</v>
      </c>
      <c r="AW43" s="1469">
        <f t="shared" si="42"/>
        <v>0</v>
      </c>
      <c r="AX43" s="430">
        <f t="shared" si="20"/>
        <v>0</v>
      </c>
      <c r="AY43" s="435">
        <f t="shared" si="21"/>
        <v>0</v>
      </c>
      <c r="AZ43" s="309"/>
      <c r="BA43" s="434">
        <f t="shared" si="22"/>
        <v>0</v>
      </c>
      <c r="BB43" s="430">
        <f t="shared" si="23"/>
        <v>0</v>
      </c>
      <c r="BC43" s="430">
        <f t="shared" si="24"/>
        <v>0</v>
      </c>
      <c r="BD43" s="430">
        <f t="shared" si="25"/>
        <v>0</v>
      </c>
      <c r="BE43" s="435">
        <f t="shared" si="26"/>
        <v>0</v>
      </c>
      <c r="BG43" s="428">
        <f t="shared" si="27"/>
        <v>44927</v>
      </c>
      <c r="BH43" s="428">
        <f t="shared" si="28"/>
        <v>44927</v>
      </c>
      <c r="BI43" s="428">
        <f t="shared" si="29"/>
        <v>44927</v>
      </c>
      <c r="BJ43" s="428">
        <f t="shared" si="39"/>
        <v>0</v>
      </c>
      <c r="BL43" s="432">
        <f t="shared" si="30"/>
        <v>0</v>
      </c>
      <c r="BM43" s="428">
        <f t="shared" si="31"/>
        <v>0</v>
      </c>
      <c r="BN43" s="428">
        <f t="shared" si="32"/>
        <v>0</v>
      </c>
      <c r="BO43" s="436">
        <f t="shared" si="33"/>
        <v>0</v>
      </c>
      <c r="BS43" s="1373"/>
    </row>
    <row r="44" spans="1:71" ht="45.75" customHeight="1">
      <c r="A44" s="2336"/>
      <c r="B44" s="2336"/>
      <c r="C44" s="2340"/>
      <c r="D44" s="2337"/>
      <c r="E44" s="2338"/>
      <c r="F44" s="2327"/>
      <c r="G44" s="2339" t="str">
        <f t="shared" si="34"/>
        <v/>
      </c>
      <c r="H44" s="451"/>
      <c r="I44" s="2326"/>
      <c r="J44" s="2327"/>
      <c r="K44" s="2328">
        <f t="shared" si="43"/>
        <v>0</v>
      </c>
      <c r="L44" s="2327"/>
      <c r="M44" s="2326"/>
      <c r="N44" s="2329"/>
      <c r="O44" s="2327"/>
      <c r="P44" s="2328">
        <f t="shared" si="44"/>
        <v>0</v>
      </c>
      <c r="Q44" s="2327"/>
      <c r="R44" s="2326"/>
      <c r="S44" s="2329"/>
      <c r="T44" s="2330"/>
      <c r="U44" s="2331">
        <f t="shared" si="45"/>
        <v>0</v>
      </c>
      <c r="V44" s="2332"/>
      <c r="W44" s="2326"/>
      <c r="X44" s="2329"/>
      <c r="Y44" s="2330"/>
      <c r="Z44" s="2333">
        <f t="shared" si="46"/>
        <v>0</v>
      </c>
      <c r="AA44" s="2334">
        <f t="shared" si="37"/>
        <v>0</v>
      </c>
      <c r="AB44" s="2335" t="str">
        <f t="shared" si="47"/>
        <v/>
      </c>
      <c r="AC44" s="201"/>
      <c r="AD44" s="427" t="str">
        <f t="shared" si="38"/>
        <v/>
      </c>
      <c r="AE44" s="428">
        <f t="shared" si="3"/>
        <v>0</v>
      </c>
      <c r="AF44" s="428">
        <f t="shared" si="4"/>
        <v>0</v>
      </c>
      <c r="AG44" s="428">
        <f t="shared" si="5"/>
        <v>0</v>
      </c>
      <c r="AH44" s="428">
        <f t="shared" si="6"/>
        <v>0</v>
      </c>
      <c r="AI44" s="429">
        <f t="shared" si="7"/>
        <v>0</v>
      </c>
      <c r="AJ44" s="430">
        <f t="shared" si="8"/>
        <v>1</v>
      </c>
      <c r="AK44" s="428">
        <f t="shared" si="9"/>
        <v>0</v>
      </c>
      <c r="AL44" s="431" t="e">
        <f t="shared" si="10"/>
        <v>#DIV/0!</v>
      </c>
      <c r="AM44" s="308"/>
      <c r="AN44" s="432">
        <f t="shared" si="11"/>
        <v>0</v>
      </c>
      <c r="AO44" s="430">
        <f t="shared" si="12"/>
        <v>0</v>
      </c>
      <c r="AP44" s="430">
        <f t="shared" si="13"/>
        <v>0</v>
      </c>
      <c r="AQ44" s="430">
        <f t="shared" si="14"/>
        <v>0</v>
      </c>
      <c r="AR44" s="433">
        <f t="shared" si="15"/>
        <v>0</v>
      </c>
      <c r="AT44" s="434">
        <f t="shared" si="16"/>
        <v>0</v>
      </c>
      <c r="AU44" s="430">
        <f t="shared" si="17"/>
        <v>0</v>
      </c>
      <c r="AV44" s="1469">
        <f t="shared" si="41"/>
        <v>0</v>
      </c>
      <c r="AW44" s="1469">
        <f t="shared" si="42"/>
        <v>0</v>
      </c>
      <c r="AX44" s="430">
        <f t="shared" si="20"/>
        <v>0</v>
      </c>
      <c r="AY44" s="435">
        <f t="shared" si="21"/>
        <v>0</v>
      </c>
      <c r="AZ44" s="309"/>
      <c r="BA44" s="434">
        <f t="shared" si="22"/>
        <v>0</v>
      </c>
      <c r="BB44" s="430">
        <f t="shared" si="23"/>
        <v>0</v>
      </c>
      <c r="BC44" s="430">
        <f t="shared" si="24"/>
        <v>0</v>
      </c>
      <c r="BD44" s="430">
        <f t="shared" si="25"/>
        <v>0</v>
      </c>
      <c r="BE44" s="435">
        <f t="shared" si="26"/>
        <v>0</v>
      </c>
      <c r="BG44" s="428">
        <f t="shared" si="27"/>
        <v>44927</v>
      </c>
      <c r="BH44" s="428">
        <f t="shared" si="28"/>
        <v>44927</v>
      </c>
      <c r="BI44" s="428">
        <f t="shared" si="29"/>
        <v>44927</v>
      </c>
      <c r="BJ44" s="428">
        <f t="shared" si="39"/>
        <v>0</v>
      </c>
      <c r="BL44" s="432">
        <f t="shared" si="30"/>
        <v>0</v>
      </c>
      <c r="BM44" s="428">
        <f t="shared" si="31"/>
        <v>0</v>
      </c>
      <c r="BN44" s="428">
        <f t="shared" si="32"/>
        <v>0</v>
      </c>
      <c r="BO44" s="436">
        <f t="shared" si="33"/>
        <v>0</v>
      </c>
      <c r="BS44" s="1373"/>
    </row>
    <row r="45" spans="1:71" ht="45.75" customHeight="1">
      <c r="A45" s="2336"/>
      <c r="B45" s="2336"/>
      <c r="C45" s="2340"/>
      <c r="D45" s="2337"/>
      <c r="E45" s="2338"/>
      <c r="F45" s="2327"/>
      <c r="G45" s="2339" t="str">
        <f t="shared" si="34"/>
        <v/>
      </c>
      <c r="H45" s="451"/>
      <c r="I45" s="2326"/>
      <c r="J45" s="2327"/>
      <c r="K45" s="2328">
        <f t="shared" si="43"/>
        <v>0</v>
      </c>
      <c r="L45" s="2327"/>
      <c r="M45" s="2326"/>
      <c r="N45" s="2329"/>
      <c r="O45" s="2327"/>
      <c r="P45" s="2328">
        <f t="shared" si="44"/>
        <v>0</v>
      </c>
      <c r="Q45" s="2327"/>
      <c r="R45" s="2326"/>
      <c r="S45" s="2329"/>
      <c r="T45" s="2330"/>
      <c r="U45" s="2331">
        <f t="shared" si="45"/>
        <v>0</v>
      </c>
      <c r="V45" s="2332"/>
      <c r="W45" s="2326"/>
      <c r="X45" s="2329"/>
      <c r="Y45" s="2330"/>
      <c r="Z45" s="2333">
        <f t="shared" si="46"/>
        <v>0</v>
      </c>
      <c r="AA45" s="2334">
        <f t="shared" si="37"/>
        <v>0</v>
      </c>
      <c r="AB45" s="2335" t="str">
        <f t="shared" si="47"/>
        <v/>
      </c>
      <c r="AC45" s="201"/>
      <c r="AD45" s="427" t="str">
        <f t="shared" si="38"/>
        <v/>
      </c>
      <c r="AE45" s="428">
        <f t="shared" si="3"/>
        <v>0</v>
      </c>
      <c r="AF45" s="428">
        <f t="shared" si="4"/>
        <v>0</v>
      </c>
      <c r="AG45" s="428">
        <f t="shared" si="5"/>
        <v>0</v>
      </c>
      <c r="AH45" s="428">
        <f t="shared" si="6"/>
        <v>0</v>
      </c>
      <c r="AI45" s="429">
        <f t="shared" si="7"/>
        <v>0</v>
      </c>
      <c r="AJ45" s="430">
        <f t="shared" si="8"/>
        <v>1</v>
      </c>
      <c r="AK45" s="428">
        <f t="shared" si="9"/>
        <v>0</v>
      </c>
      <c r="AL45" s="431" t="e">
        <f t="shared" si="10"/>
        <v>#DIV/0!</v>
      </c>
      <c r="AM45" s="308"/>
      <c r="AN45" s="432">
        <f t="shared" si="11"/>
        <v>0</v>
      </c>
      <c r="AO45" s="430">
        <f t="shared" si="12"/>
        <v>0</v>
      </c>
      <c r="AP45" s="430">
        <f t="shared" si="13"/>
        <v>0</v>
      </c>
      <c r="AQ45" s="430">
        <f t="shared" si="14"/>
        <v>0</v>
      </c>
      <c r="AR45" s="433">
        <f t="shared" si="15"/>
        <v>0</v>
      </c>
      <c r="AT45" s="434">
        <f t="shared" si="16"/>
        <v>0</v>
      </c>
      <c r="AU45" s="430">
        <f t="shared" si="17"/>
        <v>0</v>
      </c>
      <c r="AV45" s="1469">
        <f t="shared" si="41"/>
        <v>0</v>
      </c>
      <c r="AW45" s="1469">
        <f t="shared" si="42"/>
        <v>0</v>
      </c>
      <c r="AX45" s="430">
        <f t="shared" si="20"/>
        <v>0</v>
      </c>
      <c r="AY45" s="435">
        <f t="shared" si="21"/>
        <v>0</v>
      </c>
      <c r="AZ45" s="309"/>
      <c r="BA45" s="434">
        <f t="shared" si="22"/>
        <v>0</v>
      </c>
      <c r="BB45" s="430">
        <f t="shared" si="23"/>
        <v>0</v>
      </c>
      <c r="BC45" s="430">
        <f t="shared" si="24"/>
        <v>0</v>
      </c>
      <c r="BD45" s="430">
        <f t="shared" si="25"/>
        <v>0</v>
      </c>
      <c r="BE45" s="435">
        <f t="shared" si="26"/>
        <v>0</v>
      </c>
      <c r="BG45" s="428">
        <f t="shared" si="27"/>
        <v>44927</v>
      </c>
      <c r="BH45" s="428">
        <f t="shared" si="28"/>
        <v>44927</v>
      </c>
      <c r="BI45" s="428">
        <f t="shared" si="29"/>
        <v>44927</v>
      </c>
      <c r="BJ45" s="428">
        <f t="shared" si="39"/>
        <v>0</v>
      </c>
      <c r="BL45" s="432">
        <f t="shared" si="30"/>
        <v>0</v>
      </c>
      <c r="BM45" s="428">
        <f t="shared" si="31"/>
        <v>0</v>
      </c>
      <c r="BN45" s="428">
        <f t="shared" si="32"/>
        <v>0</v>
      </c>
      <c r="BO45" s="436">
        <f t="shared" si="33"/>
        <v>0</v>
      </c>
      <c r="BS45" s="1373"/>
    </row>
    <row r="46" spans="1:71" ht="45.75" customHeight="1">
      <c r="A46" s="2336"/>
      <c r="B46" s="2336"/>
      <c r="C46" s="2340"/>
      <c r="D46" s="2337"/>
      <c r="E46" s="2338"/>
      <c r="F46" s="2327"/>
      <c r="G46" s="2339" t="str">
        <f t="shared" si="34"/>
        <v/>
      </c>
      <c r="H46" s="451"/>
      <c r="I46" s="2326"/>
      <c r="J46" s="2327"/>
      <c r="K46" s="2328">
        <f t="shared" si="43"/>
        <v>0</v>
      </c>
      <c r="L46" s="2327"/>
      <c r="M46" s="2326"/>
      <c r="N46" s="2329"/>
      <c r="O46" s="2327"/>
      <c r="P46" s="2328">
        <f t="shared" si="44"/>
        <v>0</v>
      </c>
      <c r="Q46" s="2327"/>
      <c r="R46" s="2326"/>
      <c r="S46" s="2329"/>
      <c r="T46" s="2330"/>
      <c r="U46" s="2331">
        <f t="shared" si="45"/>
        <v>0</v>
      </c>
      <c r="V46" s="2332"/>
      <c r="W46" s="2326"/>
      <c r="X46" s="2329"/>
      <c r="Y46" s="2330"/>
      <c r="Z46" s="2333">
        <f t="shared" si="46"/>
        <v>0</v>
      </c>
      <c r="AA46" s="2334">
        <f t="shared" si="37"/>
        <v>0</v>
      </c>
      <c r="AB46" s="2335" t="str">
        <f t="shared" si="47"/>
        <v/>
      </c>
      <c r="AC46" s="201"/>
      <c r="AD46" s="427" t="str">
        <f t="shared" si="38"/>
        <v/>
      </c>
      <c r="AE46" s="428">
        <f t="shared" si="3"/>
        <v>0</v>
      </c>
      <c r="AF46" s="428">
        <f t="shared" si="4"/>
        <v>0</v>
      </c>
      <c r="AG46" s="428">
        <f t="shared" si="5"/>
        <v>0</v>
      </c>
      <c r="AH46" s="428">
        <f t="shared" si="6"/>
        <v>0</v>
      </c>
      <c r="AI46" s="429">
        <f t="shared" si="7"/>
        <v>0</v>
      </c>
      <c r="AJ46" s="430">
        <f t="shared" si="8"/>
        <v>1</v>
      </c>
      <c r="AK46" s="428">
        <f t="shared" si="9"/>
        <v>0</v>
      </c>
      <c r="AL46" s="431" t="e">
        <f t="shared" si="10"/>
        <v>#DIV/0!</v>
      </c>
      <c r="AM46" s="308"/>
      <c r="AN46" s="432">
        <f t="shared" si="11"/>
        <v>0</v>
      </c>
      <c r="AO46" s="430">
        <f t="shared" si="12"/>
        <v>0</v>
      </c>
      <c r="AP46" s="430">
        <f t="shared" si="13"/>
        <v>0</v>
      </c>
      <c r="AQ46" s="430">
        <f t="shared" si="14"/>
        <v>0</v>
      </c>
      <c r="AR46" s="433">
        <f t="shared" si="15"/>
        <v>0</v>
      </c>
      <c r="AT46" s="434">
        <f t="shared" si="16"/>
        <v>0</v>
      </c>
      <c r="AU46" s="430">
        <f t="shared" si="17"/>
        <v>0</v>
      </c>
      <c r="AV46" s="1469">
        <f t="shared" si="41"/>
        <v>0</v>
      </c>
      <c r="AW46" s="1469">
        <f t="shared" si="42"/>
        <v>0</v>
      </c>
      <c r="AX46" s="430">
        <f t="shared" si="20"/>
        <v>0</v>
      </c>
      <c r="AY46" s="435">
        <f t="shared" si="21"/>
        <v>0</v>
      </c>
      <c r="AZ46" s="309"/>
      <c r="BA46" s="434">
        <f t="shared" si="22"/>
        <v>0</v>
      </c>
      <c r="BB46" s="430">
        <f t="shared" si="23"/>
        <v>0</v>
      </c>
      <c r="BC46" s="430">
        <f t="shared" si="24"/>
        <v>0</v>
      </c>
      <c r="BD46" s="430">
        <f t="shared" si="25"/>
        <v>0</v>
      </c>
      <c r="BE46" s="435">
        <f t="shared" si="26"/>
        <v>0</v>
      </c>
      <c r="BG46" s="428">
        <f t="shared" si="27"/>
        <v>44927</v>
      </c>
      <c r="BH46" s="428">
        <f t="shared" si="28"/>
        <v>44927</v>
      </c>
      <c r="BI46" s="428">
        <f t="shared" si="29"/>
        <v>44927</v>
      </c>
      <c r="BJ46" s="428">
        <f t="shared" si="39"/>
        <v>0</v>
      </c>
      <c r="BL46" s="432">
        <f t="shared" si="30"/>
        <v>0</v>
      </c>
      <c r="BM46" s="428">
        <f t="shared" si="31"/>
        <v>0</v>
      </c>
      <c r="BN46" s="428">
        <f t="shared" si="32"/>
        <v>0</v>
      </c>
      <c r="BO46" s="436">
        <f t="shared" si="33"/>
        <v>0</v>
      </c>
      <c r="BS46" s="1373"/>
    </row>
    <row r="47" spans="1:71" ht="45.75" customHeight="1">
      <c r="A47" s="2336"/>
      <c r="B47" s="2336"/>
      <c r="C47" s="2340"/>
      <c r="D47" s="2337"/>
      <c r="E47" s="2338"/>
      <c r="F47" s="2327"/>
      <c r="G47" s="2339" t="str">
        <f t="shared" si="34"/>
        <v/>
      </c>
      <c r="H47" s="451"/>
      <c r="I47" s="2326"/>
      <c r="J47" s="2327"/>
      <c r="K47" s="2328">
        <f t="shared" si="43"/>
        <v>0</v>
      </c>
      <c r="L47" s="2327"/>
      <c r="M47" s="2326"/>
      <c r="N47" s="2329"/>
      <c r="O47" s="2327"/>
      <c r="P47" s="2328">
        <f t="shared" si="44"/>
        <v>0</v>
      </c>
      <c r="Q47" s="2327"/>
      <c r="R47" s="2326"/>
      <c r="S47" s="2329"/>
      <c r="T47" s="2330"/>
      <c r="U47" s="2331">
        <f t="shared" si="45"/>
        <v>0</v>
      </c>
      <c r="V47" s="2332"/>
      <c r="W47" s="2326"/>
      <c r="X47" s="2329"/>
      <c r="Y47" s="2330"/>
      <c r="Z47" s="2333">
        <f t="shared" si="46"/>
        <v>0</v>
      </c>
      <c r="AA47" s="2334">
        <f t="shared" si="37"/>
        <v>0</v>
      </c>
      <c r="AB47" s="2335" t="str">
        <f t="shared" si="47"/>
        <v/>
      </c>
      <c r="AC47" s="201"/>
      <c r="AD47" s="427" t="str">
        <f t="shared" si="38"/>
        <v/>
      </c>
      <c r="AE47" s="428">
        <f t="shared" si="3"/>
        <v>0</v>
      </c>
      <c r="AF47" s="428">
        <f t="shared" si="4"/>
        <v>0</v>
      </c>
      <c r="AG47" s="428">
        <f t="shared" si="5"/>
        <v>0</v>
      </c>
      <c r="AH47" s="428">
        <f t="shared" si="6"/>
        <v>0</v>
      </c>
      <c r="AI47" s="429">
        <f t="shared" si="7"/>
        <v>0</v>
      </c>
      <c r="AJ47" s="430">
        <f t="shared" si="8"/>
        <v>1</v>
      </c>
      <c r="AK47" s="428">
        <f t="shared" si="9"/>
        <v>0</v>
      </c>
      <c r="AL47" s="431" t="e">
        <f t="shared" si="10"/>
        <v>#DIV/0!</v>
      </c>
      <c r="AM47" s="308"/>
      <c r="AN47" s="432">
        <f t="shared" si="11"/>
        <v>0</v>
      </c>
      <c r="AO47" s="430">
        <f t="shared" si="12"/>
        <v>0</v>
      </c>
      <c r="AP47" s="430">
        <f t="shared" si="13"/>
        <v>0</v>
      </c>
      <c r="AQ47" s="430">
        <f t="shared" si="14"/>
        <v>0</v>
      </c>
      <c r="AR47" s="433">
        <f t="shared" si="15"/>
        <v>0</v>
      </c>
      <c r="AT47" s="434">
        <f t="shared" si="16"/>
        <v>0</v>
      </c>
      <c r="AU47" s="430">
        <f t="shared" si="17"/>
        <v>0</v>
      </c>
      <c r="AV47" s="1469">
        <f t="shared" si="41"/>
        <v>0</v>
      </c>
      <c r="AW47" s="1469">
        <f t="shared" si="42"/>
        <v>0</v>
      </c>
      <c r="AX47" s="430">
        <f t="shared" si="20"/>
        <v>0</v>
      </c>
      <c r="AY47" s="435">
        <f t="shared" si="21"/>
        <v>0</v>
      </c>
      <c r="AZ47" s="309"/>
      <c r="BA47" s="434">
        <f t="shared" si="22"/>
        <v>0</v>
      </c>
      <c r="BB47" s="430">
        <f t="shared" si="23"/>
        <v>0</v>
      </c>
      <c r="BC47" s="430">
        <f t="shared" si="24"/>
        <v>0</v>
      </c>
      <c r="BD47" s="430">
        <f t="shared" si="25"/>
        <v>0</v>
      </c>
      <c r="BE47" s="435">
        <f t="shared" si="26"/>
        <v>0</v>
      </c>
      <c r="BG47" s="428">
        <f t="shared" si="27"/>
        <v>44927</v>
      </c>
      <c r="BH47" s="428">
        <f t="shared" si="28"/>
        <v>44927</v>
      </c>
      <c r="BI47" s="428">
        <f t="shared" si="29"/>
        <v>44927</v>
      </c>
      <c r="BJ47" s="428">
        <f t="shared" si="39"/>
        <v>0</v>
      </c>
      <c r="BL47" s="432">
        <f t="shared" si="30"/>
        <v>0</v>
      </c>
      <c r="BM47" s="428">
        <f t="shared" si="31"/>
        <v>0</v>
      </c>
      <c r="BN47" s="428">
        <f t="shared" si="32"/>
        <v>0</v>
      </c>
      <c r="BO47" s="436">
        <f t="shared" si="33"/>
        <v>0</v>
      </c>
      <c r="BS47" s="1373"/>
    </row>
    <row r="48" spans="1:71" ht="45.75" customHeight="1">
      <c r="A48" s="2336"/>
      <c r="B48" s="2336"/>
      <c r="C48" s="2340"/>
      <c r="D48" s="2337"/>
      <c r="E48" s="2338"/>
      <c r="F48" s="2327"/>
      <c r="G48" s="2339" t="str">
        <f t="shared" si="34"/>
        <v/>
      </c>
      <c r="H48" s="451"/>
      <c r="I48" s="2326"/>
      <c r="J48" s="2327"/>
      <c r="K48" s="2328">
        <f t="shared" si="43"/>
        <v>0</v>
      </c>
      <c r="L48" s="2327"/>
      <c r="M48" s="2326"/>
      <c r="N48" s="2329"/>
      <c r="O48" s="2327"/>
      <c r="P48" s="2328">
        <f t="shared" si="44"/>
        <v>0</v>
      </c>
      <c r="Q48" s="2327"/>
      <c r="R48" s="2326"/>
      <c r="S48" s="2329"/>
      <c r="T48" s="2330"/>
      <c r="U48" s="2331">
        <f t="shared" si="45"/>
        <v>0</v>
      </c>
      <c r="V48" s="2332"/>
      <c r="W48" s="2326"/>
      <c r="X48" s="2329"/>
      <c r="Y48" s="2330"/>
      <c r="Z48" s="2333">
        <f t="shared" si="46"/>
        <v>0</v>
      </c>
      <c r="AA48" s="2334">
        <f t="shared" si="37"/>
        <v>0</v>
      </c>
      <c r="AB48" s="2335" t="str">
        <f t="shared" si="47"/>
        <v/>
      </c>
      <c r="AC48" s="201"/>
      <c r="AD48" s="427" t="str">
        <f t="shared" si="38"/>
        <v/>
      </c>
      <c r="AE48" s="428">
        <f t="shared" si="3"/>
        <v>0</v>
      </c>
      <c r="AF48" s="428">
        <f t="shared" si="4"/>
        <v>0</v>
      </c>
      <c r="AG48" s="428">
        <f t="shared" si="5"/>
        <v>0</v>
      </c>
      <c r="AH48" s="428">
        <f t="shared" si="6"/>
        <v>0</v>
      </c>
      <c r="AI48" s="429">
        <f t="shared" si="7"/>
        <v>0</v>
      </c>
      <c r="AJ48" s="430">
        <f t="shared" si="8"/>
        <v>1</v>
      </c>
      <c r="AK48" s="428">
        <f t="shared" si="9"/>
        <v>0</v>
      </c>
      <c r="AL48" s="431" t="e">
        <f t="shared" si="10"/>
        <v>#DIV/0!</v>
      </c>
      <c r="AM48" s="308"/>
      <c r="AN48" s="432">
        <f t="shared" si="11"/>
        <v>0</v>
      </c>
      <c r="AO48" s="430">
        <f t="shared" si="12"/>
        <v>0</v>
      </c>
      <c r="AP48" s="430">
        <f t="shared" si="13"/>
        <v>0</v>
      </c>
      <c r="AQ48" s="430">
        <f t="shared" si="14"/>
        <v>0</v>
      </c>
      <c r="AR48" s="433">
        <f t="shared" si="15"/>
        <v>0</v>
      </c>
      <c r="AT48" s="434">
        <f t="shared" si="16"/>
        <v>0</v>
      </c>
      <c r="AU48" s="430">
        <f t="shared" si="17"/>
        <v>0</v>
      </c>
      <c r="AV48" s="1469">
        <f t="shared" si="41"/>
        <v>0</v>
      </c>
      <c r="AW48" s="1469">
        <f t="shared" si="42"/>
        <v>0</v>
      </c>
      <c r="AX48" s="430">
        <f t="shared" si="20"/>
        <v>0</v>
      </c>
      <c r="AY48" s="435">
        <f t="shared" si="21"/>
        <v>0</v>
      </c>
      <c r="AZ48" s="309"/>
      <c r="BA48" s="434">
        <f t="shared" si="22"/>
        <v>0</v>
      </c>
      <c r="BB48" s="430">
        <f t="shared" si="23"/>
        <v>0</v>
      </c>
      <c r="BC48" s="430">
        <f t="shared" si="24"/>
        <v>0</v>
      </c>
      <c r="BD48" s="430">
        <f t="shared" si="25"/>
        <v>0</v>
      </c>
      <c r="BE48" s="435">
        <f t="shared" si="26"/>
        <v>0</v>
      </c>
      <c r="BG48" s="428">
        <f t="shared" si="27"/>
        <v>44927</v>
      </c>
      <c r="BH48" s="428">
        <f t="shared" si="28"/>
        <v>44927</v>
      </c>
      <c r="BI48" s="428">
        <f t="shared" si="29"/>
        <v>44927</v>
      </c>
      <c r="BJ48" s="428">
        <f t="shared" si="39"/>
        <v>0</v>
      </c>
      <c r="BL48" s="432">
        <f t="shared" si="30"/>
        <v>0</v>
      </c>
      <c r="BM48" s="428">
        <f t="shared" si="31"/>
        <v>0</v>
      </c>
      <c r="BN48" s="428">
        <f t="shared" si="32"/>
        <v>0</v>
      </c>
      <c r="BO48" s="436">
        <f t="shared" si="33"/>
        <v>0</v>
      </c>
      <c r="BS48" s="1373"/>
    </row>
    <row r="49" spans="1:71" ht="45.75" customHeight="1">
      <c r="A49" s="2336"/>
      <c r="B49" s="2336"/>
      <c r="C49" s="2340"/>
      <c r="D49" s="2337"/>
      <c r="E49" s="2338"/>
      <c r="F49" s="2327"/>
      <c r="G49" s="2339" t="str">
        <f t="shared" si="34"/>
        <v/>
      </c>
      <c r="H49" s="451"/>
      <c r="I49" s="2326"/>
      <c r="J49" s="2327"/>
      <c r="K49" s="2328">
        <f t="shared" si="43"/>
        <v>0</v>
      </c>
      <c r="L49" s="2327"/>
      <c r="M49" s="2326"/>
      <c r="N49" s="2329"/>
      <c r="O49" s="2327"/>
      <c r="P49" s="2328">
        <f t="shared" si="44"/>
        <v>0</v>
      </c>
      <c r="Q49" s="2327"/>
      <c r="R49" s="2326"/>
      <c r="S49" s="2329"/>
      <c r="T49" s="2330"/>
      <c r="U49" s="2331">
        <f t="shared" si="45"/>
        <v>0</v>
      </c>
      <c r="V49" s="2332"/>
      <c r="W49" s="2326"/>
      <c r="X49" s="2329"/>
      <c r="Y49" s="2330"/>
      <c r="Z49" s="2333">
        <f t="shared" si="46"/>
        <v>0</v>
      </c>
      <c r="AA49" s="2334">
        <f t="shared" si="37"/>
        <v>0</v>
      </c>
      <c r="AB49" s="2335" t="str">
        <f t="shared" si="47"/>
        <v/>
      </c>
      <c r="AC49" s="201"/>
      <c r="AD49" s="427" t="str">
        <f t="shared" si="38"/>
        <v/>
      </c>
      <c r="AE49" s="428">
        <f t="shared" si="3"/>
        <v>0</v>
      </c>
      <c r="AF49" s="428">
        <f t="shared" si="4"/>
        <v>0</v>
      </c>
      <c r="AG49" s="428">
        <f t="shared" si="5"/>
        <v>0</v>
      </c>
      <c r="AH49" s="428">
        <f t="shared" si="6"/>
        <v>0</v>
      </c>
      <c r="AI49" s="429">
        <f t="shared" si="7"/>
        <v>0</v>
      </c>
      <c r="AJ49" s="430">
        <f t="shared" si="8"/>
        <v>1</v>
      </c>
      <c r="AK49" s="428">
        <f t="shared" si="9"/>
        <v>0</v>
      </c>
      <c r="AL49" s="431" t="e">
        <f t="shared" si="10"/>
        <v>#DIV/0!</v>
      </c>
      <c r="AM49" s="308"/>
      <c r="AN49" s="432">
        <f t="shared" si="11"/>
        <v>0</v>
      </c>
      <c r="AO49" s="430">
        <f t="shared" si="12"/>
        <v>0</v>
      </c>
      <c r="AP49" s="430">
        <f t="shared" si="13"/>
        <v>0</v>
      </c>
      <c r="AQ49" s="430">
        <f t="shared" si="14"/>
        <v>0</v>
      </c>
      <c r="AR49" s="433">
        <f t="shared" si="15"/>
        <v>0</v>
      </c>
      <c r="AT49" s="434">
        <f t="shared" si="16"/>
        <v>0</v>
      </c>
      <c r="AU49" s="430">
        <f t="shared" si="17"/>
        <v>0</v>
      </c>
      <c r="AV49" s="1469">
        <f t="shared" si="41"/>
        <v>0</v>
      </c>
      <c r="AW49" s="1469">
        <f t="shared" si="42"/>
        <v>0</v>
      </c>
      <c r="AX49" s="430">
        <f t="shared" si="20"/>
        <v>0</v>
      </c>
      <c r="AY49" s="435">
        <f t="shared" si="21"/>
        <v>0</v>
      </c>
      <c r="AZ49" s="309"/>
      <c r="BA49" s="434">
        <f t="shared" si="22"/>
        <v>0</v>
      </c>
      <c r="BB49" s="430">
        <f t="shared" si="23"/>
        <v>0</v>
      </c>
      <c r="BC49" s="430">
        <f t="shared" si="24"/>
        <v>0</v>
      </c>
      <c r="BD49" s="430">
        <f t="shared" si="25"/>
        <v>0</v>
      </c>
      <c r="BE49" s="435">
        <f t="shared" si="26"/>
        <v>0</v>
      </c>
      <c r="BG49" s="428">
        <f t="shared" si="27"/>
        <v>44927</v>
      </c>
      <c r="BH49" s="428">
        <f t="shared" si="28"/>
        <v>44927</v>
      </c>
      <c r="BI49" s="428">
        <f t="shared" si="29"/>
        <v>44927</v>
      </c>
      <c r="BJ49" s="428">
        <f t="shared" si="39"/>
        <v>0</v>
      </c>
      <c r="BL49" s="432">
        <f t="shared" si="30"/>
        <v>0</v>
      </c>
      <c r="BM49" s="428">
        <f t="shared" si="31"/>
        <v>0</v>
      </c>
      <c r="BN49" s="428">
        <f t="shared" si="32"/>
        <v>0</v>
      </c>
      <c r="BO49" s="436">
        <f t="shared" si="33"/>
        <v>0</v>
      </c>
      <c r="BS49" s="1373"/>
    </row>
    <row r="50" spans="1:71" ht="45.75" customHeight="1">
      <c r="A50" s="2336"/>
      <c r="B50" s="2336"/>
      <c r="C50" s="2340"/>
      <c r="D50" s="2337"/>
      <c r="E50" s="2338"/>
      <c r="F50" s="2327"/>
      <c r="G50" s="2339" t="str">
        <f t="shared" si="34"/>
        <v/>
      </c>
      <c r="H50" s="451"/>
      <c r="I50" s="2326"/>
      <c r="J50" s="2327"/>
      <c r="K50" s="2328">
        <f t="shared" si="43"/>
        <v>0</v>
      </c>
      <c r="L50" s="2327"/>
      <c r="M50" s="2326"/>
      <c r="N50" s="2329"/>
      <c r="O50" s="2327"/>
      <c r="P50" s="2328">
        <f t="shared" si="44"/>
        <v>0</v>
      </c>
      <c r="Q50" s="2327"/>
      <c r="R50" s="2326"/>
      <c r="S50" s="2329"/>
      <c r="T50" s="2330"/>
      <c r="U50" s="2331">
        <f t="shared" si="45"/>
        <v>0</v>
      </c>
      <c r="V50" s="2332"/>
      <c r="W50" s="2326"/>
      <c r="X50" s="2329"/>
      <c r="Y50" s="2330"/>
      <c r="Z50" s="2333">
        <f t="shared" si="46"/>
        <v>0</v>
      </c>
      <c r="AA50" s="2334">
        <f t="shared" si="37"/>
        <v>0</v>
      </c>
      <c r="AB50" s="2335" t="str">
        <f t="shared" si="47"/>
        <v/>
      </c>
      <c r="AC50" s="201"/>
      <c r="AD50" s="427" t="str">
        <f t="shared" si="38"/>
        <v/>
      </c>
      <c r="AE50" s="428">
        <f t="shared" si="3"/>
        <v>0</v>
      </c>
      <c r="AF50" s="428">
        <f t="shared" si="4"/>
        <v>0</v>
      </c>
      <c r="AG50" s="428">
        <f t="shared" si="5"/>
        <v>0</v>
      </c>
      <c r="AH50" s="428">
        <f t="shared" si="6"/>
        <v>0</v>
      </c>
      <c r="AI50" s="429">
        <f t="shared" si="7"/>
        <v>0</v>
      </c>
      <c r="AJ50" s="430">
        <f t="shared" si="8"/>
        <v>1</v>
      </c>
      <c r="AK50" s="428">
        <f t="shared" si="9"/>
        <v>0</v>
      </c>
      <c r="AL50" s="431" t="e">
        <f t="shared" si="10"/>
        <v>#DIV/0!</v>
      </c>
      <c r="AM50" s="308"/>
      <c r="AN50" s="432">
        <f t="shared" si="11"/>
        <v>0</v>
      </c>
      <c r="AO50" s="430">
        <f t="shared" si="12"/>
        <v>0</v>
      </c>
      <c r="AP50" s="430">
        <f t="shared" si="13"/>
        <v>0</v>
      </c>
      <c r="AQ50" s="430">
        <f t="shared" si="14"/>
        <v>0</v>
      </c>
      <c r="AR50" s="433">
        <f t="shared" si="15"/>
        <v>0</v>
      </c>
      <c r="AT50" s="434">
        <f t="shared" si="16"/>
        <v>0</v>
      </c>
      <c r="AU50" s="430">
        <f t="shared" si="17"/>
        <v>0</v>
      </c>
      <c r="AV50" s="1469">
        <f t="shared" si="41"/>
        <v>0</v>
      </c>
      <c r="AW50" s="1469">
        <f t="shared" si="42"/>
        <v>0</v>
      </c>
      <c r="AX50" s="430">
        <f t="shared" si="20"/>
        <v>0</v>
      </c>
      <c r="AY50" s="435">
        <f t="shared" si="21"/>
        <v>0</v>
      </c>
      <c r="AZ50" s="309"/>
      <c r="BA50" s="434">
        <f t="shared" si="22"/>
        <v>0</v>
      </c>
      <c r="BB50" s="430">
        <f t="shared" si="23"/>
        <v>0</v>
      </c>
      <c r="BC50" s="430">
        <f t="shared" si="24"/>
        <v>0</v>
      </c>
      <c r="BD50" s="430">
        <f t="shared" si="25"/>
        <v>0</v>
      </c>
      <c r="BE50" s="435">
        <f t="shared" si="26"/>
        <v>0</v>
      </c>
      <c r="BG50" s="428">
        <f t="shared" si="27"/>
        <v>44927</v>
      </c>
      <c r="BH50" s="428">
        <f t="shared" si="28"/>
        <v>44927</v>
      </c>
      <c r="BI50" s="428">
        <f t="shared" si="29"/>
        <v>44927</v>
      </c>
      <c r="BJ50" s="428">
        <f t="shared" si="39"/>
        <v>0</v>
      </c>
      <c r="BL50" s="432">
        <f t="shared" si="30"/>
        <v>0</v>
      </c>
      <c r="BM50" s="428">
        <f t="shared" si="31"/>
        <v>0</v>
      </c>
      <c r="BN50" s="428">
        <f t="shared" si="32"/>
        <v>0</v>
      </c>
      <c r="BO50" s="436">
        <f t="shared" si="33"/>
        <v>0</v>
      </c>
      <c r="BS50" s="1373"/>
    </row>
    <row r="51" spans="1:71" ht="45.75" customHeight="1">
      <c r="A51" s="2336"/>
      <c r="B51" s="2336"/>
      <c r="C51" s="2340"/>
      <c r="D51" s="2337"/>
      <c r="E51" s="2338"/>
      <c r="F51" s="2327"/>
      <c r="G51" s="2339" t="str">
        <f t="shared" si="34"/>
        <v/>
      </c>
      <c r="H51" s="451"/>
      <c r="I51" s="2326"/>
      <c r="J51" s="2327"/>
      <c r="K51" s="2328">
        <f t="shared" si="43"/>
        <v>0</v>
      </c>
      <c r="L51" s="2327"/>
      <c r="M51" s="2326"/>
      <c r="N51" s="2329"/>
      <c r="O51" s="2327"/>
      <c r="P51" s="2328">
        <f t="shared" si="44"/>
        <v>0</v>
      </c>
      <c r="Q51" s="2327"/>
      <c r="R51" s="2326"/>
      <c r="S51" s="2329"/>
      <c r="T51" s="2330"/>
      <c r="U51" s="2331">
        <f t="shared" si="45"/>
        <v>0</v>
      </c>
      <c r="V51" s="2332"/>
      <c r="W51" s="2326"/>
      <c r="X51" s="2329"/>
      <c r="Y51" s="2330"/>
      <c r="Z51" s="2333">
        <f t="shared" si="46"/>
        <v>0</v>
      </c>
      <c r="AA51" s="2334">
        <f t="shared" si="37"/>
        <v>0</v>
      </c>
      <c r="AB51" s="2335" t="str">
        <f t="shared" si="47"/>
        <v/>
      </c>
      <c r="AC51" s="201"/>
      <c r="AD51" s="427" t="str">
        <f t="shared" si="38"/>
        <v/>
      </c>
      <c r="AE51" s="428">
        <f t="shared" si="3"/>
        <v>0</v>
      </c>
      <c r="AF51" s="428">
        <f t="shared" si="4"/>
        <v>0</v>
      </c>
      <c r="AG51" s="428">
        <f t="shared" si="5"/>
        <v>0</v>
      </c>
      <c r="AH51" s="428">
        <f t="shared" si="6"/>
        <v>0</v>
      </c>
      <c r="AI51" s="429">
        <f t="shared" si="7"/>
        <v>0</v>
      </c>
      <c r="AJ51" s="430">
        <f t="shared" si="8"/>
        <v>1</v>
      </c>
      <c r="AK51" s="428">
        <f t="shared" si="9"/>
        <v>0</v>
      </c>
      <c r="AL51" s="431" t="e">
        <f t="shared" si="10"/>
        <v>#DIV/0!</v>
      </c>
      <c r="AM51" s="308"/>
      <c r="AN51" s="432">
        <f t="shared" si="11"/>
        <v>0</v>
      </c>
      <c r="AO51" s="430">
        <f t="shared" si="12"/>
        <v>0</v>
      </c>
      <c r="AP51" s="430">
        <f t="shared" si="13"/>
        <v>0</v>
      </c>
      <c r="AQ51" s="430">
        <f t="shared" si="14"/>
        <v>0</v>
      </c>
      <c r="AR51" s="433">
        <f t="shared" si="15"/>
        <v>0</v>
      </c>
      <c r="AT51" s="434">
        <f t="shared" si="16"/>
        <v>0</v>
      </c>
      <c r="AU51" s="430">
        <f t="shared" si="17"/>
        <v>0</v>
      </c>
      <c r="AV51" s="1469">
        <f t="shared" si="41"/>
        <v>0</v>
      </c>
      <c r="AW51" s="1469">
        <f t="shared" si="42"/>
        <v>0</v>
      </c>
      <c r="AX51" s="430">
        <f t="shared" si="20"/>
        <v>0</v>
      </c>
      <c r="AY51" s="435">
        <f t="shared" si="21"/>
        <v>0</v>
      </c>
      <c r="AZ51" s="309"/>
      <c r="BA51" s="434">
        <f t="shared" si="22"/>
        <v>0</v>
      </c>
      <c r="BB51" s="430">
        <f t="shared" si="23"/>
        <v>0</v>
      </c>
      <c r="BC51" s="430">
        <f t="shared" si="24"/>
        <v>0</v>
      </c>
      <c r="BD51" s="430">
        <f t="shared" si="25"/>
        <v>0</v>
      </c>
      <c r="BE51" s="435">
        <f t="shared" si="26"/>
        <v>0</v>
      </c>
      <c r="BG51" s="428">
        <f t="shared" si="27"/>
        <v>44927</v>
      </c>
      <c r="BH51" s="428">
        <f t="shared" si="28"/>
        <v>44927</v>
      </c>
      <c r="BI51" s="428">
        <f t="shared" si="29"/>
        <v>44927</v>
      </c>
      <c r="BJ51" s="428">
        <f t="shared" si="39"/>
        <v>0</v>
      </c>
      <c r="BL51" s="432">
        <f t="shared" si="30"/>
        <v>0</v>
      </c>
      <c r="BM51" s="428">
        <f t="shared" si="31"/>
        <v>0</v>
      </c>
      <c r="BN51" s="428">
        <f t="shared" si="32"/>
        <v>0</v>
      </c>
      <c r="BO51" s="436">
        <f t="shared" si="33"/>
        <v>0</v>
      </c>
      <c r="BS51" s="1373"/>
    </row>
    <row r="52" spans="1:71" ht="45.75" customHeight="1">
      <c r="A52" s="2336"/>
      <c r="B52" s="2336"/>
      <c r="C52" s="2340"/>
      <c r="D52" s="2337"/>
      <c r="E52" s="2338"/>
      <c r="F52" s="2327"/>
      <c r="G52" s="2339" t="str">
        <f t="shared" si="34"/>
        <v/>
      </c>
      <c r="H52" s="451"/>
      <c r="I52" s="2326"/>
      <c r="J52" s="2327"/>
      <c r="K52" s="2328">
        <f t="shared" si="43"/>
        <v>0</v>
      </c>
      <c r="L52" s="2327"/>
      <c r="M52" s="2326"/>
      <c r="N52" s="2329"/>
      <c r="O52" s="2327"/>
      <c r="P52" s="2328">
        <f t="shared" si="44"/>
        <v>0</v>
      </c>
      <c r="Q52" s="2327"/>
      <c r="R52" s="2326"/>
      <c r="S52" s="2329"/>
      <c r="T52" s="2330"/>
      <c r="U52" s="2331">
        <f t="shared" si="45"/>
        <v>0</v>
      </c>
      <c r="V52" s="2332"/>
      <c r="W52" s="2326"/>
      <c r="X52" s="2329"/>
      <c r="Y52" s="2330"/>
      <c r="Z52" s="2333">
        <f t="shared" si="46"/>
        <v>0</v>
      </c>
      <c r="AA52" s="2334">
        <f t="shared" si="37"/>
        <v>0</v>
      </c>
      <c r="AB52" s="2335" t="str">
        <f t="shared" si="47"/>
        <v/>
      </c>
      <c r="AC52" s="201"/>
      <c r="AD52" s="427" t="str">
        <f t="shared" si="38"/>
        <v/>
      </c>
      <c r="AE52" s="428">
        <f t="shared" si="3"/>
        <v>0</v>
      </c>
      <c r="AF52" s="428">
        <f t="shared" si="4"/>
        <v>0</v>
      </c>
      <c r="AG52" s="428">
        <f t="shared" si="5"/>
        <v>0</v>
      </c>
      <c r="AH52" s="428">
        <f t="shared" si="6"/>
        <v>0</v>
      </c>
      <c r="AI52" s="429">
        <f t="shared" si="7"/>
        <v>0</v>
      </c>
      <c r="AJ52" s="430">
        <f t="shared" si="8"/>
        <v>1</v>
      </c>
      <c r="AK52" s="428">
        <f t="shared" si="9"/>
        <v>0</v>
      </c>
      <c r="AL52" s="431" t="e">
        <f t="shared" si="10"/>
        <v>#DIV/0!</v>
      </c>
      <c r="AM52" s="308"/>
      <c r="AN52" s="432">
        <f t="shared" si="11"/>
        <v>0</v>
      </c>
      <c r="AO52" s="430">
        <f t="shared" si="12"/>
        <v>0</v>
      </c>
      <c r="AP52" s="430">
        <f t="shared" si="13"/>
        <v>0</v>
      </c>
      <c r="AQ52" s="430">
        <f t="shared" si="14"/>
        <v>0</v>
      </c>
      <c r="AR52" s="433">
        <f t="shared" si="15"/>
        <v>0</v>
      </c>
      <c r="AT52" s="434">
        <f t="shared" si="16"/>
        <v>0</v>
      </c>
      <c r="AU52" s="430">
        <f t="shared" si="17"/>
        <v>0</v>
      </c>
      <c r="AV52" s="1469">
        <f t="shared" si="41"/>
        <v>0</v>
      </c>
      <c r="AW52" s="1469">
        <f t="shared" si="42"/>
        <v>0</v>
      </c>
      <c r="AX52" s="430">
        <f t="shared" si="20"/>
        <v>0</v>
      </c>
      <c r="AY52" s="435">
        <f t="shared" si="21"/>
        <v>0</v>
      </c>
      <c r="AZ52" s="309"/>
      <c r="BA52" s="434">
        <f t="shared" si="22"/>
        <v>0</v>
      </c>
      <c r="BB52" s="430">
        <f t="shared" si="23"/>
        <v>0</v>
      </c>
      <c r="BC52" s="430">
        <f t="shared" si="24"/>
        <v>0</v>
      </c>
      <c r="BD52" s="430">
        <f t="shared" si="25"/>
        <v>0</v>
      </c>
      <c r="BE52" s="435">
        <f t="shared" si="26"/>
        <v>0</v>
      </c>
      <c r="BG52" s="428">
        <f t="shared" si="27"/>
        <v>44927</v>
      </c>
      <c r="BH52" s="428">
        <f t="shared" si="28"/>
        <v>44927</v>
      </c>
      <c r="BI52" s="428">
        <f t="shared" si="29"/>
        <v>44927</v>
      </c>
      <c r="BJ52" s="428">
        <f t="shared" si="39"/>
        <v>0</v>
      </c>
      <c r="BL52" s="432">
        <f t="shared" si="30"/>
        <v>0</v>
      </c>
      <c r="BM52" s="428">
        <f t="shared" si="31"/>
        <v>0</v>
      </c>
      <c r="BN52" s="428">
        <f t="shared" si="32"/>
        <v>0</v>
      </c>
      <c r="BO52" s="436">
        <f t="shared" si="33"/>
        <v>0</v>
      </c>
      <c r="BS52" s="1373"/>
    </row>
    <row r="53" spans="1:71" ht="45.75" customHeight="1">
      <c r="A53" s="2336"/>
      <c r="B53" s="2336"/>
      <c r="C53" s="2340"/>
      <c r="D53" s="2337"/>
      <c r="E53" s="2338"/>
      <c r="F53" s="2327"/>
      <c r="G53" s="2339" t="str">
        <f t="shared" si="34"/>
        <v/>
      </c>
      <c r="H53" s="451"/>
      <c r="I53" s="2326"/>
      <c r="J53" s="2327"/>
      <c r="K53" s="2328">
        <f t="shared" si="43"/>
        <v>0</v>
      </c>
      <c r="L53" s="2327"/>
      <c r="M53" s="2326"/>
      <c r="N53" s="2329"/>
      <c r="O53" s="2327"/>
      <c r="P53" s="2328">
        <f t="shared" si="44"/>
        <v>0</v>
      </c>
      <c r="Q53" s="2327"/>
      <c r="R53" s="2326"/>
      <c r="S53" s="2329"/>
      <c r="T53" s="2330"/>
      <c r="U53" s="2331">
        <f t="shared" si="45"/>
        <v>0</v>
      </c>
      <c r="V53" s="2332"/>
      <c r="W53" s="2326"/>
      <c r="X53" s="2329"/>
      <c r="Y53" s="2330"/>
      <c r="Z53" s="2333">
        <f t="shared" si="46"/>
        <v>0</v>
      </c>
      <c r="AA53" s="2334">
        <f t="shared" si="37"/>
        <v>0</v>
      </c>
      <c r="AB53" s="2335" t="str">
        <f t="shared" si="47"/>
        <v/>
      </c>
      <c r="AC53" s="201"/>
      <c r="AD53" s="427" t="str">
        <f t="shared" si="38"/>
        <v/>
      </c>
      <c r="AE53" s="428">
        <f t="shared" si="3"/>
        <v>0</v>
      </c>
      <c r="AF53" s="428">
        <f t="shared" si="4"/>
        <v>0</v>
      </c>
      <c r="AG53" s="428">
        <f t="shared" si="5"/>
        <v>0</v>
      </c>
      <c r="AH53" s="428">
        <f t="shared" si="6"/>
        <v>0</v>
      </c>
      <c r="AI53" s="429">
        <f t="shared" si="7"/>
        <v>0</v>
      </c>
      <c r="AJ53" s="430">
        <f t="shared" si="8"/>
        <v>1</v>
      </c>
      <c r="AK53" s="428">
        <f t="shared" si="9"/>
        <v>0</v>
      </c>
      <c r="AL53" s="431" t="e">
        <f t="shared" si="10"/>
        <v>#DIV/0!</v>
      </c>
      <c r="AM53" s="308"/>
      <c r="AN53" s="432">
        <f t="shared" si="11"/>
        <v>0</v>
      </c>
      <c r="AO53" s="430">
        <f t="shared" si="12"/>
        <v>0</v>
      </c>
      <c r="AP53" s="430">
        <f t="shared" si="13"/>
        <v>0</v>
      </c>
      <c r="AQ53" s="430">
        <f t="shared" si="14"/>
        <v>0</v>
      </c>
      <c r="AR53" s="433">
        <f t="shared" si="15"/>
        <v>0</v>
      </c>
      <c r="AT53" s="434">
        <f t="shared" si="16"/>
        <v>0</v>
      </c>
      <c r="AU53" s="430">
        <f t="shared" si="17"/>
        <v>0</v>
      </c>
      <c r="AV53" s="1469">
        <f t="shared" si="41"/>
        <v>0</v>
      </c>
      <c r="AW53" s="1469">
        <f t="shared" si="42"/>
        <v>0</v>
      </c>
      <c r="AX53" s="430">
        <f t="shared" si="20"/>
        <v>0</v>
      </c>
      <c r="AY53" s="435">
        <f t="shared" si="21"/>
        <v>0</v>
      </c>
      <c r="AZ53" s="309"/>
      <c r="BA53" s="434">
        <f t="shared" si="22"/>
        <v>0</v>
      </c>
      <c r="BB53" s="430">
        <f t="shared" si="23"/>
        <v>0</v>
      </c>
      <c r="BC53" s="430">
        <f t="shared" si="24"/>
        <v>0</v>
      </c>
      <c r="BD53" s="430">
        <f t="shared" si="25"/>
        <v>0</v>
      </c>
      <c r="BE53" s="435">
        <f t="shared" si="26"/>
        <v>0</v>
      </c>
      <c r="BG53" s="428">
        <f t="shared" si="27"/>
        <v>44927</v>
      </c>
      <c r="BH53" s="428">
        <f t="shared" si="28"/>
        <v>44927</v>
      </c>
      <c r="BI53" s="428">
        <f t="shared" si="29"/>
        <v>44927</v>
      </c>
      <c r="BJ53" s="428">
        <f t="shared" si="39"/>
        <v>0</v>
      </c>
      <c r="BL53" s="432">
        <f t="shared" si="30"/>
        <v>0</v>
      </c>
      <c r="BM53" s="428">
        <f t="shared" si="31"/>
        <v>0</v>
      </c>
      <c r="BN53" s="428">
        <f t="shared" si="32"/>
        <v>0</v>
      </c>
      <c r="BO53" s="436">
        <f t="shared" si="33"/>
        <v>0</v>
      </c>
      <c r="BS53" s="1373"/>
    </row>
    <row r="54" spans="1:71" ht="45.75" customHeight="1">
      <c r="A54" s="2336"/>
      <c r="B54" s="2336"/>
      <c r="C54" s="2340"/>
      <c r="D54" s="2337"/>
      <c r="E54" s="2338"/>
      <c r="F54" s="2327"/>
      <c r="G54" s="2339" t="str">
        <f t="shared" si="34"/>
        <v/>
      </c>
      <c r="H54" s="451"/>
      <c r="I54" s="2326"/>
      <c r="J54" s="2327"/>
      <c r="K54" s="2328">
        <f t="shared" si="43"/>
        <v>0</v>
      </c>
      <c r="L54" s="2327"/>
      <c r="M54" s="2326"/>
      <c r="N54" s="2329"/>
      <c r="O54" s="2327"/>
      <c r="P54" s="2328">
        <f t="shared" si="44"/>
        <v>0</v>
      </c>
      <c r="Q54" s="2327"/>
      <c r="R54" s="2326"/>
      <c r="S54" s="2329"/>
      <c r="T54" s="2330"/>
      <c r="U54" s="2331">
        <f t="shared" si="45"/>
        <v>0</v>
      </c>
      <c r="V54" s="2332"/>
      <c r="W54" s="2326"/>
      <c r="X54" s="2329"/>
      <c r="Y54" s="2330"/>
      <c r="Z54" s="2333">
        <f t="shared" si="46"/>
        <v>0</v>
      </c>
      <c r="AA54" s="2334">
        <f t="shared" si="37"/>
        <v>0</v>
      </c>
      <c r="AB54" s="2335" t="str">
        <f t="shared" si="47"/>
        <v/>
      </c>
      <c r="AC54" s="201"/>
      <c r="AD54" s="427" t="str">
        <f t="shared" si="38"/>
        <v/>
      </c>
      <c r="AE54" s="428">
        <f t="shared" si="3"/>
        <v>0</v>
      </c>
      <c r="AF54" s="428">
        <f t="shared" si="4"/>
        <v>0</v>
      </c>
      <c r="AG54" s="428">
        <f t="shared" si="5"/>
        <v>0</v>
      </c>
      <c r="AH54" s="428">
        <f t="shared" si="6"/>
        <v>0</v>
      </c>
      <c r="AI54" s="429">
        <f t="shared" si="7"/>
        <v>0</v>
      </c>
      <c r="AJ54" s="430">
        <f t="shared" si="8"/>
        <v>1</v>
      </c>
      <c r="AK54" s="428">
        <f t="shared" si="9"/>
        <v>0</v>
      </c>
      <c r="AL54" s="431" t="e">
        <f t="shared" si="10"/>
        <v>#DIV/0!</v>
      </c>
      <c r="AM54" s="308"/>
      <c r="AN54" s="432">
        <f t="shared" si="11"/>
        <v>0</v>
      </c>
      <c r="AO54" s="430">
        <f t="shared" si="12"/>
        <v>0</v>
      </c>
      <c r="AP54" s="430">
        <f t="shared" si="13"/>
        <v>0</v>
      </c>
      <c r="AQ54" s="430">
        <f t="shared" si="14"/>
        <v>0</v>
      </c>
      <c r="AR54" s="433">
        <f t="shared" si="15"/>
        <v>0</v>
      </c>
      <c r="AT54" s="434">
        <f t="shared" si="16"/>
        <v>0</v>
      </c>
      <c r="AU54" s="430">
        <f t="shared" si="17"/>
        <v>0</v>
      </c>
      <c r="AV54" s="1469">
        <f t="shared" si="41"/>
        <v>0</v>
      </c>
      <c r="AW54" s="1469">
        <f t="shared" si="42"/>
        <v>0</v>
      </c>
      <c r="AX54" s="430">
        <f t="shared" si="20"/>
        <v>0</v>
      </c>
      <c r="AY54" s="435">
        <f t="shared" si="21"/>
        <v>0</v>
      </c>
      <c r="AZ54" s="309"/>
      <c r="BA54" s="434">
        <f t="shared" si="22"/>
        <v>0</v>
      </c>
      <c r="BB54" s="430">
        <f t="shared" si="23"/>
        <v>0</v>
      </c>
      <c r="BC54" s="430">
        <f t="shared" si="24"/>
        <v>0</v>
      </c>
      <c r="BD54" s="430">
        <f t="shared" si="25"/>
        <v>0</v>
      </c>
      <c r="BE54" s="435">
        <f t="shared" si="26"/>
        <v>0</v>
      </c>
      <c r="BG54" s="428">
        <f t="shared" si="27"/>
        <v>44927</v>
      </c>
      <c r="BH54" s="428">
        <f t="shared" si="28"/>
        <v>44927</v>
      </c>
      <c r="BI54" s="428">
        <f t="shared" si="29"/>
        <v>44927</v>
      </c>
      <c r="BJ54" s="428">
        <f t="shared" si="39"/>
        <v>0</v>
      </c>
      <c r="BL54" s="432">
        <f t="shared" si="30"/>
        <v>0</v>
      </c>
      <c r="BM54" s="428">
        <f t="shared" si="31"/>
        <v>0</v>
      </c>
      <c r="BN54" s="428">
        <f t="shared" si="32"/>
        <v>0</v>
      </c>
      <c r="BO54" s="436">
        <f t="shared" si="33"/>
        <v>0</v>
      </c>
      <c r="BS54" s="1373"/>
    </row>
    <row r="55" spans="1:71" ht="45.75" customHeight="1">
      <c r="A55" s="2336"/>
      <c r="B55" s="2336"/>
      <c r="C55" s="2340"/>
      <c r="D55" s="2337"/>
      <c r="E55" s="2338"/>
      <c r="F55" s="2327"/>
      <c r="G55" s="2339" t="str">
        <f t="shared" si="34"/>
        <v/>
      </c>
      <c r="H55" s="451"/>
      <c r="I55" s="2326"/>
      <c r="J55" s="2327"/>
      <c r="K55" s="2328">
        <f t="shared" si="43"/>
        <v>0</v>
      </c>
      <c r="L55" s="2327"/>
      <c r="M55" s="2326"/>
      <c r="N55" s="2329"/>
      <c r="O55" s="2327"/>
      <c r="P55" s="2328">
        <f t="shared" si="44"/>
        <v>0</v>
      </c>
      <c r="Q55" s="2327"/>
      <c r="R55" s="2326"/>
      <c r="S55" s="2329"/>
      <c r="T55" s="2330"/>
      <c r="U55" s="2331">
        <f t="shared" si="45"/>
        <v>0</v>
      </c>
      <c r="V55" s="2332"/>
      <c r="W55" s="2326"/>
      <c r="X55" s="2329"/>
      <c r="Y55" s="2330"/>
      <c r="Z55" s="2333">
        <f t="shared" si="46"/>
        <v>0</v>
      </c>
      <c r="AA55" s="2334">
        <f t="shared" si="37"/>
        <v>0</v>
      </c>
      <c r="AB55" s="2335" t="str">
        <f t="shared" si="47"/>
        <v/>
      </c>
      <c r="AC55" s="201"/>
      <c r="AD55" s="427" t="str">
        <f t="shared" si="38"/>
        <v/>
      </c>
      <c r="AE55" s="428">
        <f t="shared" si="3"/>
        <v>0</v>
      </c>
      <c r="AF55" s="428">
        <f t="shared" si="4"/>
        <v>0</v>
      </c>
      <c r="AG55" s="428">
        <f t="shared" si="5"/>
        <v>0</v>
      </c>
      <c r="AH55" s="428">
        <f t="shared" si="6"/>
        <v>0</v>
      </c>
      <c r="AI55" s="429">
        <f t="shared" si="7"/>
        <v>0</v>
      </c>
      <c r="AJ55" s="430">
        <f t="shared" si="8"/>
        <v>1</v>
      </c>
      <c r="AK55" s="428">
        <f t="shared" si="9"/>
        <v>0</v>
      </c>
      <c r="AL55" s="431" t="e">
        <f t="shared" si="10"/>
        <v>#DIV/0!</v>
      </c>
      <c r="AM55" s="308"/>
      <c r="AN55" s="432">
        <f t="shared" si="11"/>
        <v>0</v>
      </c>
      <c r="AO55" s="430">
        <f t="shared" si="12"/>
        <v>0</v>
      </c>
      <c r="AP55" s="430">
        <f t="shared" si="13"/>
        <v>0</v>
      </c>
      <c r="AQ55" s="430">
        <f t="shared" si="14"/>
        <v>0</v>
      </c>
      <c r="AR55" s="433">
        <f t="shared" si="15"/>
        <v>0</v>
      </c>
      <c r="AT55" s="434">
        <f t="shared" si="16"/>
        <v>0</v>
      </c>
      <c r="AU55" s="430">
        <f t="shared" si="17"/>
        <v>0</v>
      </c>
      <c r="AV55" s="1469">
        <f t="shared" si="41"/>
        <v>0</v>
      </c>
      <c r="AW55" s="1469">
        <f t="shared" si="42"/>
        <v>0</v>
      </c>
      <c r="AX55" s="430">
        <f t="shared" si="20"/>
        <v>0</v>
      </c>
      <c r="AY55" s="435">
        <f t="shared" si="21"/>
        <v>0</v>
      </c>
      <c r="AZ55" s="309"/>
      <c r="BA55" s="434">
        <f t="shared" si="22"/>
        <v>0</v>
      </c>
      <c r="BB55" s="430">
        <f t="shared" si="23"/>
        <v>0</v>
      </c>
      <c r="BC55" s="430">
        <f t="shared" si="24"/>
        <v>0</v>
      </c>
      <c r="BD55" s="430">
        <f t="shared" si="25"/>
        <v>0</v>
      </c>
      <c r="BE55" s="435">
        <f t="shared" si="26"/>
        <v>0</v>
      </c>
      <c r="BG55" s="428">
        <f t="shared" si="27"/>
        <v>44927</v>
      </c>
      <c r="BH55" s="428">
        <f t="shared" si="28"/>
        <v>44927</v>
      </c>
      <c r="BI55" s="428">
        <f t="shared" si="29"/>
        <v>44927</v>
      </c>
      <c r="BJ55" s="428">
        <f t="shared" si="39"/>
        <v>0</v>
      </c>
      <c r="BL55" s="432">
        <f t="shared" si="30"/>
        <v>0</v>
      </c>
      <c r="BM55" s="428">
        <f t="shared" si="31"/>
        <v>0</v>
      </c>
      <c r="BN55" s="428">
        <f t="shared" si="32"/>
        <v>0</v>
      </c>
      <c r="BO55" s="436">
        <f t="shared" si="33"/>
        <v>0</v>
      </c>
      <c r="BS55" s="1373"/>
    </row>
    <row r="56" spans="1:71" ht="45.75" customHeight="1">
      <c r="A56" s="2336"/>
      <c r="B56" s="2336"/>
      <c r="C56" s="2340"/>
      <c r="D56" s="2337"/>
      <c r="E56" s="2338"/>
      <c r="F56" s="2327"/>
      <c r="G56" s="2339" t="str">
        <f t="shared" si="34"/>
        <v/>
      </c>
      <c r="H56" s="451"/>
      <c r="I56" s="2326"/>
      <c r="J56" s="2327"/>
      <c r="K56" s="2328">
        <f t="shared" si="43"/>
        <v>0</v>
      </c>
      <c r="L56" s="2327"/>
      <c r="M56" s="2326"/>
      <c r="N56" s="2329"/>
      <c r="O56" s="2327"/>
      <c r="P56" s="2328">
        <f t="shared" si="44"/>
        <v>0</v>
      </c>
      <c r="Q56" s="2327"/>
      <c r="R56" s="2326"/>
      <c r="S56" s="2329"/>
      <c r="T56" s="2330"/>
      <c r="U56" s="2331">
        <f t="shared" si="45"/>
        <v>0</v>
      </c>
      <c r="V56" s="2332"/>
      <c r="W56" s="2326"/>
      <c r="X56" s="2329"/>
      <c r="Y56" s="2330"/>
      <c r="Z56" s="2333">
        <f t="shared" si="46"/>
        <v>0</v>
      </c>
      <c r="AA56" s="2334">
        <f t="shared" si="37"/>
        <v>0</v>
      </c>
      <c r="AB56" s="2335" t="str">
        <f t="shared" si="47"/>
        <v/>
      </c>
      <c r="AC56" s="201"/>
      <c r="AD56" s="427" t="str">
        <f t="shared" si="38"/>
        <v/>
      </c>
      <c r="AE56" s="428">
        <f t="shared" si="3"/>
        <v>0</v>
      </c>
      <c r="AF56" s="428">
        <f t="shared" si="4"/>
        <v>0</v>
      </c>
      <c r="AG56" s="428">
        <f t="shared" si="5"/>
        <v>0</v>
      </c>
      <c r="AH56" s="428">
        <f t="shared" si="6"/>
        <v>0</v>
      </c>
      <c r="AI56" s="429">
        <f t="shared" si="7"/>
        <v>0</v>
      </c>
      <c r="AJ56" s="430">
        <f t="shared" si="8"/>
        <v>1</v>
      </c>
      <c r="AK56" s="428">
        <f t="shared" si="9"/>
        <v>0</v>
      </c>
      <c r="AL56" s="431" t="e">
        <f t="shared" si="10"/>
        <v>#DIV/0!</v>
      </c>
      <c r="AM56" s="308"/>
      <c r="AN56" s="432">
        <f t="shared" si="11"/>
        <v>0</v>
      </c>
      <c r="AO56" s="430">
        <f t="shared" si="12"/>
        <v>0</v>
      </c>
      <c r="AP56" s="430">
        <f t="shared" si="13"/>
        <v>0</v>
      </c>
      <c r="AQ56" s="430">
        <f t="shared" si="14"/>
        <v>0</v>
      </c>
      <c r="AR56" s="433">
        <f t="shared" si="15"/>
        <v>0</v>
      </c>
      <c r="AT56" s="434">
        <f t="shared" si="16"/>
        <v>0</v>
      </c>
      <c r="AU56" s="430">
        <f t="shared" si="17"/>
        <v>0</v>
      </c>
      <c r="AV56" s="1469">
        <f t="shared" si="41"/>
        <v>0</v>
      </c>
      <c r="AW56" s="1469">
        <f t="shared" si="42"/>
        <v>0</v>
      </c>
      <c r="AX56" s="430">
        <f t="shared" si="20"/>
        <v>0</v>
      </c>
      <c r="AY56" s="435">
        <f t="shared" si="21"/>
        <v>0</v>
      </c>
      <c r="AZ56" s="309"/>
      <c r="BA56" s="434">
        <f t="shared" si="22"/>
        <v>0</v>
      </c>
      <c r="BB56" s="430">
        <f t="shared" si="23"/>
        <v>0</v>
      </c>
      <c r="BC56" s="430">
        <f t="shared" si="24"/>
        <v>0</v>
      </c>
      <c r="BD56" s="430">
        <f t="shared" si="25"/>
        <v>0</v>
      </c>
      <c r="BE56" s="435">
        <f t="shared" si="26"/>
        <v>0</v>
      </c>
      <c r="BG56" s="428">
        <f t="shared" si="27"/>
        <v>44927</v>
      </c>
      <c r="BH56" s="428">
        <f t="shared" si="28"/>
        <v>44927</v>
      </c>
      <c r="BI56" s="428">
        <f t="shared" si="29"/>
        <v>44927</v>
      </c>
      <c r="BJ56" s="428">
        <f t="shared" si="39"/>
        <v>0</v>
      </c>
      <c r="BL56" s="432">
        <f t="shared" si="30"/>
        <v>0</v>
      </c>
      <c r="BM56" s="428">
        <f t="shared" si="31"/>
        <v>0</v>
      </c>
      <c r="BN56" s="428">
        <f t="shared" si="32"/>
        <v>0</v>
      </c>
      <c r="BO56" s="436">
        <f t="shared" si="33"/>
        <v>0</v>
      </c>
      <c r="BS56" s="1373"/>
    </row>
    <row r="57" spans="1:71" ht="45.75" customHeight="1">
      <c r="A57" s="2336"/>
      <c r="B57" s="2336"/>
      <c r="C57" s="2340"/>
      <c r="D57" s="2337"/>
      <c r="E57" s="2338"/>
      <c r="F57" s="2327"/>
      <c r="G57" s="2339" t="str">
        <f t="shared" si="34"/>
        <v/>
      </c>
      <c r="H57" s="451"/>
      <c r="I57" s="2326"/>
      <c r="J57" s="2327"/>
      <c r="K57" s="2328">
        <f t="shared" si="43"/>
        <v>0</v>
      </c>
      <c r="L57" s="2327"/>
      <c r="M57" s="2326"/>
      <c r="N57" s="2329"/>
      <c r="O57" s="2327"/>
      <c r="P57" s="2328">
        <f t="shared" si="44"/>
        <v>0</v>
      </c>
      <c r="Q57" s="2327"/>
      <c r="R57" s="2326"/>
      <c r="S57" s="2329"/>
      <c r="T57" s="2330"/>
      <c r="U57" s="2331">
        <f t="shared" si="45"/>
        <v>0</v>
      </c>
      <c r="V57" s="2332"/>
      <c r="W57" s="2326"/>
      <c r="X57" s="2329"/>
      <c r="Y57" s="2330"/>
      <c r="Z57" s="2333">
        <f t="shared" si="46"/>
        <v>0</v>
      </c>
      <c r="AA57" s="2334">
        <f t="shared" si="37"/>
        <v>0</v>
      </c>
      <c r="AB57" s="2335" t="str">
        <f t="shared" si="47"/>
        <v/>
      </c>
      <c r="AC57" s="201"/>
      <c r="AD57" s="427" t="str">
        <f t="shared" si="38"/>
        <v/>
      </c>
      <c r="AE57" s="428">
        <f t="shared" si="3"/>
        <v>0</v>
      </c>
      <c r="AF57" s="428">
        <f t="shared" si="4"/>
        <v>0</v>
      </c>
      <c r="AG57" s="428">
        <f t="shared" si="5"/>
        <v>0</v>
      </c>
      <c r="AH57" s="428">
        <f t="shared" si="6"/>
        <v>0</v>
      </c>
      <c r="AI57" s="429">
        <f t="shared" si="7"/>
        <v>0</v>
      </c>
      <c r="AJ57" s="430">
        <f t="shared" si="8"/>
        <v>1</v>
      </c>
      <c r="AK57" s="428">
        <f t="shared" si="9"/>
        <v>0</v>
      </c>
      <c r="AL57" s="431" t="e">
        <f t="shared" si="10"/>
        <v>#DIV/0!</v>
      </c>
      <c r="AM57" s="308"/>
      <c r="AN57" s="432">
        <f t="shared" si="11"/>
        <v>0</v>
      </c>
      <c r="AO57" s="430">
        <f t="shared" si="12"/>
        <v>0</v>
      </c>
      <c r="AP57" s="430">
        <f t="shared" si="13"/>
        <v>0</v>
      </c>
      <c r="AQ57" s="430">
        <f t="shared" si="14"/>
        <v>0</v>
      </c>
      <c r="AR57" s="433">
        <f t="shared" si="15"/>
        <v>0</v>
      </c>
      <c r="AT57" s="434">
        <f t="shared" si="16"/>
        <v>0</v>
      </c>
      <c r="AU57" s="430">
        <f t="shared" si="17"/>
        <v>0</v>
      </c>
      <c r="AV57" s="1469">
        <f t="shared" si="41"/>
        <v>0</v>
      </c>
      <c r="AW57" s="1469">
        <f t="shared" si="42"/>
        <v>0</v>
      </c>
      <c r="AX57" s="430">
        <f t="shared" si="20"/>
        <v>0</v>
      </c>
      <c r="AY57" s="435">
        <f t="shared" si="21"/>
        <v>0</v>
      </c>
      <c r="AZ57" s="309"/>
      <c r="BA57" s="434">
        <f t="shared" si="22"/>
        <v>0</v>
      </c>
      <c r="BB57" s="430">
        <f t="shared" si="23"/>
        <v>0</v>
      </c>
      <c r="BC57" s="430">
        <f t="shared" si="24"/>
        <v>0</v>
      </c>
      <c r="BD57" s="430">
        <f t="shared" si="25"/>
        <v>0</v>
      </c>
      <c r="BE57" s="435">
        <f t="shared" si="26"/>
        <v>0</v>
      </c>
      <c r="BG57" s="428">
        <f t="shared" si="27"/>
        <v>44927</v>
      </c>
      <c r="BH57" s="428">
        <f t="shared" si="28"/>
        <v>44927</v>
      </c>
      <c r="BI57" s="428">
        <f t="shared" si="29"/>
        <v>44927</v>
      </c>
      <c r="BJ57" s="428">
        <f t="shared" si="39"/>
        <v>0</v>
      </c>
      <c r="BL57" s="432">
        <f t="shared" si="30"/>
        <v>0</v>
      </c>
      <c r="BM57" s="428">
        <f t="shared" si="31"/>
        <v>0</v>
      </c>
      <c r="BN57" s="428">
        <f t="shared" si="32"/>
        <v>0</v>
      </c>
      <c r="BO57" s="436">
        <f t="shared" si="33"/>
        <v>0</v>
      </c>
      <c r="BS57" s="1373"/>
    </row>
    <row r="58" spans="1:71" ht="45.75" customHeight="1">
      <c r="A58" s="2336"/>
      <c r="B58" s="2336"/>
      <c r="C58" s="2340"/>
      <c r="D58" s="2337"/>
      <c r="E58" s="2338"/>
      <c r="F58" s="2327"/>
      <c r="G58" s="2339" t="str">
        <f t="shared" si="34"/>
        <v/>
      </c>
      <c r="H58" s="451"/>
      <c r="I58" s="2326"/>
      <c r="J58" s="2327"/>
      <c r="K58" s="2328">
        <f t="shared" si="43"/>
        <v>0</v>
      </c>
      <c r="L58" s="2327"/>
      <c r="M58" s="2326"/>
      <c r="N58" s="2329"/>
      <c r="O58" s="2327"/>
      <c r="P58" s="2328">
        <f t="shared" si="44"/>
        <v>0</v>
      </c>
      <c r="Q58" s="2327"/>
      <c r="R58" s="2326"/>
      <c r="S58" s="2329"/>
      <c r="T58" s="2330"/>
      <c r="U58" s="2331">
        <f t="shared" si="45"/>
        <v>0</v>
      </c>
      <c r="V58" s="2332"/>
      <c r="W58" s="2326"/>
      <c r="X58" s="2329"/>
      <c r="Y58" s="2330"/>
      <c r="Z58" s="2333">
        <f t="shared" si="46"/>
        <v>0</v>
      </c>
      <c r="AA58" s="2334">
        <f t="shared" si="37"/>
        <v>0</v>
      </c>
      <c r="AB58" s="2335" t="str">
        <f t="shared" si="47"/>
        <v/>
      </c>
      <c r="AC58" s="201"/>
      <c r="AD58" s="427" t="str">
        <f t="shared" si="38"/>
        <v/>
      </c>
      <c r="AE58" s="428">
        <f t="shared" si="3"/>
        <v>0</v>
      </c>
      <c r="AF58" s="428">
        <f t="shared" si="4"/>
        <v>0</v>
      </c>
      <c r="AG58" s="428">
        <f t="shared" si="5"/>
        <v>0</v>
      </c>
      <c r="AH58" s="428">
        <f t="shared" si="6"/>
        <v>0</v>
      </c>
      <c r="AI58" s="429">
        <f t="shared" si="7"/>
        <v>0</v>
      </c>
      <c r="AJ58" s="430">
        <f t="shared" si="8"/>
        <v>1</v>
      </c>
      <c r="AK58" s="428">
        <f t="shared" si="9"/>
        <v>0</v>
      </c>
      <c r="AL58" s="431" t="e">
        <f t="shared" si="10"/>
        <v>#DIV/0!</v>
      </c>
      <c r="AM58" s="308"/>
      <c r="AN58" s="432">
        <f t="shared" si="11"/>
        <v>0</v>
      </c>
      <c r="AO58" s="430">
        <f t="shared" si="12"/>
        <v>0</v>
      </c>
      <c r="AP58" s="430">
        <f t="shared" si="13"/>
        <v>0</v>
      </c>
      <c r="AQ58" s="430">
        <f t="shared" si="14"/>
        <v>0</v>
      </c>
      <c r="AR58" s="433">
        <f t="shared" si="15"/>
        <v>0</v>
      </c>
      <c r="AT58" s="434">
        <f t="shared" si="16"/>
        <v>0</v>
      </c>
      <c r="AU58" s="430">
        <f t="shared" si="17"/>
        <v>0</v>
      </c>
      <c r="AV58" s="1469">
        <f t="shared" si="41"/>
        <v>0</v>
      </c>
      <c r="AW58" s="1469">
        <f t="shared" si="42"/>
        <v>0</v>
      </c>
      <c r="AX58" s="430">
        <f t="shared" si="20"/>
        <v>0</v>
      </c>
      <c r="AY58" s="435">
        <f t="shared" si="21"/>
        <v>0</v>
      </c>
      <c r="AZ58" s="309"/>
      <c r="BA58" s="434">
        <f t="shared" si="22"/>
        <v>0</v>
      </c>
      <c r="BB58" s="430">
        <f t="shared" si="23"/>
        <v>0</v>
      </c>
      <c r="BC58" s="430">
        <f t="shared" si="24"/>
        <v>0</v>
      </c>
      <c r="BD58" s="430">
        <f t="shared" si="25"/>
        <v>0</v>
      </c>
      <c r="BE58" s="435">
        <f t="shared" si="26"/>
        <v>0</v>
      </c>
      <c r="BG58" s="428">
        <f t="shared" si="27"/>
        <v>44927</v>
      </c>
      <c r="BH58" s="428">
        <f t="shared" si="28"/>
        <v>44927</v>
      </c>
      <c r="BI58" s="428">
        <f t="shared" si="29"/>
        <v>44927</v>
      </c>
      <c r="BJ58" s="428">
        <f t="shared" si="39"/>
        <v>0</v>
      </c>
      <c r="BL58" s="432">
        <f t="shared" si="30"/>
        <v>0</v>
      </c>
      <c r="BM58" s="428">
        <f t="shared" si="31"/>
        <v>0</v>
      </c>
      <c r="BN58" s="428">
        <f t="shared" si="32"/>
        <v>0</v>
      </c>
      <c r="BO58" s="436">
        <f t="shared" si="33"/>
        <v>0</v>
      </c>
      <c r="BS58" s="1373"/>
    </row>
    <row r="59" spans="1:71" ht="45.75" customHeight="1">
      <c r="A59" s="2336"/>
      <c r="B59" s="2336"/>
      <c r="C59" s="2340"/>
      <c r="D59" s="2337"/>
      <c r="E59" s="2338"/>
      <c r="F59" s="2327"/>
      <c r="G59" s="2339" t="str">
        <f t="shared" si="34"/>
        <v/>
      </c>
      <c r="H59" s="451"/>
      <c r="I59" s="2326"/>
      <c r="J59" s="2327"/>
      <c r="K59" s="2328">
        <f t="shared" si="43"/>
        <v>0</v>
      </c>
      <c r="L59" s="2327"/>
      <c r="M59" s="2326"/>
      <c r="N59" s="2329"/>
      <c r="O59" s="2327"/>
      <c r="P59" s="2328">
        <f t="shared" si="44"/>
        <v>0</v>
      </c>
      <c r="Q59" s="2327"/>
      <c r="R59" s="2326"/>
      <c r="S59" s="2329"/>
      <c r="T59" s="2330"/>
      <c r="U59" s="2331">
        <f t="shared" si="45"/>
        <v>0</v>
      </c>
      <c r="V59" s="2332"/>
      <c r="W59" s="2326"/>
      <c r="X59" s="2329"/>
      <c r="Y59" s="2330"/>
      <c r="Z59" s="2333">
        <f t="shared" si="46"/>
        <v>0</v>
      </c>
      <c r="AA59" s="2334">
        <f t="shared" si="37"/>
        <v>0</v>
      </c>
      <c r="AB59" s="2335" t="str">
        <f t="shared" si="47"/>
        <v/>
      </c>
      <c r="AC59" s="201"/>
      <c r="AD59" s="427" t="str">
        <f t="shared" si="38"/>
        <v/>
      </c>
      <c r="AE59" s="428">
        <f t="shared" si="3"/>
        <v>0</v>
      </c>
      <c r="AF59" s="428">
        <f t="shared" si="4"/>
        <v>0</v>
      </c>
      <c r="AG59" s="428">
        <f t="shared" si="5"/>
        <v>0</v>
      </c>
      <c r="AH59" s="428">
        <f t="shared" si="6"/>
        <v>0</v>
      </c>
      <c r="AI59" s="429">
        <f t="shared" si="7"/>
        <v>0</v>
      </c>
      <c r="AJ59" s="430">
        <f t="shared" si="8"/>
        <v>1</v>
      </c>
      <c r="AK59" s="428">
        <f t="shared" si="9"/>
        <v>0</v>
      </c>
      <c r="AL59" s="431" t="e">
        <f t="shared" si="10"/>
        <v>#DIV/0!</v>
      </c>
      <c r="AM59" s="308"/>
      <c r="AN59" s="432">
        <f t="shared" si="11"/>
        <v>0</v>
      </c>
      <c r="AO59" s="430">
        <f t="shared" si="12"/>
        <v>0</v>
      </c>
      <c r="AP59" s="430">
        <f t="shared" si="13"/>
        <v>0</v>
      </c>
      <c r="AQ59" s="430">
        <f t="shared" si="14"/>
        <v>0</v>
      </c>
      <c r="AR59" s="433">
        <f t="shared" si="15"/>
        <v>0</v>
      </c>
      <c r="AT59" s="434">
        <f t="shared" si="16"/>
        <v>0</v>
      </c>
      <c r="AU59" s="430">
        <f t="shared" si="17"/>
        <v>0</v>
      </c>
      <c r="AV59" s="1469">
        <f t="shared" si="41"/>
        <v>0</v>
      </c>
      <c r="AW59" s="1469">
        <f t="shared" si="42"/>
        <v>0</v>
      </c>
      <c r="AX59" s="430">
        <f t="shared" si="20"/>
        <v>0</v>
      </c>
      <c r="AY59" s="435">
        <f t="shared" si="21"/>
        <v>0</v>
      </c>
      <c r="AZ59" s="309"/>
      <c r="BA59" s="434">
        <f t="shared" si="22"/>
        <v>0</v>
      </c>
      <c r="BB59" s="430">
        <f t="shared" si="23"/>
        <v>0</v>
      </c>
      <c r="BC59" s="430">
        <f t="shared" si="24"/>
        <v>0</v>
      </c>
      <c r="BD59" s="430">
        <f t="shared" si="25"/>
        <v>0</v>
      </c>
      <c r="BE59" s="435">
        <f t="shared" si="26"/>
        <v>0</v>
      </c>
      <c r="BG59" s="428">
        <f t="shared" si="27"/>
        <v>44927</v>
      </c>
      <c r="BH59" s="428">
        <f t="shared" si="28"/>
        <v>44927</v>
      </c>
      <c r="BI59" s="428">
        <f t="shared" si="29"/>
        <v>44927</v>
      </c>
      <c r="BJ59" s="428">
        <f t="shared" si="39"/>
        <v>0</v>
      </c>
      <c r="BL59" s="432">
        <f t="shared" si="30"/>
        <v>0</v>
      </c>
      <c r="BM59" s="428">
        <f t="shared" si="31"/>
        <v>0</v>
      </c>
      <c r="BN59" s="428">
        <f t="shared" si="32"/>
        <v>0</v>
      </c>
      <c r="BO59" s="436">
        <f t="shared" si="33"/>
        <v>0</v>
      </c>
      <c r="BS59" s="1373"/>
    </row>
    <row r="60" spans="1:71" ht="45.75" customHeight="1">
      <c r="A60" s="2336"/>
      <c r="B60" s="2336"/>
      <c r="C60" s="2340"/>
      <c r="D60" s="2337"/>
      <c r="E60" s="2338"/>
      <c r="F60" s="2327"/>
      <c r="G60" s="2339" t="str">
        <f t="shared" si="34"/>
        <v/>
      </c>
      <c r="H60" s="451"/>
      <c r="I60" s="2326"/>
      <c r="J60" s="2327"/>
      <c r="K60" s="2328">
        <f t="shared" si="43"/>
        <v>0</v>
      </c>
      <c r="L60" s="2327"/>
      <c r="M60" s="2326"/>
      <c r="N60" s="2329"/>
      <c r="O60" s="2327"/>
      <c r="P60" s="2328">
        <f t="shared" si="44"/>
        <v>0</v>
      </c>
      <c r="Q60" s="2327"/>
      <c r="R60" s="2326"/>
      <c r="S60" s="2329"/>
      <c r="T60" s="2330"/>
      <c r="U60" s="2331">
        <f t="shared" si="45"/>
        <v>0</v>
      </c>
      <c r="V60" s="2332"/>
      <c r="W60" s="2326"/>
      <c r="X60" s="2329"/>
      <c r="Y60" s="2330"/>
      <c r="Z60" s="2333">
        <f t="shared" si="46"/>
        <v>0</v>
      </c>
      <c r="AA60" s="2334">
        <f t="shared" si="37"/>
        <v>0</v>
      </c>
      <c r="AB60" s="2335" t="str">
        <f t="shared" si="47"/>
        <v/>
      </c>
      <c r="AC60" s="201"/>
      <c r="AD60" s="427" t="str">
        <f t="shared" si="38"/>
        <v/>
      </c>
      <c r="AE60" s="428">
        <f t="shared" si="3"/>
        <v>0</v>
      </c>
      <c r="AF60" s="428">
        <f t="shared" si="4"/>
        <v>0</v>
      </c>
      <c r="AG60" s="428">
        <f t="shared" si="5"/>
        <v>0</v>
      </c>
      <c r="AH60" s="428">
        <f t="shared" si="6"/>
        <v>0</v>
      </c>
      <c r="AI60" s="429">
        <f t="shared" si="7"/>
        <v>0</v>
      </c>
      <c r="AJ60" s="430">
        <f t="shared" si="8"/>
        <v>1</v>
      </c>
      <c r="AK60" s="428">
        <f t="shared" si="9"/>
        <v>0</v>
      </c>
      <c r="AL60" s="431" t="e">
        <f t="shared" si="10"/>
        <v>#DIV/0!</v>
      </c>
      <c r="AM60" s="308"/>
      <c r="AN60" s="432">
        <f t="shared" si="11"/>
        <v>0</v>
      </c>
      <c r="AO60" s="430">
        <f t="shared" si="12"/>
        <v>0</v>
      </c>
      <c r="AP60" s="430">
        <f t="shared" si="13"/>
        <v>0</v>
      </c>
      <c r="AQ60" s="430">
        <f t="shared" si="14"/>
        <v>0</v>
      </c>
      <c r="AR60" s="433">
        <f t="shared" si="15"/>
        <v>0</v>
      </c>
      <c r="AT60" s="434">
        <f t="shared" si="16"/>
        <v>0</v>
      </c>
      <c r="AU60" s="430">
        <f t="shared" si="17"/>
        <v>0</v>
      </c>
      <c r="AV60" s="1469">
        <f t="shared" si="41"/>
        <v>0</v>
      </c>
      <c r="AW60" s="1469">
        <f t="shared" si="42"/>
        <v>0</v>
      </c>
      <c r="AX60" s="430">
        <f t="shared" si="20"/>
        <v>0</v>
      </c>
      <c r="AY60" s="435">
        <f t="shared" si="21"/>
        <v>0</v>
      </c>
      <c r="AZ60" s="309"/>
      <c r="BA60" s="434">
        <f t="shared" si="22"/>
        <v>0</v>
      </c>
      <c r="BB60" s="430">
        <f t="shared" si="23"/>
        <v>0</v>
      </c>
      <c r="BC60" s="430">
        <f t="shared" si="24"/>
        <v>0</v>
      </c>
      <c r="BD60" s="430">
        <f t="shared" si="25"/>
        <v>0</v>
      </c>
      <c r="BE60" s="435">
        <f t="shared" si="26"/>
        <v>0</v>
      </c>
      <c r="BG60" s="428">
        <f t="shared" si="27"/>
        <v>44927</v>
      </c>
      <c r="BH60" s="428">
        <f t="shared" si="28"/>
        <v>44927</v>
      </c>
      <c r="BI60" s="428">
        <f t="shared" si="29"/>
        <v>44927</v>
      </c>
      <c r="BJ60" s="428">
        <f t="shared" si="39"/>
        <v>0</v>
      </c>
      <c r="BL60" s="432">
        <f t="shared" si="30"/>
        <v>0</v>
      </c>
      <c r="BM60" s="428">
        <f t="shared" si="31"/>
        <v>0</v>
      </c>
      <c r="BN60" s="428">
        <f t="shared" si="32"/>
        <v>0</v>
      </c>
      <c r="BO60" s="436">
        <f t="shared" si="33"/>
        <v>0</v>
      </c>
      <c r="BS60" s="1373"/>
    </row>
    <row r="61" spans="1:71" ht="45.75" customHeight="1">
      <c r="A61" s="2336"/>
      <c r="B61" s="2336"/>
      <c r="C61" s="2340"/>
      <c r="D61" s="2337"/>
      <c r="E61" s="2338"/>
      <c r="F61" s="2327"/>
      <c r="G61" s="2339" t="str">
        <f t="shared" si="34"/>
        <v/>
      </c>
      <c r="H61" s="451"/>
      <c r="I61" s="2326"/>
      <c r="J61" s="2327"/>
      <c r="K61" s="2328">
        <f t="shared" si="43"/>
        <v>0</v>
      </c>
      <c r="L61" s="2327"/>
      <c r="M61" s="2326"/>
      <c r="N61" s="2329"/>
      <c r="O61" s="2327"/>
      <c r="P61" s="2328">
        <f t="shared" si="44"/>
        <v>0</v>
      </c>
      <c r="Q61" s="2327"/>
      <c r="R61" s="2326"/>
      <c r="S61" s="2329"/>
      <c r="T61" s="2330"/>
      <c r="U61" s="2331">
        <f t="shared" si="45"/>
        <v>0</v>
      </c>
      <c r="V61" s="2332"/>
      <c r="W61" s="2326"/>
      <c r="X61" s="2329"/>
      <c r="Y61" s="2330"/>
      <c r="Z61" s="2333">
        <f t="shared" si="46"/>
        <v>0</v>
      </c>
      <c r="AA61" s="2334">
        <f t="shared" si="37"/>
        <v>0</v>
      </c>
      <c r="AB61" s="2335" t="str">
        <f t="shared" si="47"/>
        <v/>
      </c>
      <c r="AC61" s="201"/>
      <c r="AD61" s="427" t="str">
        <f t="shared" si="38"/>
        <v/>
      </c>
      <c r="AE61" s="428">
        <f t="shared" si="3"/>
        <v>0</v>
      </c>
      <c r="AF61" s="428">
        <f t="shared" si="4"/>
        <v>0</v>
      </c>
      <c r="AG61" s="428">
        <f t="shared" si="5"/>
        <v>0</v>
      </c>
      <c r="AH61" s="428">
        <f t="shared" si="6"/>
        <v>0</v>
      </c>
      <c r="AI61" s="429">
        <f t="shared" si="7"/>
        <v>0</v>
      </c>
      <c r="AJ61" s="430">
        <f t="shared" si="8"/>
        <v>1</v>
      </c>
      <c r="AK61" s="428">
        <f t="shared" si="9"/>
        <v>0</v>
      </c>
      <c r="AL61" s="431" t="e">
        <f t="shared" si="10"/>
        <v>#DIV/0!</v>
      </c>
      <c r="AM61" s="308"/>
      <c r="AN61" s="432">
        <f t="shared" si="11"/>
        <v>0</v>
      </c>
      <c r="AO61" s="430">
        <f t="shared" si="12"/>
        <v>0</v>
      </c>
      <c r="AP61" s="430">
        <f t="shared" si="13"/>
        <v>0</v>
      </c>
      <c r="AQ61" s="430">
        <f t="shared" si="14"/>
        <v>0</v>
      </c>
      <c r="AR61" s="433">
        <f t="shared" si="15"/>
        <v>0</v>
      </c>
      <c r="AT61" s="434">
        <f t="shared" si="16"/>
        <v>0</v>
      </c>
      <c r="AU61" s="430">
        <f t="shared" si="17"/>
        <v>0</v>
      </c>
      <c r="AV61" s="1469">
        <f t="shared" si="41"/>
        <v>0</v>
      </c>
      <c r="AW61" s="1469">
        <f t="shared" si="42"/>
        <v>0</v>
      </c>
      <c r="AX61" s="430">
        <f t="shared" si="20"/>
        <v>0</v>
      </c>
      <c r="AY61" s="435">
        <f t="shared" si="21"/>
        <v>0</v>
      </c>
      <c r="AZ61" s="309"/>
      <c r="BA61" s="434">
        <f t="shared" si="22"/>
        <v>0</v>
      </c>
      <c r="BB61" s="430">
        <f t="shared" si="23"/>
        <v>0</v>
      </c>
      <c r="BC61" s="430">
        <f t="shared" si="24"/>
        <v>0</v>
      </c>
      <c r="BD61" s="430">
        <f t="shared" si="25"/>
        <v>0</v>
      </c>
      <c r="BE61" s="435">
        <f t="shared" si="26"/>
        <v>0</v>
      </c>
      <c r="BG61" s="428">
        <f t="shared" si="27"/>
        <v>44927</v>
      </c>
      <c r="BH61" s="428">
        <f t="shared" si="28"/>
        <v>44927</v>
      </c>
      <c r="BI61" s="428">
        <f t="shared" si="29"/>
        <v>44927</v>
      </c>
      <c r="BJ61" s="428">
        <f t="shared" si="39"/>
        <v>0</v>
      </c>
      <c r="BL61" s="432">
        <f t="shared" si="30"/>
        <v>0</v>
      </c>
      <c r="BM61" s="428">
        <f t="shared" si="31"/>
        <v>0</v>
      </c>
      <c r="BN61" s="428">
        <f t="shared" si="32"/>
        <v>0</v>
      </c>
      <c r="BO61" s="436">
        <f t="shared" si="33"/>
        <v>0</v>
      </c>
      <c r="BS61" s="1373"/>
    </row>
    <row r="62" spans="1:71" ht="45.75" customHeight="1">
      <c r="A62" s="2336"/>
      <c r="B62" s="2336"/>
      <c r="C62" s="2340"/>
      <c r="D62" s="2337"/>
      <c r="E62" s="2338"/>
      <c r="F62" s="2327"/>
      <c r="G62" s="2339" t="str">
        <f t="shared" si="34"/>
        <v/>
      </c>
      <c r="H62" s="451"/>
      <c r="I62" s="2326"/>
      <c r="J62" s="2327"/>
      <c r="K62" s="2328">
        <f t="shared" si="43"/>
        <v>0</v>
      </c>
      <c r="L62" s="2327"/>
      <c r="M62" s="2326"/>
      <c r="N62" s="2329"/>
      <c r="O62" s="2327"/>
      <c r="P62" s="2328">
        <f t="shared" si="44"/>
        <v>0</v>
      </c>
      <c r="Q62" s="2327"/>
      <c r="R62" s="2326"/>
      <c r="S62" s="2329"/>
      <c r="T62" s="2330"/>
      <c r="U62" s="2331">
        <f t="shared" si="45"/>
        <v>0</v>
      </c>
      <c r="V62" s="2332"/>
      <c r="W62" s="2326"/>
      <c r="X62" s="2329"/>
      <c r="Y62" s="2330"/>
      <c r="Z62" s="2333">
        <f t="shared" si="46"/>
        <v>0</v>
      </c>
      <c r="AA62" s="2334">
        <f t="shared" si="37"/>
        <v>0</v>
      </c>
      <c r="AB62" s="2335" t="str">
        <f t="shared" si="47"/>
        <v/>
      </c>
      <c r="AC62" s="201"/>
      <c r="AD62" s="427" t="str">
        <f t="shared" si="38"/>
        <v/>
      </c>
      <c r="AE62" s="428">
        <f t="shared" si="3"/>
        <v>0</v>
      </c>
      <c r="AF62" s="428">
        <f t="shared" si="4"/>
        <v>0</v>
      </c>
      <c r="AG62" s="428">
        <f t="shared" si="5"/>
        <v>0</v>
      </c>
      <c r="AH62" s="428">
        <f t="shared" si="6"/>
        <v>0</v>
      </c>
      <c r="AI62" s="429">
        <f t="shared" si="7"/>
        <v>0</v>
      </c>
      <c r="AJ62" s="430">
        <f t="shared" si="8"/>
        <v>1</v>
      </c>
      <c r="AK62" s="428">
        <f t="shared" si="9"/>
        <v>0</v>
      </c>
      <c r="AL62" s="431" t="e">
        <f t="shared" si="10"/>
        <v>#DIV/0!</v>
      </c>
      <c r="AM62" s="308"/>
      <c r="AN62" s="432">
        <f t="shared" si="11"/>
        <v>0</v>
      </c>
      <c r="AO62" s="430">
        <f t="shared" si="12"/>
        <v>0</v>
      </c>
      <c r="AP62" s="430">
        <f t="shared" si="13"/>
        <v>0</v>
      </c>
      <c r="AQ62" s="430">
        <f t="shared" si="14"/>
        <v>0</v>
      </c>
      <c r="AR62" s="433">
        <f t="shared" si="15"/>
        <v>0</v>
      </c>
      <c r="AT62" s="434">
        <f t="shared" si="16"/>
        <v>0</v>
      </c>
      <c r="AU62" s="430">
        <f t="shared" si="17"/>
        <v>0</v>
      </c>
      <c r="AV62" s="1469">
        <f t="shared" si="41"/>
        <v>0</v>
      </c>
      <c r="AW62" s="1469">
        <f t="shared" si="42"/>
        <v>0</v>
      </c>
      <c r="AX62" s="430">
        <f t="shared" si="20"/>
        <v>0</v>
      </c>
      <c r="AY62" s="435">
        <f t="shared" si="21"/>
        <v>0</v>
      </c>
      <c r="AZ62" s="309"/>
      <c r="BA62" s="434">
        <f t="shared" si="22"/>
        <v>0</v>
      </c>
      <c r="BB62" s="430">
        <f t="shared" si="23"/>
        <v>0</v>
      </c>
      <c r="BC62" s="430">
        <f t="shared" si="24"/>
        <v>0</v>
      </c>
      <c r="BD62" s="430">
        <f t="shared" si="25"/>
        <v>0</v>
      </c>
      <c r="BE62" s="435">
        <f t="shared" si="26"/>
        <v>0</v>
      </c>
      <c r="BG62" s="428">
        <f t="shared" si="27"/>
        <v>44927</v>
      </c>
      <c r="BH62" s="428">
        <f t="shared" si="28"/>
        <v>44927</v>
      </c>
      <c r="BI62" s="428">
        <f t="shared" si="29"/>
        <v>44927</v>
      </c>
      <c r="BJ62" s="428">
        <f t="shared" si="39"/>
        <v>0</v>
      </c>
      <c r="BL62" s="432">
        <f t="shared" si="30"/>
        <v>0</v>
      </c>
      <c r="BM62" s="428">
        <f t="shared" si="31"/>
        <v>0</v>
      </c>
      <c r="BN62" s="428">
        <f t="shared" si="32"/>
        <v>0</v>
      </c>
      <c r="BO62" s="436">
        <f t="shared" si="33"/>
        <v>0</v>
      </c>
      <c r="BS62" s="1373"/>
    </row>
    <row r="63" spans="1:71" ht="45.75" customHeight="1">
      <c r="A63" s="2336"/>
      <c r="B63" s="2336"/>
      <c r="C63" s="2340"/>
      <c r="D63" s="2337"/>
      <c r="E63" s="2338"/>
      <c r="F63" s="2327"/>
      <c r="G63" s="2339" t="str">
        <f t="shared" si="34"/>
        <v/>
      </c>
      <c r="H63" s="451"/>
      <c r="I63" s="2326"/>
      <c r="J63" s="2327"/>
      <c r="K63" s="2328">
        <f t="shared" si="43"/>
        <v>0</v>
      </c>
      <c r="L63" s="2327"/>
      <c r="M63" s="2326"/>
      <c r="N63" s="2329"/>
      <c r="O63" s="2327"/>
      <c r="P63" s="2328">
        <f t="shared" si="44"/>
        <v>0</v>
      </c>
      <c r="Q63" s="2327"/>
      <c r="R63" s="2326"/>
      <c r="S63" s="2329"/>
      <c r="T63" s="2330"/>
      <c r="U63" s="2331">
        <f t="shared" si="45"/>
        <v>0</v>
      </c>
      <c r="V63" s="2332"/>
      <c r="W63" s="2326"/>
      <c r="X63" s="2329"/>
      <c r="Y63" s="2330"/>
      <c r="Z63" s="2333">
        <f t="shared" si="46"/>
        <v>0</v>
      </c>
      <c r="AA63" s="2334">
        <f t="shared" si="37"/>
        <v>0</v>
      </c>
      <c r="AB63" s="2335" t="str">
        <f t="shared" si="47"/>
        <v/>
      </c>
      <c r="AC63" s="201"/>
      <c r="AD63" s="427" t="str">
        <f t="shared" si="38"/>
        <v/>
      </c>
      <c r="AE63" s="428">
        <f t="shared" si="3"/>
        <v>0</v>
      </c>
      <c r="AF63" s="428">
        <f t="shared" si="4"/>
        <v>0</v>
      </c>
      <c r="AG63" s="428">
        <f t="shared" si="5"/>
        <v>0</v>
      </c>
      <c r="AH63" s="428">
        <f t="shared" si="6"/>
        <v>0</v>
      </c>
      <c r="AI63" s="429">
        <f t="shared" si="7"/>
        <v>0</v>
      </c>
      <c r="AJ63" s="430">
        <f t="shared" si="8"/>
        <v>1</v>
      </c>
      <c r="AK63" s="428">
        <f t="shared" si="9"/>
        <v>0</v>
      </c>
      <c r="AL63" s="431" t="e">
        <f t="shared" si="10"/>
        <v>#DIV/0!</v>
      </c>
      <c r="AM63" s="308"/>
      <c r="AN63" s="432">
        <f t="shared" si="11"/>
        <v>0</v>
      </c>
      <c r="AO63" s="430">
        <f t="shared" si="12"/>
        <v>0</v>
      </c>
      <c r="AP63" s="430">
        <f t="shared" si="13"/>
        <v>0</v>
      </c>
      <c r="AQ63" s="430">
        <f t="shared" si="14"/>
        <v>0</v>
      </c>
      <c r="AR63" s="433">
        <f t="shared" si="15"/>
        <v>0</v>
      </c>
      <c r="AT63" s="434">
        <f t="shared" si="16"/>
        <v>0</v>
      </c>
      <c r="AU63" s="430">
        <f t="shared" si="17"/>
        <v>0</v>
      </c>
      <c r="AV63" s="1469">
        <f t="shared" si="41"/>
        <v>0</v>
      </c>
      <c r="AW63" s="1469">
        <f t="shared" si="42"/>
        <v>0</v>
      </c>
      <c r="AX63" s="430">
        <f t="shared" si="20"/>
        <v>0</v>
      </c>
      <c r="AY63" s="435">
        <f t="shared" si="21"/>
        <v>0</v>
      </c>
      <c r="AZ63" s="309"/>
      <c r="BA63" s="434">
        <f t="shared" si="22"/>
        <v>0</v>
      </c>
      <c r="BB63" s="430">
        <f t="shared" si="23"/>
        <v>0</v>
      </c>
      <c r="BC63" s="430">
        <f t="shared" si="24"/>
        <v>0</v>
      </c>
      <c r="BD63" s="430">
        <f t="shared" si="25"/>
        <v>0</v>
      </c>
      <c r="BE63" s="435">
        <f t="shared" si="26"/>
        <v>0</v>
      </c>
      <c r="BG63" s="428">
        <f t="shared" si="27"/>
        <v>44927</v>
      </c>
      <c r="BH63" s="428">
        <f t="shared" si="28"/>
        <v>44927</v>
      </c>
      <c r="BI63" s="428">
        <f t="shared" si="29"/>
        <v>44927</v>
      </c>
      <c r="BJ63" s="428">
        <f t="shared" si="39"/>
        <v>0</v>
      </c>
      <c r="BL63" s="432">
        <f t="shared" si="30"/>
        <v>0</v>
      </c>
      <c r="BM63" s="428">
        <f t="shared" si="31"/>
        <v>0</v>
      </c>
      <c r="BN63" s="428">
        <f t="shared" si="32"/>
        <v>0</v>
      </c>
      <c r="BO63" s="436">
        <f t="shared" si="33"/>
        <v>0</v>
      </c>
      <c r="BS63" s="1373"/>
    </row>
    <row r="64" spans="1:71" ht="45.75" customHeight="1">
      <c r="A64" s="2336"/>
      <c r="B64" s="2336"/>
      <c r="C64" s="2340"/>
      <c r="D64" s="2337"/>
      <c r="E64" s="2338"/>
      <c r="F64" s="2327"/>
      <c r="G64" s="2339" t="str">
        <f t="shared" si="34"/>
        <v/>
      </c>
      <c r="H64" s="451"/>
      <c r="I64" s="2326"/>
      <c r="J64" s="2327"/>
      <c r="K64" s="2328">
        <f t="shared" si="43"/>
        <v>0</v>
      </c>
      <c r="L64" s="2327"/>
      <c r="M64" s="2326"/>
      <c r="N64" s="2329"/>
      <c r="O64" s="2327"/>
      <c r="P64" s="2328">
        <f t="shared" si="44"/>
        <v>0</v>
      </c>
      <c r="Q64" s="2327"/>
      <c r="R64" s="2326"/>
      <c r="S64" s="2329"/>
      <c r="T64" s="2330"/>
      <c r="U64" s="2331">
        <f t="shared" si="45"/>
        <v>0</v>
      </c>
      <c r="V64" s="2332"/>
      <c r="W64" s="2326"/>
      <c r="X64" s="2329"/>
      <c r="Y64" s="2330"/>
      <c r="Z64" s="2333">
        <f t="shared" si="46"/>
        <v>0</v>
      </c>
      <c r="AA64" s="2334">
        <f t="shared" si="37"/>
        <v>0</v>
      </c>
      <c r="AB64" s="2335" t="str">
        <f t="shared" si="47"/>
        <v/>
      </c>
      <c r="AC64" s="201"/>
      <c r="AD64" s="427" t="str">
        <f t="shared" si="38"/>
        <v/>
      </c>
      <c r="AE64" s="428">
        <f t="shared" si="3"/>
        <v>0</v>
      </c>
      <c r="AF64" s="428">
        <f t="shared" si="4"/>
        <v>0</v>
      </c>
      <c r="AG64" s="428">
        <f t="shared" si="5"/>
        <v>0</v>
      </c>
      <c r="AH64" s="428">
        <f t="shared" si="6"/>
        <v>0</v>
      </c>
      <c r="AI64" s="429">
        <f t="shared" si="7"/>
        <v>0</v>
      </c>
      <c r="AJ64" s="430">
        <f t="shared" si="8"/>
        <v>1</v>
      </c>
      <c r="AK64" s="428">
        <f t="shared" si="9"/>
        <v>0</v>
      </c>
      <c r="AL64" s="431" t="e">
        <f t="shared" si="10"/>
        <v>#DIV/0!</v>
      </c>
      <c r="AM64" s="308"/>
      <c r="AN64" s="432">
        <f t="shared" si="11"/>
        <v>0</v>
      </c>
      <c r="AO64" s="430">
        <f t="shared" si="12"/>
        <v>0</v>
      </c>
      <c r="AP64" s="430">
        <f t="shared" si="13"/>
        <v>0</v>
      </c>
      <c r="AQ64" s="430">
        <f t="shared" si="14"/>
        <v>0</v>
      </c>
      <c r="AR64" s="433">
        <f t="shared" si="15"/>
        <v>0</v>
      </c>
      <c r="AT64" s="434">
        <f t="shared" si="16"/>
        <v>0</v>
      </c>
      <c r="AU64" s="430">
        <f t="shared" si="17"/>
        <v>0</v>
      </c>
      <c r="AV64" s="1469">
        <f t="shared" si="41"/>
        <v>0</v>
      </c>
      <c r="AW64" s="1469">
        <f t="shared" si="42"/>
        <v>0</v>
      </c>
      <c r="AX64" s="430">
        <f t="shared" si="20"/>
        <v>0</v>
      </c>
      <c r="AY64" s="435">
        <f t="shared" si="21"/>
        <v>0</v>
      </c>
      <c r="AZ64" s="309"/>
      <c r="BA64" s="434">
        <f t="shared" si="22"/>
        <v>0</v>
      </c>
      <c r="BB64" s="430">
        <f t="shared" si="23"/>
        <v>0</v>
      </c>
      <c r="BC64" s="430">
        <f t="shared" si="24"/>
        <v>0</v>
      </c>
      <c r="BD64" s="430">
        <f t="shared" si="25"/>
        <v>0</v>
      </c>
      <c r="BE64" s="435">
        <f t="shared" si="26"/>
        <v>0</v>
      </c>
      <c r="BG64" s="428">
        <f t="shared" si="27"/>
        <v>44927</v>
      </c>
      <c r="BH64" s="428">
        <f t="shared" si="28"/>
        <v>44927</v>
      </c>
      <c r="BI64" s="428">
        <f t="shared" si="29"/>
        <v>44927</v>
      </c>
      <c r="BJ64" s="428">
        <f t="shared" si="39"/>
        <v>0</v>
      </c>
      <c r="BL64" s="432">
        <f t="shared" si="30"/>
        <v>0</v>
      </c>
      <c r="BM64" s="428">
        <f t="shared" si="31"/>
        <v>0</v>
      </c>
      <c r="BN64" s="428">
        <f t="shared" si="32"/>
        <v>0</v>
      </c>
      <c r="BO64" s="436">
        <f t="shared" si="33"/>
        <v>0</v>
      </c>
      <c r="BS64" s="1373"/>
    </row>
    <row r="65" spans="1:71" ht="45.75" customHeight="1">
      <c r="A65" s="2336"/>
      <c r="B65" s="2336"/>
      <c r="C65" s="2340"/>
      <c r="D65" s="2337"/>
      <c r="E65" s="2338"/>
      <c r="F65" s="2327"/>
      <c r="G65" s="2339" t="str">
        <f t="shared" si="34"/>
        <v/>
      </c>
      <c r="H65" s="451"/>
      <c r="I65" s="2326"/>
      <c r="J65" s="2327"/>
      <c r="K65" s="2328">
        <f t="shared" si="43"/>
        <v>0</v>
      </c>
      <c r="L65" s="2327"/>
      <c r="M65" s="2326"/>
      <c r="N65" s="2329"/>
      <c r="O65" s="2327"/>
      <c r="P65" s="2328">
        <f t="shared" si="44"/>
        <v>0</v>
      </c>
      <c r="Q65" s="2327"/>
      <c r="R65" s="2326"/>
      <c r="S65" s="2329"/>
      <c r="T65" s="2330"/>
      <c r="U65" s="2331">
        <f t="shared" si="45"/>
        <v>0</v>
      </c>
      <c r="V65" s="2332"/>
      <c r="W65" s="2326"/>
      <c r="X65" s="2329"/>
      <c r="Y65" s="2330"/>
      <c r="Z65" s="2333">
        <f t="shared" si="46"/>
        <v>0</v>
      </c>
      <c r="AA65" s="2334">
        <f t="shared" si="37"/>
        <v>0</v>
      </c>
      <c r="AB65" s="2335" t="str">
        <f t="shared" si="47"/>
        <v/>
      </c>
      <c r="AC65" s="201"/>
      <c r="AD65" s="427" t="str">
        <f t="shared" si="38"/>
        <v/>
      </c>
      <c r="AE65" s="428">
        <f t="shared" si="3"/>
        <v>0</v>
      </c>
      <c r="AF65" s="428">
        <f t="shared" si="4"/>
        <v>0</v>
      </c>
      <c r="AG65" s="428">
        <f t="shared" si="5"/>
        <v>0</v>
      </c>
      <c r="AH65" s="428">
        <f t="shared" si="6"/>
        <v>0</v>
      </c>
      <c r="AI65" s="429">
        <f t="shared" si="7"/>
        <v>0</v>
      </c>
      <c r="AJ65" s="430">
        <f t="shared" si="8"/>
        <v>1</v>
      </c>
      <c r="AK65" s="428">
        <f t="shared" si="9"/>
        <v>0</v>
      </c>
      <c r="AL65" s="431" t="e">
        <f t="shared" si="10"/>
        <v>#DIV/0!</v>
      </c>
      <c r="AM65" s="308"/>
      <c r="AN65" s="432">
        <f t="shared" si="11"/>
        <v>0</v>
      </c>
      <c r="AO65" s="430">
        <f t="shared" si="12"/>
        <v>0</v>
      </c>
      <c r="AP65" s="430">
        <f t="shared" si="13"/>
        <v>0</v>
      </c>
      <c r="AQ65" s="430">
        <f t="shared" si="14"/>
        <v>0</v>
      </c>
      <c r="AR65" s="433">
        <f t="shared" si="15"/>
        <v>0</v>
      </c>
      <c r="AT65" s="434">
        <f t="shared" si="16"/>
        <v>0</v>
      </c>
      <c r="AU65" s="430">
        <f t="shared" si="17"/>
        <v>0</v>
      </c>
      <c r="AV65" s="1469">
        <f t="shared" si="41"/>
        <v>0</v>
      </c>
      <c r="AW65" s="1469">
        <f t="shared" si="42"/>
        <v>0</v>
      </c>
      <c r="AX65" s="430">
        <f t="shared" si="20"/>
        <v>0</v>
      </c>
      <c r="AY65" s="435">
        <f t="shared" si="21"/>
        <v>0</v>
      </c>
      <c r="AZ65" s="309"/>
      <c r="BA65" s="434">
        <f t="shared" si="22"/>
        <v>0</v>
      </c>
      <c r="BB65" s="430">
        <f t="shared" si="23"/>
        <v>0</v>
      </c>
      <c r="BC65" s="430">
        <f t="shared" si="24"/>
        <v>0</v>
      </c>
      <c r="BD65" s="430">
        <f t="shared" si="25"/>
        <v>0</v>
      </c>
      <c r="BE65" s="435">
        <f t="shared" si="26"/>
        <v>0</v>
      </c>
      <c r="BG65" s="428">
        <f t="shared" si="27"/>
        <v>44927</v>
      </c>
      <c r="BH65" s="428">
        <f t="shared" si="28"/>
        <v>44927</v>
      </c>
      <c r="BI65" s="428">
        <f t="shared" si="29"/>
        <v>44927</v>
      </c>
      <c r="BJ65" s="428">
        <f t="shared" si="39"/>
        <v>0</v>
      </c>
      <c r="BL65" s="432">
        <f t="shared" si="30"/>
        <v>0</v>
      </c>
      <c r="BM65" s="428">
        <f t="shared" si="31"/>
        <v>0</v>
      </c>
      <c r="BN65" s="428">
        <f t="shared" si="32"/>
        <v>0</v>
      </c>
      <c r="BO65" s="436">
        <f t="shared" si="33"/>
        <v>0</v>
      </c>
      <c r="BS65" s="1373"/>
    </row>
    <row r="66" spans="1:71" ht="45.75" customHeight="1">
      <c r="A66" s="2336"/>
      <c r="B66" s="2336"/>
      <c r="C66" s="2340"/>
      <c r="D66" s="2337"/>
      <c r="E66" s="2338"/>
      <c r="F66" s="2327"/>
      <c r="G66" s="2339" t="str">
        <f t="shared" si="34"/>
        <v/>
      </c>
      <c r="H66" s="451"/>
      <c r="I66" s="2326"/>
      <c r="J66" s="2327"/>
      <c r="K66" s="2328">
        <f t="shared" si="43"/>
        <v>0</v>
      </c>
      <c r="L66" s="2327"/>
      <c r="M66" s="2326"/>
      <c r="N66" s="2329"/>
      <c r="O66" s="2327"/>
      <c r="P66" s="2328">
        <f t="shared" si="44"/>
        <v>0</v>
      </c>
      <c r="Q66" s="2327"/>
      <c r="R66" s="2326"/>
      <c r="S66" s="2329"/>
      <c r="T66" s="2330"/>
      <c r="U66" s="2331">
        <f t="shared" si="45"/>
        <v>0</v>
      </c>
      <c r="V66" s="2332"/>
      <c r="W66" s="2326"/>
      <c r="X66" s="2329"/>
      <c r="Y66" s="2330"/>
      <c r="Z66" s="2333">
        <f t="shared" si="46"/>
        <v>0</v>
      </c>
      <c r="AA66" s="2334">
        <f t="shared" si="37"/>
        <v>0</v>
      </c>
      <c r="AB66" s="2335" t="str">
        <f t="shared" si="47"/>
        <v/>
      </c>
      <c r="AC66" s="201"/>
      <c r="AD66" s="427" t="str">
        <f t="shared" si="38"/>
        <v/>
      </c>
      <c r="AE66" s="428">
        <f t="shared" si="3"/>
        <v>0</v>
      </c>
      <c r="AF66" s="428">
        <f t="shared" si="4"/>
        <v>0</v>
      </c>
      <c r="AG66" s="428">
        <f t="shared" si="5"/>
        <v>0</v>
      </c>
      <c r="AH66" s="428">
        <f t="shared" si="6"/>
        <v>0</v>
      </c>
      <c r="AI66" s="429">
        <f t="shared" si="7"/>
        <v>0</v>
      </c>
      <c r="AJ66" s="430">
        <f t="shared" si="8"/>
        <v>1</v>
      </c>
      <c r="AK66" s="428">
        <f t="shared" si="9"/>
        <v>0</v>
      </c>
      <c r="AL66" s="431" t="e">
        <f t="shared" si="10"/>
        <v>#DIV/0!</v>
      </c>
      <c r="AM66" s="308"/>
      <c r="AN66" s="432">
        <f t="shared" si="11"/>
        <v>0</v>
      </c>
      <c r="AO66" s="430">
        <f t="shared" si="12"/>
        <v>0</v>
      </c>
      <c r="AP66" s="430">
        <f t="shared" si="13"/>
        <v>0</v>
      </c>
      <c r="AQ66" s="430">
        <f t="shared" si="14"/>
        <v>0</v>
      </c>
      <c r="AR66" s="433">
        <f t="shared" si="15"/>
        <v>0</v>
      </c>
      <c r="AT66" s="434">
        <f t="shared" si="16"/>
        <v>0</v>
      </c>
      <c r="AU66" s="430">
        <f t="shared" si="17"/>
        <v>0</v>
      </c>
      <c r="AV66" s="1469">
        <f t="shared" si="41"/>
        <v>0</v>
      </c>
      <c r="AW66" s="1469">
        <f t="shared" si="42"/>
        <v>0</v>
      </c>
      <c r="AX66" s="430">
        <f t="shared" si="20"/>
        <v>0</v>
      </c>
      <c r="AY66" s="435">
        <f t="shared" si="21"/>
        <v>0</v>
      </c>
      <c r="AZ66" s="309"/>
      <c r="BA66" s="434">
        <f t="shared" si="22"/>
        <v>0</v>
      </c>
      <c r="BB66" s="430">
        <f t="shared" si="23"/>
        <v>0</v>
      </c>
      <c r="BC66" s="430">
        <f t="shared" si="24"/>
        <v>0</v>
      </c>
      <c r="BD66" s="430">
        <f t="shared" si="25"/>
        <v>0</v>
      </c>
      <c r="BE66" s="435">
        <f t="shared" si="26"/>
        <v>0</v>
      </c>
      <c r="BG66" s="428">
        <f t="shared" si="27"/>
        <v>44927</v>
      </c>
      <c r="BH66" s="428">
        <f t="shared" si="28"/>
        <v>44927</v>
      </c>
      <c r="BI66" s="428">
        <f t="shared" si="29"/>
        <v>44927</v>
      </c>
      <c r="BJ66" s="428">
        <f t="shared" si="39"/>
        <v>0</v>
      </c>
      <c r="BL66" s="432">
        <f t="shared" si="30"/>
        <v>0</v>
      </c>
      <c r="BM66" s="428">
        <f t="shared" si="31"/>
        <v>0</v>
      </c>
      <c r="BN66" s="428">
        <f t="shared" si="32"/>
        <v>0</v>
      </c>
      <c r="BO66" s="436">
        <f t="shared" si="33"/>
        <v>0</v>
      </c>
      <c r="BS66" s="1373"/>
    </row>
    <row r="67" spans="1:71" ht="45.75" customHeight="1">
      <c r="A67" s="2336"/>
      <c r="B67" s="2336"/>
      <c r="C67" s="2340"/>
      <c r="D67" s="2337"/>
      <c r="E67" s="2338"/>
      <c r="F67" s="2327"/>
      <c r="G67" s="2339" t="str">
        <f t="shared" si="34"/>
        <v/>
      </c>
      <c r="H67" s="451"/>
      <c r="I67" s="2326"/>
      <c r="J67" s="2327"/>
      <c r="K67" s="2328">
        <f t="shared" si="43"/>
        <v>0</v>
      </c>
      <c r="L67" s="2327"/>
      <c r="M67" s="2326"/>
      <c r="N67" s="2329"/>
      <c r="O67" s="2327"/>
      <c r="P67" s="2328">
        <f t="shared" si="44"/>
        <v>0</v>
      </c>
      <c r="Q67" s="2327"/>
      <c r="R67" s="2326"/>
      <c r="S67" s="2329"/>
      <c r="T67" s="2330"/>
      <c r="U67" s="2331">
        <f t="shared" si="45"/>
        <v>0</v>
      </c>
      <c r="V67" s="2332"/>
      <c r="W67" s="2326"/>
      <c r="X67" s="2329"/>
      <c r="Y67" s="2330"/>
      <c r="Z67" s="2333">
        <f t="shared" si="46"/>
        <v>0</v>
      </c>
      <c r="AA67" s="2334">
        <f t="shared" si="37"/>
        <v>0</v>
      </c>
      <c r="AB67" s="2335" t="str">
        <f t="shared" si="47"/>
        <v/>
      </c>
      <c r="AC67" s="201"/>
      <c r="AD67" s="427" t="str">
        <f t="shared" si="38"/>
        <v/>
      </c>
      <c r="AE67" s="428">
        <f t="shared" si="3"/>
        <v>0</v>
      </c>
      <c r="AF67" s="428">
        <f t="shared" si="4"/>
        <v>0</v>
      </c>
      <c r="AG67" s="428">
        <f t="shared" si="5"/>
        <v>0</v>
      </c>
      <c r="AH67" s="428">
        <f t="shared" si="6"/>
        <v>0</v>
      </c>
      <c r="AI67" s="429">
        <f t="shared" si="7"/>
        <v>0</v>
      </c>
      <c r="AJ67" s="430">
        <f t="shared" si="8"/>
        <v>1</v>
      </c>
      <c r="AK67" s="428">
        <f t="shared" si="9"/>
        <v>0</v>
      </c>
      <c r="AL67" s="431" t="e">
        <f t="shared" si="10"/>
        <v>#DIV/0!</v>
      </c>
      <c r="AM67" s="308"/>
      <c r="AN67" s="432">
        <f t="shared" si="11"/>
        <v>0</v>
      </c>
      <c r="AO67" s="430">
        <f t="shared" si="12"/>
        <v>0</v>
      </c>
      <c r="AP67" s="430">
        <f t="shared" si="13"/>
        <v>0</v>
      </c>
      <c r="AQ67" s="430">
        <f t="shared" si="14"/>
        <v>0</v>
      </c>
      <c r="AR67" s="433">
        <f t="shared" si="15"/>
        <v>0</v>
      </c>
      <c r="AT67" s="434">
        <f t="shared" si="16"/>
        <v>0</v>
      </c>
      <c r="AU67" s="430">
        <f t="shared" si="17"/>
        <v>0</v>
      </c>
      <c r="AV67" s="1469">
        <f t="shared" si="41"/>
        <v>0</v>
      </c>
      <c r="AW67" s="1469">
        <f t="shared" si="42"/>
        <v>0</v>
      </c>
      <c r="AX67" s="430">
        <f t="shared" si="20"/>
        <v>0</v>
      </c>
      <c r="AY67" s="435">
        <f t="shared" si="21"/>
        <v>0</v>
      </c>
      <c r="AZ67" s="309"/>
      <c r="BA67" s="434">
        <f t="shared" si="22"/>
        <v>0</v>
      </c>
      <c r="BB67" s="430">
        <f t="shared" si="23"/>
        <v>0</v>
      </c>
      <c r="BC67" s="430">
        <f t="shared" si="24"/>
        <v>0</v>
      </c>
      <c r="BD67" s="430">
        <f t="shared" si="25"/>
        <v>0</v>
      </c>
      <c r="BE67" s="435">
        <f t="shared" si="26"/>
        <v>0</v>
      </c>
      <c r="BG67" s="428">
        <f t="shared" si="27"/>
        <v>44927</v>
      </c>
      <c r="BH67" s="428">
        <f t="shared" si="28"/>
        <v>44927</v>
      </c>
      <c r="BI67" s="428">
        <f t="shared" si="29"/>
        <v>44927</v>
      </c>
      <c r="BJ67" s="428">
        <f t="shared" si="39"/>
        <v>0</v>
      </c>
      <c r="BL67" s="432">
        <f t="shared" si="30"/>
        <v>0</v>
      </c>
      <c r="BM67" s="428">
        <f t="shared" si="31"/>
        <v>0</v>
      </c>
      <c r="BN67" s="428">
        <f t="shared" si="32"/>
        <v>0</v>
      </c>
      <c r="BO67" s="436">
        <f t="shared" si="33"/>
        <v>0</v>
      </c>
      <c r="BS67" s="1373"/>
    </row>
    <row r="68" spans="1:71" ht="45.75" customHeight="1">
      <c r="A68" s="2336"/>
      <c r="B68" s="2336"/>
      <c r="C68" s="2340"/>
      <c r="D68" s="2337"/>
      <c r="E68" s="2338"/>
      <c r="F68" s="2327"/>
      <c r="G68" s="2339" t="str">
        <f t="shared" si="34"/>
        <v/>
      </c>
      <c r="H68" s="451"/>
      <c r="I68" s="2326"/>
      <c r="J68" s="2327"/>
      <c r="K68" s="2328">
        <f t="shared" si="43"/>
        <v>0</v>
      </c>
      <c r="L68" s="2327"/>
      <c r="M68" s="2326"/>
      <c r="N68" s="2329"/>
      <c r="O68" s="2327"/>
      <c r="P68" s="2328">
        <f t="shared" si="44"/>
        <v>0</v>
      </c>
      <c r="Q68" s="2327"/>
      <c r="R68" s="2326"/>
      <c r="S68" s="2329"/>
      <c r="T68" s="2330"/>
      <c r="U68" s="2331">
        <f t="shared" si="45"/>
        <v>0</v>
      </c>
      <c r="V68" s="2332"/>
      <c r="W68" s="2326"/>
      <c r="X68" s="2329"/>
      <c r="Y68" s="2330"/>
      <c r="Z68" s="2333">
        <f t="shared" si="46"/>
        <v>0</v>
      </c>
      <c r="AA68" s="2334">
        <f t="shared" si="37"/>
        <v>0</v>
      </c>
      <c r="AB68" s="2335" t="str">
        <f t="shared" si="47"/>
        <v/>
      </c>
      <c r="AC68" s="201"/>
      <c r="AD68" s="427" t="str">
        <f t="shared" si="38"/>
        <v/>
      </c>
      <c r="AE68" s="428">
        <f t="shared" si="3"/>
        <v>0</v>
      </c>
      <c r="AF68" s="428">
        <f t="shared" si="4"/>
        <v>0</v>
      </c>
      <c r="AG68" s="428">
        <f t="shared" si="5"/>
        <v>0</v>
      </c>
      <c r="AH68" s="428">
        <f t="shared" si="6"/>
        <v>0</v>
      </c>
      <c r="AI68" s="429">
        <f t="shared" si="7"/>
        <v>0</v>
      </c>
      <c r="AJ68" s="430">
        <f t="shared" si="8"/>
        <v>1</v>
      </c>
      <c r="AK68" s="428">
        <f t="shared" si="9"/>
        <v>0</v>
      </c>
      <c r="AL68" s="431" t="e">
        <f t="shared" si="10"/>
        <v>#DIV/0!</v>
      </c>
      <c r="AM68" s="308"/>
      <c r="AN68" s="432">
        <f t="shared" si="11"/>
        <v>0</v>
      </c>
      <c r="AO68" s="430">
        <f t="shared" si="12"/>
        <v>0</v>
      </c>
      <c r="AP68" s="430">
        <f t="shared" si="13"/>
        <v>0</v>
      </c>
      <c r="AQ68" s="430">
        <f t="shared" si="14"/>
        <v>0</v>
      </c>
      <c r="AR68" s="433">
        <f t="shared" si="15"/>
        <v>0</v>
      </c>
      <c r="AT68" s="434">
        <f t="shared" si="16"/>
        <v>0</v>
      </c>
      <c r="AU68" s="430">
        <f t="shared" si="17"/>
        <v>0</v>
      </c>
      <c r="AV68" s="1469">
        <f t="shared" si="41"/>
        <v>0</v>
      </c>
      <c r="AW68" s="1469">
        <f t="shared" si="42"/>
        <v>0</v>
      </c>
      <c r="AX68" s="430">
        <f t="shared" si="20"/>
        <v>0</v>
      </c>
      <c r="AY68" s="435">
        <f t="shared" si="21"/>
        <v>0</v>
      </c>
      <c r="AZ68" s="309"/>
      <c r="BA68" s="434">
        <f t="shared" si="22"/>
        <v>0</v>
      </c>
      <c r="BB68" s="430">
        <f t="shared" si="23"/>
        <v>0</v>
      </c>
      <c r="BC68" s="430">
        <f t="shared" si="24"/>
        <v>0</v>
      </c>
      <c r="BD68" s="430">
        <f t="shared" si="25"/>
        <v>0</v>
      </c>
      <c r="BE68" s="435">
        <f t="shared" si="26"/>
        <v>0</v>
      </c>
      <c r="BG68" s="428">
        <f t="shared" si="27"/>
        <v>44927</v>
      </c>
      <c r="BH68" s="428">
        <f t="shared" si="28"/>
        <v>44927</v>
      </c>
      <c r="BI68" s="428">
        <f t="shared" si="29"/>
        <v>44927</v>
      </c>
      <c r="BJ68" s="428">
        <f t="shared" si="39"/>
        <v>0</v>
      </c>
      <c r="BL68" s="432">
        <f t="shared" si="30"/>
        <v>0</v>
      </c>
      <c r="BM68" s="428">
        <f t="shared" si="31"/>
        <v>0</v>
      </c>
      <c r="BN68" s="428">
        <f t="shared" si="32"/>
        <v>0</v>
      </c>
      <c r="BO68" s="436">
        <f t="shared" si="33"/>
        <v>0</v>
      </c>
      <c r="BS68" s="1373"/>
    </row>
    <row r="69" spans="1:71" ht="45.75" customHeight="1">
      <c r="A69" s="2336"/>
      <c r="B69" s="2336"/>
      <c r="C69" s="2340"/>
      <c r="D69" s="2337"/>
      <c r="E69" s="2338"/>
      <c r="F69" s="2327"/>
      <c r="G69" s="2339" t="str">
        <f t="shared" si="34"/>
        <v/>
      </c>
      <c r="H69" s="451"/>
      <c r="I69" s="2326"/>
      <c r="J69" s="2327"/>
      <c r="K69" s="2328">
        <f t="shared" si="43"/>
        <v>0</v>
      </c>
      <c r="L69" s="2327"/>
      <c r="M69" s="2326"/>
      <c r="N69" s="2329"/>
      <c r="O69" s="2327"/>
      <c r="P69" s="2328">
        <f t="shared" si="44"/>
        <v>0</v>
      </c>
      <c r="Q69" s="2327"/>
      <c r="R69" s="2326"/>
      <c r="S69" s="2329"/>
      <c r="T69" s="2330"/>
      <c r="U69" s="2331">
        <f t="shared" si="45"/>
        <v>0</v>
      </c>
      <c r="V69" s="2332"/>
      <c r="W69" s="2326"/>
      <c r="X69" s="2329"/>
      <c r="Y69" s="2330"/>
      <c r="Z69" s="2333">
        <f t="shared" si="46"/>
        <v>0</v>
      </c>
      <c r="AA69" s="2334">
        <f t="shared" si="37"/>
        <v>0</v>
      </c>
      <c r="AB69" s="2335" t="str">
        <f t="shared" si="47"/>
        <v/>
      </c>
      <c r="AC69" s="201"/>
      <c r="AD69" s="427" t="str">
        <f t="shared" si="38"/>
        <v/>
      </c>
      <c r="AE69" s="428">
        <f t="shared" si="3"/>
        <v>0</v>
      </c>
      <c r="AF69" s="428">
        <f t="shared" si="4"/>
        <v>0</v>
      </c>
      <c r="AG69" s="428">
        <f t="shared" si="5"/>
        <v>0</v>
      </c>
      <c r="AH69" s="428">
        <f t="shared" si="6"/>
        <v>0</v>
      </c>
      <c r="AI69" s="429">
        <f t="shared" si="7"/>
        <v>0</v>
      </c>
      <c r="AJ69" s="430">
        <f t="shared" si="8"/>
        <v>1</v>
      </c>
      <c r="AK69" s="428">
        <f t="shared" si="9"/>
        <v>0</v>
      </c>
      <c r="AL69" s="431" t="e">
        <f t="shared" si="10"/>
        <v>#DIV/0!</v>
      </c>
      <c r="AM69" s="308"/>
      <c r="AN69" s="432">
        <f t="shared" si="11"/>
        <v>0</v>
      </c>
      <c r="AO69" s="430">
        <f t="shared" si="12"/>
        <v>0</v>
      </c>
      <c r="AP69" s="430">
        <f t="shared" si="13"/>
        <v>0</v>
      </c>
      <c r="AQ69" s="430">
        <f t="shared" si="14"/>
        <v>0</v>
      </c>
      <c r="AR69" s="433">
        <f t="shared" si="15"/>
        <v>0</v>
      </c>
      <c r="AT69" s="434">
        <f t="shared" si="16"/>
        <v>0</v>
      </c>
      <c r="AU69" s="430">
        <f t="shared" si="17"/>
        <v>0</v>
      </c>
      <c r="AV69" s="1469">
        <f t="shared" si="41"/>
        <v>0</v>
      </c>
      <c r="AW69" s="1469">
        <f t="shared" si="42"/>
        <v>0</v>
      </c>
      <c r="AX69" s="430">
        <f t="shared" si="20"/>
        <v>0</v>
      </c>
      <c r="AY69" s="435">
        <f t="shared" si="21"/>
        <v>0</v>
      </c>
      <c r="AZ69" s="309"/>
      <c r="BA69" s="434">
        <f t="shared" si="22"/>
        <v>0</v>
      </c>
      <c r="BB69" s="430">
        <f t="shared" si="23"/>
        <v>0</v>
      </c>
      <c r="BC69" s="430">
        <f t="shared" si="24"/>
        <v>0</v>
      </c>
      <c r="BD69" s="430">
        <f t="shared" si="25"/>
        <v>0</v>
      </c>
      <c r="BE69" s="435">
        <f t="shared" si="26"/>
        <v>0</v>
      </c>
      <c r="BG69" s="428">
        <f t="shared" si="27"/>
        <v>44927</v>
      </c>
      <c r="BH69" s="428">
        <f t="shared" si="28"/>
        <v>44927</v>
      </c>
      <c r="BI69" s="428">
        <f t="shared" si="29"/>
        <v>44927</v>
      </c>
      <c r="BJ69" s="428">
        <f t="shared" si="39"/>
        <v>0</v>
      </c>
      <c r="BL69" s="432">
        <f t="shared" si="30"/>
        <v>0</v>
      </c>
      <c r="BM69" s="428">
        <f t="shared" si="31"/>
        <v>0</v>
      </c>
      <c r="BN69" s="428">
        <f t="shared" si="32"/>
        <v>0</v>
      </c>
      <c r="BO69" s="436">
        <f t="shared" si="33"/>
        <v>0</v>
      </c>
      <c r="BS69" s="1373"/>
    </row>
    <row r="70" spans="1:71" ht="45.75" customHeight="1">
      <c r="A70" s="2336"/>
      <c r="B70" s="2336"/>
      <c r="C70" s="2340"/>
      <c r="D70" s="2337"/>
      <c r="E70" s="2338"/>
      <c r="F70" s="2327"/>
      <c r="G70" s="2339" t="str">
        <f t="shared" si="34"/>
        <v/>
      </c>
      <c r="H70" s="451"/>
      <c r="I70" s="2326"/>
      <c r="J70" s="2327"/>
      <c r="K70" s="2328">
        <f t="shared" si="43"/>
        <v>0</v>
      </c>
      <c r="L70" s="2327"/>
      <c r="M70" s="2326"/>
      <c r="N70" s="2329"/>
      <c r="O70" s="2327"/>
      <c r="P70" s="2328">
        <f t="shared" si="44"/>
        <v>0</v>
      </c>
      <c r="Q70" s="2327"/>
      <c r="R70" s="2326"/>
      <c r="S70" s="2329"/>
      <c r="T70" s="2330"/>
      <c r="U70" s="2331">
        <f t="shared" si="45"/>
        <v>0</v>
      </c>
      <c r="V70" s="2332"/>
      <c r="W70" s="2326"/>
      <c r="X70" s="2329"/>
      <c r="Y70" s="2330"/>
      <c r="Z70" s="2333">
        <f t="shared" si="46"/>
        <v>0</v>
      </c>
      <c r="AA70" s="2334">
        <f t="shared" si="37"/>
        <v>0</v>
      </c>
      <c r="AB70" s="2335" t="str">
        <f t="shared" si="47"/>
        <v/>
      </c>
      <c r="AC70" s="201"/>
      <c r="AD70" s="427" t="str">
        <f t="shared" si="38"/>
        <v/>
      </c>
      <c r="AE70" s="428">
        <f t="shared" si="3"/>
        <v>0</v>
      </c>
      <c r="AF70" s="428">
        <f t="shared" si="4"/>
        <v>0</v>
      </c>
      <c r="AG70" s="428">
        <f t="shared" si="5"/>
        <v>0</v>
      </c>
      <c r="AH70" s="428">
        <f t="shared" si="6"/>
        <v>0</v>
      </c>
      <c r="AI70" s="429">
        <f t="shared" si="7"/>
        <v>0</v>
      </c>
      <c r="AJ70" s="430">
        <f t="shared" si="8"/>
        <v>1</v>
      </c>
      <c r="AK70" s="428">
        <f t="shared" si="9"/>
        <v>0</v>
      </c>
      <c r="AL70" s="431" t="e">
        <f t="shared" si="10"/>
        <v>#DIV/0!</v>
      </c>
      <c r="AM70" s="308"/>
      <c r="AN70" s="432">
        <f t="shared" si="11"/>
        <v>0</v>
      </c>
      <c r="AO70" s="430">
        <f t="shared" si="12"/>
        <v>0</v>
      </c>
      <c r="AP70" s="430">
        <f t="shared" si="13"/>
        <v>0</v>
      </c>
      <c r="AQ70" s="430">
        <f t="shared" si="14"/>
        <v>0</v>
      </c>
      <c r="AR70" s="433">
        <f t="shared" si="15"/>
        <v>0</v>
      </c>
      <c r="AT70" s="434">
        <f t="shared" si="16"/>
        <v>0</v>
      </c>
      <c r="AU70" s="430">
        <f t="shared" si="17"/>
        <v>0</v>
      </c>
      <c r="AV70" s="1469">
        <f t="shared" si="41"/>
        <v>0</v>
      </c>
      <c r="AW70" s="1469">
        <f t="shared" si="42"/>
        <v>0</v>
      </c>
      <c r="AX70" s="430">
        <f t="shared" si="20"/>
        <v>0</v>
      </c>
      <c r="AY70" s="435">
        <f t="shared" si="21"/>
        <v>0</v>
      </c>
      <c r="AZ70" s="309"/>
      <c r="BA70" s="434">
        <f t="shared" si="22"/>
        <v>0</v>
      </c>
      <c r="BB70" s="430">
        <f t="shared" si="23"/>
        <v>0</v>
      </c>
      <c r="BC70" s="430">
        <f t="shared" si="24"/>
        <v>0</v>
      </c>
      <c r="BD70" s="430">
        <f t="shared" si="25"/>
        <v>0</v>
      </c>
      <c r="BE70" s="435">
        <f t="shared" si="26"/>
        <v>0</v>
      </c>
      <c r="BG70" s="428">
        <f t="shared" si="27"/>
        <v>44927</v>
      </c>
      <c r="BH70" s="428">
        <f t="shared" si="28"/>
        <v>44927</v>
      </c>
      <c r="BI70" s="428">
        <f t="shared" si="29"/>
        <v>44927</v>
      </c>
      <c r="BJ70" s="428">
        <f t="shared" si="39"/>
        <v>0</v>
      </c>
      <c r="BL70" s="432">
        <f t="shared" si="30"/>
        <v>0</v>
      </c>
      <c r="BM70" s="428">
        <f t="shared" si="31"/>
        <v>0</v>
      </c>
      <c r="BN70" s="428">
        <f t="shared" si="32"/>
        <v>0</v>
      </c>
      <c r="BO70" s="436">
        <f t="shared" si="33"/>
        <v>0</v>
      </c>
      <c r="BS70" s="1373"/>
    </row>
    <row r="71" spans="1:71" ht="45.75" customHeight="1">
      <c r="A71" s="2336"/>
      <c r="B71" s="2336"/>
      <c r="C71" s="2340"/>
      <c r="D71" s="2337"/>
      <c r="E71" s="2338"/>
      <c r="F71" s="2327"/>
      <c r="G71" s="2339" t="str">
        <f t="shared" si="34"/>
        <v/>
      </c>
      <c r="H71" s="451"/>
      <c r="I71" s="2326"/>
      <c r="J71" s="2327"/>
      <c r="K71" s="2328">
        <f t="shared" si="43"/>
        <v>0</v>
      </c>
      <c r="L71" s="2327"/>
      <c r="M71" s="2326"/>
      <c r="N71" s="2329"/>
      <c r="O71" s="2327"/>
      <c r="P71" s="2328">
        <f t="shared" si="44"/>
        <v>0</v>
      </c>
      <c r="Q71" s="2327"/>
      <c r="R71" s="2326"/>
      <c r="S71" s="2329"/>
      <c r="T71" s="2330"/>
      <c r="U71" s="2331">
        <f t="shared" si="45"/>
        <v>0</v>
      </c>
      <c r="V71" s="2332"/>
      <c r="W71" s="2326"/>
      <c r="X71" s="2329"/>
      <c r="Y71" s="2330"/>
      <c r="Z71" s="2333">
        <f t="shared" si="46"/>
        <v>0</v>
      </c>
      <c r="AA71" s="2334">
        <f t="shared" si="37"/>
        <v>0</v>
      </c>
      <c r="AB71" s="2335" t="str">
        <f t="shared" si="47"/>
        <v/>
      </c>
      <c r="AC71" s="201"/>
      <c r="AD71" s="427" t="str">
        <f t="shared" si="38"/>
        <v/>
      </c>
      <c r="AE71" s="428">
        <f t="shared" si="3"/>
        <v>0</v>
      </c>
      <c r="AF71" s="428">
        <f t="shared" si="4"/>
        <v>0</v>
      </c>
      <c r="AG71" s="428">
        <f t="shared" si="5"/>
        <v>0</v>
      </c>
      <c r="AH71" s="428">
        <f t="shared" si="6"/>
        <v>0</v>
      </c>
      <c r="AI71" s="429">
        <f t="shared" si="7"/>
        <v>0</v>
      </c>
      <c r="AJ71" s="430">
        <f t="shared" si="8"/>
        <v>1</v>
      </c>
      <c r="AK71" s="428">
        <f t="shared" si="9"/>
        <v>0</v>
      </c>
      <c r="AL71" s="431" t="e">
        <f t="shared" si="10"/>
        <v>#DIV/0!</v>
      </c>
      <c r="AM71" s="308"/>
      <c r="AN71" s="432">
        <f t="shared" si="11"/>
        <v>0</v>
      </c>
      <c r="AO71" s="430">
        <f t="shared" si="12"/>
        <v>0</v>
      </c>
      <c r="AP71" s="430">
        <f t="shared" si="13"/>
        <v>0</v>
      </c>
      <c r="AQ71" s="430">
        <f t="shared" si="14"/>
        <v>0</v>
      </c>
      <c r="AR71" s="433">
        <f t="shared" si="15"/>
        <v>0</v>
      </c>
      <c r="AT71" s="434">
        <f t="shared" si="16"/>
        <v>0</v>
      </c>
      <c r="AU71" s="430">
        <f t="shared" si="17"/>
        <v>0</v>
      </c>
      <c r="AV71" s="1469">
        <f t="shared" si="41"/>
        <v>0</v>
      </c>
      <c r="AW71" s="1469">
        <f t="shared" si="42"/>
        <v>0</v>
      </c>
      <c r="AX71" s="430">
        <f t="shared" si="20"/>
        <v>0</v>
      </c>
      <c r="AY71" s="435">
        <f t="shared" si="21"/>
        <v>0</v>
      </c>
      <c r="AZ71" s="309"/>
      <c r="BA71" s="434">
        <f t="shared" si="22"/>
        <v>0</v>
      </c>
      <c r="BB71" s="430">
        <f t="shared" si="23"/>
        <v>0</v>
      </c>
      <c r="BC71" s="430">
        <f t="shared" si="24"/>
        <v>0</v>
      </c>
      <c r="BD71" s="430">
        <f t="shared" si="25"/>
        <v>0</v>
      </c>
      <c r="BE71" s="435">
        <f t="shared" si="26"/>
        <v>0</v>
      </c>
      <c r="BG71" s="428">
        <f t="shared" si="27"/>
        <v>44927</v>
      </c>
      <c r="BH71" s="428">
        <f t="shared" si="28"/>
        <v>44927</v>
      </c>
      <c r="BI71" s="428">
        <f t="shared" si="29"/>
        <v>44927</v>
      </c>
      <c r="BJ71" s="428">
        <f t="shared" si="39"/>
        <v>0</v>
      </c>
      <c r="BL71" s="432">
        <f t="shared" si="30"/>
        <v>0</v>
      </c>
      <c r="BM71" s="428">
        <f t="shared" si="31"/>
        <v>0</v>
      </c>
      <c r="BN71" s="428">
        <f t="shared" si="32"/>
        <v>0</v>
      </c>
      <c r="BO71" s="436">
        <f t="shared" si="33"/>
        <v>0</v>
      </c>
      <c r="BS71" s="1373"/>
    </row>
    <row r="72" spans="1:71" ht="45.75" customHeight="1">
      <c r="A72" s="2336"/>
      <c r="B72" s="2336"/>
      <c r="C72" s="2340"/>
      <c r="D72" s="2337"/>
      <c r="E72" s="2338"/>
      <c r="F72" s="2327"/>
      <c r="G72" s="2339" t="str">
        <f t="shared" si="34"/>
        <v/>
      </c>
      <c r="H72" s="451"/>
      <c r="I72" s="2326"/>
      <c r="J72" s="2327"/>
      <c r="K72" s="2328">
        <f t="shared" si="43"/>
        <v>0</v>
      </c>
      <c r="L72" s="2327"/>
      <c r="M72" s="2326"/>
      <c r="N72" s="2329"/>
      <c r="O72" s="2327"/>
      <c r="P72" s="2328">
        <f t="shared" si="44"/>
        <v>0</v>
      </c>
      <c r="Q72" s="2327"/>
      <c r="R72" s="2326"/>
      <c r="S72" s="2329"/>
      <c r="T72" s="2330"/>
      <c r="U72" s="2331">
        <f t="shared" si="45"/>
        <v>0</v>
      </c>
      <c r="V72" s="2332"/>
      <c r="W72" s="2326"/>
      <c r="X72" s="2329"/>
      <c r="Y72" s="2330"/>
      <c r="Z72" s="2333">
        <f t="shared" si="46"/>
        <v>0</v>
      </c>
      <c r="AA72" s="2334">
        <f t="shared" si="37"/>
        <v>0</v>
      </c>
      <c r="AB72" s="2335" t="str">
        <f t="shared" si="47"/>
        <v/>
      </c>
      <c r="AC72" s="201"/>
      <c r="AD72" s="427" t="str">
        <f t="shared" si="38"/>
        <v/>
      </c>
      <c r="AE72" s="428">
        <f t="shared" si="3"/>
        <v>0</v>
      </c>
      <c r="AF72" s="428">
        <f t="shared" si="4"/>
        <v>0</v>
      </c>
      <c r="AG72" s="428">
        <f t="shared" si="5"/>
        <v>0</v>
      </c>
      <c r="AH72" s="428">
        <f t="shared" si="6"/>
        <v>0</v>
      </c>
      <c r="AI72" s="429">
        <f t="shared" si="7"/>
        <v>0</v>
      </c>
      <c r="AJ72" s="430">
        <f t="shared" si="8"/>
        <v>1</v>
      </c>
      <c r="AK72" s="428">
        <f t="shared" si="9"/>
        <v>0</v>
      </c>
      <c r="AL72" s="431" t="e">
        <f t="shared" si="10"/>
        <v>#DIV/0!</v>
      </c>
      <c r="AM72" s="308"/>
      <c r="AN72" s="432">
        <f t="shared" si="11"/>
        <v>0</v>
      </c>
      <c r="AO72" s="430">
        <f t="shared" si="12"/>
        <v>0</v>
      </c>
      <c r="AP72" s="430">
        <f t="shared" si="13"/>
        <v>0</v>
      </c>
      <c r="AQ72" s="430">
        <f t="shared" si="14"/>
        <v>0</v>
      </c>
      <c r="AR72" s="433">
        <f t="shared" si="15"/>
        <v>0</v>
      </c>
      <c r="AT72" s="434">
        <f t="shared" si="16"/>
        <v>0</v>
      </c>
      <c r="AU72" s="430">
        <f t="shared" si="17"/>
        <v>0</v>
      </c>
      <c r="AV72" s="1469">
        <f t="shared" si="41"/>
        <v>0</v>
      </c>
      <c r="AW72" s="1469">
        <f t="shared" si="42"/>
        <v>0</v>
      </c>
      <c r="AX72" s="430">
        <f t="shared" si="20"/>
        <v>0</v>
      </c>
      <c r="AY72" s="435">
        <f t="shared" si="21"/>
        <v>0</v>
      </c>
      <c r="AZ72" s="309"/>
      <c r="BA72" s="434">
        <f t="shared" si="22"/>
        <v>0</v>
      </c>
      <c r="BB72" s="430">
        <f t="shared" si="23"/>
        <v>0</v>
      </c>
      <c r="BC72" s="430">
        <f t="shared" si="24"/>
        <v>0</v>
      </c>
      <c r="BD72" s="430">
        <f t="shared" si="25"/>
        <v>0</v>
      </c>
      <c r="BE72" s="435">
        <f t="shared" si="26"/>
        <v>0</v>
      </c>
      <c r="BG72" s="428">
        <f t="shared" si="27"/>
        <v>44927</v>
      </c>
      <c r="BH72" s="428">
        <f t="shared" si="28"/>
        <v>44927</v>
      </c>
      <c r="BI72" s="428">
        <f t="shared" si="29"/>
        <v>44927</v>
      </c>
      <c r="BJ72" s="428">
        <f t="shared" si="39"/>
        <v>0</v>
      </c>
      <c r="BL72" s="432">
        <f t="shared" si="30"/>
        <v>0</v>
      </c>
      <c r="BM72" s="428">
        <f t="shared" si="31"/>
        <v>0</v>
      </c>
      <c r="BN72" s="428">
        <f t="shared" si="32"/>
        <v>0</v>
      </c>
      <c r="BO72" s="436">
        <f t="shared" si="33"/>
        <v>0</v>
      </c>
      <c r="BS72" s="1373"/>
    </row>
    <row r="73" spans="1:71" ht="45.75" customHeight="1">
      <c r="A73" s="2336"/>
      <c r="B73" s="2336"/>
      <c r="C73" s="2340"/>
      <c r="D73" s="2337"/>
      <c r="E73" s="2338"/>
      <c r="F73" s="2327"/>
      <c r="G73" s="2339" t="str">
        <f t="shared" si="34"/>
        <v/>
      </c>
      <c r="H73" s="451"/>
      <c r="I73" s="2326"/>
      <c r="J73" s="2327"/>
      <c r="K73" s="2328">
        <f t="shared" ref="K73:K104" si="48">AO73</f>
        <v>0</v>
      </c>
      <c r="L73" s="2327"/>
      <c r="M73" s="2326"/>
      <c r="N73" s="2329"/>
      <c r="O73" s="2327"/>
      <c r="P73" s="2328">
        <f t="shared" ref="P73:P104" si="49">AP73</f>
        <v>0</v>
      </c>
      <c r="Q73" s="2327"/>
      <c r="R73" s="2326"/>
      <c r="S73" s="2329"/>
      <c r="T73" s="2330"/>
      <c r="U73" s="2331">
        <f t="shared" ref="U73:U104" si="50">AQ73</f>
        <v>0</v>
      </c>
      <c r="V73" s="2332"/>
      <c r="W73" s="2326"/>
      <c r="X73" s="2329"/>
      <c r="Y73" s="2330"/>
      <c r="Z73" s="2333">
        <f t="shared" ref="Z73:Z104" si="51">AR73</f>
        <v>0</v>
      </c>
      <c r="AA73" s="2334">
        <f t="shared" si="37"/>
        <v>0</v>
      </c>
      <c r="AB73" s="2335" t="str">
        <f t="shared" ref="AB73:AB104" si="52">AD73</f>
        <v/>
      </c>
      <c r="AC73" s="201"/>
      <c r="AD73" s="427" t="str">
        <f t="shared" si="38"/>
        <v/>
      </c>
      <c r="AE73" s="428">
        <f t="shared" si="3"/>
        <v>0</v>
      </c>
      <c r="AF73" s="428">
        <f t="shared" si="4"/>
        <v>0</v>
      </c>
      <c r="AG73" s="428">
        <f t="shared" si="5"/>
        <v>0</v>
      </c>
      <c r="AH73" s="428">
        <f t="shared" si="6"/>
        <v>0</v>
      </c>
      <c r="AI73" s="429">
        <f t="shared" si="7"/>
        <v>0</v>
      </c>
      <c r="AJ73" s="430">
        <f t="shared" si="8"/>
        <v>1</v>
      </c>
      <c r="AK73" s="428">
        <f t="shared" si="9"/>
        <v>0</v>
      </c>
      <c r="AL73" s="431" t="e">
        <f t="shared" si="10"/>
        <v>#DIV/0!</v>
      </c>
      <c r="AM73" s="308"/>
      <c r="AN73" s="432">
        <f t="shared" si="11"/>
        <v>0</v>
      </c>
      <c r="AO73" s="430">
        <f t="shared" si="12"/>
        <v>0</v>
      </c>
      <c r="AP73" s="430">
        <f t="shared" si="13"/>
        <v>0</v>
      </c>
      <c r="AQ73" s="430">
        <f t="shared" si="14"/>
        <v>0</v>
      </c>
      <c r="AR73" s="433">
        <f t="shared" si="15"/>
        <v>0</v>
      </c>
      <c r="AT73" s="434">
        <f t="shared" si="16"/>
        <v>0</v>
      </c>
      <c r="AU73" s="430">
        <f t="shared" si="17"/>
        <v>0</v>
      </c>
      <c r="AV73" s="1469">
        <f t="shared" si="41"/>
        <v>0</v>
      </c>
      <c r="AW73" s="1469">
        <f t="shared" si="42"/>
        <v>0</v>
      </c>
      <c r="AX73" s="430">
        <f t="shared" si="20"/>
        <v>0</v>
      </c>
      <c r="AY73" s="435">
        <f t="shared" si="21"/>
        <v>0</v>
      </c>
      <c r="AZ73" s="309"/>
      <c r="BA73" s="434">
        <f t="shared" si="22"/>
        <v>0</v>
      </c>
      <c r="BB73" s="430">
        <f t="shared" si="23"/>
        <v>0</v>
      </c>
      <c r="BC73" s="430">
        <f t="shared" si="24"/>
        <v>0</v>
      </c>
      <c r="BD73" s="430">
        <f t="shared" si="25"/>
        <v>0</v>
      </c>
      <c r="BE73" s="435">
        <f t="shared" si="26"/>
        <v>0</v>
      </c>
      <c r="BG73" s="428">
        <f t="shared" si="27"/>
        <v>44927</v>
      </c>
      <c r="BH73" s="428">
        <f t="shared" si="28"/>
        <v>44927</v>
      </c>
      <c r="BI73" s="428">
        <f t="shared" si="29"/>
        <v>44927</v>
      </c>
      <c r="BJ73" s="428">
        <f t="shared" si="39"/>
        <v>0</v>
      </c>
      <c r="BL73" s="432">
        <f t="shared" si="30"/>
        <v>0</v>
      </c>
      <c r="BM73" s="428">
        <f t="shared" si="31"/>
        <v>0</v>
      </c>
      <c r="BN73" s="428">
        <f t="shared" si="32"/>
        <v>0</v>
      </c>
      <c r="BO73" s="436">
        <f t="shared" si="33"/>
        <v>0</v>
      </c>
      <c r="BS73" s="1373"/>
    </row>
    <row r="74" spans="1:71" ht="45.75" customHeight="1">
      <c r="A74" s="2336"/>
      <c r="B74" s="2336"/>
      <c r="C74" s="2340"/>
      <c r="D74" s="2337"/>
      <c r="E74" s="2338"/>
      <c r="F74" s="2327"/>
      <c r="G74" s="2339" t="str">
        <f t="shared" ref="G74:G118" si="53">IFERROR(IF(AN74&gt;0,AN74,""),0)</f>
        <v/>
      </c>
      <c r="H74" s="451"/>
      <c r="I74" s="2326"/>
      <c r="J74" s="2327"/>
      <c r="K74" s="2328">
        <f t="shared" si="48"/>
        <v>0</v>
      </c>
      <c r="L74" s="2327"/>
      <c r="M74" s="2326"/>
      <c r="N74" s="2329"/>
      <c r="O74" s="2327"/>
      <c r="P74" s="2328">
        <f t="shared" si="49"/>
        <v>0</v>
      </c>
      <c r="Q74" s="2327"/>
      <c r="R74" s="2326"/>
      <c r="S74" s="2329"/>
      <c r="T74" s="2330"/>
      <c r="U74" s="2331">
        <f t="shared" si="50"/>
        <v>0</v>
      </c>
      <c r="V74" s="2332"/>
      <c r="W74" s="2326"/>
      <c r="X74" s="2329"/>
      <c r="Y74" s="2330"/>
      <c r="Z74" s="2333">
        <f t="shared" si="51"/>
        <v>0</v>
      </c>
      <c r="AA74" s="2334">
        <f t="shared" ref="AA74:AA118" si="54">IF(AND($H$3=0,C74&lt;&gt;""),"Ackerfläche noch nicht angeführt",IF(ISBLANK(C74),0,IF(AJ74=0,"ja",IF(AI74&gt;0,CONCATENATE("nein - ",ROUND(AL74*100,1)," % ","nicht begrünt"),""))))</f>
        <v>0</v>
      </c>
      <c r="AB74" s="2335" t="str">
        <f t="shared" si="52"/>
        <v/>
      </c>
      <c r="AC74" s="201"/>
      <c r="AD74" s="427" t="str">
        <f t="shared" ref="AD74:AD118" si="55">IF(AND(AE74=1,N74="",L74&gt;0,AO74&lt;=50,AT74&lt;&gt;1,AV74&lt;&gt;1,AW74&lt;&gt;1),$BQ$9,IF(AND(AE74=1,S74="",Q74&gt;0,AP74&lt;=50,N74="HF",AT74&lt;&gt;1,AU74&lt;&gt;1,AW74&lt;&gt;1),$BQ$10,IF(AND(AE74=1,X74="",V74&gt;0,AQ74&lt;=50,S74="HF",AT74&lt;&gt;1,AU74&lt;&gt;1,AV74&lt;&gt;1),$BQ$11,IF(AND(AF74=1,AI74=1),$BQ$15,IF(AND(AE74=1,AI74=1),$BQ$13,IF(AND(AG74=1,AI74=1),$BQ$14,IF(AND(AH74=1,AI74=1),$BQ$12,IF(AND($AE74=1,$AF74=1,AI74=2),CONCATENATE($BQ$13," &amp; ",$BQ$15),IF(AND($AE74=1,$AG74=1,AI74=2),CONCATENATE($BQ$13," &amp; ",$BQ$14),IF(AND($AE74=1,$AH74=1,AI74=2),CONCATENATE($BQ$13," &amp; ",$BQ$12),IF(AND($AF74=1,$AG74=1,AI74=2),CONCATENATE($BQ$15," &amp; ",$BQ$14),IF(AND($AF74=1,$AH74=1,AI74=2),CONCATENATE($BQ$15," &amp; ",$BQ$12),IF(AND($AG74=1,$AH74=1,AI74=2),CONCATENATE($BQ$14," &amp; ",$BQ$12),IF(AND($AE74=1,$AF74=1,$AG74=1,AI74=3),CONCATENATE($BQ$13," &amp; ",$BQ$15," &amp; ",$BQ$14),IF(AND($AE74=1,$AG74=1,$AH74=1,AI74=3),CONCATENATE($BQ$13," &amp; ",$BQ$14," &amp; ",$BQ$12),IF(AND($AF74=1,$AG74=1,$AH74=1,AI74=3),CONCATENATE($BQ$15," &amp; ",$BQ$14," &amp; ",$BQ$12),IF(AND($AE74=1,$AF74=1,$AH74=1,AI74=3),CONCATENATE($BQ$13," &amp; ",$BQ$15," &amp; ",$BQ$12),IF(AI74=4,"Fehler in Eingabe",""))))))))))))))))))</f>
        <v/>
      </c>
      <c r="AE74" s="428">
        <f t="shared" si="3"/>
        <v>0</v>
      </c>
      <c r="AF74" s="428">
        <f t="shared" si="4"/>
        <v>0</v>
      </c>
      <c r="AG74" s="428">
        <f t="shared" si="5"/>
        <v>0</v>
      </c>
      <c r="AH74" s="428">
        <f t="shared" si="6"/>
        <v>0</v>
      </c>
      <c r="AI74" s="429">
        <f t="shared" si="7"/>
        <v>0</v>
      </c>
      <c r="AJ74" s="430">
        <f t="shared" si="8"/>
        <v>1</v>
      </c>
      <c r="AK74" s="428">
        <f t="shared" si="9"/>
        <v>0</v>
      </c>
      <c r="AL74" s="431" t="e">
        <f t="shared" si="10"/>
        <v>#DIV/0!</v>
      </c>
      <c r="AM74" s="308"/>
      <c r="AN74" s="432">
        <f t="shared" si="11"/>
        <v>0</v>
      </c>
      <c r="AO74" s="430">
        <f t="shared" si="12"/>
        <v>0</v>
      </c>
      <c r="AP74" s="430">
        <f t="shared" si="13"/>
        <v>0</v>
      </c>
      <c r="AQ74" s="430">
        <f t="shared" si="14"/>
        <v>0</v>
      </c>
      <c r="AR74" s="433">
        <f t="shared" si="15"/>
        <v>0</v>
      </c>
      <c r="AT74" s="434">
        <f t="shared" si="16"/>
        <v>0</v>
      </c>
      <c r="AU74" s="430">
        <f t="shared" si="17"/>
        <v>0</v>
      </c>
      <c r="AV74" s="1469">
        <f t="shared" si="41"/>
        <v>0</v>
      </c>
      <c r="AW74" s="1469">
        <f t="shared" si="42"/>
        <v>0</v>
      </c>
      <c r="AX74" s="430">
        <f t="shared" si="20"/>
        <v>0</v>
      </c>
      <c r="AY74" s="435">
        <f t="shared" si="21"/>
        <v>0</v>
      </c>
      <c r="AZ74" s="309"/>
      <c r="BA74" s="434">
        <f t="shared" si="22"/>
        <v>0</v>
      </c>
      <c r="BB74" s="430">
        <f t="shared" si="23"/>
        <v>0</v>
      </c>
      <c r="BC74" s="430">
        <f t="shared" si="24"/>
        <v>0</v>
      </c>
      <c r="BD74" s="430">
        <f t="shared" si="25"/>
        <v>0</v>
      </c>
      <c r="BE74" s="435">
        <f t="shared" si="26"/>
        <v>0</v>
      </c>
      <c r="BG74" s="428">
        <f t="shared" si="27"/>
        <v>44927</v>
      </c>
      <c r="BH74" s="428">
        <f t="shared" si="28"/>
        <v>44927</v>
      </c>
      <c r="BI74" s="428">
        <f t="shared" si="29"/>
        <v>44927</v>
      </c>
      <c r="BJ74" s="428">
        <f t="shared" ref="BJ74:BJ118" si="56">IF(AND(BG74&lt;36,N74="ZWF"),1,IF(AND(BH74&lt;36,S74="ZWF"),1,IF(AND(BI74&lt;36,X74="ZWF"),1,0)))</f>
        <v>0</v>
      </c>
      <c r="BL74" s="432">
        <f t="shared" si="30"/>
        <v>0</v>
      </c>
      <c r="BM74" s="428">
        <f t="shared" si="31"/>
        <v>0</v>
      </c>
      <c r="BN74" s="428">
        <f t="shared" si="32"/>
        <v>0</v>
      </c>
      <c r="BO74" s="436">
        <f t="shared" si="33"/>
        <v>0</v>
      </c>
      <c r="BS74" s="1373"/>
    </row>
    <row r="75" spans="1:71" ht="45.75" customHeight="1">
      <c r="A75" s="2336"/>
      <c r="B75" s="2336"/>
      <c r="C75" s="2340"/>
      <c r="D75" s="2337"/>
      <c r="E75" s="2338"/>
      <c r="F75" s="2327"/>
      <c r="G75" s="2339" t="str">
        <f t="shared" si="53"/>
        <v/>
      </c>
      <c r="H75" s="451"/>
      <c r="I75" s="2326"/>
      <c r="J75" s="2327"/>
      <c r="K75" s="2328">
        <f t="shared" si="48"/>
        <v>0</v>
      </c>
      <c r="L75" s="2327"/>
      <c r="M75" s="2326"/>
      <c r="N75" s="2329"/>
      <c r="O75" s="2327"/>
      <c r="P75" s="2328">
        <f t="shared" si="49"/>
        <v>0</v>
      </c>
      <c r="Q75" s="2327"/>
      <c r="R75" s="2326"/>
      <c r="S75" s="2329"/>
      <c r="T75" s="2330"/>
      <c r="U75" s="2331">
        <f t="shared" si="50"/>
        <v>0</v>
      </c>
      <c r="V75" s="2332"/>
      <c r="W75" s="2326"/>
      <c r="X75" s="2329"/>
      <c r="Y75" s="2330"/>
      <c r="Z75" s="2333">
        <f t="shared" si="51"/>
        <v>0</v>
      </c>
      <c r="AA75" s="2334">
        <f t="shared" si="54"/>
        <v>0</v>
      </c>
      <c r="AB75" s="2335" t="str">
        <f t="shared" si="52"/>
        <v/>
      </c>
      <c r="AC75" s="201"/>
      <c r="AD75" s="427" t="str">
        <f t="shared" si="55"/>
        <v/>
      </c>
      <c r="AE75" s="428">
        <f t="shared" si="3"/>
        <v>0</v>
      </c>
      <c r="AF75" s="428">
        <f t="shared" si="4"/>
        <v>0</v>
      </c>
      <c r="AG75" s="428">
        <f t="shared" si="5"/>
        <v>0</v>
      </c>
      <c r="AH75" s="428">
        <f t="shared" si="6"/>
        <v>0</v>
      </c>
      <c r="AI75" s="429">
        <f t="shared" si="7"/>
        <v>0</v>
      </c>
      <c r="AJ75" s="430">
        <f t="shared" si="8"/>
        <v>1</v>
      </c>
      <c r="AK75" s="428">
        <f t="shared" si="9"/>
        <v>0</v>
      </c>
      <c r="AL75" s="431" t="e">
        <f t="shared" si="10"/>
        <v>#DIV/0!</v>
      </c>
      <c r="AM75" s="308"/>
      <c r="AN75" s="432">
        <f t="shared" si="11"/>
        <v>0</v>
      </c>
      <c r="AO75" s="430">
        <f t="shared" si="12"/>
        <v>0</v>
      </c>
      <c r="AP75" s="430">
        <f t="shared" si="13"/>
        <v>0</v>
      </c>
      <c r="AQ75" s="430">
        <f t="shared" si="14"/>
        <v>0</v>
      </c>
      <c r="AR75" s="433">
        <f t="shared" si="15"/>
        <v>0</v>
      </c>
      <c r="AT75" s="434">
        <f t="shared" si="16"/>
        <v>0</v>
      </c>
      <c r="AU75" s="430">
        <f t="shared" si="17"/>
        <v>0</v>
      </c>
      <c r="AV75" s="1469">
        <f t="shared" si="41"/>
        <v>0</v>
      </c>
      <c r="AW75" s="1469">
        <f t="shared" si="42"/>
        <v>0</v>
      </c>
      <c r="AX75" s="430">
        <f t="shared" si="20"/>
        <v>0</v>
      </c>
      <c r="AY75" s="435">
        <f t="shared" si="21"/>
        <v>0</v>
      </c>
      <c r="AZ75" s="309"/>
      <c r="BA75" s="434">
        <f t="shared" si="22"/>
        <v>0</v>
      </c>
      <c r="BB75" s="430">
        <f t="shared" si="23"/>
        <v>0</v>
      </c>
      <c r="BC75" s="430">
        <f t="shared" si="24"/>
        <v>0</v>
      </c>
      <c r="BD75" s="430">
        <f t="shared" si="25"/>
        <v>0</v>
      </c>
      <c r="BE75" s="435">
        <f t="shared" si="26"/>
        <v>0</v>
      </c>
      <c r="BG75" s="428">
        <f t="shared" si="27"/>
        <v>44927</v>
      </c>
      <c r="BH75" s="428">
        <f t="shared" si="28"/>
        <v>44927</v>
      </c>
      <c r="BI75" s="428">
        <f t="shared" si="29"/>
        <v>44927</v>
      </c>
      <c r="BJ75" s="428">
        <f t="shared" si="56"/>
        <v>0</v>
      </c>
      <c r="BL75" s="432">
        <f t="shared" si="30"/>
        <v>0</v>
      </c>
      <c r="BM75" s="428">
        <f t="shared" si="31"/>
        <v>0</v>
      </c>
      <c r="BN75" s="428">
        <f t="shared" si="32"/>
        <v>0</v>
      </c>
      <c r="BO75" s="436">
        <f t="shared" si="33"/>
        <v>0</v>
      </c>
      <c r="BS75" s="1373"/>
    </row>
    <row r="76" spans="1:71" ht="45.75" customHeight="1">
      <c r="A76" s="2336"/>
      <c r="B76" s="2336"/>
      <c r="C76" s="2340"/>
      <c r="D76" s="2337"/>
      <c r="E76" s="2338"/>
      <c r="F76" s="2327"/>
      <c r="G76" s="2339" t="str">
        <f t="shared" si="53"/>
        <v/>
      </c>
      <c r="H76" s="451"/>
      <c r="I76" s="2326"/>
      <c r="J76" s="2327"/>
      <c r="K76" s="2328">
        <f t="shared" si="48"/>
        <v>0</v>
      </c>
      <c r="L76" s="2327"/>
      <c r="M76" s="2326"/>
      <c r="N76" s="2329"/>
      <c r="O76" s="2327"/>
      <c r="P76" s="2328">
        <f t="shared" si="49"/>
        <v>0</v>
      </c>
      <c r="Q76" s="2327"/>
      <c r="R76" s="2326"/>
      <c r="S76" s="2329"/>
      <c r="T76" s="2330"/>
      <c r="U76" s="2331">
        <f t="shared" si="50"/>
        <v>0</v>
      </c>
      <c r="V76" s="2332"/>
      <c r="W76" s="2326"/>
      <c r="X76" s="2329"/>
      <c r="Y76" s="2330"/>
      <c r="Z76" s="2333">
        <f t="shared" si="51"/>
        <v>0</v>
      </c>
      <c r="AA76" s="2334">
        <f t="shared" si="54"/>
        <v>0</v>
      </c>
      <c r="AB76" s="2335" t="str">
        <f t="shared" si="52"/>
        <v/>
      </c>
      <c r="AC76" s="201"/>
      <c r="AD76" s="427" t="str">
        <f t="shared" si="55"/>
        <v/>
      </c>
      <c r="AE76" s="428">
        <f t="shared" si="3"/>
        <v>0</v>
      </c>
      <c r="AF76" s="428">
        <f t="shared" si="4"/>
        <v>0</v>
      </c>
      <c r="AG76" s="428">
        <f t="shared" si="5"/>
        <v>0</v>
      </c>
      <c r="AH76" s="428">
        <f t="shared" si="6"/>
        <v>0</v>
      </c>
      <c r="AI76" s="429">
        <f t="shared" si="7"/>
        <v>0</v>
      </c>
      <c r="AJ76" s="430">
        <f t="shared" si="8"/>
        <v>1</v>
      </c>
      <c r="AK76" s="428">
        <f t="shared" si="9"/>
        <v>0</v>
      </c>
      <c r="AL76" s="431" t="e">
        <f t="shared" si="10"/>
        <v>#DIV/0!</v>
      </c>
      <c r="AM76" s="308"/>
      <c r="AN76" s="432">
        <f t="shared" si="11"/>
        <v>0</v>
      </c>
      <c r="AO76" s="430">
        <f t="shared" si="12"/>
        <v>0</v>
      </c>
      <c r="AP76" s="430">
        <f t="shared" si="13"/>
        <v>0</v>
      </c>
      <c r="AQ76" s="430">
        <f t="shared" si="14"/>
        <v>0</v>
      </c>
      <c r="AR76" s="433">
        <f t="shared" si="15"/>
        <v>0</v>
      </c>
      <c r="AT76" s="434">
        <f t="shared" si="16"/>
        <v>0</v>
      </c>
      <c r="AU76" s="430">
        <f t="shared" si="17"/>
        <v>0</v>
      </c>
      <c r="AV76" s="1469">
        <f t="shared" si="41"/>
        <v>0</v>
      </c>
      <c r="AW76" s="1469">
        <f t="shared" si="42"/>
        <v>0</v>
      </c>
      <c r="AX76" s="430">
        <f t="shared" si="20"/>
        <v>0</v>
      </c>
      <c r="AY76" s="435">
        <f t="shared" si="21"/>
        <v>0</v>
      </c>
      <c r="AZ76" s="309"/>
      <c r="BA76" s="434">
        <f t="shared" si="22"/>
        <v>0</v>
      </c>
      <c r="BB76" s="430">
        <f t="shared" si="23"/>
        <v>0</v>
      </c>
      <c r="BC76" s="430">
        <f t="shared" si="24"/>
        <v>0</v>
      </c>
      <c r="BD76" s="430">
        <f t="shared" si="25"/>
        <v>0</v>
      </c>
      <c r="BE76" s="435">
        <f t="shared" si="26"/>
        <v>0</v>
      </c>
      <c r="BG76" s="428">
        <f t="shared" si="27"/>
        <v>44927</v>
      </c>
      <c r="BH76" s="428">
        <f t="shared" si="28"/>
        <v>44927</v>
      </c>
      <c r="BI76" s="428">
        <f t="shared" si="29"/>
        <v>44927</v>
      </c>
      <c r="BJ76" s="428">
        <f t="shared" si="56"/>
        <v>0</v>
      </c>
      <c r="BL76" s="432">
        <f t="shared" si="30"/>
        <v>0</v>
      </c>
      <c r="BM76" s="428">
        <f t="shared" si="31"/>
        <v>0</v>
      </c>
      <c r="BN76" s="428">
        <f t="shared" si="32"/>
        <v>0</v>
      </c>
      <c r="BO76" s="436">
        <f t="shared" si="33"/>
        <v>0</v>
      </c>
      <c r="BS76" s="1373"/>
    </row>
    <row r="77" spans="1:71" ht="45.75" customHeight="1">
      <c r="A77" s="2336"/>
      <c r="B77" s="2336"/>
      <c r="C77" s="2340"/>
      <c r="D77" s="2337"/>
      <c r="E77" s="2338"/>
      <c r="F77" s="2327"/>
      <c r="G77" s="2339" t="str">
        <f t="shared" si="53"/>
        <v/>
      </c>
      <c r="H77" s="451"/>
      <c r="I77" s="2326"/>
      <c r="J77" s="2327"/>
      <c r="K77" s="2328">
        <f t="shared" si="48"/>
        <v>0</v>
      </c>
      <c r="L77" s="2327"/>
      <c r="M77" s="2326"/>
      <c r="N77" s="2329"/>
      <c r="O77" s="2327"/>
      <c r="P77" s="2328">
        <f t="shared" si="49"/>
        <v>0</v>
      </c>
      <c r="Q77" s="2327"/>
      <c r="R77" s="2326"/>
      <c r="S77" s="2329"/>
      <c r="T77" s="2330"/>
      <c r="U77" s="2331">
        <f t="shared" si="50"/>
        <v>0</v>
      </c>
      <c r="V77" s="2332"/>
      <c r="W77" s="2326"/>
      <c r="X77" s="2329"/>
      <c r="Y77" s="2330"/>
      <c r="Z77" s="2333">
        <f t="shared" si="51"/>
        <v>0</v>
      </c>
      <c r="AA77" s="2334">
        <f t="shared" si="54"/>
        <v>0</v>
      </c>
      <c r="AB77" s="2335" t="str">
        <f t="shared" si="52"/>
        <v/>
      </c>
      <c r="AC77" s="201"/>
      <c r="AD77" s="427" t="str">
        <f t="shared" si="55"/>
        <v/>
      </c>
      <c r="AE77" s="428">
        <f t="shared" si="3"/>
        <v>0</v>
      </c>
      <c r="AF77" s="428">
        <f t="shared" si="4"/>
        <v>0</v>
      </c>
      <c r="AG77" s="428">
        <f t="shared" si="5"/>
        <v>0</v>
      </c>
      <c r="AH77" s="428">
        <f t="shared" si="6"/>
        <v>0</v>
      </c>
      <c r="AI77" s="429">
        <f t="shared" si="7"/>
        <v>0</v>
      </c>
      <c r="AJ77" s="430">
        <f t="shared" si="8"/>
        <v>1</v>
      </c>
      <c r="AK77" s="428">
        <f t="shared" si="9"/>
        <v>0</v>
      </c>
      <c r="AL77" s="431" t="e">
        <f t="shared" si="10"/>
        <v>#DIV/0!</v>
      </c>
      <c r="AM77" s="308"/>
      <c r="AN77" s="432">
        <f t="shared" si="11"/>
        <v>0</v>
      </c>
      <c r="AO77" s="430">
        <f t="shared" si="12"/>
        <v>0</v>
      </c>
      <c r="AP77" s="430">
        <f t="shared" si="13"/>
        <v>0</v>
      </c>
      <c r="AQ77" s="430">
        <f t="shared" si="14"/>
        <v>0</v>
      </c>
      <c r="AR77" s="433">
        <f t="shared" si="15"/>
        <v>0</v>
      </c>
      <c r="AT77" s="434">
        <f t="shared" si="16"/>
        <v>0</v>
      </c>
      <c r="AU77" s="430">
        <f t="shared" si="17"/>
        <v>0</v>
      </c>
      <c r="AV77" s="1469">
        <f t="shared" si="41"/>
        <v>0</v>
      </c>
      <c r="AW77" s="1469">
        <f t="shared" si="42"/>
        <v>0</v>
      </c>
      <c r="AX77" s="430">
        <f t="shared" si="20"/>
        <v>0</v>
      </c>
      <c r="AY77" s="435">
        <f t="shared" si="21"/>
        <v>0</v>
      </c>
      <c r="AZ77" s="309"/>
      <c r="BA77" s="434">
        <f t="shared" si="22"/>
        <v>0</v>
      </c>
      <c r="BB77" s="430">
        <f t="shared" si="23"/>
        <v>0</v>
      </c>
      <c r="BC77" s="430">
        <f t="shared" si="24"/>
        <v>0</v>
      </c>
      <c r="BD77" s="430">
        <f t="shared" si="25"/>
        <v>0</v>
      </c>
      <c r="BE77" s="435">
        <f t="shared" si="26"/>
        <v>0</v>
      </c>
      <c r="BG77" s="428">
        <f t="shared" si="27"/>
        <v>44927</v>
      </c>
      <c r="BH77" s="428">
        <f t="shared" si="28"/>
        <v>44927</v>
      </c>
      <c r="BI77" s="428">
        <f t="shared" si="29"/>
        <v>44927</v>
      </c>
      <c r="BJ77" s="428">
        <f t="shared" si="56"/>
        <v>0</v>
      </c>
      <c r="BL77" s="432">
        <f t="shared" si="30"/>
        <v>0</v>
      </c>
      <c r="BM77" s="428">
        <f t="shared" si="31"/>
        <v>0</v>
      </c>
      <c r="BN77" s="428">
        <f t="shared" si="32"/>
        <v>0</v>
      </c>
      <c r="BO77" s="436">
        <f t="shared" si="33"/>
        <v>0</v>
      </c>
      <c r="BS77" s="1373"/>
    </row>
    <row r="78" spans="1:71" ht="45.75" customHeight="1">
      <c r="A78" s="2336"/>
      <c r="B78" s="2336"/>
      <c r="C78" s="2340"/>
      <c r="D78" s="2337"/>
      <c r="E78" s="2338"/>
      <c r="F78" s="2327"/>
      <c r="G78" s="2339" t="str">
        <f t="shared" si="53"/>
        <v/>
      </c>
      <c r="H78" s="451"/>
      <c r="I78" s="2326"/>
      <c r="J78" s="2327"/>
      <c r="K78" s="2328">
        <f t="shared" si="48"/>
        <v>0</v>
      </c>
      <c r="L78" s="2327"/>
      <c r="M78" s="2326"/>
      <c r="N78" s="2329"/>
      <c r="O78" s="2327"/>
      <c r="P78" s="2328">
        <f t="shared" si="49"/>
        <v>0</v>
      </c>
      <c r="Q78" s="2327"/>
      <c r="R78" s="2326"/>
      <c r="S78" s="2329"/>
      <c r="T78" s="2330"/>
      <c r="U78" s="2331">
        <f t="shared" si="50"/>
        <v>0</v>
      </c>
      <c r="V78" s="2332"/>
      <c r="W78" s="2326"/>
      <c r="X78" s="2329"/>
      <c r="Y78" s="2330"/>
      <c r="Z78" s="2333">
        <f t="shared" si="51"/>
        <v>0</v>
      </c>
      <c r="AA78" s="2334">
        <f t="shared" si="54"/>
        <v>0</v>
      </c>
      <c r="AB78" s="2335" t="str">
        <f t="shared" si="52"/>
        <v/>
      </c>
      <c r="AC78" s="201"/>
      <c r="AD78" s="427" t="str">
        <f t="shared" si="55"/>
        <v/>
      </c>
      <c r="AE78" s="428">
        <f t="shared" si="3"/>
        <v>0</v>
      </c>
      <c r="AF78" s="428">
        <f t="shared" si="4"/>
        <v>0</v>
      </c>
      <c r="AG78" s="428">
        <f t="shared" si="5"/>
        <v>0</v>
      </c>
      <c r="AH78" s="428">
        <f t="shared" si="6"/>
        <v>0</v>
      </c>
      <c r="AI78" s="429">
        <f t="shared" si="7"/>
        <v>0</v>
      </c>
      <c r="AJ78" s="430">
        <f t="shared" si="8"/>
        <v>1</v>
      </c>
      <c r="AK78" s="428">
        <f t="shared" si="9"/>
        <v>0</v>
      </c>
      <c r="AL78" s="431" t="e">
        <f t="shared" si="10"/>
        <v>#DIV/0!</v>
      </c>
      <c r="AM78" s="308"/>
      <c r="AN78" s="432">
        <f t="shared" si="11"/>
        <v>0</v>
      </c>
      <c r="AO78" s="430">
        <f t="shared" si="12"/>
        <v>0</v>
      </c>
      <c r="AP78" s="430">
        <f t="shared" si="13"/>
        <v>0</v>
      </c>
      <c r="AQ78" s="430">
        <f t="shared" si="14"/>
        <v>0</v>
      </c>
      <c r="AR78" s="433">
        <f t="shared" si="15"/>
        <v>0</v>
      </c>
      <c r="AT78" s="434">
        <f t="shared" si="16"/>
        <v>0</v>
      </c>
      <c r="AU78" s="430">
        <f t="shared" si="17"/>
        <v>0</v>
      </c>
      <c r="AV78" s="1469">
        <f t="shared" si="41"/>
        <v>0</v>
      </c>
      <c r="AW78" s="1469">
        <f t="shared" si="42"/>
        <v>0</v>
      </c>
      <c r="AX78" s="430">
        <f t="shared" si="20"/>
        <v>0</v>
      </c>
      <c r="AY78" s="435">
        <f t="shared" si="21"/>
        <v>0</v>
      </c>
      <c r="AZ78" s="309"/>
      <c r="BA78" s="434">
        <f t="shared" si="22"/>
        <v>0</v>
      </c>
      <c r="BB78" s="430">
        <f t="shared" si="23"/>
        <v>0</v>
      </c>
      <c r="BC78" s="430">
        <f t="shared" si="24"/>
        <v>0</v>
      </c>
      <c r="BD78" s="430">
        <f t="shared" si="25"/>
        <v>0</v>
      </c>
      <c r="BE78" s="435">
        <f t="shared" si="26"/>
        <v>0</v>
      </c>
      <c r="BG78" s="428">
        <f t="shared" si="27"/>
        <v>44927</v>
      </c>
      <c r="BH78" s="428">
        <f t="shared" si="28"/>
        <v>44927</v>
      </c>
      <c r="BI78" s="428">
        <f t="shared" si="29"/>
        <v>44927</v>
      </c>
      <c r="BJ78" s="428">
        <f t="shared" si="56"/>
        <v>0</v>
      </c>
      <c r="BL78" s="432">
        <f t="shared" si="30"/>
        <v>0</v>
      </c>
      <c r="BM78" s="428">
        <f t="shared" si="31"/>
        <v>0</v>
      </c>
      <c r="BN78" s="428">
        <f t="shared" si="32"/>
        <v>0</v>
      </c>
      <c r="BO78" s="436">
        <f t="shared" si="33"/>
        <v>0</v>
      </c>
      <c r="BS78" s="1373"/>
    </row>
    <row r="79" spans="1:71" ht="45.75" customHeight="1">
      <c r="A79" s="2336"/>
      <c r="B79" s="2336"/>
      <c r="C79" s="2340"/>
      <c r="D79" s="2337"/>
      <c r="E79" s="2338"/>
      <c r="F79" s="2327"/>
      <c r="G79" s="2339" t="str">
        <f t="shared" si="53"/>
        <v/>
      </c>
      <c r="H79" s="451"/>
      <c r="I79" s="2326"/>
      <c r="J79" s="2327"/>
      <c r="K79" s="2328">
        <f t="shared" si="48"/>
        <v>0</v>
      </c>
      <c r="L79" s="2327"/>
      <c r="M79" s="2326"/>
      <c r="N79" s="2329"/>
      <c r="O79" s="2327"/>
      <c r="P79" s="2328">
        <f t="shared" si="49"/>
        <v>0</v>
      </c>
      <c r="Q79" s="2327"/>
      <c r="R79" s="2326"/>
      <c r="S79" s="2329"/>
      <c r="T79" s="2330"/>
      <c r="U79" s="2331">
        <f t="shared" si="50"/>
        <v>0</v>
      </c>
      <c r="V79" s="2332"/>
      <c r="W79" s="2326"/>
      <c r="X79" s="2329"/>
      <c r="Y79" s="2330"/>
      <c r="Z79" s="2333">
        <f t="shared" si="51"/>
        <v>0</v>
      </c>
      <c r="AA79" s="2334">
        <f t="shared" si="54"/>
        <v>0</v>
      </c>
      <c r="AB79" s="2335" t="str">
        <f t="shared" si="52"/>
        <v/>
      </c>
      <c r="AC79" s="201"/>
      <c r="AD79" s="427" t="str">
        <f t="shared" si="55"/>
        <v/>
      </c>
      <c r="AE79" s="428">
        <f t="shared" si="3"/>
        <v>0</v>
      </c>
      <c r="AF79" s="428">
        <f t="shared" si="4"/>
        <v>0</v>
      </c>
      <c r="AG79" s="428">
        <f t="shared" si="5"/>
        <v>0</v>
      </c>
      <c r="AH79" s="428">
        <f t="shared" si="6"/>
        <v>0</v>
      </c>
      <c r="AI79" s="429">
        <f t="shared" si="7"/>
        <v>0</v>
      </c>
      <c r="AJ79" s="430">
        <f t="shared" si="8"/>
        <v>1</v>
      </c>
      <c r="AK79" s="428">
        <f t="shared" si="9"/>
        <v>0</v>
      </c>
      <c r="AL79" s="431" t="e">
        <f t="shared" si="10"/>
        <v>#DIV/0!</v>
      </c>
      <c r="AM79" s="308"/>
      <c r="AN79" s="432">
        <f t="shared" si="11"/>
        <v>0</v>
      </c>
      <c r="AO79" s="430">
        <f t="shared" si="12"/>
        <v>0</v>
      </c>
      <c r="AP79" s="430">
        <f t="shared" si="13"/>
        <v>0</v>
      </c>
      <c r="AQ79" s="430">
        <f t="shared" si="14"/>
        <v>0</v>
      </c>
      <c r="AR79" s="433">
        <f t="shared" si="15"/>
        <v>0</v>
      </c>
      <c r="AT79" s="434">
        <f t="shared" si="16"/>
        <v>0</v>
      </c>
      <c r="AU79" s="430">
        <f t="shared" si="17"/>
        <v>0</v>
      </c>
      <c r="AV79" s="1469">
        <f t="shared" ref="AV79:AV118" si="57">IF(AND(S79="",Q79&gt;0,AP79&gt;30),1,IF(AND(S79="ZWF",AP79&gt;30),1,IF(AND(N79="ZWF",AP79&gt;30),1,IF(AND(S79="HF",N79="HF",AP79&gt;50),1,0))))</f>
        <v>0</v>
      </c>
      <c r="AW79" s="1469">
        <f t="shared" ref="AW79:AW118" si="58">IF(AND(X79="",V79&gt;0,AQ79&gt;30),1,IF(AND(X79="ZWF",AP79&gt;30),1,IF(AND(S79="ZWF",AQ79&gt;30),1,IF(AND(X79="HF",S79="HF",AQ79&gt;50),1,0))))</f>
        <v>0</v>
      </c>
      <c r="AX79" s="430">
        <f t="shared" si="20"/>
        <v>0</v>
      </c>
      <c r="AY79" s="435">
        <f t="shared" si="21"/>
        <v>0</v>
      </c>
      <c r="AZ79" s="309"/>
      <c r="BA79" s="434">
        <f t="shared" si="22"/>
        <v>0</v>
      </c>
      <c r="BB79" s="430">
        <f t="shared" si="23"/>
        <v>0</v>
      </c>
      <c r="BC79" s="430">
        <f t="shared" si="24"/>
        <v>0</v>
      </c>
      <c r="BD79" s="430">
        <f t="shared" si="25"/>
        <v>0</v>
      </c>
      <c r="BE79" s="435">
        <f t="shared" si="26"/>
        <v>0</v>
      </c>
      <c r="BG79" s="428">
        <f t="shared" si="27"/>
        <v>44927</v>
      </c>
      <c r="BH79" s="428">
        <f t="shared" si="28"/>
        <v>44927</v>
      </c>
      <c r="BI79" s="428">
        <f t="shared" si="29"/>
        <v>44927</v>
      </c>
      <c r="BJ79" s="428">
        <f t="shared" si="56"/>
        <v>0</v>
      </c>
      <c r="BL79" s="432">
        <f t="shared" si="30"/>
        <v>0</v>
      </c>
      <c r="BM79" s="428">
        <f t="shared" si="31"/>
        <v>0</v>
      </c>
      <c r="BN79" s="428">
        <f t="shared" si="32"/>
        <v>0</v>
      </c>
      <c r="BO79" s="436">
        <f t="shared" si="33"/>
        <v>0</v>
      </c>
      <c r="BS79" s="1373"/>
    </row>
    <row r="80" spans="1:71" ht="45.75" customHeight="1">
      <c r="A80" s="2336"/>
      <c r="B80" s="2336"/>
      <c r="C80" s="2340"/>
      <c r="D80" s="2337"/>
      <c r="E80" s="2338"/>
      <c r="F80" s="2327"/>
      <c r="G80" s="2339" t="str">
        <f t="shared" si="53"/>
        <v/>
      </c>
      <c r="H80" s="451"/>
      <c r="I80" s="2326"/>
      <c r="J80" s="2327"/>
      <c r="K80" s="2328">
        <f t="shared" si="48"/>
        <v>0</v>
      </c>
      <c r="L80" s="2327"/>
      <c r="M80" s="2326"/>
      <c r="N80" s="2329"/>
      <c r="O80" s="2327"/>
      <c r="P80" s="2328">
        <f t="shared" si="49"/>
        <v>0</v>
      </c>
      <c r="Q80" s="2327"/>
      <c r="R80" s="2326"/>
      <c r="S80" s="2329"/>
      <c r="T80" s="2330"/>
      <c r="U80" s="2331">
        <f t="shared" si="50"/>
        <v>0</v>
      </c>
      <c r="V80" s="2332"/>
      <c r="W80" s="2326"/>
      <c r="X80" s="2329"/>
      <c r="Y80" s="2330"/>
      <c r="Z80" s="2333">
        <f t="shared" si="51"/>
        <v>0</v>
      </c>
      <c r="AA80" s="2334">
        <f t="shared" si="54"/>
        <v>0</v>
      </c>
      <c r="AB80" s="2335" t="str">
        <f t="shared" si="52"/>
        <v/>
      </c>
      <c r="AC80" s="201"/>
      <c r="AD80" s="427" t="str">
        <f t="shared" si="55"/>
        <v/>
      </c>
      <c r="AE80" s="428">
        <f t="shared" si="3"/>
        <v>0</v>
      </c>
      <c r="AF80" s="428">
        <f t="shared" si="4"/>
        <v>0</v>
      </c>
      <c r="AG80" s="428">
        <f t="shared" si="5"/>
        <v>0</v>
      </c>
      <c r="AH80" s="428">
        <f t="shared" si="6"/>
        <v>0</v>
      </c>
      <c r="AI80" s="429">
        <f t="shared" si="7"/>
        <v>0</v>
      </c>
      <c r="AJ80" s="430">
        <f t="shared" si="8"/>
        <v>1</v>
      </c>
      <c r="AK80" s="428">
        <f t="shared" si="9"/>
        <v>0</v>
      </c>
      <c r="AL80" s="431" t="e">
        <f t="shared" si="10"/>
        <v>#DIV/0!</v>
      </c>
      <c r="AM80" s="308"/>
      <c r="AN80" s="432">
        <f t="shared" si="11"/>
        <v>0</v>
      </c>
      <c r="AO80" s="430">
        <f t="shared" si="12"/>
        <v>0</v>
      </c>
      <c r="AP80" s="430">
        <f t="shared" si="13"/>
        <v>0</v>
      </c>
      <c r="AQ80" s="430">
        <f t="shared" si="14"/>
        <v>0</v>
      </c>
      <c r="AR80" s="433">
        <f t="shared" si="15"/>
        <v>0</v>
      </c>
      <c r="AT80" s="434">
        <f t="shared" si="16"/>
        <v>0</v>
      </c>
      <c r="AU80" s="430">
        <f t="shared" si="17"/>
        <v>0</v>
      </c>
      <c r="AV80" s="1469">
        <f t="shared" si="57"/>
        <v>0</v>
      </c>
      <c r="AW80" s="1469">
        <f t="shared" si="58"/>
        <v>0</v>
      </c>
      <c r="AX80" s="430">
        <f t="shared" si="20"/>
        <v>0</v>
      </c>
      <c r="AY80" s="435">
        <f t="shared" si="21"/>
        <v>0</v>
      </c>
      <c r="AZ80" s="309"/>
      <c r="BA80" s="434">
        <f t="shared" si="22"/>
        <v>0</v>
      </c>
      <c r="BB80" s="430">
        <f t="shared" si="23"/>
        <v>0</v>
      </c>
      <c r="BC80" s="430">
        <f t="shared" si="24"/>
        <v>0</v>
      </c>
      <c r="BD80" s="430">
        <f t="shared" si="25"/>
        <v>0</v>
      </c>
      <c r="BE80" s="435">
        <f t="shared" si="26"/>
        <v>0</v>
      </c>
      <c r="BG80" s="428">
        <f t="shared" si="27"/>
        <v>44927</v>
      </c>
      <c r="BH80" s="428">
        <f t="shared" si="28"/>
        <v>44927</v>
      </c>
      <c r="BI80" s="428">
        <f t="shared" si="29"/>
        <v>44927</v>
      </c>
      <c r="BJ80" s="428">
        <f t="shared" si="56"/>
        <v>0</v>
      </c>
      <c r="BL80" s="432">
        <f t="shared" si="30"/>
        <v>0</v>
      </c>
      <c r="BM80" s="428">
        <f t="shared" si="31"/>
        <v>0</v>
      </c>
      <c r="BN80" s="428">
        <f t="shared" si="32"/>
        <v>0</v>
      </c>
      <c r="BO80" s="436">
        <f t="shared" si="33"/>
        <v>0</v>
      </c>
      <c r="BS80" s="1373"/>
    </row>
    <row r="81" spans="1:71" ht="45.75" customHeight="1">
      <c r="A81" s="2336"/>
      <c r="B81" s="2336"/>
      <c r="C81" s="2340"/>
      <c r="D81" s="2337"/>
      <c r="E81" s="2338"/>
      <c r="F81" s="2327"/>
      <c r="G81" s="2339" t="str">
        <f t="shared" si="53"/>
        <v/>
      </c>
      <c r="H81" s="451"/>
      <c r="I81" s="2326"/>
      <c r="J81" s="2327"/>
      <c r="K81" s="2328">
        <f t="shared" si="48"/>
        <v>0</v>
      </c>
      <c r="L81" s="2327"/>
      <c r="M81" s="2326"/>
      <c r="N81" s="2329"/>
      <c r="O81" s="2327"/>
      <c r="P81" s="2328">
        <f t="shared" si="49"/>
        <v>0</v>
      </c>
      <c r="Q81" s="2327"/>
      <c r="R81" s="2326"/>
      <c r="S81" s="2329"/>
      <c r="T81" s="2330"/>
      <c r="U81" s="2331">
        <f t="shared" si="50"/>
        <v>0</v>
      </c>
      <c r="V81" s="2332"/>
      <c r="W81" s="2326"/>
      <c r="X81" s="2329"/>
      <c r="Y81" s="2330"/>
      <c r="Z81" s="2333">
        <f t="shared" si="51"/>
        <v>0</v>
      </c>
      <c r="AA81" s="2334">
        <f t="shared" si="54"/>
        <v>0</v>
      </c>
      <c r="AB81" s="2335" t="str">
        <f t="shared" si="52"/>
        <v/>
      </c>
      <c r="AC81" s="201"/>
      <c r="AD81" s="427" t="str">
        <f t="shared" si="55"/>
        <v/>
      </c>
      <c r="AE81" s="428">
        <f t="shared" si="3"/>
        <v>0</v>
      </c>
      <c r="AF81" s="428">
        <f t="shared" si="4"/>
        <v>0</v>
      </c>
      <c r="AG81" s="428">
        <f t="shared" si="5"/>
        <v>0</v>
      </c>
      <c r="AH81" s="428">
        <f t="shared" si="6"/>
        <v>0</v>
      </c>
      <c r="AI81" s="429">
        <f t="shared" si="7"/>
        <v>0</v>
      </c>
      <c r="AJ81" s="430">
        <f t="shared" si="8"/>
        <v>1</v>
      </c>
      <c r="AK81" s="428">
        <f t="shared" si="9"/>
        <v>0</v>
      </c>
      <c r="AL81" s="431" t="e">
        <f t="shared" si="10"/>
        <v>#DIV/0!</v>
      </c>
      <c r="AM81" s="308"/>
      <c r="AN81" s="432">
        <f t="shared" si="11"/>
        <v>0</v>
      </c>
      <c r="AO81" s="430">
        <f t="shared" si="12"/>
        <v>0</v>
      </c>
      <c r="AP81" s="430">
        <f t="shared" si="13"/>
        <v>0</v>
      </c>
      <c r="AQ81" s="430">
        <f t="shared" si="14"/>
        <v>0</v>
      </c>
      <c r="AR81" s="433">
        <f t="shared" si="15"/>
        <v>0</v>
      </c>
      <c r="AT81" s="434">
        <f t="shared" si="16"/>
        <v>0</v>
      </c>
      <c r="AU81" s="430">
        <f t="shared" si="17"/>
        <v>0</v>
      </c>
      <c r="AV81" s="1469">
        <f t="shared" si="57"/>
        <v>0</v>
      </c>
      <c r="AW81" s="1469">
        <f t="shared" si="58"/>
        <v>0</v>
      </c>
      <c r="AX81" s="430">
        <f t="shared" si="20"/>
        <v>0</v>
      </c>
      <c r="AY81" s="435">
        <f t="shared" si="21"/>
        <v>0</v>
      </c>
      <c r="AZ81" s="309"/>
      <c r="BA81" s="434">
        <f t="shared" si="22"/>
        <v>0</v>
      </c>
      <c r="BB81" s="430">
        <f t="shared" si="23"/>
        <v>0</v>
      </c>
      <c r="BC81" s="430">
        <f t="shared" si="24"/>
        <v>0</v>
      </c>
      <c r="BD81" s="430">
        <f t="shared" si="25"/>
        <v>0</v>
      </c>
      <c r="BE81" s="435">
        <f t="shared" si="26"/>
        <v>0</v>
      </c>
      <c r="BG81" s="428">
        <f t="shared" si="27"/>
        <v>44927</v>
      </c>
      <c r="BH81" s="428">
        <f t="shared" si="28"/>
        <v>44927</v>
      </c>
      <c r="BI81" s="428">
        <f t="shared" si="29"/>
        <v>44927</v>
      </c>
      <c r="BJ81" s="428">
        <f t="shared" si="56"/>
        <v>0</v>
      </c>
      <c r="BL81" s="432">
        <f t="shared" si="30"/>
        <v>0</v>
      </c>
      <c r="BM81" s="428">
        <f t="shared" si="31"/>
        <v>0</v>
      </c>
      <c r="BN81" s="428">
        <f t="shared" si="32"/>
        <v>0</v>
      </c>
      <c r="BO81" s="436">
        <f t="shared" si="33"/>
        <v>0</v>
      </c>
      <c r="BS81" s="1373"/>
    </row>
    <row r="82" spans="1:71" ht="45.75" customHeight="1">
      <c r="A82" s="2336"/>
      <c r="B82" s="2336"/>
      <c r="C82" s="2340"/>
      <c r="D82" s="2337"/>
      <c r="E82" s="2338"/>
      <c r="F82" s="2327"/>
      <c r="G82" s="2339" t="str">
        <f t="shared" si="53"/>
        <v/>
      </c>
      <c r="H82" s="451"/>
      <c r="I82" s="2326"/>
      <c r="J82" s="2327"/>
      <c r="K82" s="2328">
        <f t="shared" si="48"/>
        <v>0</v>
      </c>
      <c r="L82" s="2327"/>
      <c r="M82" s="2326"/>
      <c r="N82" s="2329"/>
      <c r="O82" s="2327"/>
      <c r="P82" s="2328">
        <f t="shared" si="49"/>
        <v>0</v>
      </c>
      <c r="Q82" s="2327"/>
      <c r="R82" s="2326"/>
      <c r="S82" s="2329"/>
      <c r="T82" s="2330"/>
      <c r="U82" s="2331">
        <f t="shared" si="50"/>
        <v>0</v>
      </c>
      <c r="V82" s="2332"/>
      <c r="W82" s="2326"/>
      <c r="X82" s="2329"/>
      <c r="Y82" s="2330"/>
      <c r="Z82" s="2333">
        <f t="shared" si="51"/>
        <v>0</v>
      </c>
      <c r="AA82" s="2334">
        <f t="shared" si="54"/>
        <v>0</v>
      </c>
      <c r="AB82" s="2335" t="str">
        <f t="shared" si="52"/>
        <v/>
      </c>
      <c r="AC82" s="201"/>
      <c r="AD82" s="427" t="str">
        <f t="shared" si="55"/>
        <v/>
      </c>
      <c r="AE82" s="428">
        <f t="shared" si="3"/>
        <v>0</v>
      </c>
      <c r="AF82" s="428">
        <f t="shared" si="4"/>
        <v>0</v>
      </c>
      <c r="AG82" s="428">
        <f t="shared" si="5"/>
        <v>0</v>
      </c>
      <c r="AH82" s="428">
        <f t="shared" si="6"/>
        <v>0</v>
      </c>
      <c r="AI82" s="429">
        <f t="shared" si="7"/>
        <v>0</v>
      </c>
      <c r="AJ82" s="430">
        <f t="shared" si="8"/>
        <v>1</v>
      </c>
      <c r="AK82" s="428">
        <f t="shared" si="9"/>
        <v>0</v>
      </c>
      <c r="AL82" s="431" t="e">
        <f t="shared" si="10"/>
        <v>#DIV/0!</v>
      </c>
      <c r="AM82" s="308"/>
      <c r="AN82" s="432">
        <f t="shared" si="11"/>
        <v>0</v>
      </c>
      <c r="AO82" s="430">
        <f t="shared" si="12"/>
        <v>0</v>
      </c>
      <c r="AP82" s="430">
        <f t="shared" si="13"/>
        <v>0</v>
      </c>
      <c r="AQ82" s="430">
        <f t="shared" si="14"/>
        <v>0</v>
      </c>
      <c r="AR82" s="433">
        <f t="shared" si="15"/>
        <v>0</v>
      </c>
      <c r="AT82" s="434">
        <f t="shared" si="16"/>
        <v>0</v>
      </c>
      <c r="AU82" s="430">
        <f t="shared" si="17"/>
        <v>0</v>
      </c>
      <c r="AV82" s="1469">
        <f t="shared" si="57"/>
        <v>0</v>
      </c>
      <c r="AW82" s="1469">
        <f t="shared" si="58"/>
        <v>0</v>
      </c>
      <c r="AX82" s="430">
        <f t="shared" si="20"/>
        <v>0</v>
      </c>
      <c r="AY82" s="435">
        <f t="shared" si="21"/>
        <v>0</v>
      </c>
      <c r="AZ82" s="309"/>
      <c r="BA82" s="434">
        <f t="shared" si="22"/>
        <v>0</v>
      </c>
      <c r="BB82" s="430">
        <f t="shared" si="23"/>
        <v>0</v>
      </c>
      <c r="BC82" s="430">
        <f t="shared" si="24"/>
        <v>0</v>
      </c>
      <c r="BD82" s="430">
        <f t="shared" si="25"/>
        <v>0</v>
      </c>
      <c r="BE82" s="435">
        <f t="shared" si="26"/>
        <v>0</v>
      </c>
      <c r="BG82" s="428">
        <f t="shared" si="27"/>
        <v>44927</v>
      </c>
      <c r="BH82" s="428">
        <f t="shared" si="28"/>
        <v>44927</v>
      </c>
      <c r="BI82" s="428">
        <f t="shared" si="29"/>
        <v>44927</v>
      </c>
      <c r="BJ82" s="428">
        <f t="shared" si="56"/>
        <v>0</v>
      </c>
      <c r="BL82" s="432">
        <f t="shared" si="30"/>
        <v>0</v>
      </c>
      <c r="BM82" s="428">
        <f t="shared" si="31"/>
        <v>0</v>
      </c>
      <c r="BN82" s="428">
        <f t="shared" si="32"/>
        <v>0</v>
      </c>
      <c r="BO82" s="436">
        <f t="shared" si="33"/>
        <v>0</v>
      </c>
      <c r="BS82" s="1373"/>
    </row>
    <row r="83" spans="1:71" ht="45.75" customHeight="1">
      <c r="A83" s="2336"/>
      <c r="B83" s="2336"/>
      <c r="C83" s="2340"/>
      <c r="D83" s="2337"/>
      <c r="E83" s="2338"/>
      <c r="F83" s="2327"/>
      <c r="G83" s="2339" t="str">
        <f t="shared" si="53"/>
        <v/>
      </c>
      <c r="H83" s="451"/>
      <c r="I83" s="2326"/>
      <c r="J83" s="2327"/>
      <c r="K83" s="2328">
        <f t="shared" si="48"/>
        <v>0</v>
      </c>
      <c r="L83" s="2327"/>
      <c r="M83" s="2326"/>
      <c r="N83" s="2329"/>
      <c r="O83" s="2327"/>
      <c r="P83" s="2328">
        <f t="shared" si="49"/>
        <v>0</v>
      </c>
      <c r="Q83" s="2327"/>
      <c r="R83" s="2326"/>
      <c r="S83" s="2329"/>
      <c r="T83" s="2330"/>
      <c r="U83" s="2331">
        <f t="shared" si="50"/>
        <v>0</v>
      </c>
      <c r="V83" s="2332"/>
      <c r="W83" s="2326"/>
      <c r="X83" s="2329"/>
      <c r="Y83" s="2330"/>
      <c r="Z83" s="2333">
        <f t="shared" si="51"/>
        <v>0</v>
      </c>
      <c r="AA83" s="2334">
        <f t="shared" si="54"/>
        <v>0</v>
      </c>
      <c r="AB83" s="2335" t="str">
        <f t="shared" si="52"/>
        <v/>
      </c>
      <c r="AC83" s="201"/>
      <c r="AD83" s="427" t="str">
        <f t="shared" si="55"/>
        <v/>
      </c>
      <c r="AE83" s="428">
        <f t="shared" si="3"/>
        <v>0</v>
      </c>
      <c r="AF83" s="428">
        <f t="shared" si="4"/>
        <v>0</v>
      </c>
      <c r="AG83" s="428">
        <f t="shared" si="5"/>
        <v>0</v>
      </c>
      <c r="AH83" s="428">
        <f t="shared" si="6"/>
        <v>0</v>
      </c>
      <c r="AI83" s="429">
        <f t="shared" si="7"/>
        <v>0</v>
      </c>
      <c r="AJ83" s="430">
        <f t="shared" si="8"/>
        <v>1</v>
      </c>
      <c r="AK83" s="428">
        <f t="shared" si="9"/>
        <v>0</v>
      </c>
      <c r="AL83" s="431" t="e">
        <f t="shared" si="10"/>
        <v>#DIV/0!</v>
      </c>
      <c r="AM83" s="308"/>
      <c r="AN83" s="432">
        <f t="shared" si="11"/>
        <v>0</v>
      </c>
      <c r="AO83" s="430">
        <f t="shared" si="12"/>
        <v>0</v>
      </c>
      <c r="AP83" s="430">
        <f t="shared" si="13"/>
        <v>0</v>
      </c>
      <c r="AQ83" s="430">
        <f t="shared" si="14"/>
        <v>0</v>
      </c>
      <c r="AR83" s="433">
        <f t="shared" si="15"/>
        <v>0</v>
      </c>
      <c r="AT83" s="434">
        <f t="shared" si="16"/>
        <v>0</v>
      </c>
      <c r="AU83" s="430">
        <f t="shared" si="17"/>
        <v>0</v>
      </c>
      <c r="AV83" s="1469">
        <f t="shared" si="57"/>
        <v>0</v>
      </c>
      <c r="AW83" s="1469">
        <f t="shared" si="58"/>
        <v>0</v>
      </c>
      <c r="AX83" s="430">
        <f t="shared" si="20"/>
        <v>0</v>
      </c>
      <c r="AY83" s="435">
        <f t="shared" si="21"/>
        <v>0</v>
      </c>
      <c r="AZ83" s="309"/>
      <c r="BA83" s="434">
        <f t="shared" si="22"/>
        <v>0</v>
      </c>
      <c r="BB83" s="430">
        <f t="shared" si="23"/>
        <v>0</v>
      </c>
      <c r="BC83" s="430">
        <f t="shared" si="24"/>
        <v>0</v>
      </c>
      <c r="BD83" s="430">
        <f t="shared" si="25"/>
        <v>0</v>
      </c>
      <c r="BE83" s="435">
        <f t="shared" si="26"/>
        <v>0</v>
      </c>
      <c r="BG83" s="428">
        <f t="shared" si="27"/>
        <v>44927</v>
      </c>
      <c r="BH83" s="428">
        <f t="shared" si="28"/>
        <v>44927</v>
      </c>
      <c r="BI83" s="428">
        <f t="shared" si="29"/>
        <v>44927</v>
      </c>
      <c r="BJ83" s="428">
        <f t="shared" si="56"/>
        <v>0</v>
      </c>
      <c r="BL83" s="432">
        <f t="shared" si="30"/>
        <v>0</v>
      </c>
      <c r="BM83" s="428">
        <f t="shared" si="31"/>
        <v>0</v>
      </c>
      <c r="BN83" s="428">
        <f t="shared" si="32"/>
        <v>0</v>
      </c>
      <c r="BO83" s="436">
        <f t="shared" si="33"/>
        <v>0</v>
      </c>
      <c r="BS83" s="1373"/>
    </row>
    <row r="84" spans="1:71" ht="45.75" customHeight="1">
      <c r="A84" s="2336"/>
      <c r="B84" s="2336"/>
      <c r="C84" s="2340"/>
      <c r="D84" s="2337"/>
      <c r="E84" s="2338"/>
      <c r="F84" s="2327"/>
      <c r="G84" s="2339" t="str">
        <f t="shared" si="53"/>
        <v/>
      </c>
      <c r="H84" s="451"/>
      <c r="I84" s="2326"/>
      <c r="J84" s="2327"/>
      <c r="K84" s="2328">
        <f t="shared" si="48"/>
        <v>0</v>
      </c>
      <c r="L84" s="2327"/>
      <c r="M84" s="2326"/>
      <c r="N84" s="2329"/>
      <c r="O84" s="2327"/>
      <c r="P84" s="2328">
        <f t="shared" si="49"/>
        <v>0</v>
      </c>
      <c r="Q84" s="2327"/>
      <c r="R84" s="2326"/>
      <c r="S84" s="2329"/>
      <c r="T84" s="2330"/>
      <c r="U84" s="2331">
        <f t="shared" si="50"/>
        <v>0</v>
      </c>
      <c r="V84" s="2332"/>
      <c r="W84" s="2326"/>
      <c r="X84" s="2329"/>
      <c r="Y84" s="2330"/>
      <c r="Z84" s="2333">
        <f t="shared" si="51"/>
        <v>0</v>
      </c>
      <c r="AA84" s="2334">
        <f t="shared" si="54"/>
        <v>0</v>
      </c>
      <c r="AB84" s="2335" t="str">
        <f t="shared" si="52"/>
        <v/>
      </c>
      <c r="AC84" s="201"/>
      <c r="AD84" s="427" t="str">
        <f t="shared" si="55"/>
        <v/>
      </c>
      <c r="AE84" s="428">
        <f t="shared" si="3"/>
        <v>0</v>
      </c>
      <c r="AF84" s="428">
        <f t="shared" si="4"/>
        <v>0</v>
      </c>
      <c r="AG84" s="428">
        <f t="shared" si="5"/>
        <v>0</v>
      </c>
      <c r="AH84" s="428">
        <f t="shared" si="6"/>
        <v>0</v>
      </c>
      <c r="AI84" s="429">
        <f t="shared" si="7"/>
        <v>0</v>
      </c>
      <c r="AJ84" s="430">
        <f t="shared" si="8"/>
        <v>1</v>
      </c>
      <c r="AK84" s="428">
        <f t="shared" si="9"/>
        <v>0</v>
      </c>
      <c r="AL84" s="431" t="e">
        <f t="shared" si="10"/>
        <v>#DIV/0!</v>
      </c>
      <c r="AM84" s="308"/>
      <c r="AN84" s="432">
        <f t="shared" si="11"/>
        <v>0</v>
      </c>
      <c r="AO84" s="430">
        <f t="shared" si="12"/>
        <v>0</v>
      </c>
      <c r="AP84" s="430">
        <f t="shared" si="13"/>
        <v>0</v>
      </c>
      <c r="AQ84" s="430">
        <f t="shared" si="14"/>
        <v>0</v>
      </c>
      <c r="AR84" s="433">
        <f t="shared" si="15"/>
        <v>0</v>
      </c>
      <c r="AT84" s="434">
        <f t="shared" si="16"/>
        <v>0</v>
      </c>
      <c r="AU84" s="430">
        <f t="shared" si="17"/>
        <v>0</v>
      </c>
      <c r="AV84" s="1469">
        <f t="shared" si="57"/>
        <v>0</v>
      </c>
      <c r="AW84" s="1469">
        <f t="shared" si="58"/>
        <v>0</v>
      </c>
      <c r="AX84" s="430">
        <f t="shared" si="20"/>
        <v>0</v>
      </c>
      <c r="AY84" s="435">
        <f t="shared" si="21"/>
        <v>0</v>
      </c>
      <c r="AZ84" s="309"/>
      <c r="BA84" s="434">
        <f t="shared" si="22"/>
        <v>0</v>
      </c>
      <c r="BB84" s="430">
        <f t="shared" si="23"/>
        <v>0</v>
      </c>
      <c r="BC84" s="430">
        <f t="shared" si="24"/>
        <v>0</v>
      </c>
      <c r="BD84" s="430">
        <f t="shared" si="25"/>
        <v>0</v>
      </c>
      <c r="BE84" s="435">
        <f t="shared" si="26"/>
        <v>0</v>
      </c>
      <c r="BG84" s="428">
        <f t="shared" si="27"/>
        <v>44927</v>
      </c>
      <c r="BH84" s="428">
        <f t="shared" si="28"/>
        <v>44927</v>
      </c>
      <c r="BI84" s="428">
        <f t="shared" si="29"/>
        <v>44927</v>
      </c>
      <c r="BJ84" s="428">
        <f t="shared" si="56"/>
        <v>0</v>
      </c>
      <c r="BL84" s="432">
        <f t="shared" si="30"/>
        <v>0</v>
      </c>
      <c r="BM84" s="428">
        <f t="shared" si="31"/>
        <v>0</v>
      </c>
      <c r="BN84" s="428">
        <f t="shared" si="32"/>
        <v>0</v>
      </c>
      <c r="BO84" s="436">
        <f t="shared" si="33"/>
        <v>0</v>
      </c>
      <c r="BS84" s="1373"/>
    </row>
    <row r="85" spans="1:71" ht="45.75" customHeight="1">
      <c r="A85" s="2336"/>
      <c r="B85" s="2336"/>
      <c r="C85" s="2340"/>
      <c r="D85" s="2337"/>
      <c r="E85" s="2338"/>
      <c r="F85" s="2327"/>
      <c r="G85" s="2339" t="str">
        <f t="shared" si="53"/>
        <v/>
      </c>
      <c r="H85" s="451"/>
      <c r="I85" s="2326"/>
      <c r="J85" s="2327"/>
      <c r="K85" s="2328">
        <f t="shared" si="48"/>
        <v>0</v>
      </c>
      <c r="L85" s="2327"/>
      <c r="M85" s="2326"/>
      <c r="N85" s="2329"/>
      <c r="O85" s="2327"/>
      <c r="P85" s="2328">
        <f t="shared" si="49"/>
        <v>0</v>
      </c>
      <c r="Q85" s="2327"/>
      <c r="R85" s="2326"/>
      <c r="S85" s="2329"/>
      <c r="T85" s="2330"/>
      <c r="U85" s="2331">
        <f t="shared" si="50"/>
        <v>0</v>
      </c>
      <c r="V85" s="2332"/>
      <c r="W85" s="2326"/>
      <c r="X85" s="2329"/>
      <c r="Y85" s="2330"/>
      <c r="Z85" s="2333">
        <f t="shared" si="51"/>
        <v>0</v>
      </c>
      <c r="AA85" s="2334">
        <f t="shared" si="54"/>
        <v>0</v>
      </c>
      <c r="AB85" s="2335" t="str">
        <f t="shared" si="52"/>
        <v/>
      </c>
      <c r="AC85" s="201"/>
      <c r="AD85" s="427" t="str">
        <f t="shared" si="55"/>
        <v/>
      </c>
      <c r="AE85" s="428">
        <f t="shared" si="3"/>
        <v>0</v>
      </c>
      <c r="AF85" s="428">
        <f t="shared" si="4"/>
        <v>0</v>
      </c>
      <c r="AG85" s="428">
        <f t="shared" si="5"/>
        <v>0</v>
      </c>
      <c r="AH85" s="428">
        <f t="shared" si="6"/>
        <v>0</v>
      </c>
      <c r="AI85" s="429">
        <f t="shared" si="7"/>
        <v>0</v>
      </c>
      <c r="AJ85" s="430">
        <f t="shared" si="8"/>
        <v>1</v>
      </c>
      <c r="AK85" s="428">
        <f t="shared" si="9"/>
        <v>0</v>
      </c>
      <c r="AL85" s="431" t="e">
        <f t="shared" si="10"/>
        <v>#DIV/0!</v>
      </c>
      <c r="AM85" s="308"/>
      <c r="AN85" s="432">
        <f t="shared" si="11"/>
        <v>0</v>
      </c>
      <c r="AO85" s="430">
        <f t="shared" si="12"/>
        <v>0</v>
      </c>
      <c r="AP85" s="430">
        <f t="shared" si="13"/>
        <v>0</v>
      </c>
      <c r="AQ85" s="430">
        <f t="shared" si="14"/>
        <v>0</v>
      </c>
      <c r="AR85" s="433">
        <f t="shared" si="15"/>
        <v>0</v>
      </c>
      <c r="AT85" s="434">
        <f t="shared" si="16"/>
        <v>0</v>
      </c>
      <c r="AU85" s="430">
        <f t="shared" si="17"/>
        <v>0</v>
      </c>
      <c r="AV85" s="1469">
        <f t="shared" si="57"/>
        <v>0</v>
      </c>
      <c r="AW85" s="1469">
        <f t="shared" si="58"/>
        <v>0</v>
      </c>
      <c r="AX85" s="430">
        <f t="shared" si="20"/>
        <v>0</v>
      </c>
      <c r="AY85" s="435">
        <f t="shared" si="21"/>
        <v>0</v>
      </c>
      <c r="AZ85" s="309"/>
      <c r="BA85" s="434">
        <f t="shared" si="22"/>
        <v>0</v>
      </c>
      <c r="BB85" s="430">
        <f t="shared" si="23"/>
        <v>0</v>
      </c>
      <c r="BC85" s="430">
        <f t="shared" si="24"/>
        <v>0</v>
      </c>
      <c r="BD85" s="430">
        <f t="shared" si="25"/>
        <v>0</v>
      </c>
      <c r="BE85" s="435">
        <f t="shared" si="26"/>
        <v>0</v>
      </c>
      <c r="BG85" s="428">
        <f t="shared" si="27"/>
        <v>44927</v>
      </c>
      <c r="BH85" s="428">
        <f t="shared" si="28"/>
        <v>44927</v>
      </c>
      <c r="BI85" s="428">
        <f t="shared" si="29"/>
        <v>44927</v>
      </c>
      <c r="BJ85" s="428">
        <f t="shared" si="56"/>
        <v>0</v>
      </c>
      <c r="BL85" s="432">
        <f t="shared" si="30"/>
        <v>0</v>
      </c>
      <c r="BM85" s="428">
        <f t="shared" si="31"/>
        <v>0</v>
      </c>
      <c r="BN85" s="428">
        <f t="shared" si="32"/>
        <v>0</v>
      </c>
      <c r="BO85" s="436">
        <f t="shared" si="33"/>
        <v>0</v>
      </c>
      <c r="BS85" s="1373"/>
    </row>
    <row r="86" spans="1:71" ht="45.75" customHeight="1">
      <c r="A86" s="2336"/>
      <c r="B86" s="2336"/>
      <c r="C86" s="2340"/>
      <c r="D86" s="2337"/>
      <c r="E86" s="2338"/>
      <c r="F86" s="2327"/>
      <c r="G86" s="2339" t="str">
        <f t="shared" si="53"/>
        <v/>
      </c>
      <c r="H86" s="451"/>
      <c r="I86" s="2326"/>
      <c r="J86" s="2327"/>
      <c r="K86" s="2328">
        <f t="shared" si="48"/>
        <v>0</v>
      </c>
      <c r="L86" s="2327"/>
      <c r="M86" s="2326"/>
      <c r="N86" s="2329"/>
      <c r="O86" s="2327"/>
      <c r="P86" s="2328">
        <f t="shared" si="49"/>
        <v>0</v>
      </c>
      <c r="Q86" s="2327"/>
      <c r="R86" s="2326"/>
      <c r="S86" s="2329"/>
      <c r="T86" s="2330"/>
      <c r="U86" s="2331">
        <f t="shared" si="50"/>
        <v>0</v>
      </c>
      <c r="V86" s="2332"/>
      <c r="W86" s="2326"/>
      <c r="X86" s="2329"/>
      <c r="Y86" s="2330"/>
      <c r="Z86" s="2333">
        <f t="shared" si="51"/>
        <v>0</v>
      </c>
      <c r="AA86" s="2334">
        <f t="shared" si="54"/>
        <v>0</v>
      </c>
      <c r="AB86" s="2335" t="str">
        <f t="shared" si="52"/>
        <v/>
      </c>
      <c r="AC86" s="201"/>
      <c r="AD86" s="427" t="str">
        <f t="shared" si="55"/>
        <v/>
      </c>
      <c r="AE86" s="428">
        <f t="shared" si="3"/>
        <v>0</v>
      </c>
      <c r="AF86" s="428">
        <f t="shared" si="4"/>
        <v>0</v>
      </c>
      <c r="AG86" s="428">
        <f t="shared" si="5"/>
        <v>0</v>
      </c>
      <c r="AH86" s="428">
        <f t="shared" si="6"/>
        <v>0</v>
      </c>
      <c r="AI86" s="429">
        <f t="shared" si="7"/>
        <v>0</v>
      </c>
      <c r="AJ86" s="430">
        <f t="shared" si="8"/>
        <v>1</v>
      </c>
      <c r="AK86" s="428">
        <f t="shared" si="9"/>
        <v>0</v>
      </c>
      <c r="AL86" s="431" t="e">
        <f t="shared" si="10"/>
        <v>#DIV/0!</v>
      </c>
      <c r="AM86" s="308"/>
      <c r="AN86" s="432">
        <f t="shared" si="11"/>
        <v>0</v>
      </c>
      <c r="AO86" s="430">
        <f t="shared" si="12"/>
        <v>0</v>
      </c>
      <c r="AP86" s="430">
        <f t="shared" si="13"/>
        <v>0</v>
      </c>
      <c r="AQ86" s="430">
        <f t="shared" si="14"/>
        <v>0</v>
      </c>
      <c r="AR86" s="433">
        <f t="shared" si="15"/>
        <v>0</v>
      </c>
      <c r="AT86" s="434">
        <f t="shared" si="16"/>
        <v>0</v>
      </c>
      <c r="AU86" s="430">
        <f t="shared" si="17"/>
        <v>0</v>
      </c>
      <c r="AV86" s="1469">
        <f t="shared" si="57"/>
        <v>0</v>
      </c>
      <c r="AW86" s="1469">
        <f t="shared" si="58"/>
        <v>0</v>
      </c>
      <c r="AX86" s="430">
        <f t="shared" si="20"/>
        <v>0</v>
      </c>
      <c r="AY86" s="435">
        <f t="shared" si="21"/>
        <v>0</v>
      </c>
      <c r="AZ86" s="309"/>
      <c r="BA86" s="434">
        <f t="shared" si="22"/>
        <v>0</v>
      </c>
      <c r="BB86" s="430">
        <f t="shared" si="23"/>
        <v>0</v>
      </c>
      <c r="BC86" s="430">
        <f t="shared" si="24"/>
        <v>0</v>
      </c>
      <c r="BD86" s="430">
        <f t="shared" si="25"/>
        <v>0</v>
      </c>
      <c r="BE86" s="435">
        <f t="shared" si="26"/>
        <v>0</v>
      </c>
      <c r="BG86" s="428">
        <f t="shared" si="27"/>
        <v>44927</v>
      </c>
      <c r="BH86" s="428">
        <f t="shared" si="28"/>
        <v>44927</v>
      </c>
      <c r="BI86" s="428">
        <f t="shared" si="29"/>
        <v>44927</v>
      </c>
      <c r="BJ86" s="428">
        <f t="shared" si="56"/>
        <v>0</v>
      </c>
      <c r="BL86" s="432">
        <f t="shared" si="30"/>
        <v>0</v>
      </c>
      <c r="BM86" s="428">
        <f t="shared" si="31"/>
        <v>0</v>
      </c>
      <c r="BN86" s="428">
        <f t="shared" si="32"/>
        <v>0</v>
      </c>
      <c r="BO86" s="436">
        <f t="shared" si="33"/>
        <v>0</v>
      </c>
      <c r="BS86" s="1373"/>
    </row>
    <row r="87" spans="1:71" ht="45.75" customHeight="1">
      <c r="A87" s="2336"/>
      <c r="B87" s="2336"/>
      <c r="C87" s="2340"/>
      <c r="D87" s="2337"/>
      <c r="E87" s="2338"/>
      <c r="F87" s="2327"/>
      <c r="G87" s="2339" t="str">
        <f t="shared" si="53"/>
        <v/>
      </c>
      <c r="H87" s="451"/>
      <c r="I87" s="2326"/>
      <c r="J87" s="2327"/>
      <c r="K87" s="2328">
        <f t="shared" si="48"/>
        <v>0</v>
      </c>
      <c r="L87" s="2327"/>
      <c r="M87" s="2326"/>
      <c r="N87" s="2329"/>
      <c r="O87" s="2327"/>
      <c r="P87" s="2328">
        <f t="shared" si="49"/>
        <v>0</v>
      </c>
      <c r="Q87" s="2327"/>
      <c r="R87" s="2326"/>
      <c r="S87" s="2329"/>
      <c r="T87" s="2330"/>
      <c r="U87" s="2331">
        <f t="shared" si="50"/>
        <v>0</v>
      </c>
      <c r="V87" s="2332"/>
      <c r="W87" s="2326"/>
      <c r="X87" s="2329"/>
      <c r="Y87" s="2330"/>
      <c r="Z87" s="2333">
        <f t="shared" si="51"/>
        <v>0</v>
      </c>
      <c r="AA87" s="2334">
        <f t="shared" si="54"/>
        <v>0</v>
      </c>
      <c r="AB87" s="2335" t="str">
        <f t="shared" si="52"/>
        <v/>
      </c>
      <c r="AC87" s="201"/>
      <c r="AD87" s="427" t="str">
        <f t="shared" si="55"/>
        <v/>
      </c>
      <c r="AE87" s="428">
        <f t="shared" si="3"/>
        <v>0</v>
      </c>
      <c r="AF87" s="428">
        <f t="shared" si="4"/>
        <v>0</v>
      </c>
      <c r="AG87" s="428">
        <f t="shared" si="5"/>
        <v>0</v>
      </c>
      <c r="AH87" s="428">
        <f t="shared" si="6"/>
        <v>0</v>
      </c>
      <c r="AI87" s="429">
        <f t="shared" si="7"/>
        <v>0</v>
      </c>
      <c r="AJ87" s="430">
        <f t="shared" si="8"/>
        <v>1</v>
      </c>
      <c r="AK87" s="428">
        <f t="shared" si="9"/>
        <v>0</v>
      </c>
      <c r="AL87" s="431" t="e">
        <f t="shared" si="10"/>
        <v>#DIV/0!</v>
      </c>
      <c r="AM87" s="308"/>
      <c r="AN87" s="432">
        <f t="shared" si="11"/>
        <v>0</v>
      </c>
      <c r="AO87" s="430">
        <f t="shared" si="12"/>
        <v>0</v>
      </c>
      <c r="AP87" s="430">
        <f t="shared" si="13"/>
        <v>0</v>
      </c>
      <c r="AQ87" s="430">
        <f t="shared" si="14"/>
        <v>0</v>
      </c>
      <c r="AR87" s="433">
        <f t="shared" si="15"/>
        <v>0</v>
      </c>
      <c r="AT87" s="434">
        <f t="shared" si="16"/>
        <v>0</v>
      </c>
      <c r="AU87" s="430">
        <f t="shared" si="17"/>
        <v>0</v>
      </c>
      <c r="AV87" s="1469">
        <f t="shared" si="57"/>
        <v>0</v>
      </c>
      <c r="AW87" s="1469">
        <f t="shared" si="58"/>
        <v>0</v>
      </c>
      <c r="AX87" s="430">
        <f t="shared" si="20"/>
        <v>0</v>
      </c>
      <c r="AY87" s="435">
        <f t="shared" si="21"/>
        <v>0</v>
      </c>
      <c r="AZ87" s="309"/>
      <c r="BA87" s="434">
        <f t="shared" si="22"/>
        <v>0</v>
      </c>
      <c r="BB87" s="430">
        <f t="shared" si="23"/>
        <v>0</v>
      </c>
      <c r="BC87" s="430">
        <f t="shared" si="24"/>
        <v>0</v>
      </c>
      <c r="BD87" s="430">
        <f t="shared" si="25"/>
        <v>0</v>
      </c>
      <c r="BE87" s="435">
        <f t="shared" si="26"/>
        <v>0</v>
      </c>
      <c r="BG87" s="428">
        <f t="shared" si="27"/>
        <v>44927</v>
      </c>
      <c r="BH87" s="428">
        <f t="shared" si="28"/>
        <v>44927</v>
      </c>
      <c r="BI87" s="428">
        <f t="shared" si="29"/>
        <v>44927</v>
      </c>
      <c r="BJ87" s="428">
        <f t="shared" si="56"/>
        <v>0</v>
      </c>
      <c r="BL87" s="432">
        <f t="shared" si="30"/>
        <v>0</v>
      </c>
      <c r="BM87" s="428">
        <f t="shared" si="31"/>
        <v>0</v>
      </c>
      <c r="BN87" s="428">
        <f t="shared" si="32"/>
        <v>0</v>
      </c>
      <c r="BO87" s="436">
        <f t="shared" si="33"/>
        <v>0</v>
      </c>
      <c r="BS87" s="1373"/>
    </row>
    <row r="88" spans="1:71" ht="45.75" customHeight="1">
      <c r="A88" s="2336"/>
      <c r="B88" s="2336"/>
      <c r="C88" s="2340"/>
      <c r="D88" s="2337"/>
      <c r="E88" s="2338"/>
      <c r="F88" s="2327"/>
      <c r="G88" s="2339" t="str">
        <f t="shared" si="53"/>
        <v/>
      </c>
      <c r="H88" s="451"/>
      <c r="I88" s="2326"/>
      <c r="J88" s="2327"/>
      <c r="K88" s="2328">
        <f t="shared" si="48"/>
        <v>0</v>
      </c>
      <c r="L88" s="2327"/>
      <c r="M88" s="2326"/>
      <c r="N88" s="2329"/>
      <c r="O88" s="2327"/>
      <c r="P88" s="2328">
        <f t="shared" si="49"/>
        <v>0</v>
      </c>
      <c r="Q88" s="2327"/>
      <c r="R88" s="2326"/>
      <c r="S88" s="2329"/>
      <c r="T88" s="2330"/>
      <c r="U88" s="2331">
        <f t="shared" si="50"/>
        <v>0</v>
      </c>
      <c r="V88" s="2332"/>
      <c r="W88" s="2326"/>
      <c r="X88" s="2329"/>
      <c r="Y88" s="2330"/>
      <c r="Z88" s="2333">
        <f t="shared" si="51"/>
        <v>0</v>
      </c>
      <c r="AA88" s="2334">
        <f t="shared" si="54"/>
        <v>0</v>
      </c>
      <c r="AB88" s="2335" t="str">
        <f t="shared" si="52"/>
        <v/>
      </c>
      <c r="AC88" s="201"/>
      <c r="AD88" s="427" t="str">
        <f t="shared" si="55"/>
        <v/>
      </c>
      <c r="AE88" s="428">
        <f t="shared" si="3"/>
        <v>0</v>
      </c>
      <c r="AF88" s="428">
        <f t="shared" si="4"/>
        <v>0</v>
      </c>
      <c r="AG88" s="428">
        <f t="shared" si="5"/>
        <v>0</v>
      </c>
      <c r="AH88" s="428">
        <f t="shared" si="6"/>
        <v>0</v>
      </c>
      <c r="AI88" s="429">
        <f t="shared" si="7"/>
        <v>0</v>
      </c>
      <c r="AJ88" s="430">
        <f t="shared" si="8"/>
        <v>1</v>
      </c>
      <c r="AK88" s="428">
        <f t="shared" si="9"/>
        <v>0</v>
      </c>
      <c r="AL88" s="431" t="e">
        <f t="shared" si="10"/>
        <v>#DIV/0!</v>
      </c>
      <c r="AM88" s="308"/>
      <c r="AN88" s="432">
        <f t="shared" si="11"/>
        <v>0</v>
      </c>
      <c r="AO88" s="430">
        <f t="shared" si="12"/>
        <v>0</v>
      </c>
      <c r="AP88" s="430">
        <f t="shared" si="13"/>
        <v>0</v>
      </c>
      <c r="AQ88" s="430">
        <f t="shared" si="14"/>
        <v>0</v>
      </c>
      <c r="AR88" s="433">
        <f t="shared" si="15"/>
        <v>0</v>
      </c>
      <c r="AT88" s="434">
        <f t="shared" si="16"/>
        <v>0</v>
      </c>
      <c r="AU88" s="430">
        <f t="shared" si="17"/>
        <v>0</v>
      </c>
      <c r="AV88" s="1469">
        <f t="shared" si="57"/>
        <v>0</v>
      </c>
      <c r="AW88" s="1469">
        <f t="shared" si="58"/>
        <v>0</v>
      </c>
      <c r="AX88" s="430">
        <f t="shared" si="20"/>
        <v>0</v>
      </c>
      <c r="AY88" s="435">
        <f t="shared" si="21"/>
        <v>0</v>
      </c>
      <c r="AZ88" s="309"/>
      <c r="BA88" s="434">
        <f t="shared" si="22"/>
        <v>0</v>
      </c>
      <c r="BB88" s="430">
        <f t="shared" si="23"/>
        <v>0</v>
      </c>
      <c r="BC88" s="430">
        <f t="shared" si="24"/>
        <v>0</v>
      </c>
      <c r="BD88" s="430">
        <f t="shared" si="25"/>
        <v>0</v>
      </c>
      <c r="BE88" s="435">
        <f t="shared" si="26"/>
        <v>0</v>
      </c>
      <c r="BG88" s="428">
        <f t="shared" si="27"/>
        <v>44927</v>
      </c>
      <c r="BH88" s="428">
        <f t="shared" si="28"/>
        <v>44927</v>
      </c>
      <c r="BI88" s="428">
        <f t="shared" si="29"/>
        <v>44927</v>
      </c>
      <c r="BJ88" s="428">
        <f t="shared" si="56"/>
        <v>0</v>
      </c>
      <c r="BL88" s="432">
        <f t="shared" si="30"/>
        <v>0</v>
      </c>
      <c r="BM88" s="428">
        <f t="shared" si="31"/>
        <v>0</v>
      </c>
      <c r="BN88" s="428">
        <f t="shared" si="32"/>
        <v>0</v>
      </c>
      <c r="BO88" s="436">
        <f t="shared" si="33"/>
        <v>0</v>
      </c>
      <c r="BS88" s="1373"/>
    </row>
    <row r="89" spans="1:71" ht="45.75" customHeight="1">
      <c r="A89" s="2336"/>
      <c r="B89" s="2336"/>
      <c r="C89" s="2340"/>
      <c r="D89" s="2337"/>
      <c r="E89" s="2338"/>
      <c r="F89" s="2327"/>
      <c r="G89" s="2339" t="str">
        <f t="shared" si="53"/>
        <v/>
      </c>
      <c r="H89" s="451"/>
      <c r="I89" s="2326"/>
      <c r="J89" s="2327"/>
      <c r="K89" s="2328">
        <f t="shared" si="48"/>
        <v>0</v>
      </c>
      <c r="L89" s="2327"/>
      <c r="M89" s="2326"/>
      <c r="N89" s="2329"/>
      <c r="O89" s="2327"/>
      <c r="P89" s="2328">
        <f t="shared" si="49"/>
        <v>0</v>
      </c>
      <c r="Q89" s="2327"/>
      <c r="R89" s="2326"/>
      <c r="S89" s="2329"/>
      <c r="T89" s="2330"/>
      <c r="U89" s="2331">
        <f t="shared" si="50"/>
        <v>0</v>
      </c>
      <c r="V89" s="2332"/>
      <c r="W89" s="2326"/>
      <c r="X89" s="2329"/>
      <c r="Y89" s="2330"/>
      <c r="Z89" s="2333">
        <f t="shared" si="51"/>
        <v>0</v>
      </c>
      <c r="AA89" s="2334">
        <f t="shared" si="54"/>
        <v>0</v>
      </c>
      <c r="AB89" s="2335" t="str">
        <f t="shared" si="52"/>
        <v/>
      </c>
      <c r="AC89" s="201"/>
      <c r="AD89" s="427" t="str">
        <f t="shared" si="55"/>
        <v/>
      </c>
      <c r="AE89" s="428">
        <f t="shared" si="3"/>
        <v>0</v>
      </c>
      <c r="AF89" s="428">
        <f t="shared" si="4"/>
        <v>0</v>
      </c>
      <c r="AG89" s="428">
        <f t="shared" si="5"/>
        <v>0</v>
      </c>
      <c r="AH89" s="428">
        <f t="shared" si="6"/>
        <v>0</v>
      </c>
      <c r="AI89" s="429">
        <f t="shared" si="7"/>
        <v>0</v>
      </c>
      <c r="AJ89" s="430">
        <f t="shared" si="8"/>
        <v>1</v>
      </c>
      <c r="AK89" s="428">
        <f t="shared" si="9"/>
        <v>0</v>
      </c>
      <c r="AL89" s="431" t="e">
        <f t="shared" si="10"/>
        <v>#DIV/0!</v>
      </c>
      <c r="AM89" s="308"/>
      <c r="AN89" s="432">
        <f t="shared" si="11"/>
        <v>0</v>
      </c>
      <c r="AO89" s="430">
        <f t="shared" si="12"/>
        <v>0</v>
      </c>
      <c r="AP89" s="430">
        <f t="shared" si="13"/>
        <v>0</v>
      </c>
      <c r="AQ89" s="430">
        <f t="shared" si="14"/>
        <v>0</v>
      </c>
      <c r="AR89" s="433">
        <f t="shared" si="15"/>
        <v>0</v>
      </c>
      <c r="AT89" s="434">
        <f t="shared" si="16"/>
        <v>0</v>
      </c>
      <c r="AU89" s="430">
        <f t="shared" si="17"/>
        <v>0</v>
      </c>
      <c r="AV89" s="1469">
        <f t="shared" si="57"/>
        <v>0</v>
      </c>
      <c r="AW89" s="1469">
        <f t="shared" si="58"/>
        <v>0</v>
      </c>
      <c r="AX89" s="430">
        <f t="shared" si="20"/>
        <v>0</v>
      </c>
      <c r="AY89" s="435">
        <f t="shared" si="21"/>
        <v>0</v>
      </c>
      <c r="AZ89" s="309"/>
      <c r="BA89" s="434">
        <f t="shared" si="22"/>
        <v>0</v>
      </c>
      <c r="BB89" s="430">
        <f t="shared" si="23"/>
        <v>0</v>
      </c>
      <c r="BC89" s="430">
        <f t="shared" si="24"/>
        <v>0</v>
      </c>
      <c r="BD89" s="430">
        <f t="shared" si="25"/>
        <v>0</v>
      </c>
      <c r="BE89" s="435">
        <f t="shared" si="26"/>
        <v>0</v>
      </c>
      <c r="BG89" s="428">
        <f t="shared" si="27"/>
        <v>44927</v>
      </c>
      <c r="BH89" s="428">
        <f t="shared" si="28"/>
        <v>44927</v>
      </c>
      <c r="BI89" s="428">
        <f t="shared" si="29"/>
        <v>44927</v>
      </c>
      <c r="BJ89" s="428">
        <f t="shared" si="56"/>
        <v>0</v>
      </c>
      <c r="BL89" s="432">
        <f t="shared" si="30"/>
        <v>0</v>
      </c>
      <c r="BM89" s="428">
        <f t="shared" si="31"/>
        <v>0</v>
      </c>
      <c r="BN89" s="428">
        <f t="shared" si="32"/>
        <v>0</v>
      </c>
      <c r="BO89" s="436">
        <f t="shared" si="33"/>
        <v>0</v>
      </c>
      <c r="BS89" s="1373"/>
    </row>
    <row r="90" spans="1:71" ht="45.75" customHeight="1">
      <c r="A90" s="2336"/>
      <c r="B90" s="2336"/>
      <c r="C90" s="2340"/>
      <c r="D90" s="2337"/>
      <c r="E90" s="2338"/>
      <c r="F90" s="2327"/>
      <c r="G90" s="2339" t="str">
        <f t="shared" si="53"/>
        <v/>
      </c>
      <c r="H90" s="451"/>
      <c r="I90" s="2326"/>
      <c r="J90" s="2327"/>
      <c r="K90" s="2328">
        <f t="shared" si="48"/>
        <v>0</v>
      </c>
      <c r="L90" s="2327"/>
      <c r="M90" s="2326"/>
      <c r="N90" s="2329"/>
      <c r="O90" s="2327"/>
      <c r="P90" s="2328">
        <f t="shared" si="49"/>
        <v>0</v>
      </c>
      <c r="Q90" s="2327"/>
      <c r="R90" s="2326"/>
      <c r="S90" s="2329"/>
      <c r="T90" s="2330"/>
      <c r="U90" s="2331">
        <f t="shared" si="50"/>
        <v>0</v>
      </c>
      <c r="V90" s="2332"/>
      <c r="W90" s="2326"/>
      <c r="X90" s="2329"/>
      <c r="Y90" s="2330"/>
      <c r="Z90" s="2333">
        <f t="shared" si="51"/>
        <v>0</v>
      </c>
      <c r="AA90" s="2334">
        <f t="shared" si="54"/>
        <v>0</v>
      </c>
      <c r="AB90" s="2335" t="str">
        <f t="shared" si="52"/>
        <v/>
      </c>
      <c r="AC90" s="201"/>
      <c r="AD90" s="427" t="str">
        <f t="shared" si="55"/>
        <v/>
      </c>
      <c r="AE90" s="428">
        <f t="shared" si="3"/>
        <v>0</v>
      </c>
      <c r="AF90" s="428">
        <f t="shared" si="4"/>
        <v>0</v>
      </c>
      <c r="AG90" s="428">
        <f t="shared" si="5"/>
        <v>0</v>
      </c>
      <c r="AH90" s="428">
        <f t="shared" si="6"/>
        <v>0</v>
      </c>
      <c r="AI90" s="429">
        <f t="shared" si="7"/>
        <v>0</v>
      </c>
      <c r="AJ90" s="430">
        <f t="shared" si="8"/>
        <v>1</v>
      </c>
      <c r="AK90" s="428">
        <f t="shared" si="9"/>
        <v>0</v>
      </c>
      <c r="AL90" s="431" t="e">
        <f t="shared" si="10"/>
        <v>#DIV/0!</v>
      </c>
      <c r="AM90" s="308"/>
      <c r="AN90" s="432">
        <f t="shared" si="11"/>
        <v>0</v>
      </c>
      <c r="AO90" s="430">
        <f t="shared" si="12"/>
        <v>0</v>
      </c>
      <c r="AP90" s="430">
        <f t="shared" si="13"/>
        <v>0</v>
      </c>
      <c r="AQ90" s="430">
        <f t="shared" si="14"/>
        <v>0</v>
      </c>
      <c r="AR90" s="433">
        <f t="shared" si="15"/>
        <v>0</v>
      </c>
      <c r="AT90" s="434">
        <f t="shared" si="16"/>
        <v>0</v>
      </c>
      <c r="AU90" s="430">
        <f t="shared" si="17"/>
        <v>0</v>
      </c>
      <c r="AV90" s="1469">
        <f t="shared" si="57"/>
        <v>0</v>
      </c>
      <c r="AW90" s="1469">
        <f t="shared" si="58"/>
        <v>0</v>
      </c>
      <c r="AX90" s="430">
        <f t="shared" si="20"/>
        <v>0</v>
      </c>
      <c r="AY90" s="435">
        <f t="shared" si="21"/>
        <v>0</v>
      </c>
      <c r="AZ90" s="309"/>
      <c r="BA90" s="434">
        <f t="shared" si="22"/>
        <v>0</v>
      </c>
      <c r="BB90" s="430">
        <f t="shared" si="23"/>
        <v>0</v>
      </c>
      <c r="BC90" s="430">
        <f t="shared" si="24"/>
        <v>0</v>
      </c>
      <c r="BD90" s="430">
        <f t="shared" si="25"/>
        <v>0</v>
      </c>
      <c r="BE90" s="435">
        <f t="shared" si="26"/>
        <v>0</v>
      </c>
      <c r="BG90" s="428">
        <f t="shared" si="27"/>
        <v>44927</v>
      </c>
      <c r="BH90" s="428">
        <f t="shared" si="28"/>
        <v>44927</v>
      </c>
      <c r="BI90" s="428">
        <f t="shared" si="29"/>
        <v>44927</v>
      </c>
      <c r="BJ90" s="428">
        <f t="shared" si="56"/>
        <v>0</v>
      </c>
      <c r="BL90" s="432">
        <f t="shared" si="30"/>
        <v>0</v>
      </c>
      <c r="BM90" s="428">
        <f t="shared" si="31"/>
        <v>0</v>
      </c>
      <c r="BN90" s="428">
        <f t="shared" si="32"/>
        <v>0</v>
      </c>
      <c r="BO90" s="436">
        <f t="shared" si="33"/>
        <v>0</v>
      </c>
      <c r="BS90" s="1373"/>
    </row>
    <row r="91" spans="1:71" ht="45.75" customHeight="1">
      <c r="A91" s="2336"/>
      <c r="B91" s="2336"/>
      <c r="C91" s="2340"/>
      <c r="D91" s="2337"/>
      <c r="E91" s="2338"/>
      <c r="F91" s="2327"/>
      <c r="G91" s="2339" t="str">
        <f t="shared" si="53"/>
        <v/>
      </c>
      <c r="H91" s="451"/>
      <c r="I91" s="2326"/>
      <c r="J91" s="2327"/>
      <c r="K91" s="2328">
        <f t="shared" si="48"/>
        <v>0</v>
      </c>
      <c r="L91" s="2327"/>
      <c r="M91" s="2326"/>
      <c r="N91" s="2329"/>
      <c r="O91" s="2327"/>
      <c r="P91" s="2328">
        <f t="shared" si="49"/>
        <v>0</v>
      </c>
      <c r="Q91" s="2327"/>
      <c r="R91" s="2326"/>
      <c r="S91" s="2329"/>
      <c r="T91" s="2330"/>
      <c r="U91" s="2331">
        <f t="shared" si="50"/>
        <v>0</v>
      </c>
      <c r="V91" s="2332"/>
      <c r="W91" s="2326"/>
      <c r="X91" s="2329"/>
      <c r="Y91" s="2330"/>
      <c r="Z91" s="2333">
        <f t="shared" si="51"/>
        <v>0</v>
      </c>
      <c r="AA91" s="2334">
        <f t="shared" si="54"/>
        <v>0</v>
      </c>
      <c r="AB91" s="2335" t="str">
        <f t="shared" si="52"/>
        <v/>
      </c>
      <c r="AC91" s="201"/>
      <c r="AD91" s="427" t="str">
        <f t="shared" si="55"/>
        <v/>
      </c>
      <c r="AE91" s="428">
        <f t="shared" si="3"/>
        <v>0</v>
      </c>
      <c r="AF91" s="428">
        <f t="shared" si="4"/>
        <v>0</v>
      </c>
      <c r="AG91" s="428">
        <f t="shared" si="5"/>
        <v>0</v>
      </c>
      <c r="AH91" s="428">
        <f t="shared" si="6"/>
        <v>0</v>
      </c>
      <c r="AI91" s="429">
        <f t="shared" si="7"/>
        <v>0</v>
      </c>
      <c r="AJ91" s="430">
        <f t="shared" si="8"/>
        <v>1</v>
      </c>
      <c r="AK91" s="428">
        <f t="shared" si="9"/>
        <v>0</v>
      </c>
      <c r="AL91" s="431" t="e">
        <f t="shared" si="10"/>
        <v>#DIV/0!</v>
      </c>
      <c r="AM91" s="308"/>
      <c r="AN91" s="432">
        <f t="shared" si="11"/>
        <v>0</v>
      </c>
      <c r="AO91" s="430">
        <f t="shared" si="12"/>
        <v>0</v>
      </c>
      <c r="AP91" s="430">
        <f t="shared" si="13"/>
        <v>0</v>
      </c>
      <c r="AQ91" s="430">
        <f t="shared" si="14"/>
        <v>0</v>
      </c>
      <c r="AR91" s="433">
        <f t="shared" si="15"/>
        <v>0</v>
      </c>
      <c r="AT91" s="434">
        <f t="shared" si="16"/>
        <v>0</v>
      </c>
      <c r="AU91" s="430">
        <f t="shared" si="17"/>
        <v>0</v>
      </c>
      <c r="AV91" s="1469">
        <f t="shared" si="57"/>
        <v>0</v>
      </c>
      <c r="AW91" s="1469">
        <f t="shared" si="58"/>
        <v>0</v>
      </c>
      <c r="AX91" s="430">
        <f t="shared" si="20"/>
        <v>0</v>
      </c>
      <c r="AY91" s="435">
        <f t="shared" si="21"/>
        <v>0</v>
      </c>
      <c r="AZ91" s="309"/>
      <c r="BA91" s="434">
        <f t="shared" si="22"/>
        <v>0</v>
      </c>
      <c r="BB91" s="430">
        <f t="shared" si="23"/>
        <v>0</v>
      </c>
      <c r="BC91" s="430">
        <f t="shared" si="24"/>
        <v>0</v>
      </c>
      <c r="BD91" s="430">
        <f t="shared" si="25"/>
        <v>0</v>
      </c>
      <c r="BE91" s="435">
        <f t="shared" si="26"/>
        <v>0</v>
      </c>
      <c r="BG91" s="428">
        <f t="shared" si="27"/>
        <v>44927</v>
      </c>
      <c r="BH91" s="428">
        <f t="shared" si="28"/>
        <v>44927</v>
      </c>
      <c r="BI91" s="428">
        <f t="shared" si="29"/>
        <v>44927</v>
      </c>
      <c r="BJ91" s="428">
        <f t="shared" si="56"/>
        <v>0</v>
      </c>
      <c r="BL91" s="432">
        <f t="shared" si="30"/>
        <v>0</v>
      </c>
      <c r="BM91" s="428">
        <f t="shared" si="31"/>
        <v>0</v>
      </c>
      <c r="BN91" s="428">
        <f t="shared" si="32"/>
        <v>0</v>
      </c>
      <c r="BO91" s="436">
        <f t="shared" si="33"/>
        <v>0</v>
      </c>
      <c r="BS91" s="1373"/>
    </row>
    <row r="92" spans="1:71" ht="45.75" customHeight="1">
      <c r="A92" s="2336"/>
      <c r="B92" s="2336"/>
      <c r="C92" s="2340"/>
      <c r="D92" s="2337"/>
      <c r="E92" s="2338"/>
      <c r="F92" s="2327"/>
      <c r="G92" s="2339" t="str">
        <f t="shared" si="53"/>
        <v/>
      </c>
      <c r="H92" s="451"/>
      <c r="I92" s="2326"/>
      <c r="J92" s="2327"/>
      <c r="K92" s="2328">
        <f t="shared" si="48"/>
        <v>0</v>
      </c>
      <c r="L92" s="2327"/>
      <c r="M92" s="2326"/>
      <c r="N92" s="2329"/>
      <c r="O92" s="2327"/>
      <c r="P92" s="2328">
        <f t="shared" si="49"/>
        <v>0</v>
      </c>
      <c r="Q92" s="2327"/>
      <c r="R92" s="2326"/>
      <c r="S92" s="2329"/>
      <c r="T92" s="2330"/>
      <c r="U92" s="2331">
        <f t="shared" si="50"/>
        <v>0</v>
      </c>
      <c r="V92" s="2332"/>
      <c r="W92" s="2326"/>
      <c r="X92" s="2329"/>
      <c r="Y92" s="2330"/>
      <c r="Z92" s="2333">
        <f t="shared" si="51"/>
        <v>0</v>
      </c>
      <c r="AA92" s="2334">
        <f t="shared" si="54"/>
        <v>0</v>
      </c>
      <c r="AB92" s="2335" t="str">
        <f t="shared" si="52"/>
        <v/>
      </c>
      <c r="AC92" s="201"/>
      <c r="AD92" s="427" t="str">
        <f t="shared" si="55"/>
        <v/>
      </c>
      <c r="AE92" s="428">
        <f t="shared" si="3"/>
        <v>0</v>
      </c>
      <c r="AF92" s="428">
        <f t="shared" si="4"/>
        <v>0</v>
      </c>
      <c r="AG92" s="428">
        <f t="shared" si="5"/>
        <v>0</v>
      </c>
      <c r="AH92" s="428">
        <f t="shared" si="6"/>
        <v>0</v>
      </c>
      <c r="AI92" s="429">
        <f t="shared" si="7"/>
        <v>0</v>
      </c>
      <c r="AJ92" s="430">
        <f t="shared" si="8"/>
        <v>1</v>
      </c>
      <c r="AK92" s="428">
        <f t="shared" si="9"/>
        <v>0</v>
      </c>
      <c r="AL92" s="431" t="e">
        <f t="shared" si="10"/>
        <v>#DIV/0!</v>
      </c>
      <c r="AM92" s="308"/>
      <c r="AN92" s="432">
        <f t="shared" si="11"/>
        <v>0</v>
      </c>
      <c r="AO92" s="430">
        <f t="shared" si="12"/>
        <v>0</v>
      </c>
      <c r="AP92" s="430">
        <f t="shared" si="13"/>
        <v>0</v>
      </c>
      <c r="AQ92" s="430">
        <f t="shared" si="14"/>
        <v>0</v>
      </c>
      <c r="AR92" s="433">
        <f t="shared" si="15"/>
        <v>0</v>
      </c>
      <c r="AT92" s="434">
        <f t="shared" si="16"/>
        <v>0</v>
      </c>
      <c r="AU92" s="430">
        <f t="shared" si="17"/>
        <v>0</v>
      </c>
      <c r="AV92" s="1469">
        <f t="shared" si="57"/>
        <v>0</v>
      </c>
      <c r="AW92" s="1469">
        <f t="shared" si="58"/>
        <v>0</v>
      </c>
      <c r="AX92" s="430">
        <f t="shared" si="20"/>
        <v>0</v>
      </c>
      <c r="AY92" s="435">
        <f t="shared" si="21"/>
        <v>0</v>
      </c>
      <c r="AZ92" s="309"/>
      <c r="BA92" s="434">
        <f t="shared" si="22"/>
        <v>0</v>
      </c>
      <c r="BB92" s="430">
        <f t="shared" si="23"/>
        <v>0</v>
      </c>
      <c r="BC92" s="430">
        <f t="shared" si="24"/>
        <v>0</v>
      </c>
      <c r="BD92" s="430">
        <f t="shared" si="25"/>
        <v>0</v>
      </c>
      <c r="BE92" s="435">
        <f t="shared" si="26"/>
        <v>0</v>
      </c>
      <c r="BG92" s="428">
        <f t="shared" si="27"/>
        <v>44927</v>
      </c>
      <c r="BH92" s="428">
        <f t="shared" si="28"/>
        <v>44927</v>
      </c>
      <c r="BI92" s="428">
        <f t="shared" si="29"/>
        <v>44927</v>
      </c>
      <c r="BJ92" s="428">
        <f t="shared" si="56"/>
        <v>0</v>
      </c>
      <c r="BL92" s="432">
        <f t="shared" si="30"/>
        <v>0</v>
      </c>
      <c r="BM92" s="428">
        <f t="shared" si="31"/>
        <v>0</v>
      </c>
      <c r="BN92" s="428">
        <f t="shared" si="32"/>
        <v>0</v>
      </c>
      <c r="BO92" s="436">
        <f t="shared" si="33"/>
        <v>0</v>
      </c>
      <c r="BS92" s="1373"/>
    </row>
    <row r="93" spans="1:71" ht="45.75" customHeight="1">
      <c r="A93" s="2336"/>
      <c r="B93" s="2336"/>
      <c r="C93" s="2340"/>
      <c r="D93" s="2337"/>
      <c r="E93" s="2338"/>
      <c r="F93" s="2327"/>
      <c r="G93" s="2339" t="str">
        <f t="shared" si="53"/>
        <v/>
      </c>
      <c r="H93" s="451"/>
      <c r="I93" s="2326"/>
      <c r="J93" s="2327"/>
      <c r="K93" s="2328">
        <f t="shared" si="48"/>
        <v>0</v>
      </c>
      <c r="L93" s="2327"/>
      <c r="M93" s="2326"/>
      <c r="N93" s="2329"/>
      <c r="O93" s="2327"/>
      <c r="P93" s="2328">
        <f t="shared" si="49"/>
        <v>0</v>
      </c>
      <c r="Q93" s="2327"/>
      <c r="R93" s="2326"/>
      <c r="S93" s="2329"/>
      <c r="T93" s="2330"/>
      <c r="U93" s="2331">
        <f t="shared" si="50"/>
        <v>0</v>
      </c>
      <c r="V93" s="2332"/>
      <c r="W93" s="2326"/>
      <c r="X93" s="2329"/>
      <c r="Y93" s="2330"/>
      <c r="Z93" s="2333">
        <f t="shared" si="51"/>
        <v>0</v>
      </c>
      <c r="AA93" s="2334">
        <f t="shared" si="54"/>
        <v>0</v>
      </c>
      <c r="AB93" s="2335" t="str">
        <f t="shared" si="52"/>
        <v/>
      </c>
      <c r="AC93" s="201"/>
      <c r="AD93" s="427" t="str">
        <f t="shared" si="55"/>
        <v/>
      </c>
      <c r="AE93" s="428">
        <f t="shared" si="3"/>
        <v>0</v>
      </c>
      <c r="AF93" s="428">
        <f t="shared" si="4"/>
        <v>0</v>
      </c>
      <c r="AG93" s="428">
        <f t="shared" si="5"/>
        <v>0</v>
      </c>
      <c r="AH93" s="428">
        <f t="shared" si="6"/>
        <v>0</v>
      </c>
      <c r="AI93" s="429">
        <f t="shared" si="7"/>
        <v>0</v>
      </c>
      <c r="AJ93" s="430">
        <f t="shared" si="8"/>
        <v>1</v>
      </c>
      <c r="AK93" s="428">
        <f t="shared" si="9"/>
        <v>0</v>
      </c>
      <c r="AL93" s="431" t="e">
        <f t="shared" si="10"/>
        <v>#DIV/0!</v>
      </c>
      <c r="AM93" s="308"/>
      <c r="AN93" s="432">
        <f t="shared" si="11"/>
        <v>0</v>
      </c>
      <c r="AO93" s="430">
        <f t="shared" si="12"/>
        <v>0</v>
      </c>
      <c r="AP93" s="430">
        <f t="shared" si="13"/>
        <v>0</v>
      </c>
      <c r="AQ93" s="430">
        <f t="shared" si="14"/>
        <v>0</v>
      </c>
      <c r="AR93" s="433">
        <f t="shared" si="15"/>
        <v>0</v>
      </c>
      <c r="AT93" s="434">
        <f t="shared" si="16"/>
        <v>0</v>
      </c>
      <c r="AU93" s="430">
        <f t="shared" si="17"/>
        <v>0</v>
      </c>
      <c r="AV93" s="1469">
        <f t="shared" si="57"/>
        <v>0</v>
      </c>
      <c r="AW93" s="1469">
        <f t="shared" si="58"/>
        <v>0</v>
      </c>
      <c r="AX93" s="430">
        <f t="shared" si="20"/>
        <v>0</v>
      </c>
      <c r="AY93" s="435">
        <f t="shared" si="21"/>
        <v>0</v>
      </c>
      <c r="AZ93" s="309"/>
      <c r="BA93" s="434">
        <f t="shared" si="22"/>
        <v>0</v>
      </c>
      <c r="BB93" s="430">
        <f t="shared" si="23"/>
        <v>0</v>
      </c>
      <c r="BC93" s="430">
        <f t="shared" si="24"/>
        <v>0</v>
      </c>
      <c r="BD93" s="430">
        <f t="shared" si="25"/>
        <v>0</v>
      </c>
      <c r="BE93" s="435">
        <f t="shared" si="26"/>
        <v>0</v>
      </c>
      <c r="BG93" s="428">
        <f t="shared" si="27"/>
        <v>44927</v>
      </c>
      <c r="BH93" s="428">
        <f t="shared" si="28"/>
        <v>44927</v>
      </c>
      <c r="BI93" s="428">
        <f t="shared" si="29"/>
        <v>44927</v>
      </c>
      <c r="BJ93" s="428">
        <f t="shared" si="56"/>
        <v>0</v>
      </c>
      <c r="BL93" s="432">
        <f t="shared" si="30"/>
        <v>0</v>
      </c>
      <c r="BM93" s="428">
        <f t="shared" si="31"/>
        <v>0</v>
      </c>
      <c r="BN93" s="428">
        <f t="shared" si="32"/>
        <v>0</v>
      </c>
      <c r="BO93" s="436">
        <f t="shared" si="33"/>
        <v>0</v>
      </c>
      <c r="BS93" s="1373"/>
    </row>
    <row r="94" spans="1:71" ht="45.75" customHeight="1">
      <c r="A94" s="2336"/>
      <c r="B94" s="2336"/>
      <c r="C94" s="2340"/>
      <c r="D94" s="2337"/>
      <c r="E94" s="2338"/>
      <c r="F94" s="2327"/>
      <c r="G94" s="2339" t="str">
        <f t="shared" si="53"/>
        <v/>
      </c>
      <c r="H94" s="451"/>
      <c r="I94" s="2326"/>
      <c r="J94" s="2327"/>
      <c r="K94" s="2328">
        <f t="shared" si="48"/>
        <v>0</v>
      </c>
      <c r="L94" s="2327"/>
      <c r="M94" s="2326"/>
      <c r="N94" s="2329"/>
      <c r="O94" s="2327"/>
      <c r="P94" s="2328">
        <f t="shared" si="49"/>
        <v>0</v>
      </c>
      <c r="Q94" s="2327"/>
      <c r="R94" s="2326"/>
      <c r="S94" s="2329"/>
      <c r="T94" s="2330"/>
      <c r="U94" s="2331">
        <f t="shared" si="50"/>
        <v>0</v>
      </c>
      <c r="V94" s="2332"/>
      <c r="W94" s="2326"/>
      <c r="X94" s="2329"/>
      <c r="Y94" s="2330"/>
      <c r="Z94" s="2333">
        <f t="shared" si="51"/>
        <v>0</v>
      </c>
      <c r="AA94" s="2334">
        <f t="shared" si="54"/>
        <v>0</v>
      </c>
      <c r="AB94" s="2335" t="str">
        <f t="shared" si="52"/>
        <v/>
      </c>
      <c r="AC94" s="201"/>
      <c r="AD94" s="427" t="str">
        <f t="shared" si="55"/>
        <v/>
      </c>
      <c r="AE94" s="428">
        <f t="shared" si="3"/>
        <v>0</v>
      </c>
      <c r="AF94" s="428">
        <f t="shared" si="4"/>
        <v>0</v>
      </c>
      <c r="AG94" s="428">
        <f t="shared" si="5"/>
        <v>0</v>
      </c>
      <c r="AH94" s="428">
        <f t="shared" si="6"/>
        <v>0</v>
      </c>
      <c r="AI94" s="429">
        <f t="shared" si="7"/>
        <v>0</v>
      </c>
      <c r="AJ94" s="430">
        <f t="shared" si="8"/>
        <v>1</v>
      </c>
      <c r="AK94" s="428">
        <f t="shared" si="9"/>
        <v>0</v>
      </c>
      <c r="AL94" s="431" t="e">
        <f t="shared" si="10"/>
        <v>#DIV/0!</v>
      </c>
      <c r="AM94" s="308"/>
      <c r="AN94" s="432">
        <f t="shared" si="11"/>
        <v>0</v>
      </c>
      <c r="AO94" s="430">
        <f t="shared" si="12"/>
        <v>0</v>
      </c>
      <c r="AP94" s="430">
        <f t="shared" si="13"/>
        <v>0</v>
      </c>
      <c r="AQ94" s="430">
        <f t="shared" si="14"/>
        <v>0</v>
      </c>
      <c r="AR94" s="433">
        <f t="shared" si="15"/>
        <v>0</v>
      </c>
      <c r="AT94" s="434">
        <f t="shared" si="16"/>
        <v>0</v>
      </c>
      <c r="AU94" s="430">
        <f t="shared" si="17"/>
        <v>0</v>
      </c>
      <c r="AV94" s="1469">
        <f t="shared" si="57"/>
        <v>0</v>
      </c>
      <c r="AW94" s="1469">
        <f t="shared" si="58"/>
        <v>0</v>
      </c>
      <c r="AX94" s="430">
        <f t="shared" si="20"/>
        <v>0</v>
      </c>
      <c r="AY94" s="435">
        <f t="shared" si="21"/>
        <v>0</v>
      </c>
      <c r="AZ94" s="309"/>
      <c r="BA94" s="434">
        <f t="shared" si="22"/>
        <v>0</v>
      </c>
      <c r="BB94" s="430">
        <f t="shared" si="23"/>
        <v>0</v>
      </c>
      <c r="BC94" s="430">
        <f t="shared" si="24"/>
        <v>0</v>
      </c>
      <c r="BD94" s="430">
        <f t="shared" si="25"/>
        <v>0</v>
      </c>
      <c r="BE94" s="435">
        <f t="shared" si="26"/>
        <v>0</v>
      </c>
      <c r="BG94" s="428">
        <f t="shared" si="27"/>
        <v>44927</v>
      </c>
      <c r="BH94" s="428">
        <f t="shared" si="28"/>
        <v>44927</v>
      </c>
      <c r="BI94" s="428">
        <f t="shared" si="29"/>
        <v>44927</v>
      </c>
      <c r="BJ94" s="428">
        <f t="shared" si="56"/>
        <v>0</v>
      </c>
      <c r="BL94" s="432">
        <f t="shared" si="30"/>
        <v>0</v>
      </c>
      <c r="BM94" s="428">
        <f t="shared" si="31"/>
        <v>0</v>
      </c>
      <c r="BN94" s="428">
        <f t="shared" si="32"/>
        <v>0</v>
      </c>
      <c r="BO94" s="436">
        <f t="shared" si="33"/>
        <v>0</v>
      </c>
      <c r="BS94" s="1373"/>
    </row>
    <row r="95" spans="1:71" ht="45.75" customHeight="1">
      <c r="A95" s="2336"/>
      <c r="B95" s="2336"/>
      <c r="C95" s="2340"/>
      <c r="D95" s="2337"/>
      <c r="E95" s="2338"/>
      <c r="F95" s="2327"/>
      <c r="G95" s="2339" t="str">
        <f t="shared" si="53"/>
        <v/>
      </c>
      <c r="H95" s="451"/>
      <c r="I95" s="2326"/>
      <c r="J95" s="2327"/>
      <c r="K95" s="2328">
        <f t="shared" si="48"/>
        <v>0</v>
      </c>
      <c r="L95" s="2327"/>
      <c r="M95" s="2326"/>
      <c r="N95" s="2329"/>
      <c r="O95" s="2327"/>
      <c r="P95" s="2328">
        <f t="shared" si="49"/>
        <v>0</v>
      </c>
      <c r="Q95" s="2327"/>
      <c r="R95" s="2326"/>
      <c r="S95" s="2329"/>
      <c r="T95" s="2330"/>
      <c r="U95" s="2331">
        <f t="shared" si="50"/>
        <v>0</v>
      </c>
      <c r="V95" s="2332"/>
      <c r="W95" s="2326"/>
      <c r="X95" s="2329"/>
      <c r="Y95" s="2330"/>
      <c r="Z95" s="2333">
        <f t="shared" si="51"/>
        <v>0</v>
      </c>
      <c r="AA95" s="2334">
        <f t="shared" si="54"/>
        <v>0</v>
      </c>
      <c r="AB95" s="2335" t="str">
        <f t="shared" si="52"/>
        <v/>
      </c>
      <c r="AC95" s="201"/>
      <c r="AD95" s="427" t="str">
        <f t="shared" si="55"/>
        <v/>
      </c>
      <c r="AE95" s="428">
        <f t="shared" si="3"/>
        <v>0</v>
      </c>
      <c r="AF95" s="428">
        <f t="shared" si="4"/>
        <v>0</v>
      </c>
      <c r="AG95" s="428">
        <f t="shared" si="5"/>
        <v>0</v>
      </c>
      <c r="AH95" s="428">
        <f t="shared" si="6"/>
        <v>0</v>
      </c>
      <c r="AI95" s="429">
        <f t="shared" si="7"/>
        <v>0</v>
      </c>
      <c r="AJ95" s="430">
        <f t="shared" si="8"/>
        <v>1</v>
      </c>
      <c r="AK95" s="428">
        <f t="shared" si="9"/>
        <v>0</v>
      </c>
      <c r="AL95" s="431" t="e">
        <f t="shared" si="10"/>
        <v>#DIV/0!</v>
      </c>
      <c r="AM95" s="308"/>
      <c r="AN95" s="432">
        <f t="shared" si="11"/>
        <v>0</v>
      </c>
      <c r="AO95" s="430">
        <f t="shared" si="12"/>
        <v>0</v>
      </c>
      <c r="AP95" s="430">
        <f t="shared" si="13"/>
        <v>0</v>
      </c>
      <c r="AQ95" s="430">
        <f t="shared" si="14"/>
        <v>0</v>
      </c>
      <c r="AR95" s="433">
        <f t="shared" si="15"/>
        <v>0</v>
      </c>
      <c r="AT95" s="434">
        <f t="shared" si="16"/>
        <v>0</v>
      </c>
      <c r="AU95" s="430">
        <f t="shared" si="17"/>
        <v>0</v>
      </c>
      <c r="AV95" s="1469">
        <f t="shared" si="57"/>
        <v>0</v>
      </c>
      <c r="AW95" s="1469">
        <f t="shared" si="58"/>
        <v>0</v>
      </c>
      <c r="AX95" s="430">
        <f t="shared" si="20"/>
        <v>0</v>
      </c>
      <c r="AY95" s="435">
        <f t="shared" si="21"/>
        <v>0</v>
      </c>
      <c r="AZ95" s="309"/>
      <c r="BA95" s="434">
        <f t="shared" si="22"/>
        <v>0</v>
      </c>
      <c r="BB95" s="430">
        <f t="shared" si="23"/>
        <v>0</v>
      </c>
      <c r="BC95" s="430">
        <f t="shared" si="24"/>
        <v>0</v>
      </c>
      <c r="BD95" s="430">
        <f t="shared" si="25"/>
        <v>0</v>
      </c>
      <c r="BE95" s="435">
        <f t="shared" si="26"/>
        <v>0</v>
      </c>
      <c r="BG95" s="428">
        <f t="shared" si="27"/>
        <v>44927</v>
      </c>
      <c r="BH95" s="428">
        <f t="shared" si="28"/>
        <v>44927</v>
      </c>
      <c r="BI95" s="428">
        <f t="shared" si="29"/>
        <v>44927</v>
      </c>
      <c r="BJ95" s="428">
        <f t="shared" si="56"/>
        <v>0</v>
      </c>
      <c r="BL95" s="432">
        <f t="shared" si="30"/>
        <v>0</v>
      </c>
      <c r="BM95" s="428">
        <f t="shared" si="31"/>
        <v>0</v>
      </c>
      <c r="BN95" s="428">
        <f t="shared" si="32"/>
        <v>0</v>
      </c>
      <c r="BO95" s="436">
        <f t="shared" si="33"/>
        <v>0</v>
      </c>
      <c r="BS95" s="1373"/>
    </row>
    <row r="96" spans="1:71" ht="45.75" customHeight="1">
      <c r="A96" s="2336"/>
      <c r="B96" s="2336"/>
      <c r="C96" s="2340"/>
      <c r="D96" s="2337"/>
      <c r="E96" s="2338"/>
      <c r="F96" s="2327"/>
      <c r="G96" s="2339" t="str">
        <f t="shared" si="53"/>
        <v/>
      </c>
      <c r="H96" s="451"/>
      <c r="I96" s="2326"/>
      <c r="J96" s="2327"/>
      <c r="K96" s="2328">
        <f t="shared" si="48"/>
        <v>0</v>
      </c>
      <c r="L96" s="2327"/>
      <c r="M96" s="2326"/>
      <c r="N96" s="2329"/>
      <c r="O96" s="2327"/>
      <c r="P96" s="2328">
        <f t="shared" si="49"/>
        <v>0</v>
      </c>
      <c r="Q96" s="2327"/>
      <c r="R96" s="2326"/>
      <c r="S96" s="2329"/>
      <c r="T96" s="2330"/>
      <c r="U96" s="2331">
        <f t="shared" si="50"/>
        <v>0</v>
      </c>
      <c r="V96" s="2332"/>
      <c r="W96" s="2326"/>
      <c r="X96" s="2329"/>
      <c r="Y96" s="2330"/>
      <c r="Z96" s="2333">
        <f t="shared" si="51"/>
        <v>0</v>
      </c>
      <c r="AA96" s="2334">
        <f t="shared" si="54"/>
        <v>0</v>
      </c>
      <c r="AB96" s="2335" t="str">
        <f t="shared" si="52"/>
        <v/>
      </c>
      <c r="AC96" s="201"/>
      <c r="AD96" s="427" t="str">
        <f t="shared" si="55"/>
        <v/>
      </c>
      <c r="AE96" s="428">
        <f t="shared" si="3"/>
        <v>0</v>
      </c>
      <c r="AF96" s="428">
        <f t="shared" si="4"/>
        <v>0</v>
      </c>
      <c r="AG96" s="428">
        <f t="shared" si="5"/>
        <v>0</v>
      </c>
      <c r="AH96" s="428">
        <f t="shared" si="6"/>
        <v>0</v>
      </c>
      <c r="AI96" s="429">
        <f t="shared" si="7"/>
        <v>0</v>
      </c>
      <c r="AJ96" s="430">
        <f t="shared" si="8"/>
        <v>1</v>
      </c>
      <c r="AK96" s="428">
        <f t="shared" si="9"/>
        <v>0</v>
      </c>
      <c r="AL96" s="431" t="e">
        <f t="shared" si="10"/>
        <v>#DIV/0!</v>
      </c>
      <c r="AM96" s="308"/>
      <c r="AN96" s="432">
        <f t="shared" si="11"/>
        <v>0</v>
      </c>
      <c r="AO96" s="430">
        <f t="shared" si="12"/>
        <v>0</v>
      </c>
      <c r="AP96" s="430">
        <f t="shared" si="13"/>
        <v>0</v>
      </c>
      <c r="AQ96" s="430">
        <f t="shared" si="14"/>
        <v>0</v>
      </c>
      <c r="AR96" s="433">
        <f t="shared" si="15"/>
        <v>0</v>
      </c>
      <c r="AT96" s="434">
        <f t="shared" si="16"/>
        <v>0</v>
      </c>
      <c r="AU96" s="430">
        <f t="shared" si="17"/>
        <v>0</v>
      </c>
      <c r="AV96" s="1469">
        <f t="shared" si="57"/>
        <v>0</v>
      </c>
      <c r="AW96" s="1469">
        <f t="shared" si="58"/>
        <v>0</v>
      </c>
      <c r="AX96" s="430">
        <f t="shared" si="20"/>
        <v>0</v>
      </c>
      <c r="AY96" s="435">
        <f t="shared" si="21"/>
        <v>0</v>
      </c>
      <c r="AZ96" s="309"/>
      <c r="BA96" s="434">
        <f t="shared" si="22"/>
        <v>0</v>
      </c>
      <c r="BB96" s="430">
        <f t="shared" si="23"/>
        <v>0</v>
      </c>
      <c r="BC96" s="430">
        <f t="shared" si="24"/>
        <v>0</v>
      </c>
      <c r="BD96" s="430">
        <f t="shared" si="25"/>
        <v>0</v>
      </c>
      <c r="BE96" s="435">
        <f t="shared" si="26"/>
        <v>0</v>
      </c>
      <c r="BG96" s="428">
        <f t="shared" si="27"/>
        <v>44927</v>
      </c>
      <c r="BH96" s="428">
        <f t="shared" si="28"/>
        <v>44927</v>
      </c>
      <c r="BI96" s="428">
        <f t="shared" si="29"/>
        <v>44927</v>
      </c>
      <c r="BJ96" s="428">
        <f t="shared" si="56"/>
        <v>0</v>
      </c>
      <c r="BL96" s="432">
        <f t="shared" si="30"/>
        <v>0</v>
      </c>
      <c r="BM96" s="428">
        <f t="shared" si="31"/>
        <v>0</v>
      </c>
      <c r="BN96" s="428">
        <f t="shared" si="32"/>
        <v>0</v>
      </c>
      <c r="BO96" s="436">
        <f t="shared" si="33"/>
        <v>0</v>
      </c>
      <c r="BS96" s="1373"/>
    </row>
    <row r="97" spans="1:71" ht="45.75" customHeight="1">
      <c r="A97" s="2336"/>
      <c r="B97" s="2336"/>
      <c r="C97" s="2340"/>
      <c r="D97" s="2337"/>
      <c r="E97" s="2338"/>
      <c r="F97" s="2327"/>
      <c r="G97" s="2339" t="str">
        <f t="shared" si="53"/>
        <v/>
      </c>
      <c r="H97" s="451"/>
      <c r="I97" s="2326"/>
      <c r="J97" s="2327"/>
      <c r="K97" s="2328">
        <f t="shared" si="48"/>
        <v>0</v>
      </c>
      <c r="L97" s="2327"/>
      <c r="M97" s="2326"/>
      <c r="N97" s="2329"/>
      <c r="O97" s="2327"/>
      <c r="P97" s="2328">
        <f t="shared" si="49"/>
        <v>0</v>
      </c>
      <c r="Q97" s="2327"/>
      <c r="R97" s="2326"/>
      <c r="S97" s="2329"/>
      <c r="T97" s="2330"/>
      <c r="U97" s="2331">
        <f t="shared" si="50"/>
        <v>0</v>
      </c>
      <c r="V97" s="2332"/>
      <c r="W97" s="2326"/>
      <c r="X97" s="2329"/>
      <c r="Y97" s="2330"/>
      <c r="Z97" s="2333">
        <f t="shared" si="51"/>
        <v>0</v>
      </c>
      <c r="AA97" s="2334">
        <f t="shared" si="54"/>
        <v>0</v>
      </c>
      <c r="AB97" s="2335" t="str">
        <f t="shared" si="52"/>
        <v/>
      </c>
      <c r="AC97" s="201"/>
      <c r="AD97" s="427" t="str">
        <f t="shared" si="55"/>
        <v/>
      </c>
      <c r="AE97" s="428">
        <f t="shared" si="3"/>
        <v>0</v>
      </c>
      <c r="AF97" s="428">
        <f t="shared" si="4"/>
        <v>0</v>
      </c>
      <c r="AG97" s="428">
        <f t="shared" si="5"/>
        <v>0</v>
      </c>
      <c r="AH97" s="428">
        <f t="shared" si="6"/>
        <v>0</v>
      </c>
      <c r="AI97" s="429">
        <f t="shared" si="7"/>
        <v>0</v>
      </c>
      <c r="AJ97" s="430">
        <f t="shared" si="8"/>
        <v>1</v>
      </c>
      <c r="AK97" s="428">
        <f t="shared" si="9"/>
        <v>0</v>
      </c>
      <c r="AL97" s="431" t="e">
        <f t="shared" si="10"/>
        <v>#DIV/0!</v>
      </c>
      <c r="AM97" s="308"/>
      <c r="AN97" s="432">
        <f t="shared" si="11"/>
        <v>0</v>
      </c>
      <c r="AO97" s="430">
        <f t="shared" si="12"/>
        <v>0</v>
      </c>
      <c r="AP97" s="430">
        <f t="shared" si="13"/>
        <v>0</v>
      </c>
      <c r="AQ97" s="430">
        <f t="shared" si="14"/>
        <v>0</v>
      </c>
      <c r="AR97" s="433">
        <f t="shared" si="15"/>
        <v>0</v>
      </c>
      <c r="AT97" s="434">
        <f t="shared" si="16"/>
        <v>0</v>
      </c>
      <c r="AU97" s="430">
        <f t="shared" si="17"/>
        <v>0</v>
      </c>
      <c r="AV97" s="1469">
        <f t="shared" si="57"/>
        <v>0</v>
      </c>
      <c r="AW97" s="1469">
        <f t="shared" si="58"/>
        <v>0</v>
      </c>
      <c r="AX97" s="430">
        <f t="shared" si="20"/>
        <v>0</v>
      </c>
      <c r="AY97" s="435">
        <f t="shared" si="21"/>
        <v>0</v>
      </c>
      <c r="AZ97" s="309"/>
      <c r="BA97" s="434">
        <f t="shared" si="22"/>
        <v>0</v>
      </c>
      <c r="BB97" s="430">
        <f t="shared" si="23"/>
        <v>0</v>
      </c>
      <c r="BC97" s="430">
        <f t="shared" si="24"/>
        <v>0</v>
      </c>
      <c r="BD97" s="430">
        <f t="shared" si="25"/>
        <v>0</v>
      </c>
      <c r="BE97" s="435">
        <f t="shared" si="26"/>
        <v>0</v>
      </c>
      <c r="BG97" s="428">
        <f t="shared" si="27"/>
        <v>44927</v>
      </c>
      <c r="BH97" s="428">
        <f t="shared" si="28"/>
        <v>44927</v>
      </c>
      <c r="BI97" s="428">
        <f t="shared" si="29"/>
        <v>44927</v>
      </c>
      <c r="BJ97" s="428">
        <f t="shared" si="56"/>
        <v>0</v>
      </c>
      <c r="BL97" s="432">
        <f t="shared" si="30"/>
        <v>0</v>
      </c>
      <c r="BM97" s="428">
        <f t="shared" si="31"/>
        <v>0</v>
      </c>
      <c r="BN97" s="428">
        <f t="shared" si="32"/>
        <v>0</v>
      </c>
      <c r="BO97" s="436">
        <f t="shared" si="33"/>
        <v>0</v>
      </c>
      <c r="BS97" s="1373"/>
    </row>
    <row r="98" spans="1:71" ht="45.75" customHeight="1">
      <c r="A98" s="2336"/>
      <c r="B98" s="2336"/>
      <c r="C98" s="2340"/>
      <c r="D98" s="2337"/>
      <c r="E98" s="2338"/>
      <c r="F98" s="2327"/>
      <c r="G98" s="2339" t="str">
        <f t="shared" si="53"/>
        <v/>
      </c>
      <c r="H98" s="451"/>
      <c r="I98" s="2326"/>
      <c r="J98" s="2327"/>
      <c r="K98" s="2328">
        <f t="shared" si="48"/>
        <v>0</v>
      </c>
      <c r="L98" s="2327"/>
      <c r="M98" s="2326"/>
      <c r="N98" s="2329"/>
      <c r="O98" s="2327"/>
      <c r="P98" s="2328">
        <f t="shared" si="49"/>
        <v>0</v>
      </c>
      <c r="Q98" s="2327"/>
      <c r="R98" s="2326"/>
      <c r="S98" s="2329"/>
      <c r="T98" s="2330"/>
      <c r="U98" s="2331">
        <f t="shared" si="50"/>
        <v>0</v>
      </c>
      <c r="V98" s="2332"/>
      <c r="W98" s="2326"/>
      <c r="X98" s="2329"/>
      <c r="Y98" s="2330"/>
      <c r="Z98" s="2333">
        <f t="shared" si="51"/>
        <v>0</v>
      </c>
      <c r="AA98" s="2334">
        <f t="shared" si="54"/>
        <v>0</v>
      </c>
      <c r="AB98" s="2335" t="str">
        <f t="shared" si="52"/>
        <v/>
      </c>
      <c r="AC98" s="201"/>
      <c r="AD98" s="427" t="str">
        <f t="shared" si="55"/>
        <v/>
      </c>
      <c r="AE98" s="428">
        <f t="shared" si="3"/>
        <v>0</v>
      </c>
      <c r="AF98" s="428">
        <f t="shared" si="4"/>
        <v>0</v>
      </c>
      <c r="AG98" s="428">
        <f t="shared" si="5"/>
        <v>0</v>
      </c>
      <c r="AH98" s="428">
        <f t="shared" si="6"/>
        <v>0</v>
      </c>
      <c r="AI98" s="429">
        <f t="shared" si="7"/>
        <v>0</v>
      </c>
      <c r="AJ98" s="430">
        <f t="shared" si="8"/>
        <v>1</v>
      </c>
      <c r="AK98" s="428">
        <f t="shared" si="9"/>
        <v>0</v>
      </c>
      <c r="AL98" s="431" t="e">
        <f t="shared" si="10"/>
        <v>#DIV/0!</v>
      </c>
      <c r="AM98" s="308"/>
      <c r="AN98" s="432">
        <f t="shared" si="11"/>
        <v>0</v>
      </c>
      <c r="AO98" s="430">
        <f t="shared" si="12"/>
        <v>0</v>
      </c>
      <c r="AP98" s="430">
        <f t="shared" si="13"/>
        <v>0</v>
      </c>
      <c r="AQ98" s="430">
        <f t="shared" si="14"/>
        <v>0</v>
      </c>
      <c r="AR98" s="433">
        <f t="shared" si="15"/>
        <v>0</v>
      </c>
      <c r="AT98" s="434">
        <f t="shared" si="16"/>
        <v>0</v>
      </c>
      <c r="AU98" s="430">
        <f t="shared" si="17"/>
        <v>0</v>
      </c>
      <c r="AV98" s="1469">
        <f t="shared" si="57"/>
        <v>0</v>
      </c>
      <c r="AW98" s="1469">
        <f t="shared" si="58"/>
        <v>0</v>
      </c>
      <c r="AX98" s="430">
        <f t="shared" si="20"/>
        <v>0</v>
      </c>
      <c r="AY98" s="435">
        <f t="shared" si="21"/>
        <v>0</v>
      </c>
      <c r="AZ98" s="309"/>
      <c r="BA98" s="434">
        <f t="shared" si="22"/>
        <v>0</v>
      </c>
      <c r="BB98" s="430">
        <f t="shared" si="23"/>
        <v>0</v>
      </c>
      <c r="BC98" s="430">
        <f t="shared" si="24"/>
        <v>0</v>
      </c>
      <c r="BD98" s="430">
        <f t="shared" si="25"/>
        <v>0</v>
      </c>
      <c r="BE98" s="435">
        <f t="shared" si="26"/>
        <v>0</v>
      </c>
      <c r="BG98" s="428">
        <f t="shared" si="27"/>
        <v>44927</v>
      </c>
      <c r="BH98" s="428">
        <f t="shared" si="28"/>
        <v>44927</v>
      </c>
      <c r="BI98" s="428">
        <f t="shared" si="29"/>
        <v>44927</v>
      </c>
      <c r="BJ98" s="428">
        <f t="shared" si="56"/>
        <v>0</v>
      </c>
      <c r="BL98" s="432">
        <f t="shared" si="30"/>
        <v>0</v>
      </c>
      <c r="BM98" s="428">
        <f t="shared" si="31"/>
        <v>0</v>
      </c>
      <c r="BN98" s="428">
        <f t="shared" si="32"/>
        <v>0</v>
      </c>
      <c r="BO98" s="436">
        <f t="shared" si="33"/>
        <v>0</v>
      </c>
      <c r="BS98" s="1373"/>
    </row>
    <row r="99" spans="1:71" ht="45.75" customHeight="1">
      <c r="A99" s="2336"/>
      <c r="B99" s="2336"/>
      <c r="C99" s="2340"/>
      <c r="D99" s="2337"/>
      <c r="E99" s="2338"/>
      <c r="F99" s="2327"/>
      <c r="G99" s="2339" t="str">
        <f t="shared" si="53"/>
        <v/>
      </c>
      <c r="H99" s="451"/>
      <c r="I99" s="2326"/>
      <c r="J99" s="2327"/>
      <c r="K99" s="2328">
        <f t="shared" si="48"/>
        <v>0</v>
      </c>
      <c r="L99" s="2327"/>
      <c r="M99" s="2326"/>
      <c r="N99" s="2329"/>
      <c r="O99" s="2327"/>
      <c r="P99" s="2328">
        <f t="shared" si="49"/>
        <v>0</v>
      </c>
      <c r="Q99" s="2327"/>
      <c r="R99" s="2326"/>
      <c r="S99" s="2329"/>
      <c r="T99" s="2330"/>
      <c r="U99" s="2331">
        <f t="shared" si="50"/>
        <v>0</v>
      </c>
      <c r="V99" s="2332"/>
      <c r="W99" s="2326"/>
      <c r="X99" s="2329"/>
      <c r="Y99" s="2330"/>
      <c r="Z99" s="2333">
        <f t="shared" si="51"/>
        <v>0</v>
      </c>
      <c r="AA99" s="2334">
        <f t="shared" si="54"/>
        <v>0</v>
      </c>
      <c r="AB99" s="2335" t="str">
        <f t="shared" si="52"/>
        <v/>
      </c>
      <c r="AC99" s="201"/>
      <c r="AD99" s="427" t="str">
        <f t="shared" si="55"/>
        <v/>
      </c>
      <c r="AE99" s="428">
        <f t="shared" si="3"/>
        <v>0</v>
      </c>
      <c r="AF99" s="428">
        <f t="shared" si="4"/>
        <v>0</v>
      </c>
      <c r="AG99" s="428">
        <f t="shared" si="5"/>
        <v>0</v>
      </c>
      <c r="AH99" s="428">
        <f t="shared" si="6"/>
        <v>0</v>
      </c>
      <c r="AI99" s="429">
        <f t="shared" si="7"/>
        <v>0</v>
      </c>
      <c r="AJ99" s="430">
        <f t="shared" si="8"/>
        <v>1</v>
      </c>
      <c r="AK99" s="428">
        <f t="shared" si="9"/>
        <v>0</v>
      </c>
      <c r="AL99" s="431" t="e">
        <f t="shared" si="10"/>
        <v>#DIV/0!</v>
      </c>
      <c r="AM99" s="308"/>
      <c r="AN99" s="432">
        <f t="shared" si="11"/>
        <v>0</v>
      </c>
      <c r="AO99" s="430">
        <f t="shared" si="12"/>
        <v>0</v>
      </c>
      <c r="AP99" s="430">
        <f t="shared" si="13"/>
        <v>0</v>
      </c>
      <c r="AQ99" s="430">
        <f t="shared" si="14"/>
        <v>0</v>
      </c>
      <c r="AR99" s="433">
        <f t="shared" si="15"/>
        <v>0</v>
      </c>
      <c r="AT99" s="434">
        <f t="shared" si="16"/>
        <v>0</v>
      </c>
      <c r="AU99" s="430">
        <f t="shared" si="17"/>
        <v>0</v>
      </c>
      <c r="AV99" s="1469">
        <f t="shared" si="57"/>
        <v>0</v>
      </c>
      <c r="AW99" s="1469">
        <f t="shared" si="58"/>
        <v>0</v>
      </c>
      <c r="AX99" s="430">
        <f t="shared" si="20"/>
        <v>0</v>
      </c>
      <c r="AY99" s="435">
        <f t="shared" si="21"/>
        <v>0</v>
      </c>
      <c r="AZ99" s="309"/>
      <c r="BA99" s="434">
        <f t="shared" si="22"/>
        <v>0</v>
      </c>
      <c r="BB99" s="430">
        <f t="shared" si="23"/>
        <v>0</v>
      </c>
      <c r="BC99" s="430">
        <f t="shared" si="24"/>
        <v>0</v>
      </c>
      <c r="BD99" s="430">
        <f t="shared" si="25"/>
        <v>0</v>
      </c>
      <c r="BE99" s="435">
        <f t="shared" si="26"/>
        <v>0</v>
      </c>
      <c r="BG99" s="428">
        <f t="shared" si="27"/>
        <v>44927</v>
      </c>
      <c r="BH99" s="428">
        <f t="shared" si="28"/>
        <v>44927</v>
      </c>
      <c r="BI99" s="428">
        <f t="shared" si="29"/>
        <v>44927</v>
      </c>
      <c r="BJ99" s="428">
        <f t="shared" si="56"/>
        <v>0</v>
      </c>
      <c r="BL99" s="432">
        <f t="shared" si="30"/>
        <v>0</v>
      </c>
      <c r="BM99" s="428">
        <f t="shared" si="31"/>
        <v>0</v>
      </c>
      <c r="BN99" s="428">
        <f t="shared" si="32"/>
        <v>0</v>
      </c>
      <c r="BO99" s="436">
        <f t="shared" si="33"/>
        <v>0</v>
      </c>
      <c r="BS99" s="1373"/>
    </row>
    <row r="100" spans="1:71" ht="45.75" customHeight="1">
      <c r="A100" s="2336"/>
      <c r="B100" s="2336"/>
      <c r="C100" s="2340"/>
      <c r="D100" s="2337"/>
      <c r="E100" s="2338"/>
      <c r="F100" s="2327"/>
      <c r="G100" s="2339" t="str">
        <f t="shared" si="53"/>
        <v/>
      </c>
      <c r="H100" s="451"/>
      <c r="I100" s="2326"/>
      <c r="J100" s="2327"/>
      <c r="K100" s="2328">
        <f t="shared" si="48"/>
        <v>0</v>
      </c>
      <c r="L100" s="2327"/>
      <c r="M100" s="2326"/>
      <c r="N100" s="2329"/>
      <c r="O100" s="2327"/>
      <c r="P100" s="2328">
        <f t="shared" si="49"/>
        <v>0</v>
      </c>
      <c r="Q100" s="2327"/>
      <c r="R100" s="2326"/>
      <c r="S100" s="2329"/>
      <c r="T100" s="2330"/>
      <c r="U100" s="2331">
        <f t="shared" si="50"/>
        <v>0</v>
      </c>
      <c r="V100" s="2332"/>
      <c r="W100" s="2326"/>
      <c r="X100" s="2329"/>
      <c r="Y100" s="2330"/>
      <c r="Z100" s="2333">
        <f t="shared" si="51"/>
        <v>0</v>
      </c>
      <c r="AA100" s="2334">
        <f t="shared" si="54"/>
        <v>0</v>
      </c>
      <c r="AB100" s="2335" t="str">
        <f t="shared" si="52"/>
        <v/>
      </c>
      <c r="AC100" s="201"/>
      <c r="AD100" s="427" t="str">
        <f t="shared" si="55"/>
        <v/>
      </c>
      <c r="AE100" s="428">
        <f t="shared" si="3"/>
        <v>0</v>
      </c>
      <c r="AF100" s="428">
        <f t="shared" si="4"/>
        <v>0</v>
      </c>
      <c r="AG100" s="428">
        <f t="shared" si="5"/>
        <v>0</v>
      </c>
      <c r="AH100" s="428">
        <f t="shared" si="6"/>
        <v>0</v>
      </c>
      <c r="AI100" s="429">
        <f t="shared" si="7"/>
        <v>0</v>
      </c>
      <c r="AJ100" s="430">
        <f t="shared" si="8"/>
        <v>1</v>
      </c>
      <c r="AK100" s="428">
        <f t="shared" si="9"/>
        <v>0</v>
      </c>
      <c r="AL100" s="431" t="e">
        <f t="shared" si="10"/>
        <v>#DIV/0!</v>
      </c>
      <c r="AM100" s="308"/>
      <c r="AN100" s="432">
        <f t="shared" si="11"/>
        <v>0</v>
      </c>
      <c r="AO100" s="430">
        <f t="shared" si="12"/>
        <v>0</v>
      </c>
      <c r="AP100" s="430">
        <f t="shared" si="13"/>
        <v>0</v>
      </c>
      <c r="AQ100" s="430">
        <f t="shared" si="14"/>
        <v>0</v>
      </c>
      <c r="AR100" s="433">
        <f t="shared" si="15"/>
        <v>0</v>
      </c>
      <c r="AT100" s="434">
        <f t="shared" si="16"/>
        <v>0</v>
      </c>
      <c r="AU100" s="430">
        <f t="shared" si="17"/>
        <v>0</v>
      </c>
      <c r="AV100" s="1469">
        <f t="shared" si="57"/>
        <v>0</v>
      </c>
      <c r="AW100" s="1469">
        <f t="shared" si="58"/>
        <v>0</v>
      </c>
      <c r="AX100" s="430">
        <f t="shared" si="20"/>
        <v>0</v>
      </c>
      <c r="AY100" s="435">
        <f t="shared" si="21"/>
        <v>0</v>
      </c>
      <c r="AZ100" s="309"/>
      <c r="BA100" s="434">
        <f t="shared" si="22"/>
        <v>0</v>
      </c>
      <c r="BB100" s="430">
        <f t="shared" si="23"/>
        <v>0</v>
      </c>
      <c r="BC100" s="430">
        <f t="shared" si="24"/>
        <v>0</v>
      </c>
      <c r="BD100" s="430">
        <f t="shared" si="25"/>
        <v>0</v>
      </c>
      <c r="BE100" s="435">
        <f t="shared" si="26"/>
        <v>0</v>
      </c>
      <c r="BG100" s="428">
        <f t="shared" si="27"/>
        <v>44927</v>
      </c>
      <c r="BH100" s="428">
        <f t="shared" si="28"/>
        <v>44927</v>
      </c>
      <c r="BI100" s="428">
        <f t="shared" si="29"/>
        <v>44927</v>
      </c>
      <c r="BJ100" s="428">
        <f t="shared" si="56"/>
        <v>0</v>
      </c>
      <c r="BL100" s="432">
        <f t="shared" si="30"/>
        <v>0</v>
      </c>
      <c r="BM100" s="428">
        <f t="shared" si="31"/>
        <v>0</v>
      </c>
      <c r="BN100" s="428">
        <f t="shared" si="32"/>
        <v>0</v>
      </c>
      <c r="BO100" s="436">
        <f t="shared" si="33"/>
        <v>0</v>
      </c>
      <c r="BS100" s="1373"/>
    </row>
    <row r="101" spans="1:71" ht="45.75" customHeight="1">
      <c r="A101" s="2336"/>
      <c r="B101" s="2336"/>
      <c r="C101" s="2340"/>
      <c r="D101" s="2337"/>
      <c r="E101" s="2338"/>
      <c r="F101" s="2327"/>
      <c r="G101" s="2339" t="str">
        <f t="shared" si="53"/>
        <v/>
      </c>
      <c r="H101" s="451"/>
      <c r="I101" s="2326"/>
      <c r="J101" s="2327"/>
      <c r="K101" s="2328">
        <f t="shared" si="48"/>
        <v>0</v>
      </c>
      <c r="L101" s="2327"/>
      <c r="M101" s="2326"/>
      <c r="N101" s="2329"/>
      <c r="O101" s="2327"/>
      <c r="P101" s="2328">
        <f t="shared" si="49"/>
        <v>0</v>
      </c>
      <c r="Q101" s="2327"/>
      <c r="R101" s="2326"/>
      <c r="S101" s="2329"/>
      <c r="T101" s="2330"/>
      <c r="U101" s="2331">
        <f t="shared" si="50"/>
        <v>0</v>
      </c>
      <c r="V101" s="2332"/>
      <c r="W101" s="2326"/>
      <c r="X101" s="2329"/>
      <c r="Y101" s="2330"/>
      <c r="Z101" s="2333">
        <f t="shared" si="51"/>
        <v>0</v>
      </c>
      <c r="AA101" s="2334">
        <f t="shared" si="54"/>
        <v>0</v>
      </c>
      <c r="AB101" s="2335" t="str">
        <f t="shared" si="52"/>
        <v/>
      </c>
      <c r="AC101" s="201"/>
      <c r="AD101" s="427" t="str">
        <f t="shared" si="55"/>
        <v/>
      </c>
      <c r="AE101" s="428">
        <f t="shared" si="3"/>
        <v>0</v>
      </c>
      <c r="AF101" s="428">
        <f t="shared" si="4"/>
        <v>0</v>
      </c>
      <c r="AG101" s="428">
        <f t="shared" si="5"/>
        <v>0</v>
      </c>
      <c r="AH101" s="428">
        <f t="shared" si="6"/>
        <v>0</v>
      </c>
      <c r="AI101" s="429">
        <f t="shared" si="7"/>
        <v>0</v>
      </c>
      <c r="AJ101" s="430">
        <f t="shared" si="8"/>
        <v>1</v>
      </c>
      <c r="AK101" s="428">
        <f t="shared" si="9"/>
        <v>0</v>
      </c>
      <c r="AL101" s="431" t="e">
        <f t="shared" si="10"/>
        <v>#DIV/0!</v>
      </c>
      <c r="AM101" s="308"/>
      <c r="AN101" s="432">
        <f t="shared" si="11"/>
        <v>0</v>
      </c>
      <c r="AO101" s="430">
        <f t="shared" si="12"/>
        <v>0</v>
      </c>
      <c r="AP101" s="430">
        <f t="shared" si="13"/>
        <v>0</v>
      </c>
      <c r="AQ101" s="430">
        <f t="shared" si="14"/>
        <v>0</v>
      </c>
      <c r="AR101" s="433">
        <f t="shared" si="15"/>
        <v>0</v>
      </c>
      <c r="AT101" s="434">
        <f t="shared" si="16"/>
        <v>0</v>
      </c>
      <c r="AU101" s="430">
        <f t="shared" si="17"/>
        <v>0</v>
      </c>
      <c r="AV101" s="1469">
        <f t="shared" si="57"/>
        <v>0</v>
      </c>
      <c r="AW101" s="1469">
        <f t="shared" si="58"/>
        <v>0</v>
      </c>
      <c r="AX101" s="430">
        <f t="shared" si="20"/>
        <v>0</v>
      </c>
      <c r="AY101" s="435">
        <f t="shared" si="21"/>
        <v>0</v>
      </c>
      <c r="AZ101" s="309"/>
      <c r="BA101" s="434">
        <f t="shared" si="22"/>
        <v>0</v>
      </c>
      <c r="BB101" s="430">
        <f t="shared" si="23"/>
        <v>0</v>
      </c>
      <c r="BC101" s="430">
        <f t="shared" si="24"/>
        <v>0</v>
      </c>
      <c r="BD101" s="430">
        <f t="shared" si="25"/>
        <v>0</v>
      </c>
      <c r="BE101" s="435">
        <f t="shared" si="26"/>
        <v>0</v>
      </c>
      <c r="BG101" s="428">
        <f t="shared" si="27"/>
        <v>44927</v>
      </c>
      <c r="BH101" s="428">
        <f t="shared" si="28"/>
        <v>44927</v>
      </c>
      <c r="BI101" s="428">
        <f t="shared" si="29"/>
        <v>44927</v>
      </c>
      <c r="BJ101" s="428">
        <f t="shared" si="56"/>
        <v>0</v>
      </c>
      <c r="BL101" s="432">
        <f t="shared" si="30"/>
        <v>0</v>
      </c>
      <c r="BM101" s="428">
        <f t="shared" si="31"/>
        <v>0</v>
      </c>
      <c r="BN101" s="428">
        <f t="shared" si="32"/>
        <v>0</v>
      </c>
      <c r="BO101" s="436">
        <f t="shared" si="33"/>
        <v>0</v>
      </c>
      <c r="BS101" s="1373"/>
    </row>
    <row r="102" spans="1:71" ht="45.75" customHeight="1">
      <c r="A102" s="2336"/>
      <c r="B102" s="2336"/>
      <c r="C102" s="2340"/>
      <c r="D102" s="2337"/>
      <c r="E102" s="2338"/>
      <c r="F102" s="2327"/>
      <c r="G102" s="2339" t="str">
        <f t="shared" si="53"/>
        <v/>
      </c>
      <c r="H102" s="451"/>
      <c r="I102" s="2326"/>
      <c r="J102" s="2327"/>
      <c r="K102" s="2328">
        <f t="shared" si="48"/>
        <v>0</v>
      </c>
      <c r="L102" s="2327"/>
      <c r="M102" s="2326"/>
      <c r="N102" s="2329"/>
      <c r="O102" s="2327"/>
      <c r="P102" s="2328">
        <f t="shared" si="49"/>
        <v>0</v>
      </c>
      <c r="Q102" s="2327"/>
      <c r="R102" s="2326"/>
      <c r="S102" s="2329"/>
      <c r="T102" s="2330"/>
      <c r="U102" s="2331">
        <f t="shared" si="50"/>
        <v>0</v>
      </c>
      <c r="V102" s="2332"/>
      <c r="W102" s="2326"/>
      <c r="X102" s="2329"/>
      <c r="Y102" s="2330"/>
      <c r="Z102" s="2333">
        <f t="shared" si="51"/>
        <v>0</v>
      </c>
      <c r="AA102" s="2334">
        <f t="shared" si="54"/>
        <v>0</v>
      </c>
      <c r="AB102" s="2335" t="str">
        <f t="shared" si="52"/>
        <v/>
      </c>
      <c r="AC102" s="201"/>
      <c r="AD102" s="427" t="str">
        <f t="shared" si="55"/>
        <v/>
      </c>
      <c r="AE102" s="428">
        <f t="shared" si="3"/>
        <v>0</v>
      </c>
      <c r="AF102" s="428">
        <f t="shared" si="4"/>
        <v>0</v>
      </c>
      <c r="AG102" s="428">
        <f t="shared" si="5"/>
        <v>0</v>
      </c>
      <c r="AH102" s="428">
        <f t="shared" si="6"/>
        <v>0</v>
      </c>
      <c r="AI102" s="429">
        <f t="shared" si="7"/>
        <v>0</v>
      </c>
      <c r="AJ102" s="430">
        <f t="shared" si="8"/>
        <v>1</v>
      </c>
      <c r="AK102" s="428">
        <f t="shared" si="9"/>
        <v>0</v>
      </c>
      <c r="AL102" s="431" t="e">
        <f t="shared" si="10"/>
        <v>#DIV/0!</v>
      </c>
      <c r="AM102" s="308"/>
      <c r="AN102" s="432">
        <f t="shared" si="11"/>
        <v>0</v>
      </c>
      <c r="AO102" s="430">
        <f t="shared" si="12"/>
        <v>0</v>
      </c>
      <c r="AP102" s="430">
        <f t="shared" si="13"/>
        <v>0</v>
      </c>
      <c r="AQ102" s="430">
        <f t="shared" si="14"/>
        <v>0</v>
      </c>
      <c r="AR102" s="433">
        <f t="shared" si="15"/>
        <v>0</v>
      </c>
      <c r="AT102" s="434">
        <f t="shared" si="16"/>
        <v>0</v>
      </c>
      <c r="AU102" s="430">
        <f t="shared" si="17"/>
        <v>0</v>
      </c>
      <c r="AV102" s="1469">
        <f t="shared" si="57"/>
        <v>0</v>
      </c>
      <c r="AW102" s="1469">
        <f t="shared" si="58"/>
        <v>0</v>
      </c>
      <c r="AX102" s="430">
        <f t="shared" si="20"/>
        <v>0</v>
      </c>
      <c r="AY102" s="435">
        <f t="shared" si="21"/>
        <v>0</v>
      </c>
      <c r="AZ102" s="309"/>
      <c r="BA102" s="434">
        <f t="shared" si="22"/>
        <v>0</v>
      </c>
      <c r="BB102" s="430">
        <f t="shared" si="23"/>
        <v>0</v>
      </c>
      <c r="BC102" s="430">
        <f t="shared" si="24"/>
        <v>0</v>
      </c>
      <c r="BD102" s="430">
        <f t="shared" si="25"/>
        <v>0</v>
      </c>
      <c r="BE102" s="435">
        <f t="shared" si="26"/>
        <v>0</v>
      </c>
      <c r="BG102" s="428">
        <f t="shared" si="27"/>
        <v>44927</v>
      </c>
      <c r="BH102" s="428">
        <f t="shared" si="28"/>
        <v>44927</v>
      </c>
      <c r="BI102" s="428">
        <f t="shared" si="29"/>
        <v>44927</v>
      </c>
      <c r="BJ102" s="428">
        <f t="shared" si="56"/>
        <v>0</v>
      </c>
      <c r="BL102" s="432">
        <f t="shared" si="30"/>
        <v>0</v>
      </c>
      <c r="BM102" s="428">
        <f t="shared" si="31"/>
        <v>0</v>
      </c>
      <c r="BN102" s="428">
        <f t="shared" si="32"/>
        <v>0</v>
      </c>
      <c r="BO102" s="436">
        <f t="shared" si="33"/>
        <v>0</v>
      </c>
      <c r="BS102" s="1373"/>
    </row>
    <row r="103" spans="1:71" ht="45.75" customHeight="1">
      <c r="A103" s="2336"/>
      <c r="B103" s="2336"/>
      <c r="C103" s="2340"/>
      <c r="D103" s="2337"/>
      <c r="E103" s="2338"/>
      <c r="F103" s="2327"/>
      <c r="G103" s="2339" t="str">
        <f t="shared" si="53"/>
        <v/>
      </c>
      <c r="H103" s="451"/>
      <c r="I103" s="2326"/>
      <c r="J103" s="2327"/>
      <c r="K103" s="2328">
        <f t="shared" si="48"/>
        <v>0</v>
      </c>
      <c r="L103" s="2327"/>
      <c r="M103" s="2326"/>
      <c r="N103" s="2329"/>
      <c r="O103" s="2327"/>
      <c r="P103" s="2328">
        <f t="shared" si="49"/>
        <v>0</v>
      </c>
      <c r="Q103" s="2327"/>
      <c r="R103" s="2326"/>
      <c r="S103" s="2329"/>
      <c r="T103" s="2330"/>
      <c r="U103" s="2331">
        <f t="shared" si="50"/>
        <v>0</v>
      </c>
      <c r="V103" s="2332"/>
      <c r="W103" s="2326"/>
      <c r="X103" s="2329"/>
      <c r="Y103" s="2330"/>
      <c r="Z103" s="2333">
        <f t="shared" si="51"/>
        <v>0</v>
      </c>
      <c r="AA103" s="2334">
        <f t="shared" si="54"/>
        <v>0</v>
      </c>
      <c r="AB103" s="2335" t="str">
        <f t="shared" si="52"/>
        <v/>
      </c>
      <c r="AC103" s="201"/>
      <c r="AD103" s="427" t="str">
        <f t="shared" si="55"/>
        <v/>
      </c>
      <c r="AE103" s="428">
        <f t="shared" si="3"/>
        <v>0</v>
      </c>
      <c r="AF103" s="428">
        <f t="shared" si="4"/>
        <v>0</v>
      </c>
      <c r="AG103" s="428">
        <f t="shared" si="5"/>
        <v>0</v>
      </c>
      <c r="AH103" s="428">
        <f t="shared" si="6"/>
        <v>0</v>
      </c>
      <c r="AI103" s="429">
        <f t="shared" si="7"/>
        <v>0</v>
      </c>
      <c r="AJ103" s="430">
        <f t="shared" si="8"/>
        <v>1</v>
      </c>
      <c r="AK103" s="428">
        <f t="shared" si="9"/>
        <v>0</v>
      </c>
      <c r="AL103" s="431" t="e">
        <f t="shared" si="10"/>
        <v>#DIV/0!</v>
      </c>
      <c r="AM103" s="308"/>
      <c r="AN103" s="432">
        <f t="shared" si="11"/>
        <v>0</v>
      </c>
      <c r="AO103" s="430">
        <f t="shared" si="12"/>
        <v>0</v>
      </c>
      <c r="AP103" s="430">
        <f t="shared" si="13"/>
        <v>0</v>
      </c>
      <c r="AQ103" s="430">
        <f t="shared" si="14"/>
        <v>0</v>
      </c>
      <c r="AR103" s="433">
        <f t="shared" si="15"/>
        <v>0</v>
      </c>
      <c r="AT103" s="434">
        <f t="shared" si="16"/>
        <v>0</v>
      </c>
      <c r="AU103" s="430">
        <f t="shared" si="17"/>
        <v>0</v>
      </c>
      <c r="AV103" s="1469">
        <f t="shared" si="57"/>
        <v>0</v>
      </c>
      <c r="AW103" s="1469">
        <f t="shared" si="58"/>
        <v>0</v>
      </c>
      <c r="AX103" s="430">
        <f t="shared" si="20"/>
        <v>0</v>
      </c>
      <c r="AY103" s="435">
        <f t="shared" si="21"/>
        <v>0</v>
      </c>
      <c r="AZ103" s="309"/>
      <c r="BA103" s="434">
        <f t="shared" si="22"/>
        <v>0</v>
      </c>
      <c r="BB103" s="430">
        <f t="shared" si="23"/>
        <v>0</v>
      </c>
      <c r="BC103" s="430">
        <f t="shared" si="24"/>
        <v>0</v>
      </c>
      <c r="BD103" s="430">
        <f t="shared" si="25"/>
        <v>0</v>
      </c>
      <c r="BE103" s="435">
        <f t="shared" si="26"/>
        <v>0</v>
      </c>
      <c r="BG103" s="428">
        <f t="shared" si="27"/>
        <v>44927</v>
      </c>
      <c r="BH103" s="428">
        <f t="shared" si="28"/>
        <v>44927</v>
      </c>
      <c r="BI103" s="428">
        <f t="shared" si="29"/>
        <v>44927</v>
      </c>
      <c r="BJ103" s="428">
        <f t="shared" si="56"/>
        <v>0</v>
      </c>
      <c r="BL103" s="432">
        <f t="shared" si="30"/>
        <v>0</v>
      </c>
      <c r="BM103" s="428">
        <f t="shared" si="31"/>
        <v>0</v>
      </c>
      <c r="BN103" s="428">
        <f t="shared" si="32"/>
        <v>0</v>
      </c>
      <c r="BO103" s="436">
        <f t="shared" si="33"/>
        <v>0</v>
      </c>
      <c r="BS103" s="1373"/>
    </row>
    <row r="104" spans="1:71" ht="45.75" customHeight="1">
      <c r="A104" s="2336"/>
      <c r="B104" s="2336"/>
      <c r="C104" s="2340"/>
      <c r="D104" s="2337"/>
      <c r="E104" s="2338"/>
      <c r="F104" s="2327"/>
      <c r="G104" s="2339" t="str">
        <f t="shared" si="53"/>
        <v/>
      </c>
      <c r="H104" s="451"/>
      <c r="I104" s="2326"/>
      <c r="J104" s="2327"/>
      <c r="K104" s="2328">
        <f t="shared" si="48"/>
        <v>0</v>
      </c>
      <c r="L104" s="2327"/>
      <c r="M104" s="2326"/>
      <c r="N104" s="2329"/>
      <c r="O104" s="2327"/>
      <c r="P104" s="2328">
        <f t="shared" si="49"/>
        <v>0</v>
      </c>
      <c r="Q104" s="2327"/>
      <c r="R104" s="2326"/>
      <c r="S104" s="2329"/>
      <c r="T104" s="2330"/>
      <c r="U104" s="2331">
        <f t="shared" si="50"/>
        <v>0</v>
      </c>
      <c r="V104" s="2332"/>
      <c r="W104" s="2326"/>
      <c r="X104" s="2329"/>
      <c r="Y104" s="2330"/>
      <c r="Z104" s="2333">
        <f t="shared" si="51"/>
        <v>0</v>
      </c>
      <c r="AA104" s="2334">
        <f t="shared" si="54"/>
        <v>0</v>
      </c>
      <c r="AB104" s="2335" t="str">
        <f t="shared" si="52"/>
        <v/>
      </c>
      <c r="AC104" s="201"/>
      <c r="AD104" s="427" t="str">
        <f t="shared" si="55"/>
        <v/>
      </c>
      <c r="AE104" s="428">
        <f t="shared" si="3"/>
        <v>0</v>
      </c>
      <c r="AF104" s="428">
        <f t="shared" si="4"/>
        <v>0</v>
      </c>
      <c r="AG104" s="428">
        <f t="shared" si="5"/>
        <v>0</v>
      </c>
      <c r="AH104" s="428">
        <f t="shared" si="6"/>
        <v>0</v>
      </c>
      <c r="AI104" s="429">
        <f t="shared" si="7"/>
        <v>0</v>
      </c>
      <c r="AJ104" s="430">
        <f t="shared" si="8"/>
        <v>1</v>
      </c>
      <c r="AK104" s="428">
        <f t="shared" si="9"/>
        <v>0</v>
      </c>
      <c r="AL104" s="431" t="e">
        <f t="shared" si="10"/>
        <v>#DIV/0!</v>
      </c>
      <c r="AM104" s="308"/>
      <c r="AN104" s="432">
        <f t="shared" si="11"/>
        <v>0</v>
      </c>
      <c r="AO104" s="430">
        <f t="shared" si="12"/>
        <v>0</v>
      </c>
      <c r="AP104" s="430">
        <f t="shared" si="13"/>
        <v>0</v>
      </c>
      <c r="AQ104" s="430">
        <f t="shared" si="14"/>
        <v>0</v>
      </c>
      <c r="AR104" s="433">
        <f t="shared" si="15"/>
        <v>0</v>
      </c>
      <c r="AT104" s="434">
        <f t="shared" si="16"/>
        <v>0</v>
      </c>
      <c r="AU104" s="430">
        <f t="shared" si="17"/>
        <v>0</v>
      </c>
      <c r="AV104" s="1469">
        <f t="shared" si="57"/>
        <v>0</v>
      </c>
      <c r="AW104" s="1469">
        <f t="shared" si="58"/>
        <v>0</v>
      </c>
      <c r="AX104" s="430">
        <f t="shared" si="20"/>
        <v>0</v>
      </c>
      <c r="AY104" s="435">
        <f t="shared" si="21"/>
        <v>0</v>
      </c>
      <c r="AZ104" s="309"/>
      <c r="BA104" s="434">
        <f t="shared" si="22"/>
        <v>0</v>
      </c>
      <c r="BB104" s="430">
        <f t="shared" si="23"/>
        <v>0</v>
      </c>
      <c r="BC104" s="430">
        <f t="shared" si="24"/>
        <v>0</v>
      </c>
      <c r="BD104" s="430">
        <f t="shared" si="25"/>
        <v>0</v>
      </c>
      <c r="BE104" s="435">
        <f t="shared" si="26"/>
        <v>0</v>
      </c>
      <c r="BG104" s="428">
        <f t="shared" si="27"/>
        <v>44927</v>
      </c>
      <c r="BH104" s="428">
        <f t="shared" si="28"/>
        <v>44927</v>
      </c>
      <c r="BI104" s="428">
        <f t="shared" si="29"/>
        <v>44927</v>
      </c>
      <c r="BJ104" s="428">
        <f t="shared" si="56"/>
        <v>0</v>
      </c>
      <c r="BL104" s="432">
        <f t="shared" si="30"/>
        <v>0</v>
      </c>
      <c r="BM104" s="428">
        <f t="shared" si="31"/>
        <v>0</v>
      </c>
      <c r="BN104" s="428">
        <f t="shared" si="32"/>
        <v>0</v>
      </c>
      <c r="BO104" s="436">
        <f t="shared" si="33"/>
        <v>0</v>
      </c>
      <c r="BS104" s="1373"/>
    </row>
    <row r="105" spans="1:71" ht="45.75" customHeight="1">
      <c r="A105" s="2336"/>
      <c r="B105" s="2336"/>
      <c r="C105" s="2340"/>
      <c r="D105" s="2337"/>
      <c r="E105" s="2338"/>
      <c r="F105" s="2327"/>
      <c r="G105" s="2339" t="str">
        <f t="shared" si="53"/>
        <v/>
      </c>
      <c r="H105" s="451"/>
      <c r="I105" s="2326"/>
      <c r="J105" s="2327"/>
      <c r="K105" s="2328">
        <f t="shared" ref="K105:K118" si="59">AO105</f>
        <v>0</v>
      </c>
      <c r="L105" s="2327"/>
      <c r="M105" s="2326"/>
      <c r="N105" s="2329"/>
      <c r="O105" s="2327"/>
      <c r="P105" s="2328">
        <f t="shared" ref="P105:P118" si="60">AP105</f>
        <v>0</v>
      </c>
      <c r="Q105" s="2327"/>
      <c r="R105" s="2326"/>
      <c r="S105" s="2329"/>
      <c r="T105" s="2330"/>
      <c r="U105" s="2331">
        <f t="shared" ref="U105:U118" si="61">AQ105</f>
        <v>0</v>
      </c>
      <c r="V105" s="2332"/>
      <c r="W105" s="2326"/>
      <c r="X105" s="2329"/>
      <c r="Y105" s="2330"/>
      <c r="Z105" s="2333">
        <f t="shared" ref="Z105:Z118" si="62">AR105</f>
        <v>0</v>
      </c>
      <c r="AA105" s="2334">
        <f t="shared" si="54"/>
        <v>0</v>
      </c>
      <c r="AB105" s="2335" t="str">
        <f t="shared" ref="AB105:AB118" si="63">AD105</f>
        <v/>
      </c>
      <c r="AC105" s="201"/>
      <c r="AD105" s="427" t="str">
        <f t="shared" si="55"/>
        <v/>
      </c>
      <c r="AE105" s="428">
        <f t="shared" si="3"/>
        <v>0</v>
      </c>
      <c r="AF105" s="428">
        <f t="shared" si="4"/>
        <v>0</v>
      </c>
      <c r="AG105" s="428">
        <f t="shared" si="5"/>
        <v>0</v>
      </c>
      <c r="AH105" s="428">
        <f t="shared" si="6"/>
        <v>0</v>
      </c>
      <c r="AI105" s="429">
        <f t="shared" si="7"/>
        <v>0</v>
      </c>
      <c r="AJ105" s="430">
        <f t="shared" si="8"/>
        <v>1</v>
      </c>
      <c r="AK105" s="428">
        <f t="shared" si="9"/>
        <v>0</v>
      </c>
      <c r="AL105" s="431" t="e">
        <f t="shared" si="10"/>
        <v>#DIV/0!</v>
      </c>
      <c r="AM105" s="308"/>
      <c r="AN105" s="432">
        <f t="shared" si="11"/>
        <v>0</v>
      </c>
      <c r="AO105" s="430">
        <f t="shared" si="12"/>
        <v>0</v>
      </c>
      <c r="AP105" s="430">
        <f t="shared" si="13"/>
        <v>0</v>
      </c>
      <c r="AQ105" s="430">
        <f t="shared" si="14"/>
        <v>0</v>
      </c>
      <c r="AR105" s="433">
        <f t="shared" si="15"/>
        <v>0</v>
      </c>
      <c r="AT105" s="434">
        <f t="shared" si="16"/>
        <v>0</v>
      </c>
      <c r="AU105" s="430">
        <f t="shared" si="17"/>
        <v>0</v>
      </c>
      <c r="AV105" s="1469">
        <f t="shared" si="57"/>
        <v>0</v>
      </c>
      <c r="AW105" s="1469">
        <f t="shared" si="58"/>
        <v>0</v>
      </c>
      <c r="AX105" s="430">
        <f t="shared" si="20"/>
        <v>0</v>
      </c>
      <c r="AY105" s="435">
        <f t="shared" si="21"/>
        <v>0</v>
      </c>
      <c r="AZ105" s="309"/>
      <c r="BA105" s="434">
        <f t="shared" si="22"/>
        <v>0</v>
      </c>
      <c r="BB105" s="430">
        <f t="shared" si="23"/>
        <v>0</v>
      </c>
      <c r="BC105" s="430">
        <f t="shared" si="24"/>
        <v>0</v>
      </c>
      <c r="BD105" s="430">
        <f t="shared" si="25"/>
        <v>0</v>
      </c>
      <c r="BE105" s="435">
        <f t="shared" si="26"/>
        <v>0</v>
      </c>
      <c r="BG105" s="428">
        <f t="shared" si="27"/>
        <v>44927</v>
      </c>
      <c r="BH105" s="428">
        <f t="shared" si="28"/>
        <v>44927</v>
      </c>
      <c r="BI105" s="428">
        <f t="shared" si="29"/>
        <v>44927</v>
      </c>
      <c r="BJ105" s="428">
        <f t="shared" si="56"/>
        <v>0</v>
      </c>
      <c r="BL105" s="432">
        <f t="shared" si="30"/>
        <v>0</v>
      </c>
      <c r="BM105" s="428">
        <f t="shared" si="31"/>
        <v>0</v>
      </c>
      <c r="BN105" s="428">
        <f t="shared" si="32"/>
        <v>0</v>
      </c>
      <c r="BO105" s="436">
        <f t="shared" si="33"/>
        <v>0</v>
      </c>
      <c r="BS105" s="1373"/>
    </row>
    <row r="106" spans="1:71" ht="45.75" customHeight="1">
      <c r="A106" s="2336"/>
      <c r="B106" s="2336"/>
      <c r="C106" s="2340"/>
      <c r="D106" s="2337"/>
      <c r="E106" s="2338"/>
      <c r="F106" s="2327"/>
      <c r="G106" s="2339" t="str">
        <f t="shared" si="53"/>
        <v/>
      </c>
      <c r="H106" s="451"/>
      <c r="I106" s="2326"/>
      <c r="J106" s="2327"/>
      <c r="K106" s="2328">
        <f t="shared" si="59"/>
        <v>0</v>
      </c>
      <c r="L106" s="2327"/>
      <c r="M106" s="2326"/>
      <c r="N106" s="2329"/>
      <c r="O106" s="2327"/>
      <c r="P106" s="2328">
        <f t="shared" si="60"/>
        <v>0</v>
      </c>
      <c r="Q106" s="2327"/>
      <c r="R106" s="2326"/>
      <c r="S106" s="2329"/>
      <c r="T106" s="2330"/>
      <c r="U106" s="2331">
        <f t="shared" si="61"/>
        <v>0</v>
      </c>
      <c r="V106" s="2332"/>
      <c r="W106" s="2326"/>
      <c r="X106" s="2329"/>
      <c r="Y106" s="2330"/>
      <c r="Z106" s="2333">
        <f t="shared" si="62"/>
        <v>0</v>
      </c>
      <c r="AA106" s="2334">
        <f t="shared" si="54"/>
        <v>0</v>
      </c>
      <c r="AB106" s="2335" t="str">
        <f t="shared" si="63"/>
        <v/>
      </c>
      <c r="AC106" s="201"/>
      <c r="AD106" s="427" t="str">
        <f t="shared" si="55"/>
        <v/>
      </c>
      <c r="AE106" s="428">
        <f t="shared" si="3"/>
        <v>0</v>
      </c>
      <c r="AF106" s="428">
        <f t="shared" si="4"/>
        <v>0</v>
      </c>
      <c r="AG106" s="428">
        <f t="shared" si="5"/>
        <v>0</v>
      </c>
      <c r="AH106" s="428">
        <f t="shared" si="6"/>
        <v>0</v>
      </c>
      <c r="AI106" s="429">
        <f t="shared" si="7"/>
        <v>0</v>
      </c>
      <c r="AJ106" s="430">
        <f t="shared" si="8"/>
        <v>1</v>
      </c>
      <c r="AK106" s="428">
        <f t="shared" si="9"/>
        <v>0</v>
      </c>
      <c r="AL106" s="431" t="e">
        <f t="shared" si="10"/>
        <v>#DIV/0!</v>
      </c>
      <c r="AM106" s="308"/>
      <c r="AN106" s="432">
        <f t="shared" si="11"/>
        <v>0</v>
      </c>
      <c r="AO106" s="430">
        <f t="shared" si="12"/>
        <v>0</v>
      </c>
      <c r="AP106" s="430">
        <f t="shared" si="13"/>
        <v>0</v>
      </c>
      <c r="AQ106" s="430">
        <f t="shared" si="14"/>
        <v>0</v>
      </c>
      <c r="AR106" s="433">
        <f t="shared" si="15"/>
        <v>0</v>
      </c>
      <c r="AT106" s="434">
        <f t="shared" si="16"/>
        <v>0</v>
      </c>
      <c r="AU106" s="430">
        <f t="shared" si="17"/>
        <v>0</v>
      </c>
      <c r="AV106" s="1469">
        <f t="shared" si="57"/>
        <v>0</v>
      </c>
      <c r="AW106" s="1469">
        <f t="shared" si="58"/>
        <v>0</v>
      </c>
      <c r="AX106" s="430">
        <f t="shared" si="20"/>
        <v>0</v>
      </c>
      <c r="AY106" s="435">
        <f t="shared" si="21"/>
        <v>0</v>
      </c>
      <c r="AZ106" s="309"/>
      <c r="BA106" s="434">
        <f t="shared" si="22"/>
        <v>0</v>
      </c>
      <c r="BB106" s="430">
        <f t="shared" si="23"/>
        <v>0</v>
      </c>
      <c r="BC106" s="430">
        <f t="shared" si="24"/>
        <v>0</v>
      </c>
      <c r="BD106" s="430">
        <f t="shared" si="25"/>
        <v>0</v>
      </c>
      <c r="BE106" s="435">
        <f t="shared" si="26"/>
        <v>0</v>
      </c>
      <c r="BG106" s="428">
        <f t="shared" si="27"/>
        <v>44927</v>
      </c>
      <c r="BH106" s="428">
        <f t="shared" si="28"/>
        <v>44927</v>
      </c>
      <c r="BI106" s="428">
        <f t="shared" si="29"/>
        <v>44927</v>
      </c>
      <c r="BJ106" s="428">
        <f t="shared" si="56"/>
        <v>0</v>
      </c>
      <c r="BL106" s="432">
        <f t="shared" si="30"/>
        <v>0</v>
      </c>
      <c r="BM106" s="428">
        <f t="shared" si="31"/>
        <v>0</v>
      </c>
      <c r="BN106" s="428">
        <f t="shared" si="32"/>
        <v>0</v>
      </c>
      <c r="BO106" s="436">
        <f t="shared" si="33"/>
        <v>0</v>
      </c>
      <c r="BS106" s="1373"/>
    </row>
    <row r="107" spans="1:71" ht="45.75" customHeight="1">
      <c r="A107" s="2336"/>
      <c r="B107" s="2336"/>
      <c r="C107" s="2340"/>
      <c r="D107" s="2337"/>
      <c r="E107" s="2338"/>
      <c r="F107" s="2327"/>
      <c r="G107" s="2339" t="str">
        <f t="shared" si="53"/>
        <v/>
      </c>
      <c r="H107" s="451"/>
      <c r="I107" s="2326"/>
      <c r="J107" s="2327"/>
      <c r="K107" s="2328">
        <f t="shared" si="59"/>
        <v>0</v>
      </c>
      <c r="L107" s="2327"/>
      <c r="M107" s="2326"/>
      <c r="N107" s="2329"/>
      <c r="O107" s="2327"/>
      <c r="P107" s="2328">
        <f t="shared" si="60"/>
        <v>0</v>
      </c>
      <c r="Q107" s="2327"/>
      <c r="R107" s="2326"/>
      <c r="S107" s="2329"/>
      <c r="T107" s="2330"/>
      <c r="U107" s="2331">
        <f t="shared" si="61"/>
        <v>0</v>
      </c>
      <c r="V107" s="2332"/>
      <c r="W107" s="2326"/>
      <c r="X107" s="2329"/>
      <c r="Y107" s="2330"/>
      <c r="Z107" s="2333">
        <f t="shared" si="62"/>
        <v>0</v>
      </c>
      <c r="AA107" s="2334">
        <f t="shared" si="54"/>
        <v>0</v>
      </c>
      <c r="AB107" s="2335" t="str">
        <f t="shared" si="63"/>
        <v/>
      </c>
      <c r="AC107" s="201"/>
      <c r="AD107" s="427" t="str">
        <f t="shared" si="55"/>
        <v/>
      </c>
      <c r="AE107" s="428">
        <f t="shared" si="3"/>
        <v>0</v>
      </c>
      <c r="AF107" s="428">
        <f t="shared" si="4"/>
        <v>0</v>
      </c>
      <c r="AG107" s="428">
        <f t="shared" si="5"/>
        <v>0</v>
      </c>
      <c r="AH107" s="428">
        <f t="shared" si="6"/>
        <v>0</v>
      </c>
      <c r="AI107" s="429">
        <f t="shared" si="7"/>
        <v>0</v>
      </c>
      <c r="AJ107" s="430">
        <f t="shared" si="8"/>
        <v>1</v>
      </c>
      <c r="AK107" s="428">
        <f t="shared" si="9"/>
        <v>0</v>
      </c>
      <c r="AL107" s="431" t="e">
        <f t="shared" si="10"/>
        <v>#DIV/0!</v>
      </c>
      <c r="AM107" s="308"/>
      <c r="AN107" s="432">
        <f t="shared" si="11"/>
        <v>0</v>
      </c>
      <c r="AO107" s="430">
        <f t="shared" si="12"/>
        <v>0</v>
      </c>
      <c r="AP107" s="430">
        <f t="shared" si="13"/>
        <v>0</v>
      </c>
      <c r="AQ107" s="430">
        <f t="shared" si="14"/>
        <v>0</v>
      </c>
      <c r="AR107" s="433">
        <f t="shared" si="15"/>
        <v>0</v>
      </c>
      <c r="AT107" s="434">
        <f t="shared" si="16"/>
        <v>0</v>
      </c>
      <c r="AU107" s="430">
        <f t="shared" si="17"/>
        <v>0</v>
      </c>
      <c r="AV107" s="1469">
        <f t="shared" si="57"/>
        <v>0</v>
      </c>
      <c r="AW107" s="1469">
        <f t="shared" si="58"/>
        <v>0</v>
      </c>
      <c r="AX107" s="430">
        <f t="shared" si="20"/>
        <v>0</v>
      </c>
      <c r="AY107" s="435">
        <f t="shared" si="21"/>
        <v>0</v>
      </c>
      <c r="AZ107" s="309"/>
      <c r="BA107" s="434">
        <f t="shared" si="22"/>
        <v>0</v>
      </c>
      <c r="BB107" s="430">
        <f t="shared" si="23"/>
        <v>0</v>
      </c>
      <c r="BC107" s="430">
        <f t="shared" si="24"/>
        <v>0</v>
      </c>
      <c r="BD107" s="430">
        <f t="shared" si="25"/>
        <v>0</v>
      </c>
      <c r="BE107" s="435">
        <f t="shared" si="26"/>
        <v>0</v>
      </c>
      <c r="BG107" s="428">
        <f t="shared" si="27"/>
        <v>44927</v>
      </c>
      <c r="BH107" s="428">
        <f t="shared" si="28"/>
        <v>44927</v>
      </c>
      <c r="BI107" s="428">
        <f t="shared" si="29"/>
        <v>44927</v>
      </c>
      <c r="BJ107" s="428">
        <f t="shared" si="56"/>
        <v>0</v>
      </c>
      <c r="BL107" s="432">
        <f t="shared" si="30"/>
        <v>0</v>
      </c>
      <c r="BM107" s="428">
        <f t="shared" si="31"/>
        <v>0</v>
      </c>
      <c r="BN107" s="428">
        <f t="shared" si="32"/>
        <v>0</v>
      </c>
      <c r="BO107" s="436">
        <f t="shared" si="33"/>
        <v>0</v>
      </c>
      <c r="BS107" s="1373"/>
    </row>
    <row r="108" spans="1:71" ht="45.75" customHeight="1">
      <c r="A108" s="2336"/>
      <c r="B108" s="2336"/>
      <c r="C108" s="2340"/>
      <c r="D108" s="2337"/>
      <c r="E108" s="2338"/>
      <c r="F108" s="2327"/>
      <c r="G108" s="2339" t="str">
        <f t="shared" si="53"/>
        <v/>
      </c>
      <c r="H108" s="451"/>
      <c r="I108" s="2326"/>
      <c r="J108" s="2327"/>
      <c r="K108" s="2328">
        <f t="shared" si="59"/>
        <v>0</v>
      </c>
      <c r="L108" s="2327"/>
      <c r="M108" s="2326"/>
      <c r="N108" s="2329"/>
      <c r="O108" s="2327"/>
      <c r="P108" s="2328">
        <f t="shared" si="60"/>
        <v>0</v>
      </c>
      <c r="Q108" s="2327"/>
      <c r="R108" s="2326"/>
      <c r="S108" s="2329"/>
      <c r="T108" s="2330"/>
      <c r="U108" s="2331">
        <f t="shared" si="61"/>
        <v>0</v>
      </c>
      <c r="V108" s="2332"/>
      <c r="W108" s="2326"/>
      <c r="X108" s="2329"/>
      <c r="Y108" s="2330"/>
      <c r="Z108" s="2333">
        <f t="shared" si="62"/>
        <v>0</v>
      </c>
      <c r="AA108" s="2334">
        <f t="shared" si="54"/>
        <v>0</v>
      </c>
      <c r="AB108" s="2335" t="str">
        <f t="shared" si="63"/>
        <v/>
      </c>
      <c r="AC108" s="201"/>
      <c r="AD108" s="427" t="str">
        <f t="shared" si="55"/>
        <v/>
      </c>
      <c r="AE108" s="428">
        <f t="shared" si="3"/>
        <v>0</v>
      </c>
      <c r="AF108" s="428">
        <f t="shared" si="4"/>
        <v>0</v>
      </c>
      <c r="AG108" s="428">
        <f t="shared" si="5"/>
        <v>0</v>
      </c>
      <c r="AH108" s="428">
        <f t="shared" si="6"/>
        <v>0</v>
      </c>
      <c r="AI108" s="429">
        <f t="shared" si="7"/>
        <v>0</v>
      </c>
      <c r="AJ108" s="430">
        <f t="shared" si="8"/>
        <v>1</v>
      </c>
      <c r="AK108" s="428">
        <f t="shared" si="9"/>
        <v>0</v>
      </c>
      <c r="AL108" s="431" t="e">
        <f t="shared" si="10"/>
        <v>#DIV/0!</v>
      </c>
      <c r="AM108" s="308"/>
      <c r="AN108" s="432">
        <f t="shared" si="11"/>
        <v>0</v>
      </c>
      <c r="AO108" s="430">
        <f t="shared" si="12"/>
        <v>0</v>
      </c>
      <c r="AP108" s="430">
        <f t="shared" si="13"/>
        <v>0</v>
      </c>
      <c r="AQ108" s="430">
        <f t="shared" si="14"/>
        <v>0</v>
      </c>
      <c r="AR108" s="433">
        <f t="shared" si="15"/>
        <v>0</v>
      </c>
      <c r="AT108" s="434">
        <f t="shared" si="16"/>
        <v>0</v>
      </c>
      <c r="AU108" s="430">
        <f t="shared" si="17"/>
        <v>0</v>
      </c>
      <c r="AV108" s="1469">
        <f t="shared" si="57"/>
        <v>0</v>
      </c>
      <c r="AW108" s="1469">
        <f t="shared" si="58"/>
        <v>0</v>
      </c>
      <c r="AX108" s="430">
        <f t="shared" si="20"/>
        <v>0</v>
      </c>
      <c r="AY108" s="435">
        <f t="shared" si="21"/>
        <v>0</v>
      </c>
      <c r="AZ108" s="309"/>
      <c r="BA108" s="434">
        <f t="shared" si="22"/>
        <v>0</v>
      </c>
      <c r="BB108" s="430">
        <f t="shared" si="23"/>
        <v>0</v>
      </c>
      <c r="BC108" s="430">
        <f t="shared" si="24"/>
        <v>0</v>
      </c>
      <c r="BD108" s="430">
        <f t="shared" si="25"/>
        <v>0</v>
      </c>
      <c r="BE108" s="435">
        <f t="shared" si="26"/>
        <v>0</v>
      </c>
      <c r="BG108" s="428">
        <f t="shared" si="27"/>
        <v>44927</v>
      </c>
      <c r="BH108" s="428">
        <f t="shared" si="28"/>
        <v>44927</v>
      </c>
      <c r="BI108" s="428">
        <f t="shared" si="29"/>
        <v>44927</v>
      </c>
      <c r="BJ108" s="428">
        <f t="shared" si="56"/>
        <v>0</v>
      </c>
      <c r="BL108" s="432">
        <f t="shared" si="30"/>
        <v>0</v>
      </c>
      <c r="BM108" s="428">
        <f t="shared" si="31"/>
        <v>0</v>
      </c>
      <c r="BN108" s="428">
        <f t="shared" si="32"/>
        <v>0</v>
      </c>
      <c r="BO108" s="436">
        <f t="shared" si="33"/>
        <v>0</v>
      </c>
      <c r="BS108" s="1373"/>
    </row>
    <row r="109" spans="1:71" ht="45.75" customHeight="1">
      <c r="A109" s="2336"/>
      <c r="B109" s="2336"/>
      <c r="C109" s="2340"/>
      <c r="D109" s="2337"/>
      <c r="E109" s="2338"/>
      <c r="F109" s="2327"/>
      <c r="G109" s="2339" t="str">
        <f t="shared" si="53"/>
        <v/>
      </c>
      <c r="H109" s="451"/>
      <c r="I109" s="2326"/>
      <c r="J109" s="2327"/>
      <c r="K109" s="2328">
        <f t="shared" si="59"/>
        <v>0</v>
      </c>
      <c r="L109" s="2327"/>
      <c r="M109" s="2326"/>
      <c r="N109" s="2329"/>
      <c r="O109" s="2327"/>
      <c r="P109" s="2328">
        <f t="shared" si="60"/>
        <v>0</v>
      </c>
      <c r="Q109" s="2327"/>
      <c r="R109" s="2326"/>
      <c r="S109" s="2329"/>
      <c r="T109" s="2330"/>
      <c r="U109" s="2331">
        <f t="shared" si="61"/>
        <v>0</v>
      </c>
      <c r="V109" s="2332"/>
      <c r="W109" s="2326"/>
      <c r="X109" s="2329"/>
      <c r="Y109" s="2330"/>
      <c r="Z109" s="2333">
        <f t="shared" si="62"/>
        <v>0</v>
      </c>
      <c r="AA109" s="2334">
        <f t="shared" si="54"/>
        <v>0</v>
      </c>
      <c r="AB109" s="2335" t="str">
        <f t="shared" si="63"/>
        <v/>
      </c>
      <c r="AC109" s="201"/>
      <c r="AD109" s="427" t="str">
        <f t="shared" si="55"/>
        <v/>
      </c>
      <c r="AE109" s="428">
        <f t="shared" si="3"/>
        <v>0</v>
      </c>
      <c r="AF109" s="428">
        <f t="shared" si="4"/>
        <v>0</v>
      </c>
      <c r="AG109" s="428">
        <f t="shared" si="5"/>
        <v>0</v>
      </c>
      <c r="AH109" s="428">
        <f t="shared" si="6"/>
        <v>0</v>
      </c>
      <c r="AI109" s="429">
        <f t="shared" si="7"/>
        <v>0</v>
      </c>
      <c r="AJ109" s="430">
        <f t="shared" si="8"/>
        <v>1</v>
      </c>
      <c r="AK109" s="428">
        <f t="shared" si="9"/>
        <v>0</v>
      </c>
      <c r="AL109" s="431" t="e">
        <f t="shared" si="10"/>
        <v>#DIV/0!</v>
      </c>
      <c r="AM109" s="308"/>
      <c r="AN109" s="432">
        <f t="shared" si="11"/>
        <v>0</v>
      </c>
      <c r="AO109" s="430">
        <f t="shared" si="12"/>
        <v>0</v>
      </c>
      <c r="AP109" s="430">
        <f t="shared" si="13"/>
        <v>0</v>
      </c>
      <c r="AQ109" s="430">
        <f t="shared" si="14"/>
        <v>0</v>
      </c>
      <c r="AR109" s="433">
        <f t="shared" si="15"/>
        <v>0</v>
      </c>
      <c r="AT109" s="434">
        <f t="shared" si="16"/>
        <v>0</v>
      </c>
      <c r="AU109" s="430">
        <f t="shared" si="17"/>
        <v>0</v>
      </c>
      <c r="AV109" s="1469">
        <f t="shared" si="57"/>
        <v>0</v>
      </c>
      <c r="AW109" s="1469">
        <f t="shared" si="58"/>
        <v>0</v>
      </c>
      <c r="AX109" s="430">
        <f t="shared" si="20"/>
        <v>0</v>
      </c>
      <c r="AY109" s="435">
        <f t="shared" si="21"/>
        <v>0</v>
      </c>
      <c r="AZ109" s="309"/>
      <c r="BA109" s="434">
        <f t="shared" si="22"/>
        <v>0</v>
      </c>
      <c r="BB109" s="430">
        <f t="shared" si="23"/>
        <v>0</v>
      </c>
      <c r="BC109" s="430">
        <f t="shared" si="24"/>
        <v>0</v>
      </c>
      <c r="BD109" s="430">
        <f t="shared" si="25"/>
        <v>0</v>
      </c>
      <c r="BE109" s="435">
        <f t="shared" si="26"/>
        <v>0</v>
      </c>
      <c r="BG109" s="428">
        <f t="shared" si="27"/>
        <v>44927</v>
      </c>
      <c r="BH109" s="428">
        <f t="shared" si="28"/>
        <v>44927</v>
      </c>
      <c r="BI109" s="428">
        <f t="shared" si="29"/>
        <v>44927</v>
      </c>
      <c r="BJ109" s="428">
        <f t="shared" si="56"/>
        <v>0</v>
      </c>
      <c r="BL109" s="432">
        <f t="shared" si="30"/>
        <v>0</v>
      </c>
      <c r="BM109" s="428">
        <f t="shared" si="31"/>
        <v>0</v>
      </c>
      <c r="BN109" s="428">
        <f t="shared" si="32"/>
        <v>0</v>
      </c>
      <c r="BO109" s="436">
        <f t="shared" si="33"/>
        <v>0</v>
      </c>
      <c r="BS109" s="1373"/>
    </row>
    <row r="110" spans="1:71" ht="45.75" customHeight="1">
      <c r="A110" s="2336"/>
      <c r="B110" s="2336"/>
      <c r="C110" s="2340"/>
      <c r="D110" s="2337"/>
      <c r="E110" s="2338"/>
      <c r="F110" s="2327"/>
      <c r="G110" s="2339" t="str">
        <f t="shared" si="53"/>
        <v/>
      </c>
      <c r="H110" s="451"/>
      <c r="I110" s="2326"/>
      <c r="J110" s="2327"/>
      <c r="K110" s="2328">
        <f t="shared" si="59"/>
        <v>0</v>
      </c>
      <c r="L110" s="2327"/>
      <c r="M110" s="2326"/>
      <c r="N110" s="2329"/>
      <c r="O110" s="2327"/>
      <c r="P110" s="2328">
        <f t="shared" si="60"/>
        <v>0</v>
      </c>
      <c r="Q110" s="2327"/>
      <c r="R110" s="2326"/>
      <c r="S110" s="2329"/>
      <c r="T110" s="2330"/>
      <c r="U110" s="2331">
        <f t="shared" si="61"/>
        <v>0</v>
      </c>
      <c r="V110" s="2332"/>
      <c r="W110" s="2326"/>
      <c r="X110" s="2329"/>
      <c r="Y110" s="2330"/>
      <c r="Z110" s="2333">
        <f t="shared" si="62"/>
        <v>0</v>
      </c>
      <c r="AA110" s="2334">
        <f t="shared" si="54"/>
        <v>0</v>
      </c>
      <c r="AB110" s="2335" t="str">
        <f t="shared" si="63"/>
        <v/>
      </c>
      <c r="AC110" s="201"/>
      <c r="AD110" s="427" t="str">
        <f t="shared" si="55"/>
        <v/>
      </c>
      <c r="AE110" s="428">
        <f t="shared" si="3"/>
        <v>0</v>
      </c>
      <c r="AF110" s="428">
        <f t="shared" si="4"/>
        <v>0</v>
      </c>
      <c r="AG110" s="428">
        <f t="shared" si="5"/>
        <v>0</v>
      </c>
      <c r="AH110" s="428">
        <f t="shared" si="6"/>
        <v>0</v>
      </c>
      <c r="AI110" s="429">
        <f t="shared" si="7"/>
        <v>0</v>
      </c>
      <c r="AJ110" s="430">
        <f t="shared" si="8"/>
        <v>1</v>
      </c>
      <c r="AK110" s="428">
        <f t="shared" si="9"/>
        <v>0</v>
      </c>
      <c r="AL110" s="431" t="e">
        <f t="shared" si="10"/>
        <v>#DIV/0!</v>
      </c>
      <c r="AM110" s="308"/>
      <c r="AN110" s="432">
        <f t="shared" si="11"/>
        <v>0</v>
      </c>
      <c r="AO110" s="430">
        <f t="shared" si="12"/>
        <v>0</v>
      </c>
      <c r="AP110" s="430">
        <f t="shared" si="13"/>
        <v>0</v>
      </c>
      <c r="AQ110" s="430">
        <f t="shared" si="14"/>
        <v>0</v>
      </c>
      <c r="AR110" s="433">
        <f t="shared" si="15"/>
        <v>0</v>
      </c>
      <c r="AT110" s="434">
        <f t="shared" si="16"/>
        <v>0</v>
      </c>
      <c r="AU110" s="430">
        <f t="shared" si="17"/>
        <v>0</v>
      </c>
      <c r="AV110" s="1469">
        <f t="shared" si="57"/>
        <v>0</v>
      </c>
      <c r="AW110" s="1469">
        <f t="shared" si="58"/>
        <v>0</v>
      </c>
      <c r="AX110" s="430">
        <f t="shared" si="20"/>
        <v>0</v>
      </c>
      <c r="AY110" s="435">
        <f t="shared" si="21"/>
        <v>0</v>
      </c>
      <c r="AZ110" s="309"/>
      <c r="BA110" s="434">
        <f t="shared" si="22"/>
        <v>0</v>
      </c>
      <c r="BB110" s="430">
        <f t="shared" si="23"/>
        <v>0</v>
      </c>
      <c r="BC110" s="430">
        <f t="shared" si="24"/>
        <v>0</v>
      </c>
      <c r="BD110" s="430">
        <f t="shared" si="25"/>
        <v>0</v>
      </c>
      <c r="BE110" s="435">
        <f t="shared" si="26"/>
        <v>0</v>
      </c>
      <c r="BG110" s="428">
        <f t="shared" si="27"/>
        <v>44927</v>
      </c>
      <c r="BH110" s="428">
        <f t="shared" si="28"/>
        <v>44927</v>
      </c>
      <c r="BI110" s="428">
        <f t="shared" si="29"/>
        <v>44927</v>
      </c>
      <c r="BJ110" s="428">
        <f t="shared" si="56"/>
        <v>0</v>
      </c>
      <c r="BL110" s="432">
        <f t="shared" si="30"/>
        <v>0</v>
      </c>
      <c r="BM110" s="428">
        <f t="shared" si="31"/>
        <v>0</v>
      </c>
      <c r="BN110" s="428">
        <f t="shared" si="32"/>
        <v>0</v>
      </c>
      <c r="BO110" s="436">
        <f t="shared" si="33"/>
        <v>0</v>
      </c>
      <c r="BS110" s="1373"/>
    </row>
    <row r="111" spans="1:71" ht="45.75" customHeight="1">
      <c r="A111" s="2336"/>
      <c r="B111" s="2336"/>
      <c r="C111" s="2340"/>
      <c r="D111" s="2337"/>
      <c r="E111" s="2338"/>
      <c r="F111" s="2327"/>
      <c r="G111" s="2339" t="str">
        <f t="shared" si="53"/>
        <v/>
      </c>
      <c r="H111" s="451"/>
      <c r="I111" s="2326"/>
      <c r="J111" s="2327"/>
      <c r="K111" s="2328">
        <f t="shared" si="59"/>
        <v>0</v>
      </c>
      <c r="L111" s="2327"/>
      <c r="M111" s="2326"/>
      <c r="N111" s="2329"/>
      <c r="O111" s="2327"/>
      <c r="P111" s="2328">
        <f t="shared" si="60"/>
        <v>0</v>
      </c>
      <c r="Q111" s="2327"/>
      <c r="R111" s="2326"/>
      <c r="S111" s="2329"/>
      <c r="T111" s="2330"/>
      <c r="U111" s="2331">
        <f t="shared" si="61"/>
        <v>0</v>
      </c>
      <c r="V111" s="2332"/>
      <c r="W111" s="2326"/>
      <c r="X111" s="2329"/>
      <c r="Y111" s="2330"/>
      <c r="Z111" s="2333">
        <f t="shared" si="62"/>
        <v>0</v>
      </c>
      <c r="AA111" s="2334">
        <f t="shared" si="54"/>
        <v>0</v>
      </c>
      <c r="AB111" s="2335" t="str">
        <f t="shared" si="63"/>
        <v/>
      </c>
      <c r="AC111" s="201"/>
      <c r="AD111" s="427" t="str">
        <f t="shared" si="55"/>
        <v/>
      </c>
      <c r="AE111" s="428">
        <f t="shared" si="3"/>
        <v>0</v>
      </c>
      <c r="AF111" s="428">
        <f t="shared" si="4"/>
        <v>0</v>
      </c>
      <c r="AG111" s="428">
        <f t="shared" si="5"/>
        <v>0</v>
      </c>
      <c r="AH111" s="428">
        <f t="shared" si="6"/>
        <v>0</v>
      </c>
      <c r="AI111" s="429">
        <f t="shared" si="7"/>
        <v>0</v>
      </c>
      <c r="AJ111" s="430">
        <f t="shared" si="8"/>
        <v>1</v>
      </c>
      <c r="AK111" s="428">
        <f t="shared" si="9"/>
        <v>0</v>
      </c>
      <c r="AL111" s="431" t="e">
        <f t="shared" si="10"/>
        <v>#DIV/0!</v>
      </c>
      <c r="AM111" s="308"/>
      <c r="AN111" s="432">
        <f t="shared" si="11"/>
        <v>0</v>
      </c>
      <c r="AO111" s="430">
        <f t="shared" si="12"/>
        <v>0</v>
      </c>
      <c r="AP111" s="430">
        <f t="shared" si="13"/>
        <v>0</v>
      </c>
      <c r="AQ111" s="430">
        <f t="shared" si="14"/>
        <v>0</v>
      </c>
      <c r="AR111" s="433">
        <f t="shared" si="15"/>
        <v>0</v>
      </c>
      <c r="AT111" s="434">
        <f t="shared" si="16"/>
        <v>0</v>
      </c>
      <c r="AU111" s="430">
        <f t="shared" si="17"/>
        <v>0</v>
      </c>
      <c r="AV111" s="1469">
        <f t="shared" si="57"/>
        <v>0</v>
      </c>
      <c r="AW111" s="1469">
        <f t="shared" si="58"/>
        <v>0</v>
      </c>
      <c r="AX111" s="430">
        <f t="shared" si="20"/>
        <v>0</v>
      </c>
      <c r="AY111" s="435">
        <f t="shared" si="21"/>
        <v>0</v>
      </c>
      <c r="AZ111" s="309"/>
      <c r="BA111" s="434">
        <f t="shared" si="22"/>
        <v>0</v>
      </c>
      <c r="BB111" s="430">
        <f t="shared" si="23"/>
        <v>0</v>
      </c>
      <c r="BC111" s="430">
        <f t="shared" si="24"/>
        <v>0</v>
      </c>
      <c r="BD111" s="430">
        <f t="shared" si="25"/>
        <v>0</v>
      </c>
      <c r="BE111" s="435">
        <f t="shared" si="26"/>
        <v>0</v>
      </c>
      <c r="BG111" s="428">
        <f t="shared" si="27"/>
        <v>44927</v>
      </c>
      <c r="BH111" s="428">
        <f t="shared" si="28"/>
        <v>44927</v>
      </c>
      <c r="BI111" s="428">
        <f t="shared" si="29"/>
        <v>44927</v>
      </c>
      <c r="BJ111" s="428">
        <f t="shared" si="56"/>
        <v>0</v>
      </c>
      <c r="BL111" s="432">
        <f t="shared" si="30"/>
        <v>0</v>
      </c>
      <c r="BM111" s="428">
        <f t="shared" si="31"/>
        <v>0</v>
      </c>
      <c r="BN111" s="428">
        <f t="shared" si="32"/>
        <v>0</v>
      </c>
      <c r="BO111" s="436">
        <f t="shared" si="33"/>
        <v>0</v>
      </c>
      <c r="BS111" s="1373"/>
    </row>
    <row r="112" spans="1:71" ht="45.75" customHeight="1">
      <c r="A112" s="2336"/>
      <c r="B112" s="2336"/>
      <c r="C112" s="2340"/>
      <c r="D112" s="2337"/>
      <c r="E112" s="2338"/>
      <c r="F112" s="2327"/>
      <c r="G112" s="2339" t="str">
        <f t="shared" si="53"/>
        <v/>
      </c>
      <c r="H112" s="451"/>
      <c r="I112" s="2326"/>
      <c r="J112" s="2327"/>
      <c r="K112" s="2328">
        <f t="shared" si="59"/>
        <v>0</v>
      </c>
      <c r="L112" s="2327"/>
      <c r="M112" s="2326"/>
      <c r="N112" s="2329"/>
      <c r="O112" s="2327"/>
      <c r="P112" s="2328">
        <f t="shared" si="60"/>
        <v>0</v>
      </c>
      <c r="Q112" s="2327"/>
      <c r="R112" s="2326"/>
      <c r="S112" s="2329"/>
      <c r="T112" s="2330"/>
      <c r="U112" s="2331">
        <f t="shared" si="61"/>
        <v>0</v>
      </c>
      <c r="V112" s="2332"/>
      <c r="W112" s="2326"/>
      <c r="X112" s="2329"/>
      <c r="Y112" s="2330"/>
      <c r="Z112" s="2333">
        <f t="shared" si="62"/>
        <v>0</v>
      </c>
      <c r="AA112" s="2334">
        <f t="shared" si="54"/>
        <v>0</v>
      </c>
      <c r="AB112" s="2335" t="str">
        <f t="shared" si="63"/>
        <v/>
      </c>
      <c r="AC112" s="201"/>
      <c r="AD112" s="427" t="str">
        <f t="shared" si="55"/>
        <v/>
      </c>
      <c r="AE112" s="428">
        <f t="shared" si="3"/>
        <v>0</v>
      </c>
      <c r="AF112" s="428">
        <f t="shared" si="4"/>
        <v>0</v>
      </c>
      <c r="AG112" s="428">
        <f t="shared" si="5"/>
        <v>0</v>
      </c>
      <c r="AH112" s="428">
        <f t="shared" si="6"/>
        <v>0</v>
      </c>
      <c r="AI112" s="429">
        <f t="shared" si="7"/>
        <v>0</v>
      </c>
      <c r="AJ112" s="430">
        <f t="shared" si="8"/>
        <v>1</v>
      </c>
      <c r="AK112" s="428">
        <f t="shared" si="9"/>
        <v>0</v>
      </c>
      <c r="AL112" s="431" t="e">
        <f t="shared" si="10"/>
        <v>#DIV/0!</v>
      </c>
      <c r="AM112" s="308"/>
      <c r="AN112" s="432">
        <f t="shared" si="11"/>
        <v>0</v>
      </c>
      <c r="AO112" s="430">
        <f t="shared" si="12"/>
        <v>0</v>
      </c>
      <c r="AP112" s="430">
        <f t="shared" si="13"/>
        <v>0</v>
      </c>
      <c r="AQ112" s="430">
        <f t="shared" si="14"/>
        <v>0</v>
      </c>
      <c r="AR112" s="433">
        <f t="shared" si="15"/>
        <v>0</v>
      </c>
      <c r="AT112" s="434">
        <f t="shared" si="16"/>
        <v>0</v>
      </c>
      <c r="AU112" s="430">
        <f t="shared" si="17"/>
        <v>0</v>
      </c>
      <c r="AV112" s="1469">
        <f t="shared" si="57"/>
        <v>0</v>
      </c>
      <c r="AW112" s="1469">
        <f t="shared" si="58"/>
        <v>0</v>
      </c>
      <c r="AX112" s="430">
        <f t="shared" si="20"/>
        <v>0</v>
      </c>
      <c r="AY112" s="435">
        <f t="shared" si="21"/>
        <v>0</v>
      </c>
      <c r="AZ112" s="309"/>
      <c r="BA112" s="434">
        <f t="shared" si="22"/>
        <v>0</v>
      </c>
      <c r="BB112" s="430">
        <f t="shared" si="23"/>
        <v>0</v>
      </c>
      <c r="BC112" s="430">
        <f t="shared" si="24"/>
        <v>0</v>
      </c>
      <c r="BD112" s="430">
        <f t="shared" si="25"/>
        <v>0</v>
      </c>
      <c r="BE112" s="435">
        <f t="shared" si="26"/>
        <v>0</v>
      </c>
      <c r="BG112" s="428">
        <f t="shared" si="27"/>
        <v>44927</v>
      </c>
      <c r="BH112" s="428">
        <f t="shared" si="28"/>
        <v>44927</v>
      </c>
      <c r="BI112" s="428">
        <f t="shared" si="29"/>
        <v>44927</v>
      </c>
      <c r="BJ112" s="428">
        <f t="shared" si="56"/>
        <v>0</v>
      </c>
      <c r="BL112" s="432">
        <f t="shared" si="30"/>
        <v>0</v>
      </c>
      <c r="BM112" s="428">
        <f t="shared" si="31"/>
        <v>0</v>
      </c>
      <c r="BN112" s="428">
        <f t="shared" si="32"/>
        <v>0</v>
      </c>
      <c r="BO112" s="436">
        <f t="shared" si="33"/>
        <v>0</v>
      </c>
      <c r="BS112" s="1373"/>
    </row>
    <row r="113" spans="1:71" ht="45.75" customHeight="1">
      <c r="A113" s="2336"/>
      <c r="B113" s="2336"/>
      <c r="C113" s="2340"/>
      <c r="D113" s="2337"/>
      <c r="E113" s="2338"/>
      <c r="F113" s="2327"/>
      <c r="G113" s="2339" t="str">
        <f t="shared" si="53"/>
        <v/>
      </c>
      <c r="H113" s="451"/>
      <c r="I113" s="2326"/>
      <c r="J113" s="2327"/>
      <c r="K113" s="2328">
        <f t="shared" si="59"/>
        <v>0</v>
      </c>
      <c r="L113" s="2327"/>
      <c r="M113" s="2326"/>
      <c r="N113" s="2329"/>
      <c r="O113" s="2327"/>
      <c r="P113" s="2328">
        <f t="shared" si="60"/>
        <v>0</v>
      </c>
      <c r="Q113" s="2327"/>
      <c r="R113" s="2326"/>
      <c r="S113" s="2329"/>
      <c r="T113" s="2330"/>
      <c r="U113" s="2331">
        <f t="shared" si="61"/>
        <v>0</v>
      </c>
      <c r="V113" s="2332"/>
      <c r="W113" s="2326"/>
      <c r="X113" s="2329"/>
      <c r="Y113" s="2330"/>
      <c r="Z113" s="2333">
        <f t="shared" si="62"/>
        <v>0</v>
      </c>
      <c r="AA113" s="2334">
        <f t="shared" si="54"/>
        <v>0</v>
      </c>
      <c r="AB113" s="2335" t="str">
        <f t="shared" si="63"/>
        <v/>
      </c>
      <c r="AC113" s="201"/>
      <c r="AD113" s="427" t="str">
        <f t="shared" si="55"/>
        <v/>
      </c>
      <c r="AE113" s="428">
        <f t="shared" si="3"/>
        <v>0</v>
      </c>
      <c r="AF113" s="428">
        <f t="shared" si="4"/>
        <v>0</v>
      </c>
      <c r="AG113" s="428">
        <f t="shared" si="5"/>
        <v>0</v>
      </c>
      <c r="AH113" s="428">
        <f t="shared" si="6"/>
        <v>0</v>
      </c>
      <c r="AI113" s="429">
        <f t="shared" si="7"/>
        <v>0</v>
      </c>
      <c r="AJ113" s="430">
        <f t="shared" si="8"/>
        <v>1</v>
      </c>
      <c r="AK113" s="428">
        <f t="shared" si="9"/>
        <v>0</v>
      </c>
      <c r="AL113" s="431" t="e">
        <f t="shared" si="10"/>
        <v>#DIV/0!</v>
      </c>
      <c r="AM113" s="308"/>
      <c r="AN113" s="432">
        <f t="shared" si="11"/>
        <v>0</v>
      </c>
      <c r="AO113" s="430">
        <f t="shared" si="12"/>
        <v>0</v>
      </c>
      <c r="AP113" s="430">
        <f t="shared" si="13"/>
        <v>0</v>
      </c>
      <c r="AQ113" s="430">
        <f t="shared" si="14"/>
        <v>0</v>
      </c>
      <c r="AR113" s="433">
        <f t="shared" si="15"/>
        <v>0</v>
      </c>
      <c r="AT113" s="434">
        <f t="shared" si="16"/>
        <v>0</v>
      </c>
      <c r="AU113" s="430">
        <f t="shared" si="17"/>
        <v>0</v>
      </c>
      <c r="AV113" s="1469">
        <f t="shared" si="57"/>
        <v>0</v>
      </c>
      <c r="AW113" s="1469">
        <f t="shared" si="58"/>
        <v>0</v>
      </c>
      <c r="AX113" s="430">
        <f t="shared" si="20"/>
        <v>0</v>
      </c>
      <c r="AY113" s="435">
        <f t="shared" si="21"/>
        <v>0</v>
      </c>
      <c r="AZ113" s="309"/>
      <c r="BA113" s="434">
        <f t="shared" si="22"/>
        <v>0</v>
      </c>
      <c r="BB113" s="430">
        <f t="shared" si="23"/>
        <v>0</v>
      </c>
      <c r="BC113" s="430">
        <f t="shared" si="24"/>
        <v>0</v>
      </c>
      <c r="BD113" s="430">
        <f t="shared" si="25"/>
        <v>0</v>
      </c>
      <c r="BE113" s="435">
        <f t="shared" si="26"/>
        <v>0</v>
      </c>
      <c r="BG113" s="428">
        <f t="shared" si="27"/>
        <v>44927</v>
      </c>
      <c r="BH113" s="428">
        <f t="shared" si="28"/>
        <v>44927</v>
      </c>
      <c r="BI113" s="428">
        <f t="shared" si="29"/>
        <v>44927</v>
      </c>
      <c r="BJ113" s="428">
        <f t="shared" si="56"/>
        <v>0</v>
      </c>
      <c r="BL113" s="432">
        <f t="shared" si="30"/>
        <v>0</v>
      </c>
      <c r="BM113" s="428">
        <f t="shared" si="31"/>
        <v>0</v>
      </c>
      <c r="BN113" s="428">
        <f t="shared" si="32"/>
        <v>0</v>
      </c>
      <c r="BO113" s="436">
        <f t="shared" si="33"/>
        <v>0</v>
      </c>
      <c r="BS113" s="1373"/>
    </row>
    <row r="114" spans="1:71" ht="45.75" customHeight="1">
      <c r="A114" s="2336"/>
      <c r="B114" s="2336"/>
      <c r="C114" s="2340"/>
      <c r="D114" s="2337"/>
      <c r="E114" s="2338"/>
      <c r="F114" s="2327"/>
      <c r="G114" s="2339" t="str">
        <f t="shared" si="53"/>
        <v/>
      </c>
      <c r="H114" s="451"/>
      <c r="I114" s="2326"/>
      <c r="J114" s="2327"/>
      <c r="K114" s="2328">
        <f t="shared" si="59"/>
        <v>0</v>
      </c>
      <c r="L114" s="2327"/>
      <c r="M114" s="2326"/>
      <c r="N114" s="2329"/>
      <c r="O114" s="2327"/>
      <c r="P114" s="2328">
        <f t="shared" si="60"/>
        <v>0</v>
      </c>
      <c r="Q114" s="2327"/>
      <c r="R114" s="2326"/>
      <c r="S114" s="2329"/>
      <c r="T114" s="2330"/>
      <c r="U114" s="2331">
        <f t="shared" si="61"/>
        <v>0</v>
      </c>
      <c r="V114" s="2332"/>
      <c r="W114" s="2326"/>
      <c r="X114" s="2329"/>
      <c r="Y114" s="2330"/>
      <c r="Z114" s="2333">
        <f t="shared" si="62"/>
        <v>0</v>
      </c>
      <c r="AA114" s="2334">
        <f t="shared" si="54"/>
        <v>0</v>
      </c>
      <c r="AB114" s="2335" t="str">
        <f t="shared" si="63"/>
        <v/>
      </c>
      <c r="AC114" s="201"/>
      <c r="AD114" s="427" t="str">
        <f t="shared" si="55"/>
        <v/>
      </c>
      <c r="AE114" s="428">
        <f t="shared" si="3"/>
        <v>0</v>
      </c>
      <c r="AF114" s="428">
        <f t="shared" si="4"/>
        <v>0</v>
      </c>
      <c r="AG114" s="428">
        <f t="shared" si="5"/>
        <v>0</v>
      </c>
      <c r="AH114" s="428">
        <f t="shared" si="6"/>
        <v>0</v>
      </c>
      <c r="AI114" s="429">
        <f t="shared" si="7"/>
        <v>0</v>
      </c>
      <c r="AJ114" s="430">
        <f t="shared" si="8"/>
        <v>1</v>
      </c>
      <c r="AK114" s="428">
        <f t="shared" si="9"/>
        <v>0</v>
      </c>
      <c r="AL114" s="431" t="e">
        <f t="shared" si="10"/>
        <v>#DIV/0!</v>
      </c>
      <c r="AM114" s="308"/>
      <c r="AN114" s="432">
        <f t="shared" si="11"/>
        <v>0</v>
      </c>
      <c r="AO114" s="430">
        <f t="shared" si="12"/>
        <v>0</v>
      </c>
      <c r="AP114" s="430">
        <f t="shared" si="13"/>
        <v>0</v>
      </c>
      <c r="AQ114" s="430">
        <f t="shared" si="14"/>
        <v>0</v>
      </c>
      <c r="AR114" s="433">
        <f t="shared" si="15"/>
        <v>0</v>
      </c>
      <c r="AT114" s="434">
        <f t="shared" si="16"/>
        <v>0</v>
      </c>
      <c r="AU114" s="430">
        <f t="shared" si="17"/>
        <v>0</v>
      </c>
      <c r="AV114" s="1469">
        <f t="shared" si="57"/>
        <v>0</v>
      </c>
      <c r="AW114" s="1469">
        <f t="shared" si="58"/>
        <v>0</v>
      </c>
      <c r="AX114" s="430">
        <f t="shared" si="20"/>
        <v>0</v>
      </c>
      <c r="AY114" s="435">
        <f t="shared" si="21"/>
        <v>0</v>
      </c>
      <c r="AZ114" s="309"/>
      <c r="BA114" s="434">
        <f t="shared" si="22"/>
        <v>0</v>
      </c>
      <c r="BB114" s="430">
        <f t="shared" si="23"/>
        <v>0</v>
      </c>
      <c r="BC114" s="430">
        <f t="shared" si="24"/>
        <v>0</v>
      </c>
      <c r="BD114" s="430">
        <f t="shared" si="25"/>
        <v>0</v>
      </c>
      <c r="BE114" s="435">
        <f t="shared" si="26"/>
        <v>0</v>
      </c>
      <c r="BG114" s="428">
        <f t="shared" si="27"/>
        <v>44927</v>
      </c>
      <c r="BH114" s="428">
        <f t="shared" si="28"/>
        <v>44927</v>
      </c>
      <c r="BI114" s="428">
        <f t="shared" si="29"/>
        <v>44927</v>
      </c>
      <c r="BJ114" s="428">
        <f t="shared" si="56"/>
        <v>0</v>
      </c>
      <c r="BL114" s="432">
        <f t="shared" si="30"/>
        <v>0</v>
      </c>
      <c r="BM114" s="428">
        <f t="shared" si="31"/>
        <v>0</v>
      </c>
      <c r="BN114" s="428">
        <f t="shared" si="32"/>
        <v>0</v>
      </c>
      <c r="BO114" s="436">
        <f t="shared" si="33"/>
        <v>0</v>
      </c>
      <c r="BS114" s="1373"/>
    </row>
    <row r="115" spans="1:71" ht="45.75" customHeight="1">
      <c r="A115" s="2336"/>
      <c r="B115" s="2336"/>
      <c r="C115" s="2340"/>
      <c r="D115" s="2337"/>
      <c r="E115" s="2338"/>
      <c r="F115" s="2327"/>
      <c r="G115" s="2339" t="str">
        <f t="shared" si="53"/>
        <v/>
      </c>
      <c r="H115" s="451"/>
      <c r="I115" s="2326"/>
      <c r="J115" s="2327"/>
      <c r="K115" s="2328">
        <f t="shared" si="59"/>
        <v>0</v>
      </c>
      <c r="L115" s="2327"/>
      <c r="M115" s="2326"/>
      <c r="N115" s="2329"/>
      <c r="O115" s="2327"/>
      <c r="P115" s="2328">
        <f t="shared" si="60"/>
        <v>0</v>
      </c>
      <c r="Q115" s="2327"/>
      <c r="R115" s="2326"/>
      <c r="S115" s="2329"/>
      <c r="T115" s="2330"/>
      <c r="U115" s="2331">
        <f t="shared" si="61"/>
        <v>0</v>
      </c>
      <c r="V115" s="2332"/>
      <c r="W115" s="2326"/>
      <c r="X115" s="2329"/>
      <c r="Y115" s="2330"/>
      <c r="Z115" s="2333">
        <f t="shared" si="62"/>
        <v>0</v>
      </c>
      <c r="AA115" s="2334">
        <f t="shared" si="54"/>
        <v>0</v>
      </c>
      <c r="AB115" s="2335" t="str">
        <f t="shared" si="63"/>
        <v/>
      </c>
      <c r="AC115" s="201"/>
      <c r="AD115" s="427" t="str">
        <f t="shared" si="55"/>
        <v/>
      </c>
      <c r="AE115" s="428">
        <f t="shared" si="3"/>
        <v>0</v>
      </c>
      <c r="AF115" s="428">
        <f t="shared" si="4"/>
        <v>0</v>
      </c>
      <c r="AG115" s="428">
        <f t="shared" si="5"/>
        <v>0</v>
      </c>
      <c r="AH115" s="428">
        <f t="shared" si="6"/>
        <v>0</v>
      </c>
      <c r="AI115" s="429">
        <f t="shared" si="7"/>
        <v>0</v>
      </c>
      <c r="AJ115" s="430">
        <f t="shared" si="8"/>
        <v>1</v>
      </c>
      <c r="AK115" s="428">
        <f t="shared" si="9"/>
        <v>0</v>
      </c>
      <c r="AL115" s="431" t="e">
        <f t="shared" si="10"/>
        <v>#DIV/0!</v>
      </c>
      <c r="AM115" s="308"/>
      <c r="AN115" s="432">
        <f t="shared" si="11"/>
        <v>0</v>
      </c>
      <c r="AO115" s="430">
        <f t="shared" si="12"/>
        <v>0</v>
      </c>
      <c r="AP115" s="430">
        <f t="shared" si="13"/>
        <v>0</v>
      </c>
      <c r="AQ115" s="430">
        <f t="shared" si="14"/>
        <v>0</v>
      </c>
      <c r="AR115" s="433">
        <f t="shared" si="15"/>
        <v>0</v>
      </c>
      <c r="AT115" s="434">
        <f t="shared" si="16"/>
        <v>0</v>
      </c>
      <c r="AU115" s="430">
        <f t="shared" si="17"/>
        <v>0</v>
      </c>
      <c r="AV115" s="1469">
        <f t="shared" si="57"/>
        <v>0</v>
      </c>
      <c r="AW115" s="1469">
        <f t="shared" si="58"/>
        <v>0</v>
      </c>
      <c r="AX115" s="430">
        <f t="shared" si="20"/>
        <v>0</v>
      </c>
      <c r="AY115" s="435">
        <f t="shared" si="21"/>
        <v>0</v>
      </c>
      <c r="AZ115" s="309"/>
      <c r="BA115" s="434">
        <f t="shared" si="22"/>
        <v>0</v>
      </c>
      <c r="BB115" s="430">
        <f t="shared" si="23"/>
        <v>0</v>
      </c>
      <c r="BC115" s="430">
        <f t="shared" si="24"/>
        <v>0</v>
      </c>
      <c r="BD115" s="430">
        <f t="shared" si="25"/>
        <v>0</v>
      </c>
      <c r="BE115" s="435">
        <f t="shared" si="26"/>
        <v>0</v>
      </c>
      <c r="BG115" s="428">
        <f t="shared" si="27"/>
        <v>44927</v>
      </c>
      <c r="BH115" s="428">
        <f t="shared" si="28"/>
        <v>44927</v>
      </c>
      <c r="BI115" s="428">
        <f t="shared" si="29"/>
        <v>44927</v>
      </c>
      <c r="BJ115" s="428">
        <f t="shared" si="56"/>
        <v>0</v>
      </c>
      <c r="BL115" s="432">
        <f t="shared" si="30"/>
        <v>0</v>
      </c>
      <c r="BM115" s="428">
        <f t="shared" si="31"/>
        <v>0</v>
      </c>
      <c r="BN115" s="428">
        <f t="shared" si="32"/>
        <v>0</v>
      </c>
      <c r="BO115" s="436">
        <f t="shared" si="33"/>
        <v>0</v>
      </c>
      <c r="BS115" s="1373"/>
    </row>
    <row r="116" spans="1:71" ht="45.75" customHeight="1">
      <c r="A116" s="2336"/>
      <c r="B116" s="2336"/>
      <c r="C116" s="2340"/>
      <c r="D116" s="2337"/>
      <c r="E116" s="2338"/>
      <c r="F116" s="2327"/>
      <c r="G116" s="2339" t="str">
        <f t="shared" si="53"/>
        <v/>
      </c>
      <c r="H116" s="451"/>
      <c r="I116" s="2326"/>
      <c r="J116" s="2327"/>
      <c r="K116" s="2328">
        <f t="shared" si="59"/>
        <v>0</v>
      </c>
      <c r="L116" s="2327"/>
      <c r="M116" s="2326"/>
      <c r="N116" s="2329"/>
      <c r="O116" s="2327"/>
      <c r="P116" s="2328">
        <f t="shared" si="60"/>
        <v>0</v>
      </c>
      <c r="Q116" s="2327"/>
      <c r="R116" s="2326"/>
      <c r="S116" s="2329"/>
      <c r="T116" s="2330"/>
      <c r="U116" s="2331">
        <f t="shared" si="61"/>
        <v>0</v>
      </c>
      <c r="V116" s="2332"/>
      <c r="W116" s="2326"/>
      <c r="X116" s="2329"/>
      <c r="Y116" s="2330"/>
      <c r="Z116" s="2333">
        <f t="shared" si="62"/>
        <v>0</v>
      </c>
      <c r="AA116" s="2334">
        <f t="shared" si="54"/>
        <v>0</v>
      </c>
      <c r="AB116" s="2335" t="str">
        <f t="shared" si="63"/>
        <v/>
      </c>
      <c r="AC116" s="201"/>
      <c r="AD116" s="427" t="str">
        <f t="shared" si="55"/>
        <v/>
      </c>
      <c r="AE116" s="428">
        <f t="shared" si="3"/>
        <v>0</v>
      </c>
      <c r="AF116" s="428">
        <f t="shared" si="4"/>
        <v>0</v>
      </c>
      <c r="AG116" s="428">
        <f t="shared" si="5"/>
        <v>0</v>
      </c>
      <c r="AH116" s="428">
        <f t="shared" si="6"/>
        <v>0</v>
      </c>
      <c r="AI116" s="429">
        <f t="shared" si="7"/>
        <v>0</v>
      </c>
      <c r="AJ116" s="430">
        <f t="shared" si="8"/>
        <v>1</v>
      </c>
      <c r="AK116" s="428">
        <f t="shared" si="9"/>
        <v>0</v>
      </c>
      <c r="AL116" s="431" t="e">
        <f t="shared" si="10"/>
        <v>#DIV/0!</v>
      </c>
      <c r="AM116" s="308"/>
      <c r="AN116" s="432">
        <f t="shared" si="11"/>
        <v>0</v>
      </c>
      <c r="AO116" s="430">
        <f t="shared" si="12"/>
        <v>0</v>
      </c>
      <c r="AP116" s="430">
        <f t="shared" si="13"/>
        <v>0</v>
      </c>
      <c r="AQ116" s="430">
        <f t="shared" si="14"/>
        <v>0</v>
      </c>
      <c r="AR116" s="433">
        <f t="shared" si="15"/>
        <v>0</v>
      </c>
      <c r="AT116" s="434">
        <f t="shared" si="16"/>
        <v>0</v>
      </c>
      <c r="AU116" s="430">
        <f t="shared" si="17"/>
        <v>0</v>
      </c>
      <c r="AV116" s="1469">
        <f t="shared" si="57"/>
        <v>0</v>
      </c>
      <c r="AW116" s="1469">
        <f t="shared" si="58"/>
        <v>0</v>
      </c>
      <c r="AX116" s="430">
        <f t="shared" si="20"/>
        <v>0</v>
      </c>
      <c r="AY116" s="435">
        <f t="shared" si="21"/>
        <v>0</v>
      </c>
      <c r="AZ116" s="309"/>
      <c r="BA116" s="434">
        <f t="shared" si="22"/>
        <v>0</v>
      </c>
      <c r="BB116" s="430">
        <f t="shared" si="23"/>
        <v>0</v>
      </c>
      <c r="BC116" s="430">
        <f t="shared" si="24"/>
        <v>0</v>
      </c>
      <c r="BD116" s="430">
        <f t="shared" si="25"/>
        <v>0</v>
      </c>
      <c r="BE116" s="435">
        <f t="shared" si="26"/>
        <v>0</v>
      </c>
      <c r="BG116" s="428">
        <f t="shared" si="27"/>
        <v>44927</v>
      </c>
      <c r="BH116" s="428">
        <f t="shared" si="28"/>
        <v>44927</v>
      </c>
      <c r="BI116" s="428">
        <f t="shared" si="29"/>
        <v>44927</v>
      </c>
      <c r="BJ116" s="428">
        <f t="shared" si="56"/>
        <v>0</v>
      </c>
      <c r="BL116" s="432">
        <f t="shared" si="30"/>
        <v>0</v>
      </c>
      <c r="BM116" s="428">
        <f t="shared" si="31"/>
        <v>0</v>
      </c>
      <c r="BN116" s="428">
        <f t="shared" si="32"/>
        <v>0</v>
      </c>
      <c r="BO116" s="436">
        <f t="shared" si="33"/>
        <v>0</v>
      </c>
      <c r="BS116" s="1373"/>
    </row>
    <row r="117" spans="1:71" ht="45.75" customHeight="1">
      <c r="A117" s="2336"/>
      <c r="B117" s="2336"/>
      <c r="C117" s="2340"/>
      <c r="D117" s="2337"/>
      <c r="E117" s="2338"/>
      <c r="F117" s="2327"/>
      <c r="G117" s="2339" t="str">
        <f t="shared" si="53"/>
        <v/>
      </c>
      <c r="H117" s="451"/>
      <c r="I117" s="2326"/>
      <c r="J117" s="2327"/>
      <c r="K117" s="2328">
        <f t="shared" si="59"/>
        <v>0</v>
      </c>
      <c r="L117" s="2327"/>
      <c r="M117" s="2326"/>
      <c r="N117" s="2329"/>
      <c r="O117" s="2327"/>
      <c r="P117" s="2328">
        <f t="shared" si="60"/>
        <v>0</v>
      </c>
      <c r="Q117" s="2327"/>
      <c r="R117" s="2326"/>
      <c r="S117" s="2329"/>
      <c r="T117" s="2330"/>
      <c r="U117" s="2331">
        <f t="shared" si="61"/>
        <v>0</v>
      </c>
      <c r="V117" s="2332"/>
      <c r="W117" s="2326"/>
      <c r="X117" s="2329"/>
      <c r="Y117" s="2330"/>
      <c r="Z117" s="2333">
        <f t="shared" si="62"/>
        <v>0</v>
      </c>
      <c r="AA117" s="2334">
        <f t="shared" si="54"/>
        <v>0</v>
      </c>
      <c r="AB117" s="2335" t="str">
        <f t="shared" si="63"/>
        <v/>
      </c>
      <c r="AC117" s="201"/>
      <c r="AD117" s="427" t="str">
        <f t="shared" si="55"/>
        <v/>
      </c>
      <c r="AE117" s="428">
        <f t="shared" si="3"/>
        <v>0</v>
      </c>
      <c r="AF117" s="428">
        <f t="shared" si="4"/>
        <v>0</v>
      </c>
      <c r="AG117" s="428">
        <f t="shared" si="5"/>
        <v>0</v>
      </c>
      <c r="AH117" s="428">
        <f t="shared" si="6"/>
        <v>0</v>
      </c>
      <c r="AI117" s="429">
        <f t="shared" si="7"/>
        <v>0</v>
      </c>
      <c r="AJ117" s="430">
        <f t="shared" si="8"/>
        <v>1</v>
      </c>
      <c r="AK117" s="428">
        <f t="shared" si="9"/>
        <v>0</v>
      </c>
      <c r="AL117" s="431" t="e">
        <f t="shared" si="10"/>
        <v>#DIV/0!</v>
      </c>
      <c r="AM117" s="308"/>
      <c r="AN117" s="432">
        <f t="shared" si="11"/>
        <v>0</v>
      </c>
      <c r="AO117" s="430">
        <f t="shared" si="12"/>
        <v>0</v>
      </c>
      <c r="AP117" s="430">
        <f t="shared" si="13"/>
        <v>0</v>
      </c>
      <c r="AQ117" s="430">
        <f t="shared" si="14"/>
        <v>0</v>
      </c>
      <c r="AR117" s="433">
        <f t="shared" si="15"/>
        <v>0</v>
      </c>
      <c r="AT117" s="434">
        <f t="shared" si="16"/>
        <v>0</v>
      </c>
      <c r="AU117" s="430">
        <f t="shared" si="17"/>
        <v>0</v>
      </c>
      <c r="AV117" s="1469">
        <f t="shared" si="57"/>
        <v>0</v>
      </c>
      <c r="AW117" s="1469">
        <f t="shared" si="58"/>
        <v>0</v>
      </c>
      <c r="AX117" s="430">
        <f t="shared" si="20"/>
        <v>0</v>
      </c>
      <c r="AY117" s="435">
        <f t="shared" si="21"/>
        <v>0</v>
      </c>
      <c r="AZ117" s="309"/>
      <c r="BA117" s="434">
        <f t="shared" si="22"/>
        <v>0</v>
      </c>
      <c r="BB117" s="430">
        <f t="shared" si="23"/>
        <v>0</v>
      </c>
      <c r="BC117" s="430">
        <f t="shared" si="24"/>
        <v>0</v>
      </c>
      <c r="BD117" s="430">
        <f t="shared" si="25"/>
        <v>0</v>
      </c>
      <c r="BE117" s="435">
        <f t="shared" si="26"/>
        <v>0</v>
      </c>
      <c r="BG117" s="428">
        <f t="shared" si="27"/>
        <v>44927</v>
      </c>
      <c r="BH117" s="428">
        <f t="shared" si="28"/>
        <v>44927</v>
      </c>
      <c r="BI117" s="428">
        <f t="shared" si="29"/>
        <v>44927</v>
      </c>
      <c r="BJ117" s="428">
        <f t="shared" si="56"/>
        <v>0</v>
      </c>
      <c r="BL117" s="432">
        <f t="shared" si="30"/>
        <v>0</v>
      </c>
      <c r="BM117" s="428">
        <f t="shared" si="31"/>
        <v>0</v>
      </c>
      <c r="BN117" s="428">
        <f t="shared" si="32"/>
        <v>0</v>
      </c>
      <c r="BO117" s="436">
        <f t="shared" si="33"/>
        <v>0</v>
      </c>
      <c r="BS117" s="1373"/>
    </row>
    <row r="118" spans="1:71" ht="45.75" customHeight="1">
      <c r="A118" s="2336"/>
      <c r="B118" s="2336"/>
      <c r="C118" s="2340"/>
      <c r="D118" s="2337"/>
      <c r="E118" s="2338"/>
      <c r="F118" s="2327"/>
      <c r="G118" s="2339" t="str">
        <f t="shared" si="53"/>
        <v/>
      </c>
      <c r="H118" s="451"/>
      <c r="I118" s="2326"/>
      <c r="J118" s="2327"/>
      <c r="K118" s="2328">
        <f t="shared" si="59"/>
        <v>0</v>
      </c>
      <c r="L118" s="2327"/>
      <c r="M118" s="2326"/>
      <c r="N118" s="2329"/>
      <c r="O118" s="2327"/>
      <c r="P118" s="2328">
        <f t="shared" si="60"/>
        <v>0</v>
      </c>
      <c r="Q118" s="2327"/>
      <c r="R118" s="2326"/>
      <c r="S118" s="2329"/>
      <c r="T118" s="2330"/>
      <c r="U118" s="2331">
        <f t="shared" si="61"/>
        <v>0</v>
      </c>
      <c r="V118" s="2332"/>
      <c r="W118" s="2326"/>
      <c r="X118" s="2329"/>
      <c r="Y118" s="2330"/>
      <c r="Z118" s="2333">
        <f t="shared" si="62"/>
        <v>0</v>
      </c>
      <c r="AA118" s="2334">
        <f t="shared" si="54"/>
        <v>0</v>
      </c>
      <c r="AB118" s="2335" t="str">
        <f t="shared" si="63"/>
        <v/>
      </c>
      <c r="AC118" s="201"/>
      <c r="AD118" s="427" t="str">
        <f t="shared" si="55"/>
        <v/>
      </c>
      <c r="AE118" s="428">
        <f t="shared" si="3"/>
        <v>0</v>
      </c>
      <c r="AF118" s="428">
        <f t="shared" si="4"/>
        <v>0</v>
      </c>
      <c r="AG118" s="428">
        <f t="shared" si="5"/>
        <v>0</v>
      </c>
      <c r="AH118" s="428">
        <f t="shared" si="6"/>
        <v>0</v>
      </c>
      <c r="AI118" s="429">
        <f t="shared" si="7"/>
        <v>0</v>
      </c>
      <c r="AJ118" s="430">
        <f t="shared" si="8"/>
        <v>1</v>
      </c>
      <c r="AK118" s="428">
        <f t="shared" si="9"/>
        <v>0</v>
      </c>
      <c r="AL118" s="431" t="e">
        <f t="shared" si="10"/>
        <v>#DIV/0!</v>
      </c>
      <c r="AM118" s="201"/>
      <c r="AN118" s="432">
        <f t="shared" si="11"/>
        <v>0</v>
      </c>
      <c r="AO118" s="430">
        <f t="shared" si="12"/>
        <v>0</v>
      </c>
      <c r="AP118" s="430">
        <f t="shared" si="13"/>
        <v>0</v>
      </c>
      <c r="AQ118" s="430">
        <f t="shared" si="14"/>
        <v>0</v>
      </c>
      <c r="AR118" s="433">
        <f t="shared" si="15"/>
        <v>0</v>
      </c>
      <c r="AT118" s="434">
        <f t="shared" si="16"/>
        <v>0</v>
      </c>
      <c r="AU118" s="430">
        <f t="shared" si="17"/>
        <v>0</v>
      </c>
      <c r="AV118" s="1469">
        <f t="shared" si="57"/>
        <v>0</v>
      </c>
      <c r="AW118" s="1469">
        <f t="shared" si="58"/>
        <v>0</v>
      </c>
      <c r="AX118" s="430">
        <f t="shared" si="20"/>
        <v>0</v>
      </c>
      <c r="AY118" s="435">
        <f t="shared" si="21"/>
        <v>0</v>
      </c>
      <c r="AZ118" s="309"/>
      <c r="BA118" s="434">
        <f t="shared" si="22"/>
        <v>0</v>
      </c>
      <c r="BB118" s="430">
        <f t="shared" si="23"/>
        <v>0</v>
      </c>
      <c r="BC118" s="430">
        <f t="shared" si="24"/>
        <v>0</v>
      </c>
      <c r="BD118" s="430">
        <f t="shared" si="25"/>
        <v>0</v>
      </c>
      <c r="BE118" s="435">
        <f t="shared" si="26"/>
        <v>0</v>
      </c>
      <c r="BG118" s="428">
        <f t="shared" si="27"/>
        <v>44927</v>
      </c>
      <c r="BH118" s="428">
        <f t="shared" si="28"/>
        <v>44927</v>
      </c>
      <c r="BI118" s="428">
        <f t="shared" si="29"/>
        <v>44927</v>
      </c>
      <c r="BJ118" s="428">
        <f t="shared" si="56"/>
        <v>0</v>
      </c>
      <c r="BL118" s="432">
        <f t="shared" si="30"/>
        <v>0</v>
      </c>
      <c r="BM118" s="428">
        <f t="shared" si="31"/>
        <v>0</v>
      </c>
      <c r="BN118" s="428">
        <f t="shared" si="32"/>
        <v>0</v>
      </c>
      <c r="BO118" s="436">
        <f t="shared" si="33"/>
        <v>0</v>
      </c>
      <c r="BS118" s="1373"/>
    </row>
    <row r="119" spans="1:71" ht="30" customHeight="1"/>
    <row r="120" spans="1:71" ht="30" customHeight="1"/>
    <row r="121" spans="1:71" ht="30" customHeight="1"/>
    <row r="122" spans="1:71" ht="30" customHeight="1">
      <c r="AC122" s="310"/>
      <c r="AD122" s="310"/>
      <c r="AE122" s="310"/>
      <c r="AF122" s="310"/>
      <c r="AG122" s="310"/>
      <c r="AH122" s="310"/>
      <c r="AI122" s="310"/>
      <c r="AJ122" s="310"/>
      <c r="AK122" s="310"/>
      <c r="AL122" s="310"/>
      <c r="AM122" s="310"/>
    </row>
    <row r="123" spans="1:71" ht="30" customHeight="1"/>
    <row r="124" spans="1:71" ht="30" customHeight="1"/>
    <row r="125" spans="1:71" ht="30" customHeight="1"/>
    <row r="126" spans="1:71" ht="30" customHeight="1"/>
    <row r="127" spans="1:71" ht="30" customHeight="1"/>
    <row r="128" spans="1:71" ht="30" customHeight="1"/>
    <row r="129" ht="30" customHeight="1"/>
    <row r="130" ht="30" customHeight="1"/>
    <row r="131" ht="30" customHeight="1"/>
    <row r="132" ht="30" customHeight="1"/>
    <row r="133" ht="30" customHeight="1"/>
    <row r="134" ht="30" customHeight="1"/>
    <row r="135" ht="30" customHeight="1"/>
    <row r="136" ht="30" customHeight="1"/>
    <row r="137" ht="30" customHeight="1"/>
    <row r="138" ht="30" customHeight="1"/>
    <row r="139" ht="30" customHeight="1"/>
    <row r="140" ht="30" customHeight="1"/>
    <row r="141" ht="30" customHeight="1"/>
    <row r="142" ht="30" customHeight="1"/>
  </sheetData>
  <sheetProtection password="CAEF" sheet="1" formatCells="0" formatColumns="0" formatRows="0"/>
  <mergeCells count="45">
    <mergeCell ref="BT20:BU20"/>
    <mergeCell ref="BT21:BU21"/>
    <mergeCell ref="BT13:BU14"/>
    <mergeCell ref="BT18:BU19"/>
    <mergeCell ref="BT15:BU15"/>
    <mergeCell ref="BT16:BU16"/>
    <mergeCell ref="BT17:BU17"/>
    <mergeCell ref="BT11:BU12"/>
    <mergeCell ref="BT6:BU8"/>
    <mergeCell ref="BT2:BU4"/>
    <mergeCell ref="BT1:BU1"/>
    <mergeCell ref="BT9:BU10"/>
    <mergeCell ref="BT5:BU5"/>
    <mergeCell ref="BO5:BO7"/>
    <mergeCell ref="BJ5:BJ7"/>
    <mergeCell ref="L5:O5"/>
    <mergeCell ref="P5:P7"/>
    <mergeCell ref="AK5:AL5"/>
    <mergeCell ref="BG5:BI7"/>
    <mergeCell ref="BL5:BN7"/>
    <mergeCell ref="AY5:AY7"/>
    <mergeCell ref="AT5:AX7"/>
    <mergeCell ref="Z5:Z7"/>
    <mergeCell ref="AA5:AB7"/>
    <mergeCell ref="AC5:AC7"/>
    <mergeCell ref="AN5:AR7"/>
    <mergeCell ref="BE5:BE7"/>
    <mergeCell ref="BA5:BD7"/>
    <mergeCell ref="AK8:AL8"/>
    <mergeCell ref="S2:T2"/>
    <mergeCell ref="U5:U7"/>
    <mergeCell ref="Q5:T5"/>
    <mergeCell ref="O2:Q2"/>
    <mergeCell ref="V5:Y5"/>
    <mergeCell ref="A5:A8"/>
    <mergeCell ref="B5:B8"/>
    <mergeCell ref="C5:C7"/>
    <mergeCell ref="D5:D8"/>
    <mergeCell ref="E5:E8"/>
    <mergeCell ref="F5:F8"/>
    <mergeCell ref="G5:G7"/>
    <mergeCell ref="H5:J5"/>
    <mergeCell ref="K5:K7"/>
    <mergeCell ref="H3:I3"/>
    <mergeCell ref="H4:I4"/>
  </mergeCells>
  <phoneticPr fontId="38" type="noConversion"/>
  <conditionalFormatting sqref="K9:K118">
    <cfRule type="expression" dxfId="137" priority="72">
      <formula>AND($N9="ZWF",$AU9=1,$L9&gt;0)</formula>
    </cfRule>
    <cfRule type="expression" dxfId="136" priority="73">
      <formula>AND($N9="HF",$AU9=1,$L9&gt;0)</formula>
    </cfRule>
  </conditionalFormatting>
  <conditionalFormatting sqref="K9:K118">
    <cfRule type="expression" dxfId="135" priority="69">
      <formula>AND($N9="",$AU9=1,$L9&gt;0)</formula>
    </cfRule>
    <cfRule type="expression" dxfId="134" priority="70">
      <formula>$AU9=1</formula>
    </cfRule>
    <cfRule type="expression" dxfId="133" priority="71">
      <formula>$BA9=1</formula>
    </cfRule>
  </conditionalFormatting>
  <conditionalFormatting sqref="L9:L118">
    <cfRule type="expression" dxfId="132" priority="64">
      <formula>AND($AE9=1,$L9&gt;0,$AO9&gt;30,$N9="ZWF")</formula>
    </cfRule>
    <cfRule type="expression" dxfId="131" priority="65">
      <formula>AND($AE9=1,$L9&gt;0,$AO9&gt;50,$N9="HF")</formula>
    </cfRule>
    <cfRule type="expression" dxfId="130" priority="66">
      <formula>AND($AE9=1,$L9&gt;0,$AO9&gt;50)</formula>
    </cfRule>
    <cfRule type="expression" dxfId="129" priority="67">
      <formula>AND($AF9=1,$O9-$L9&lt;36,$O9&gt;0,$L9&gt;0,$N9="ZWF")</formula>
    </cfRule>
    <cfRule type="expression" dxfId="128" priority="68">
      <formula>AND($BL9=1,$N9="ZWF")</formula>
    </cfRule>
  </conditionalFormatting>
  <conditionalFormatting sqref="M9:M118">
    <cfRule type="expression" dxfId="127" priority="61">
      <formula>AND($AF9=1,$O9&gt;0,$L9&gt;0,$N9="ZWF",$M9&lt;&gt;"",$O9-$L9&lt;36)</formula>
    </cfRule>
    <cfRule type="expression" dxfId="126" priority="62">
      <formula>AND($N9&lt;&gt;"",$M9="",$L9&lt;&gt;"",$AU9&lt;&gt;1,$BL9&lt;&gt;1)</formula>
    </cfRule>
    <cfRule type="expression" dxfId="125" priority="63">
      <formula>AND($L9&lt;&gt;"",$N9="",$O9="",$AU9&lt;&gt;1,$BL9&lt;&gt;1,$M9="")</formula>
    </cfRule>
  </conditionalFormatting>
  <conditionalFormatting sqref="N9:N118">
    <cfRule type="expression" dxfId="124" priority="60">
      <formula>AND($N9="",$L9&gt;($AC$8+273),$AE9&lt;&gt;1,$AG9=1)</formula>
    </cfRule>
  </conditionalFormatting>
  <conditionalFormatting sqref="N9:N118">
    <cfRule type="expression" dxfId="123" priority="56">
      <formula>AND($AE9=1,$N9="",$L9&gt;0,AO9&lt;=50)</formula>
    </cfRule>
    <cfRule type="expression" dxfId="122" priority="57">
      <formula>AND($AF9=1,$O9&gt;0,$L9&gt;0,$N9="ZWF",$O9-$L9&lt;36)</formula>
    </cfRule>
    <cfRule type="expression" dxfId="121" priority="58">
      <formula>AND($L9&gt;$AC$8+273,$L9&gt;0,$AO9&lt;=50,$N9="")</formula>
    </cfRule>
    <cfRule type="expression" dxfId="120" priority="59">
      <formula>AND($M9&lt;&gt;"",$L9&lt;&gt;"",$N9="",$AE9&lt;&gt;1)</formula>
    </cfRule>
  </conditionalFormatting>
  <conditionalFormatting sqref="O9:O118">
    <cfRule type="expression" dxfId="119" priority="54">
      <formula>AND($AF9=1,$O9&gt;0,$L9&gt;0,$N9="ZWF")</formula>
    </cfRule>
    <cfRule type="expression" dxfId="118" priority="55">
      <formula>AND($L9&gt;0,$M9&lt;&gt;"",$N9="HF",$O9="",$AE9&lt;&gt;1)</formula>
    </cfRule>
  </conditionalFormatting>
  <conditionalFormatting sqref="P9:P118">
    <cfRule type="expression" dxfId="117" priority="51">
      <formula>AND($N9="HF",$S9="ZWF",$AV9=1)</formula>
    </cfRule>
    <cfRule type="expression" dxfId="116" priority="52">
      <formula>AND($N9="ZWF",$S9="ZWF",AV9=1)</formula>
    </cfRule>
    <cfRule type="expression" dxfId="115" priority="53">
      <formula>AND($N9="HF",$S9="HF",$AV9=1)</formula>
    </cfRule>
  </conditionalFormatting>
  <conditionalFormatting sqref="P9:P118">
    <cfRule type="expression" dxfId="114" priority="50">
      <formula>AND($BB9=1,$O9&gt;0,$Q9="")</formula>
    </cfRule>
  </conditionalFormatting>
  <conditionalFormatting sqref="Q9:Q118">
    <cfRule type="expression" dxfId="113" priority="46">
      <formula>AND($O9&gt;0,$Q9&gt;0,$N9="ZWF",$AP9&gt;30)</formula>
    </cfRule>
    <cfRule type="expression" dxfId="112" priority="47">
      <formula>AND($O9&gt;0,$Q9&gt;0,$N9="HF",$AP9&gt;50)</formula>
    </cfRule>
    <cfRule type="expression" dxfId="111" priority="48">
      <formula>AND($AG9=1,$Q9&gt;$AC$8+273)</formula>
    </cfRule>
    <cfRule type="expression" dxfId="110" priority="49">
      <formula>AND($AF9=1,$T9&gt;0,$Q9&gt;0,$S9="ZWF",$T9-$Q9&lt;36)</formula>
    </cfRule>
  </conditionalFormatting>
  <conditionalFormatting sqref="R9:R118">
    <cfRule type="expression" dxfId="109" priority="43">
      <formula>AND($Q9&lt;&gt;"",$S9="",$T9="",$AV9&lt;&gt;1,$BM9&lt;&gt;1,$R9="")</formula>
    </cfRule>
    <cfRule type="expression" dxfId="108" priority="44">
      <formula>AND($S9&lt;&gt;"",$R9="",$Q9&lt;&gt;"",$AV9&lt;&gt;1,$BM9&lt;&gt;1)</formula>
    </cfRule>
    <cfRule type="expression" dxfId="107" priority="45">
      <formula>AND($AF9=1,$T9&gt;0,$Q9&gt;0,$S9="ZWF",$T9-$Q9&lt;36,$R9&lt;&gt;"")</formula>
    </cfRule>
  </conditionalFormatting>
  <conditionalFormatting sqref="S9:S118">
    <cfRule type="expression" dxfId="106" priority="42">
      <formula>AND($AE9=1,$S9="",$N9="HF",$Q9&gt;0,$O9&gt;0,$AP9&lt;50)</formula>
    </cfRule>
  </conditionalFormatting>
  <conditionalFormatting sqref="S9:S118">
    <cfRule type="expression" dxfId="105" priority="41">
      <formula>AND($R9&lt;&gt;"",$Q9&gt;0,$S9="",$AE9&lt;&gt;1)</formula>
    </cfRule>
  </conditionalFormatting>
  <conditionalFormatting sqref="S9:S118">
    <cfRule type="expression" dxfId="104" priority="39">
      <formula>AND($AE9=1,$S9="",$N9="ZWF",$Q9&gt;0,$O9&gt;0,$AP9&lt;30)</formula>
    </cfRule>
    <cfRule type="expression" dxfId="103" priority="40">
      <formula>AND($AF9=1,$T9&gt;0,$Q9&gt;0,$S9="ZWF",$T9-$Q9&lt;36)</formula>
    </cfRule>
  </conditionalFormatting>
  <conditionalFormatting sqref="T9:T118">
    <cfRule type="expression" dxfId="102" priority="37">
      <formula>AND($AF9=1,$T9&gt;0,$Q9&gt;0,$S9="ZWF",$T9-$Q9&lt;36)</formula>
    </cfRule>
    <cfRule type="expression" dxfId="101" priority="38">
      <formula>AND($Q9&lt;&gt;"",$R9&lt;&gt;"",$S9="HF",$T9="")</formula>
    </cfRule>
  </conditionalFormatting>
  <conditionalFormatting sqref="U9:U118">
    <cfRule type="expression" dxfId="100" priority="34">
      <formula>AND($S9="ZWF",$X9="ZWF",$AW9=1)</formula>
    </cfRule>
    <cfRule type="expression" dxfId="99" priority="35">
      <formula>AND($S9="HF",$X9="ZWF",$AW9=1)</formula>
    </cfRule>
    <cfRule type="expression" dxfId="98" priority="36">
      <formula>AND($S9="HF",$X9="HF",$AW9=1)</formula>
    </cfRule>
  </conditionalFormatting>
  <conditionalFormatting sqref="U9:U118">
    <cfRule type="expression" dxfId="97" priority="33">
      <formula>AND($BC9=1,$T9&gt;0,$V9="")</formula>
    </cfRule>
  </conditionalFormatting>
  <conditionalFormatting sqref="V9:V118">
    <cfRule type="expression" dxfId="96" priority="29">
      <formula>AND($T9&gt;0,$V9&gt;0,$S9="ZWF",$AQ9&gt;30)</formula>
    </cfRule>
    <cfRule type="expression" dxfId="95" priority="30">
      <formula>AND($T9&gt;0,$V9&gt;0,$S9="HF",$AQ9&gt;50)</formula>
    </cfRule>
    <cfRule type="expression" dxfId="94" priority="31">
      <formula>AND($AF9=1,$V9&gt;0,$Y9&gt;0,$X9="ZWF",$Y9-$V9&lt;36)</formula>
    </cfRule>
    <cfRule type="expression" dxfId="93" priority="32">
      <formula>AND($X9="ZWF",$V9&gt;0,$AG9=1)</formula>
    </cfRule>
  </conditionalFormatting>
  <conditionalFormatting sqref="W9:W118">
    <cfRule type="expression" dxfId="92" priority="27">
      <formula>AND($V9&lt;&gt;"",$X9="",$Y9="",$AW9&lt;&gt;1,$BO9&lt;&gt;1,$W9="")</formula>
    </cfRule>
    <cfRule type="expression" dxfId="91" priority="28">
      <formula>AND($AF9=1,$V9&gt;0,$Y9&gt;0,$X9="ZWF",$Y9-$V9&lt;36,$W9&lt;&gt;"")</formula>
    </cfRule>
  </conditionalFormatting>
  <conditionalFormatting sqref="X9:X118">
    <cfRule type="expression" dxfId="90" priority="26">
      <formula>AND($AE9=1,$X9="",$S9&lt;&gt;"",$N9&lt;&gt;"",$V9&gt;0,$T9&gt;0)</formula>
    </cfRule>
  </conditionalFormatting>
  <conditionalFormatting sqref="X9:X118">
    <cfRule type="expression" dxfId="89" priority="24">
      <formula>AND($AF9=1,$V9&gt;0,$Y9&gt;0,$X9="ZWF",$Y9-$V9&lt;36)</formula>
    </cfRule>
    <cfRule type="expression" dxfId="88" priority="25">
      <formula>AND($W9&lt;&gt;"",$V9&lt;&gt;"",$X9="",$AE9&lt;&gt;1)</formula>
    </cfRule>
  </conditionalFormatting>
  <conditionalFormatting sqref="Y9:Y118">
    <cfRule type="expression" dxfId="87" priority="22">
      <formula>AND($AF9=1,$V9&gt;0,$Y9&gt;0,$X9="ZWF",$Y9-$V9&lt;36)</formula>
    </cfRule>
    <cfRule type="expression" dxfId="86" priority="23">
      <formula>AND($V9&lt;&gt;"",$W9&lt;&gt;"",$X9&lt;&gt;"",$Y9="")</formula>
    </cfRule>
  </conditionalFormatting>
  <conditionalFormatting sqref="Z9:Z118">
    <cfRule type="expression" dxfId="85" priority="21">
      <formula>AND($Z9&gt;0,$AA9&lt;&gt;"ja")</formula>
    </cfRule>
  </conditionalFormatting>
  <conditionalFormatting sqref="AA9:AA118">
    <cfRule type="expression" dxfId="84" priority="20">
      <formula>($AL9&gt;15%)</formula>
    </cfRule>
  </conditionalFormatting>
  <conditionalFormatting sqref="AA9:AA118">
    <cfRule type="containsText" dxfId="83" priority="19" operator="containsText" text="ja">
      <formula>NOT(ISERROR(SEARCH("ja",AA9)))</formula>
    </cfRule>
  </conditionalFormatting>
  <conditionalFormatting sqref="B9:B118">
    <cfRule type="expression" dxfId="82" priority="18">
      <formula>AND($A9&lt;&gt;"",$B9="")</formula>
    </cfRule>
  </conditionalFormatting>
  <conditionalFormatting sqref="C9:C118">
    <cfRule type="expression" dxfId="81" priority="17">
      <formula>AND($A9&lt;&gt;"",$B9&lt;&gt;"",$C9="")</formula>
    </cfRule>
  </conditionalFormatting>
  <conditionalFormatting sqref="E9:E118">
    <cfRule type="expression" dxfId="80" priority="16">
      <formula>AND($E9="",$C9&lt;&gt;"")</formula>
    </cfRule>
  </conditionalFormatting>
  <conditionalFormatting sqref="F9:F118">
    <cfRule type="expression" dxfId="79" priority="15">
      <formula>AND($E9="ja ZWF",$F9="")</formula>
    </cfRule>
  </conditionalFormatting>
  <conditionalFormatting sqref="G9:G118">
    <cfRule type="expression" dxfId="78" priority="10">
      <formula>AND($E9="ja ZWF",$AT9=1)</formula>
    </cfRule>
    <cfRule type="expression" dxfId="77" priority="11">
      <formula>AND($E9="nein",$AT9=1)</formula>
    </cfRule>
  </conditionalFormatting>
  <conditionalFormatting sqref="G9:G118">
    <cfRule type="expression" dxfId="76" priority="9">
      <formula>AND($E9="ja HF",$AT9=1)</formula>
    </cfRule>
  </conditionalFormatting>
  <conditionalFormatting sqref="I9:I118">
    <cfRule type="expression" dxfId="75" priority="4">
      <formula>AND($E9="nein",$H9&lt;&gt;"",$I9="")</formula>
    </cfRule>
    <cfRule type="expression" dxfId="74" priority="5">
      <formula>AND($E9="ja ZWF",$F9&gt;0,$H9&gt;0,$I9="")</formula>
    </cfRule>
    <cfRule type="expression" dxfId="73" priority="6">
      <formula>AND($E9="ja HF",$H9="",$I9="")</formula>
    </cfRule>
  </conditionalFormatting>
  <conditionalFormatting sqref="J9:J118">
    <cfRule type="expression" dxfId="72" priority="3">
      <formula>AND($E9="nein",$H9&lt;&gt;"",$I9&lt;&gt;"",$J9="")</formula>
    </cfRule>
  </conditionalFormatting>
  <conditionalFormatting sqref="H9:H118">
    <cfRule type="expression" dxfId="71" priority="7">
      <formula>AND($E9="ja ZWF",$F9&lt;&gt;"",$H9="")</formula>
    </cfRule>
    <cfRule type="expression" dxfId="70" priority="8">
      <formula>AND($E9="nein",$F9="",$H9="")</formula>
    </cfRule>
  </conditionalFormatting>
  <conditionalFormatting sqref="I9:I118">
    <cfRule type="expression" dxfId="69" priority="2">
      <formula>AND($H9&lt;&gt;"",$I9="")</formula>
    </cfRule>
  </conditionalFormatting>
  <conditionalFormatting sqref="J9:J118">
    <cfRule type="expression" dxfId="68" priority="1">
      <formula>AND($E9="ja HF",$I9&lt;&gt;"",$J9="")</formula>
    </cfRule>
  </conditionalFormatting>
  <dataValidations count="3">
    <dataValidation type="list" allowBlank="1" showInputMessage="1" showErrorMessage="1" sqref="E9:E118">
      <formula1>$AD$1:$AD$3</formula1>
    </dataValidation>
    <dataValidation type="list" allowBlank="1" showInputMessage="1" showErrorMessage="1" sqref="X9:X118 S9:S118 N9:N118">
      <formula1>$AC$1:$AC$2</formula1>
    </dataValidation>
    <dataValidation type="date" allowBlank="1" showErrorMessage="1" error="Achtung, das eingegebene Datum entspricht nicht dem MFA-Antragsjahr. Geben Sie Tag, Monat und das entsprechende Jahr ein!" sqref="F9:F118 H9:H118 Y9:Y118 Q9:Q118 T9:T118 V9:V118 O9:O118 L9:L118 J9:J118">
      <formula1>$AC$8</formula1>
      <formula2>$AC$8+365</formula2>
    </dataValidation>
  </dataValidations>
  <hyperlinks>
    <hyperlink ref="R1" location="'WD-Vertrag'!A1" display="◄"/>
    <hyperlink ref="S1:T1" location="Weideblatt!A1" display="  ►"/>
  </hyperlinks>
  <pageMargins left="0.31496062992125984" right="0.23622047244094491" top="0.27559055118110237" bottom="0.23622047244094491" header="0.19685039370078741" footer="0.19685039370078741"/>
  <pageSetup paperSize="9" scale="75" orientation="landscape" blackAndWhite="1" r:id="rId1"/>
  <headerFooter>
    <oddFooter>&amp;L&amp;F&amp;C&amp;A&amp;R&amp;P von &amp;N</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5">
    <tabColor rgb="FF92D050"/>
    <pageSetUpPr fitToPage="1"/>
  </sheetPr>
  <dimension ref="A1:P57"/>
  <sheetViews>
    <sheetView showZeros="0" zoomScale="80" zoomScaleNormal="80" workbookViewId="0">
      <selection activeCell="A6" sqref="A6"/>
    </sheetView>
  </sheetViews>
  <sheetFormatPr baseColWidth="10" defaultRowHeight="13.2"/>
  <cols>
    <col min="1" max="1" width="11.44140625" style="1542"/>
    <col min="4" max="4" width="21.33203125" customWidth="1"/>
    <col min="5" max="5" width="6.6640625" customWidth="1"/>
    <col min="6" max="6" width="13" customWidth="1"/>
    <col min="7" max="7" width="12.33203125" customWidth="1"/>
    <col min="11" max="12" width="20.88671875" customWidth="1"/>
    <col min="13" max="13" width="17.88671875" hidden="1" customWidth="1"/>
    <col min="14" max="15" width="18.5546875" hidden="1" customWidth="1"/>
    <col min="16" max="16" width="0" hidden="1" customWidth="1"/>
  </cols>
  <sheetData>
    <row r="1" spans="1:16" ht="33.9" customHeight="1">
      <c r="A1" s="1328"/>
      <c r="B1" s="1328"/>
      <c r="C1" s="1328"/>
      <c r="D1" s="1340" t="str">
        <f>"Weideblatt für das Jahr  "&amp;Betrieb!D4&amp;""</f>
        <v>Weideblatt für das Jahr  2022</v>
      </c>
      <c r="E1" s="1340"/>
      <c r="F1" s="1340"/>
      <c r="G1" s="1340"/>
      <c r="H1" s="1340"/>
      <c r="I1" s="1328"/>
      <c r="J1" s="1328"/>
      <c r="K1" s="532" t="s">
        <v>1383</v>
      </c>
      <c r="L1" s="532" t="s">
        <v>1355</v>
      </c>
    </row>
    <row r="2" spans="1:16" ht="30" customHeight="1">
      <c r="B2" s="2386">
        <f>Betrieb!B4</f>
        <v>0</v>
      </c>
      <c r="C2" s="2387"/>
      <c r="D2" s="2387"/>
      <c r="E2" s="2387"/>
      <c r="F2" s="2388"/>
      <c r="G2" s="1009" t="s">
        <v>867</v>
      </c>
      <c r="H2" s="1009"/>
      <c r="K2" s="983"/>
    </row>
    <row r="3" spans="1:16" ht="30" customHeight="1">
      <c r="B3" s="2386" t="str">
        <f>IF(AND(Betrieb!B6="",Betrieb!B5=""),"",Betrieb!B6&amp;", "&amp;Betrieb!B5)</f>
        <v/>
      </c>
      <c r="C3" s="2387"/>
      <c r="D3" s="2387"/>
      <c r="E3" s="2387"/>
      <c r="F3" s="2388"/>
      <c r="G3" s="2996" t="s">
        <v>1870</v>
      </c>
      <c r="H3" s="2997"/>
      <c r="I3" s="2997">
        <f>Betrieb!B3</f>
        <v>0</v>
      </c>
      <c r="J3" s="2998"/>
      <c r="K3" s="983"/>
    </row>
    <row r="4" spans="1:16" s="2" customFormat="1" ht="38.25" customHeight="1">
      <c r="B4" s="1010"/>
      <c r="C4" s="458"/>
      <c r="D4" s="1138"/>
      <c r="E4" s="1139"/>
      <c r="F4" s="1138"/>
      <c r="G4" s="1138"/>
      <c r="H4" s="1138"/>
      <c r="I4" s="1138"/>
      <c r="J4" s="1138"/>
      <c r="K4" s="999"/>
    </row>
    <row r="5" spans="1:16" ht="38.25" customHeight="1">
      <c r="A5" s="1354" t="s">
        <v>2310</v>
      </c>
      <c r="B5" s="1354" t="s">
        <v>866</v>
      </c>
      <c r="C5" s="1354" t="s">
        <v>865</v>
      </c>
      <c r="D5" s="1355" t="s">
        <v>864</v>
      </c>
      <c r="E5" s="1350" t="s">
        <v>1909</v>
      </c>
      <c r="F5" s="1354" t="s">
        <v>863</v>
      </c>
      <c r="G5" s="1350" t="s">
        <v>862</v>
      </c>
      <c r="H5" s="1354" t="s">
        <v>861</v>
      </c>
      <c r="I5" s="1354" t="s">
        <v>860</v>
      </c>
      <c r="J5" s="1354" t="s">
        <v>859</v>
      </c>
      <c r="K5" s="983"/>
      <c r="L5" s="1542"/>
      <c r="M5" s="1354" t="s">
        <v>2316</v>
      </c>
      <c r="N5" s="1354" t="s">
        <v>2314</v>
      </c>
      <c r="O5" s="1354" t="s">
        <v>2315</v>
      </c>
      <c r="P5" s="1354" t="s">
        <v>2313</v>
      </c>
    </row>
    <row r="6" spans="1:16" ht="26.25" customHeight="1">
      <c r="A6" s="998"/>
      <c r="B6" s="995"/>
      <c r="C6" s="994"/>
      <c r="D6" s="998"/>
      <c r="E6" s="1356">
        <f>IF(M6=1,0,M6)</f>
        <v>0</v>
      </c>
      <c r="F6" s="998"/>
      <c r="G6" s="998"/>
      <c r="H6" s="998"/>
      <c r="I6" s="997"/>
      <c r="J6" s="996"/>
      <c r="K6" s="983"/>
      <c r="M6">
        <f>IF(A6="Alpung",O6,N6)</f>
        <v>1</v>
      </c>
      <c r="N6" s="2385">
        <f t="shared" ref="N6:N15" si="0">(C6-B6)+1</f>
        <v>1</v>
      </c>
      <c r="O6" s="2385">
        <f t="shared" ref="O6:O15" si="1">C6-B6</f>
        <v>0</v>
      </c>
      <c r="P6" s="2384"/>
    </row>
    <row r="7" spans="1:16" ht="26.25" customHeight="1">
      <c r="A7" s="998"/>
      <c r="B7" s="995"/>
      <c r="C7" s="994"/>
      <c r="D7" s="976"/>
      <c r="E7" s="1356">
        <f t="shared" ref="E7:E15" si="2">IF(M7=1,0,M7)</f>
        <v>0</v>
      </c>
      <c r="F7" s="976"/>
      <c r="G7" s="976"/>
      <c r="H7" s="976"/>
      <c r="I7" s="993"/>
      <c r="J7" s="992"/>
      <c r="K7" s="983"/>
      <c r="M7" s="1542">
        <f t="shared" ref="M7:M15" si="3">IF(A7="Alpung",O7,N7)</f>
        <v>1</v>
      </c>
      <c r="N7" s="1577">
        <f t="shared" si="0"/>
        <v>1</v>
      </c>
      <c r="O7" s="1577">
        <f t="shared" si="1"/>
        <v>0</v>
      </c>
      <c r="P7" s="2384" t="s">
        <v>2311</v>
      </c>
    </row>
    <row r="8" spans="1:16" ht="26.25" customHeight="1">
      <c r="A8" s="998"/>
      <c r="B8" s="995"/>
      <c r="C8" s="994"/>
      <c r="D8" s="976"/>
      <c r="E8" s="1356">
        <f t="shared" si="2"/>
        <v>0</v>
      </c>
      <c r="F8" s="976"/>
      <c r="G8" s="976"/>
      <c r="H8" s="976"/>
      <c r="I8" s="993"/>
      <c r="J8" s="992"/>
      <c r="K8" s="983"/>
      <c r="L8" s="214"/>
      <c r="M8" s="1542">
        <f t="shared" si="3"/>
        <v>1</v>
      </c>
      <c r="N8" s="1577">
        <f t="shared" si="0"/>
        <v>1</v>
      </c>
      <c r="O8" s="1577">
        <f t="shared" si="1"/>
        <v>0</v>
      </c>
      <c r="P8" s="2385" t="s">
        <v>2312</v>
      </c>
    </row>
    <row r="9" spans="1:16" ht="26.25" customHeight="1">
      <c r="A9" s="998"/>
      <c r="B9" s="995"/>
      <c r="C9" s="994"/>
      <c r="D9" s="976"/>
      <c r="E9" s="1356">
        <f t="shared" si="2"/>
        <v>0</v>
      </c>
      <c r="F9" s="976"/>
      <c r="G9" s="976"/>
      <c r="H9" s="976"/>
      <c r="I9" s="993"/>
      <c r="J9" s="992"/>
      <c r="K9" s="983"/>
      <c r="M9" s="1542">
        <f t="shared" si="3"/>
        <v>1</v>
      </c>
      <c r="N9" s="1577">
        <f t="shared" si="0"/>
        <v>1</v>
      </c>
      <c r="O9" s="1577">
        <f t="shared" si="1"/>
        <v>0</v>
      </c>
    </row>
    <row r="10" spans="1:16" ht="26.25" customHeight="1">
      <c r="A10" s="998"/>
      <c r="B10" s="995"/>
      <c r="C10" s="994"/>
      <c r="D10" s="976"/>
      <c r="E10" s="1356">
        <f t="shared" si="2"/>
        <v>0</v>
      </c>
      <c r="F10" s="976"/>
      <c r="G10" s="976"/>
      <c r="H10" s="976"/>
      <c r="I10" s="993"/>
      <c r="J10" s="992"/>
      <c r="K10" s="983"/>
      <c r="M10" s="1542">
        <f t="shared" si="3"/>
        <v>1</v>
      </c>
      <c r="N10" s="1577">
        <f t="shared" si="0"/>
        <v>1</v>
      </c>
      <c r="O10" s="1577">
        <f t="shared" si="1"/>
        <v>0</v>
      </c>
    </row>
    <row r="11" spans="1:16" ht="26.25" customHeight="1">
      <c r="A11" s="998"/>
      <c r="B11" s="995"/>
      <c r="C11" s="994"/>
      <c r="D11" s="976"/>
      <c r="E11" s="1356">
        <f t="shared" si="2"/>
        <v>0</v>
      </c>
      <c r="F11" s="976"/>
      <c r="G11" s="976"/>
      <c r="H11" s="976"/>
      <c r="I11" s="993"/>
      <c r="J11" s="992"/>
      <c r="K11" s="983"/>
      <c r="M11" s="1542">
        <f t="shared" si="3"/>
        <v>1</v>
      </c>
      <c r="N11" s="1577">
        <f t="shared" si="0"/>
        <v>1</v>
      </c>
      <c r="O11" s="1577">
        <f t="shared" si="1"/>
        <v>0</v>
      </c>
    </row>
    <row r="12" spans="1:16" ht="26.25" customHeight="1">
      <c r="A12" s="998"/>
      <c r="B12" s="995"/>
      <c r="C12" s="994"/>
      <c r="D12" s="976"/>
      <c r="E12" s="1356">
        <f t="shared" si="2"/>
        <v>0</v>
      </c>
      <c r="F12" s="976"/>
      <c r="G12" s="976"/>
      <c r="H12" s="976"/>
      <c r="I12" s="993"/>
      <c r="J12" s="992"/>
      <c r="K12" s="983"/>
      <c r="M12" s="1542">
        <f t="shared" si="3"/>
        <v>1</v>
      </c>
      <c r="N12" s="1577">
        <f t="shared" si="0"/>
        <v>1</v>
      </c>
      <c r="O12" s="1577">
        <f t="shared" si="1"/>
        <v>0</v>
      </c>
    </row>
    <row r="13" spans="1:16" ht="26.25" customHeight="1">
      <c r="A13" s="998"/>
      <c r="B13" s="995"/>
      <c r="C13" s="994"/>
      <c r="D13" s="976"/>
      <c r="E13" s="1356">
        <f t="shared" si="2"/>
        <v>0</v>
      </c>
      <c r="F13" s="976"/>
      <c r="G13" s="976"/>
      <c r="H13" s="976"/>
      <c r="I13" s="993"/>
      <c r="J13" s="992"/>
      <c r="K13" s="983"/>
      <c r="M13" s="1542">
        <f t="shared" si="3"/>
        <v>1</v>
      </c>
      <c r="N13" s="1577">
        <f t="shared" si="0"/>
        <v>1</v>
      </c>
      <c r="O13" s="1577">
        <f t="shared" si="1"/>
        <v>0</v>
      </c>
    </row>
    <row r="14" spans="1:16" ht="26.25" customHeight="1">
      <c r="A14" s="998"/>
      <c r="B14" s="995"/>
      <c r="C14" s="994"/>
      <c r="D14" s="976"/>
      <c r="E14" s="1356">
        <f t="shared" si="2"/>
        <v>0</v>
      </c>
      <c r="F14" s="976"/>
      <c r="G14" s="976"/>
      <c r="H14" s="976"/>
      <c r="I14" s="993"/>
      <c r="J14" s="992"/>
      <c r="K14" s="983"/>
      <c r="M14" s="1542">
        <f t="shared" si="3"/>
        <v>1</v>
      </c>
      <c r="N14" s="1577">
        <f t="shared" si="0"/>
        <v>1</v>
      </c>
      <c r="O14" s="1577">
        <f t="shared" si="1"/>
        <v>0</v>
      </c>
    </row>
    <row r="15" spans="1:16" ht="26.25" customHeight="1">
      <c r="A15" s="998"/>
      <c r="B15" s="991"/>
      <c r="C15" s="990"/>
      <c r="D15" s="989"/>
      <c r="E15" s="1356">
        <f t="shared" si="2"/>
        <v>0</v>
      </c>
      <c r="F15" s="989"/>
      <c r="G15" s="989"/>
      <c r="H15" s="989"/>
      <c r="I15" s="988"/>
      <c r="J15" s="987"/>
      <c r="K15" s="983"/>
      <c r="M15" s="1542">
        <f t="shared" si="3"/>
        <v>1</v>
      </c>
      <c r="N15" s="1577">
        <f t="shared" si="0"/>
        <v>1</v>
      </c>
      <c r="O15" s="1577">
        <f t="shared" si="1"/>
        <v>0</v>
      </c>
    </row>
    <row r="16" spans="1:16" ht="30.75" customHeight="1">
      <c r="B16" s="1010" t="s">
        <v>858</v>
      </c>
      <c r="C16" s="172"/>
      <c r="D16" s="172"/>
      <c r="E16" s="172"/>
      <c r="F16" s="172"/>
      <c r="G16" s="172"/>
      <c r="H16" s="172"/>
      <c r="I16" s="172"/>
      <c r="J16" s="172"/>
      <c r="K16" s="983"/>
    </row>
    <row r="17" spans="2:11" ht="20.25" customHeight="1">
      <c r="B17" s="2995" t="s">
        <v>1851</v>
      </c>
      <c r="C17" s="2995"/>
      <c r="D17" s="986" t="s">
        <v>857</v>
      </c>
      <c r="E17" s="985"/>
      <c r="F17" s="985"/>
      <c r="G17" s="985"/>
      <c r="H17" s="985"/>
      <c r="I17" s="985"/>
      <c r="J17" s="984"/>
      <c r="K17" s="983"/>
    </row>
    <row r="18" spans="2:11" ht="22.5" customHeight="1">
      <c r="B18" s="982"/>
      <c r="C18" s="980"/>
      <c r="D18" s="982"/>
      <c r="E18" s="981"/>
      <c r="F18" s="981"/>
      <c r="G18" s="981"/>
      <c r="H18" s="981"/>
      <c r="I18" s="981"/>
      <c r="J18" s="980"/>
      <c r="K18" s="983"/>
    </row>
    <row r="19" spans="2:11" ht="22.5" customHeight="1">
      <c r="B19" s="982"/>
      <c r="C19" s="980"/>
      <c r="D19" s="982"/>
      <c r="E19" s="981"/>
      <c r="F19" s="981"/>
      <c r="G19" s="981"/>
      <c r="H19" s="981"/>
      <c r="I19" s="981"/>
      <c r="J19" s="980"/>
    </row>
    <row r="20" spans="2:11" ht="22.5" customHeight="1">
      <c r="B20" s="982"/>
      <c r="C20" s="980"/>
      <c r="D20" s="982"/>
      <c r="E20" s="981"/>
      <c r="F20" s="981"/>
      <c r="G20" s="981"/>
      <c r="H20" s="981"/>
      <c r="I20" s="981"/>
      <c r="J20" s="980"/>
    </row>
    <row r="21" spans="2:11" ht="22.5" customHeight="1">
      <c r="B21" s="982"/>
      <c r="C21" s="980"/>
      <c r="D21" s="982"/>
      <c r="E21" s="981"/>
      <c r="F21" s="981"/>
      <c r="G21" s="981"/>
      <c r="H21" s="981"/>
      <c r="I21" s="981"/>
      <c r="J21" s="980"/>
    </row>
    <row r="22" spans="2:11" ht="30" customHeight="1">
      <c r="B22" s="1010" t="s">
        <v>856</v>
      </c>
    </row>
    <row r="23" spans="2:11" ht="15" customHeight="1">
      <c r="B23" s="948" t="s">
        <v>855</v>
      </c>
    </row>
    <row r="24" spans="2:11" ht="15" customHeight="1">
      <c r="B24" s="948" t="s">
        <v>854</v>
      </c>
    </row>
    <row r="25" spans="2:11" ht="22.5" customHeight="1">
      <c r="B25" s="982"/>
      <c r="C25" s="981"/>
      <c r="D25" s="981"/>
      <c r="E25" s="981"/>
      <c r="F25" s="981"/>
      <c r="G25" s="981"/>
      <c r="H25" s="981"/>
      <c r="I25" s="981"/>
      <c r="J25" s="980"/>
    </row>
    <row r="26" spans="2:11" ht="22.5" customHeight="1">
      <c r="B26" s="982"/>
      <c r="C26" s="981"/>
      <c r="D26" s="981"/>
      <c r="E26" s="981"/>
      <c r="F26" s="981"/>
      <c r="G26" s="981"/>
      <c r="H26" s="981"/>
      <c r="I26" s="981"/>
      <c r="J26" s="980"/>
    </row>
    <row r="27" spans="2:11" ht="22.5" customHeight="1">
      <c r="B27" s="982"/>
      <c r="C27" s="981"/>
      <c r="D27" s="981"/>
      <c r="E27" s="981"/>
      <c r="F27" s="981"/>
      <c r="G27" s="981"/>
      <c r="H27" s="981"/>
      <c r="I27" s="981"/>
      <c r="J27" s="980"/>
    </row>
    <row r="28" spans="2:11" ht="22.5" customHeight="1">
      <c r="B28" s="982"/>
      <c r="C28" s="981"/>
      <c r="D28" s="981"/>
      <c r="E28" s="981"/>
      <c r="F28" s="981"/>
      <c r="G28" s="981"/>
      <c r="H28" s="981"/>
      <c r="I28" s="981"/>
      <c r="J28" s="980"/>
    </row>
    <row r="29" spans="2:11" ht="22.5" customHeight="1">
      <c r="B29" s="982"/>
      <c r="C29" s="981"/>
      <c r="D29" s="981"/>
      <c r="E29" s="981"/>
      <c r="F29" s="981"/>
      <c r="G29" s="981"/>
      <c r="H29" s="981"/>
      <c r="I29" s="981"/>
      <c r="J29" s="980"/>
    </row>
    <row r="30" spans="2:11" ht="22.5" customHeight="1">
      <c r="B30" s="982"/>
      <c r="C30" s="981"/>
      <c r="D30" s="981"/>
      <c r="E30" s="981"/>
      <c r="F30" s="981"/>
      <c r="G30" s="981"/>
      <c r="H30" s="981"/>
      <c r="I30" s="981"/>
      <c r="J30" s="980"/>
    </row>
    <row r="31" spans="2:11" ht="22.5" customHeight="1">
      <c r="B31" s="982"/>
      <c r="C31" s="981"/>
      <c r="D31" s="981"/>
      <c r="E31" s="981"/>
      <c r="F31" s="981"/>
      <c r="G31" s="981"/>
      <c r="H31" s="981"/>
      <c r="I31" s="981"/>
      <c r="J31" s="980"/>
    </row>
    <row r="32" spans="2:11">
      <c r="B32" s="174"/>
      <c r="C32" s="174"/>
      <c r="D32" s="174"/>
      <c r="E32" s="174"/>
      <c r="F32" s="174"/>
      <c r="G32" s="174"/>
      <c r="H32" s="174"/>
      <c r="I32" s="174"/>
      <c r="J32" s="174"/>
    </row>
    <row r="33" spans="2:10">
      <c r="B33" s="174"/>
      <c r="C33" s="174"/>
      <c r="D33" s="174"/>
      <c r="E33" s="174"/>
      <c r="F33" s="174"/>
      <c r="G33" s="174"/>
      <c r="H33" s="174"/>
      <c r="I33" s="174"/>
      <c r="J33" s="174"/>
    </row>
    <row r="34" spans="2:10">
      <c r="B34" s="174"/>
      <c r="C34" s="174"/>
      <c r="D34" s="174"/>
      <c r="E34" s="174"/>
      <c r="F34" s="174"/>
      <c r="G34" s="174"/>
      <c r="H34" s="174"/>
      <c r="I34" s="174"/>
      <c r="J34" s="174"/>
    </row>
    <row r="35" spans="2:10">
      <c r="B35" s="174"/>
      <c r="C35" s="174"/>
      <c r="D35" s="174"/>
      <c r="E35" s="174"/>
      <c r="F35" s="174"/>
      <c r="G35" s="174"/>
      <c r="H35" s="174"/>
      <c r="I35" s="174"/>
      <c r="J35" s="174"/>
    </row>
    <row r="36" spans="2:10">
      <c r="B36" s="174"/>
      <c r="C36" s="174"/>
      <c r="D36" s="174"/>
      <c r="E36" s="174"/>
      <c r="F36" s="174"/>
      <c r="G36" s="174"/>
      <c r="H36" s="174"/>
      <c r="I36" s="174"/>
      <c r="J36" s="174"/>
    </row>
    <row r="37" spans="2:10">
      <c r="B37" s="174"/>
      <c r="C37" s="174"/>
      <c r="D37" s="174"/>
      <c r="E37" s="174"/>
      <c r="F37" s="174"/>
      <c r="G37" s="174"/>
      <c r="H37" s="174"/>
      <c r="I37" s="174"/>
      <c r="J37" s="174"/>
    </row>
    <row r="38" spans="2:10">
      <c r="B38" s="174"/>
      <c r="C38" s="174"/>
      <c r="D38" s="174"/>
      <c r="E38" s="174"/>
      <c r="F38" s="174"/>
      <c r="G38" s="174"/>
      <c r="H38" s="174"/>
      <c r="I38" s="174"/>
      <c r="J38" s="174"/>
    </row>
    <row r="39" spans="2:10">
      <c r="B39" s="174"/>
      <c r="C39" s="174"/>
      <c r="D39" s="174"/>
      <c r="E39" s="174"/>
      <c r="F39" s="174"/>
      <c r="G39" s="174"/>
      <c r="H39" s="174"/>
      <c r="I39" s="174"/>
      <c r="J39" s="174"/>
    </row>
    <row r="40" spans="2:10">
      <c r="B40" s="174"/>
      <c r="C40" s="174"/>
      <c r="D40" s="174"/>
      <c r="E40" s="174"/>
      <c r="F40" s="174"/>
      <c r="G40" s="174"/>
      <c r="H40" s="174"/>
      <c r="I40" s="174"/>
      <c r="J40" s="174"/>
    </row>
    <row r="41" spans="2:10">
      <c r="B41" s="174"/>
      <c r="C41" s="174"/>
      <c r="D41" s="174"/>
      <c r="E41" s="174"/>
      <c r="F41" s="174"/>
      <c r="G41" s="174"/>
      <c r="H41" s="174"/>
      <c r="I41" s="174"/>
      <c r="J41" s="174"/>
    </row>
    <row r="42" spans="2:10">
      <c r="B42" s="174"/>
      <c r="C42" s="174"/>
      <c r="D42" s="174"/>
      <c r="E42" s="174"/>
      <c r="F42" s="174"/>
      <c r="G42" s="174"/>
      <c r="H42" s="174"/>
      <c r="I42" s="174"/>
      <c r="J42" s="174"/>
    </row>
    <row r="43" spans="2:10">
      <c r="B43" s="174"/>
      <c r="C43" s="174"/>
      <c r="D43" s="174"/>
      <c r="E43" s="174"/>
      <c r="F43" s="174"/>
      <c r="G43" s="174"/>
      <c r="H43" s="174"/>
      <c r="I43" s="174"/>
      <c r="J43" s="174"/>
    </row>
    <row r="44" spans="2:10">
      <c r="B44" s="174"/>
      <c r="C44" s="174"/>
      <c r="D44" s="174"/>
      <c r="E44" s="174"/>
      <c r="F44" s="174"/>
      <c r="G44" s="174"/>
      <c r="H44" s="174"/>
      <c r="I44" s="174"/>
      <c r="J44" s="174"/>
    </row>
    <row r="45" spans="2:10">
      <c r="B45" s="174"/>
      <c r="C45" s="174"/>
      <c r="D45" s="174"/>
      <c r="E45" s="174"/>
      <c r="F45" s="174"/>
      <c r="G45" s="174"/>
      <c r="H45" s="174"/>
      <c r="I45" s="174"/>
      <c r="J45" s="174"/>
    </row>
    <row r="46" spans="2:10">
      <c r="B46" s="174"/>
      <c r="C46" s="174"/>
      <c r="D46" s="174"/>
      <c r="E46" s="174"/>
      <c r="F46" s="174"/>
      <c r="G46" s="174"/>
      <c r="H46" s="174"/>
      <c r="I46" s="174"/>
      <c r="J46" s="174"/>
    </row>
    <row r="47" spans="2:10">
      <c r="B47" s="174"/>
      <c r="C47" s="174"/>
      <c r="D47" s="174"/>
      <c r="E47" s="174"/>
      <c r="F47" s="174"/>
      <c r="G47" s="174"/>
      <c r="H47" s="174"/>
      <c r="I47" s="174"/>
      <c r="J47" s="174"/>
    </row>
    <row r="48" spans="2:10">
      <c r="B48" s="174"/>
      <c r="C48" s="174"/>
      <c r="D48" s="174"/>
      <c r="E48" s="174"/>
      <c r="F48" s="174"/>
      <c r="G48" s="174"/>
      <c r="H48" s="174"/>
      <c r="I48" s="174"/>
      <c r="J48" s="174"/>
    </row>
    <row r="49" spans="2:10">
      <c r="B49" s="174"/>
      <c r="C49" s="174"/>
      <c r="D49" s="174"/>
      <c r="E49" s="174"/>
      <c r="F49" s="174"/>
      <c r="G49" s="174"/>
      <c r="H49" s="174"/>
      <c r="I49" s="174"/>
      <c r="J49" s="174"/>
    </row>
    <row r="50" spans="2:10">
      <c r="B50" s="174"/>
      <c r="C50" s="174"/>
      <c r="D50" s="174"/>
      <c r="E50" s="174"/>
      <c r="F50" s="174"/>
      <c r="G50" s="174"/>
      <c r="H50" s="174"/>
      <c r="I50" s="174"/>
      <c r="J50" s="174"/>
    </row>
    <row r="51" spans="2:10">
      <c r="B51" s="174"/>
      <c r="C51" s="174"/>
      <c r="D51" s="174"/>
      <c r="E51" s="174"/>
      <c r="F51" s="174"/>
      <c r="G51" s="174"/>
      <c r="H51" s="174"/>
      <c r="I51" s="174"/>
      <c r="J51" s="174"/>
    </row>
    <row r="52" spans="2:10">
      <c r="B52" s="174"/>
      <c r="C52" s="174"/>
      <c r="D52" s="174"/>
      <c r="E52" s="174"/>
      <c r="F52" s="174"/>
      <c r="G52" s="174"/>
      <c r="H52" s="174"/>
      <c r="I52" s="174"/>
      <c r="J52" s="174"/>
    </row>
    <row r="53" spans="2:10">
      <c r="B53" s="174"/>
      <c r="C53" s="174"/>
      <c r="D53" s="174"/>
      <c r="E53" s="174"/>
      <c r="F53" s="174"/>
      <c r="G53" s="174"/>
      <c r="H53" s="174"/>
      <c r="I53" s="174"/>
      <c r="J53" s="174"/>
    </row>
    <row r="54" spans="2:10">
      <c r="B54" s="174"/>
      <c r="C54" s="174"/>
      <c r="D54" s="174"/>
      <c r="E54" s="174"/>
      <c r="F54" s="174"/>
      <c r="G54" s="174"/>
      <c r="H54" s="174"/>
      <c r="I54" s="174"/>
      <c r="J54" s="174"/>
    </row>
    <row r="55" spans="2:10">
      <c r="B55" s="174"/>
      <c r="C55" s="174"/>
      <c r="D55" s="174"/>
      <c r="E55" s="174"/>
      <c r="F55" s="174"/>
      <c r="G55" s="174"/>
      <c r="H55" s="174"/>
      <c r="I55" s="174"/>
      <c r="J55" s="174"/>
    </row>
    <row r="56" spans="2:10">
      <c r="B56" s="174"/>
      <c r="C56" s="174"/>
      <c r="D56" s="174"/>
      <c r="E56" s="174"/>
      <c r="F56" s="174"/>
      <c r="G56" s="174"/>
      <c r="H56" s="174"/>
      <c r="I56" s="174"/>
      <c r="J56" s="174"/>
    </row>
    <row r="57" spans="2:10">
      <c r="B57" s="174"/>
      <c r="C57" s="174"/>
      <c r="D57" s="174"/>
      <c r="E57" s="174"/>
      <c r="F57" s="174"/>
      <c r="G57" s="174"/>
      <c r="H57" s="174"/>
      <c r="I57" s="174"/>
      <c r="J57" s="174"/>
    </row>
  </sheetData>
  <sheetProtection password="CAEF" sheet="1" formatCells="0" formatColumns="0" formatRows="0"/>
  <mergeCells count="3">
    <mergeCell ref="B17:C17"/>
    <mergeCell ref="G3:H3"/>
    <mergeCell ref="I3:J3"/>
  </mergeCells>
  <phoneticPr fontId="38" type="noConversion"/>
  <dataValidations count="1">
    <dataValidation type="list" allowBlank="1" showInputMessage="1" showErrorMessage="1" sqref="A6:A15">
      <formula1>$P$6:$P$8</formula1>
    </dataValidation>
  </dataValidations>
  <hyperlinks>
    <hyperlink ref="L1" location="Bodennah!A1" display="  ►"/>
    <hyperlink ref="K1" location="'System I'!A1" display="◄"/>
  </hyperlinks>
  <pageMargins left="0.47244094488188981" right="0.47244094488188981" top="0.70866141732283472" bottom="0.51181102362204722" header="0.51181102362204722" footer="0.51181102362204722"/>
  <pageSetup paperSize="9" scale="86" firstPageNumber="0" orientation="portrait" blackAndWhite="1" horizontalDpi="300" verticalDpi="300"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6">
    <tabColor theme="9" tint="0.39997558519241921"/>
  </sheetPr>
  <dimension ref="A1:P65"/>
  <sheetViews>
    <sheetView showZeros="0" zoomScaleNormal="100" workbookViewId="0">
      <selection activeCell="A12" sqref="A12"/>
    </sheetView>
  </sheetViews>
  <sheetFormatPr baseColWidth="10" defaultColWidth="12.33203125" defaultRowHeight="13.2"/>
  <cols>
    <col min="1" max="1" width="10.44140625" style="172" customWidth="1"/>
    <col min="2" max="2" width="23.44140625" style="172" customWidth="1"/>
    <col min="3" max="3" width="18.109375" style="172" customWidth="1"/>
    <col min="4" max="5" width="11.88671875" style="172" customWidth="1"/>
    <col min="6" max="7" width="15.44140625" style="172" customWidth="1"/>
    <col min="8" max="8" width="7.44140625" style="172" customWidth="1"/>
    <col min="9" max="9" width="8" style="172" customWidth="1"/>
    <col min="10" max="10" width="11.88671875" style="172" customWidth="1"/>
    <col min="11" max="11" width="4.88671875" style="172" customWidth="1"/>
    <col min="12" max="13" width="12.33203125" style="172"/>
    <col min="14" max="14" width="19.88671875" style="172" customWidth="1"/>
    <col min="15" max="15" width="12.33203125" style="172"/>
    <col min="16" max="16" width="18" style="172" customWidth="1"/>
    <col min="17" max="16384" width="12.33203125" style="172"/>
  </cols>
  <sheetData>
    <row r="1" spans="1:16" ht="33" customHeight="1">
      <c r="A1" s="1341" t="s">
        <v>831</v>
      </c>
      <c r="B1" s="1341"/>
      <c r="C1" s="1341"/>
      <c r="D1" s="1341"/>
      <c r="E1" s="1341"/>
      <c r="F1" s="1341"/>
      <c r="G1" s="1341"/>
      <c r="H1" s="1341"/>
      <c r="I1" s="1341"/>
      <c r="J1" s="1341"/>
      <c r="L1" s="2169" t="s">
        <v>1383</v>
      </c>
      <c r="M1" s="2176" t="s">
        <v>1355</v>
      </c>
      <c r="N1"/>
      <c r="O1"/>
      <c r="P1"/>
    </row>
    <row r="2" spans="1:16" ht="21.75" customHeight="1">
      <c r="A2" s="1008">
        <f>Betrieb!B4</f>
        <v>0</v>
      </c>
      <c r="B2" s="1008"/>
      <c r="C2" s="1011"/>
      <c r="D2" s="1014" t="s">
        <v>872</v>
      </c>
      <c r="E2" s="1015">
        <f>Betrieb!D4</f>
        <v>2022</v>
      </c>
      <c r="F2" s="1016"/>
      <c r="G2" s="3017" t="str">
        <f>"Aufzeichnungsjahr "&amp;B2</f>
        <v xml:space="preserve">Aufzeichnungsjahr </v>
      </c>
      <c r="H2" s="3017"/>
      <c r="I2" s="3017"/>
      <c r="J2" s="3017"/>
      <c r="K2" s="1017"/>
      <c r="L2" s="968"/>
      <c r="M2" s="968"/>
      <c r="N2" s="968"/>
      <c r="O2" s="968"/>
      <c r="P2" s="969"/>
    </row>
    <row r="3" spans="1:16" ht="21.75" customHeight="1">
      <c r="A3" s="1008">
        <f>Betrieb!B5</f>
        <v>0</v>
      </c>
      <c r="B3" s="1008"/>
      <c r="C3" s="201"/>
      <c r="D3" s="1013" t="s">
        <v>874</v>
      </c>
      <c r="E3" s="3018">
        <f>Betrieb!B3</f>
        <v>0</v>
      </c>
      <c r="F3" s="3018"/>
      <c r="G3" s="1012"/>
      <c r="H3" s="3000" t="str">
        <f>"von 16. Mai "&amp;(E2-1)&amp;" *"</f>
        <v>von 16. Mai 2021 *</v>
      </c>
      <c r="I3" s="3000"/>
      <c r="J3" s="3000"/>
      <c r="L3" s="2511" t="s">
        <v>832</v>
      </c>
      <c r="M3" s="2512"/>
      <c r="N3" s="2513"/>
      <c r="O3" s="2513"/>
      <c r="P3" s="2514"/>
    </row>
    <row r="4" spans="1:16" ht="21.75" customHeight="1">
      <c r="A4" s="1008">
        <f>Betrieb!B6</f>
        <v>0</v>
      </c>
      <c r="B4" s="1008"/>
      <c r="F4" s="966"/>
      <c r="G4" s="967"/>
      <c r="H4" s="3000" t="str">
        <f>"bis 15. Mai "&amp;E2</f>
        <v>bis 15. Mai 2022</v>
      </c>
      <c r="I4" s="3000"/>
      <c r="J4" s="3000"/>
      <c r="L4" s="3008" t="s">
        <v>2476</v>
      </c>
      <c r="M4" s="3009"/>
      <c r="N4" s="3009"/>
      <c r="O4" s="3009"/>
      <c r="P4" s="3010"/>
    </row>
    <row r="5" spans="1:16" ht="9.75" customHeight="1">
      <c r="A5"/>
      <c r="B5"/>
      <c r="C5" s="970"/>
      <c r="D5"/>
      <c r="E5"/>
      <c r="F5" s="966"/>
      <c r="G5" s="966"/>
      <c r="H5" s="966"/>
      <c r="I5" s="966"/>
      <c r="J5" s="966"/>
      <c r="L5" s="3011"/>
      <c r="M5" s="3012"/>
      <c r="N5" s="3012"/>
      <c r="O5" s="3012"/>
      <c r="P5" s="3013"/>
    </row>
    <row r="6" spans="1:16" ht="27.15" customHeight="1">
      <c r="A6" s="3001" t="s">
        <v>833</v>
      </c>
      <c r="B6" s="3001"/>
      <c r="C6" s="3001"/>
      <c r="D6" s="3001"/>
      <c r="E6" s="3001"/>
      <c r="F6" s="3001"/>
      <c r="G6" s="3001"/>
      <c r="H6" s="3001"/>
      <c r="I6" s="3002"/>
      <c r="J6" s="3002"/>
      <c r="L6" s="3011"/>
      <c r="M6" s="3012"/>
      <c r="N6" s="3012"/>
      <c r="O6" s="3012"/>
      <c r="P6" s="3013"/>
    </row>
    <row r="7" spans="1:16" ht="8.25" customHeight="1">
      <c r="A7" s="971"/>
      <c r="B7" s="971"/>
      <c r="C7" s="972"/>
      <c r="D7" s="972"/>
      <c r="E7" s="972"/>
      <c r="F7" s="972"/>
      <c r="G7" s="972"/>
      <c r="H7" s="972"/>
      <c r="I7" s="972"/>
      <c r="J7" s="972"/>
      <c r="L7" s="3011"/>
      <c r="M7" s="3012"/>
      <c r="N7" s="3012"/>
      <c r="O7" s="3012"/>
      <c r="P7" s="3013"/>
    </row>
    <row r="8" spans="1:16" ht="21.75" customHeight="1">
      <c r="A8" s="3003" t="s">
        <v>834</v>
      </c>
      <c r="B8" s="3003" t="s">
        <v>835</v>
      </c>
      <c r="C8" s="3004" t="s">
        <v>1910</v>
      </c>
      <c r="D8" s="3005" t="s">
        <v>836</v>
      </c>
      <c r="E8" s="3006"/>
      <c r="F8" s="3006" t="s">
        <v>837</v>
      </c>
      <c r="G8" s="3006"/>
      <c r="H8" s="3007" t="s">
        <v>1388</v>
      </c>
      <c r="I8" s="3003" t="s">
        <v>838</v>
      </c>
      <c r="J8" s="3003" t="s">
        <v>839</v>
      </c>
      <c r="L8" s="3011"/>
      <c r="M8" s="3012"/>
      <c r="N8" s="3012"/>
      <c r="O8" s="3012"/>
      <c r="P8" s="3013"/>
    </row>
    <row r="9" spans="1:16" ht="43.65" customHeight="1">
      <c r="A9" s="3003"/>
      <c r="B9" s="3003"/>
      <c r="C9" s="3004"/>
      <c r="D9" s="1350" t="s">
        <v>840</v>
      </c>
      <c r="E9" s="1351" t="s">
        <v>841</v>
      </c>
      <c r="F9" s="1351" t="s">
        <v>2490</v>
      </c>
      <c r="G9" s="1351" t="s">
        <v>842</v>
      </c>
      <c r="H9" s="3007"/>
      <c r="I9" s="3007"/>
      <c r="J9" s="3007"/>
      <c r="L9" s="3011"/>
      <c r="M9" s="3012"/>
      <c r="N9" s="3012"/>
      <c r="O9" s="3012"/>
      <c r="P9" s="3013"/>
    </row>
    <row r="10" spans="1:16" ht="27.75" customHeight="1">
      <c r="A10" s="2999" t="s">
        <v>843</v>
      </c>
      <c r="B10" s="2999"/>
      <c r="C10" s="2999"/>
      <c r="D10" s="2999"/>
      <c r="E10" s="1352"/>
      <c r="F10" s="1352"/>
      <c r="G10" s="1352"/>
      <c r="H10" s="1352"/>
      <c r="I10" s="1353" t="s">
        <v>844</v>
      </c>
      <c r="J10" s="973">
        <f>SUM(J12:J65)</f>
        <v>0</v>
      </c>
      <c r="L10" s="3011"/>
      <c r="M10" s="3012"/>
      <c r="N10" s="3012"/>
      <c r="O10" s="3012"/>
      <c r="P10" s="3013"/>
    </row>
    <row r="11" spans="1:16" ht="15.9" customHeight="1">
      <c r="A11" s="1132" t="s">
        <v>845</v>
      </c>
      <c r="B11" s="1133" t="s">
        <v>846</v>
      </c>
      <c r="C11" s="1134" t="s">
        <v>847</v>
      </c>
      <c r="D11" s="1134" t="s">
        <v>848</v>
      </c>
      <c r="E11" s="1134"/>
      <c r="F11" s="1134" t="s">
        <v>848</v>
      </c>
      <c r="G11" s="1134"/>
      <c r="H11" s="1135">
        <v>3</v>
      </c>
      <c r="I11" s="1136">
        <v>15</v>
      </c>
      <c r="J11" s="1137"/>
      <c r="L11" s="3011"/>
      <c r="M11" s="3012"/>
      <c r="N11" s="3012"/>
      <c r="O11" s="3012"/>
      <c r="P11" s="3013"/>
    </row>
    <row r="12" spans="1:16" ht="24" customHeight="1">
      <c r="A12" s="974"/>
      <c r="B12" s="975"/>
      <c r="C12" s="976"/>
      <c r="D12" s="976"/>
      <c r="E12" s="976"/>
      <c r="F12" s="976"/>
      <c r="G12" s="976"/>
      <c r="H12" s="977"/>
      <c r="I12" s="978"/>
      <c r="J12" s="979">
        <f t="shared" ref="J12:J65" si="0">H12*I12</f>
        <v>0</v>
      </c>
      <c r="L12" s="3011"/>
      <c r="M12" s="3012"/>
      <c r="N12" s="3012"/>
      <c r="O12" s="3012"/>
      <c r="P12" s="3013"/>
    </row>
    <row r="13" spans="1:16" ht="20.25" customHeight="1">
      <c r="A13" s="974"/>
      <c r="B13" s="975"/>
      <c r="C13" s="976"/>
      <c r="D13" s="976"/>
      <c r="E13" s="976"/>
      <c r="F13" s="976"/>
      <c r="G13" s="976"/>
      <c r="H13" s="977"/>
      <c r="I13" s="978"/>
      <c r="J13" s="979">
        <f t="shared" si="0"/>
        <v>0</v>
      </c>
      <c r="L13" s="3014"/>
      <c r="M13" s="3015"/>
      <c r="N13" s="3015"/>
      <c r="O13" s="3015"/>
      <c r="P13" s="3016"/>
    </row>
    <row r="14" spans="1:16" ht="20.25" customHeight="1">
      <c r="A14" s="974"/>
      <c r="B14" s="975"/>
      <c r="C14" s="976"/>
      <c r="D14" s="976"/>
      <c r="E14" s="976"/>
      <c r="F14" s="976"/>
      <c r="G14" s="976"/>
      <c r="H14" s="977"/>
      <c r="I14" s="978"/>
      <c r="J14" s="979">
        <f t="shared" si="0"/>
        <v>0</v>
      </c>
    </row>
    <row r="15" spans="1:16" ht="20.25" customHeight="1">
      <c r="A15" s="974"/>
      <c r="B15" s="975"/>
      <c r="C15" s="976"/>
      <c r="D15" s="976"/>
      <c r="E15" s="976"/>
      <c r="F15" s="976"/>
      <c r="G15" s="976"/>
      <c r="H15" s="977"/>
      <c r="I15" s="978"/>
      <c r="J15" s="979">
        <f t="shared" si="0"/>
        <v>0</v>
      </c>
    </row>
    <row r="16" spans="1:16" ht="20.25" customHeight="1">
      <c r="A16" s="974"/>
      <c r="B16" s="975"/>
      <c r="C16" s="976"/>
      <c r="D16" s="976"/>
      <c r="E16" s="976"/>
      <c r="F16" s="976"/>
      <c r="G16" s="976"/>
      <c r="H16" s="977"/>
      <c r="I16" s="978"/>
      <c r="J16" s="979">
        <f t="shared" si="0"/>
        <v>0</v>
      </c>
    </row>
    <row r="17" spans="1:10" ht="20.25" customHeight="1">
      <c r="A17" s="974"/>
      <c r="B17" s="975"/>
      <c r="C17" s="976"/>
      <c r="D17" s="976"/>
      <c r="E17" s="976"/>
      <c r="F17" s="976"/>
      <c r="G17" s="976"/>
      <c r="H17" s="977"/>
      <c r="I17" s="978"/>
      <c r="J17" s="979">
        <f t="shared" si="0"/>
        <v>0</v>
      </c>
    </row>
    <row r="18" spans="1:10" ht="20.25" customHeight="1">
      <c r="A18" s="974"/>
      <c r="B18" s="975"/>
      <c r="C18" s="976"/>
      <c r="D18" s="976"/>
      <c r="E18" s="976"/>
      <c r="F18" s="976"/>
      <c r="G18" s="976"/>
      <c r="H18" s="977"/>
      <c r="I18" s="978"/>
      <c r="J18" s="979">
        <f t="shared" si="0"/>
        <v>0</v>
      </c>
    </row>
    <row r="19" spans="1:10" ht="20.25" customHeight="1">
      <c r="A19" s="974"/>
      <c r="B19" s="975"/>
      <c r="C19" s="976"/>
      <c r="D19" s="976"/>
      <c r="E19" s="976"/>
      <c r="F19" s="976"/>
      <c r="G19" s="976"/>
      <c r="H19" s="977"/>
      <c r="I19" s="978"/>
      <c r="J19" s="979">
        <f t="shared" si="0"/>
        <v>0</v>
      </c>
    </row>
    <row r="20" spans="1:10" ht="20.25" customHeight="1">
      <c r="A20" s="974"/>
      <c r="B20" s="975"/>
      <c r="C20" s="976"/>
      <c r="D20" s="976"/>
      <c r="E20" s="976"/>
      <c r="F20" s="976"/>
      <c r="G20" s="976"/>
      <c r="H20" s="977"/>
      <c r="I20" s="978"/>
      <c r="J20" s="979">
        <f t="shared" si="0"/>
        <v>0</v>
      </c>
    </row>
    <row r="21" spans="1:10" ht="20.25" customHeight="1">
      <c r="A21" s="974"/>
      <c r="B21" s="975"/>
      <c r="C21" s="976"/>
      <c r="D21" s="976"/>
      <c r="E21" s="976"/>
      <c r="F21" s="976"/>
      <c r="G21" s="976"/>
      <c r="H21" s="977"/>
      <c r="I21" s="978"/>
      <c r="J21" s="979">
        <f t="shared" si="0"/>
        <v>0</v>
      </c>
    </row>
    <row r="22" spans="1:10" ht="20.25" customHeight="1">
      <c r="A22" s="974"/>
      <c r="B22" s="975"/>
      <c r="C22" s="976"/>
      <c r="D22" s="976"/>
      <c r="E22" s="976"/>
      <c r="F22" s="976"/>
      <c r="G22" s="976"/>
      <c r="H22" s="977"/>
      <c r="I22" s="978"/>
      <c r="J22" s="979">
        <f t="shared" si="0"/>
        <v>0</v>
      </c>
    </row>
    <row r="23" spans="1:10" ht="20.25" customHeight="1">
      <c r="A23" s="974"/>
      <c r="B23" s="975"/>
      <c r="C23" s="976"/>
      <c r="D23" s="976"/>
      <c r="E23" s="976"/>
      <c r="F23" s="976"/>
      <c r="G23" s="976"/>
      <c r="H23" s="977"/>
      <c r="I23" s="978"/>
      <c r="J23" s="979">
        <f t="shared" si="0"/>
        <v>0</v>
      </c>
    </row>
    <row r="24" spans="1:10" ht="20.25" customHeight="1">
      <c r="A24" s="974"/>
      <c r="B24" s="975"/>
      <c r="C24" s="976"/>
      <c r="D24" s="976"/>
      <c r="E24" s="976"/>
      <c r="F24" s="976"/>
      <c r="G24" s="976"/>
      <c r="H24" s="977"/>
      <c r="I24" s="978"/>
      <c r="J24" s="979">
        <f t="shared" si="0"/>
        <v>0</v>
      </c>
    </row>
    <row r="25" spans="1:10" ht="20.25" customHeight="1">
      <c r="A25" s="974"/>
      <c r="B25" s="975"/>
      <c r="C25" s="976"/>
      <c r="D25" s="976"/>
      <c r="E25" s="976"/>
      <c r="F25" s="976"/>
      <c r="G25" s="976"/>
      <c r="H25" s="977"/>
      <c r="I25" s="978"/>
      <c r="J25" s="979">
        <f t="shared" si="0"/>
        <v>0</v>
      </c>
    </row>
    <row r="26" spans="1:10" ht="20.25" customHeight="1">
      <c r="A26" s="974"/>
      <c r="B26" s="975"/>
      <c r="C26" s="976"/>
      <c r="D26" s="976"/>
      <c r="E26" s="976"/>
      <c r="F26" s="976"/>
      <c r="G26" s="976"/>
      <c r="H26" s="977"/>
      <c r="I26" s="978"/>
      <c r="J26" s="979">
        <f t="shared" si="0"/>
        <v>0</v>
      </c>
    </row>
    <row r="27" spans="1:10" ht="20.25" customHeight="1">
      <c r="A27" s="974"/>
      <c r="B27" s="975"/>
      <c r="C27" s="976"/>
      <c r="D27" s="976"/>
      <c r="E27" s="976"/>
      <c r="F27" s="976"/>
      <c r="G27" s="976"/>
      <c r="H27" s="977"/>
      <c r="I27" s="978"/>
      <c r="J27" s="979">
        <f t="shared" si="0"/>
        <v>0</v>
      </c>
    </row>
    <row r="28" spans="1:10" ht="20.25" customHeight="1">
      <c r="A28" s="974"/>
      <c r="B28" s="975"/>
      <c r="C28" s="976"/>
      <c r="D28" s="976"/>
      <c r="E28" s="976"/>
      <c r="F28" s="976"/>
      <c r="G28" s="976"/>
      <c r="H28" s="977"/>
      <c r="I28" s="978"/>
      <c r="J28" s="979">
        <f t="shared" si="0"/>
        <v>0</v>
      </c>
    </row>
    <row r="29" spans="1:10" ht="20.25" customHeight="1">
      <c r="A29" s="974"/>
      <c r="B29" s="975"/>
      <c r="C29" s="976"/>
      <c r="D29" s="976"/>
      <c r="E29" s="976"/>
      <c r="F29" s="976"/>
      <c r="G29" s="976"/>
      <c r="H29" s="977"/>
      <c r="I29" s="978"/>
      <c r="J29" s="979">
        <f t="shared" si="0"/>
        <v>0</v>
      </c>
    </row>
    <row r="30" spans="1:10" ht="20.25" customHeight="1">
      <c r="A30" s="974"/>
      <c r="B30" s="975"/>
      <c r="C30" s="976"/>
      <c r="D30" s="976"/>
      <c r="E30" s="976"/>
      <c r="F30" s="976"/>
      <c r="G30" s="976"/>
      <c r="H30" s="977"/>
      <c r="I30" s="978"/>
      <c r="J30" s="979">
        <f t="shared" si="0"/>
        <v>0</v>
      </c>
    </row>
    <row r="31" spans="1:10" ht="20.25" customHeight="1">
      <c r="A31" s="974"/>
      <c r="B31" s="975"/>
      <c r="C31" s="976"/>
      <c r="D31" s="976"/>
      <c r="E31" s="976"/>
      <c r="F31" s="976"/>
      <c r="G31" s="976"/>
      <c r="H31" s="977"/>
      <c r="I31" s="978"/>
      <c r="J31" s="979">
        <f t="shared" si="0"/>
        <v>0</v>
      </c>
    </row>
    <row r="32" spans="1:10" ht="20.25" customHeight="1">
      <c r="A32" s="974"/>
      <c r="B32" s="975"/>
      <c r="C32" s="976"/>
      <c r="D32" s="976"/>
      <c r="E32" s="976"/>
      <c r="F32" s="976"/>
      <c r="G32" s="976"/>
      <c r="H32" s="977"/>
      <c r="I32" s="978"/>
      <c r="J32" s="979">
        <f t="shared" si="0"/>
        <v>0</v>
      </c>
    </row>
    <row r="33" spans="1:10" ht="20.25" customHeight="1">
      <c r="A33" s="974"/>
      <c r="B33" s="975"/>
      <c r="C33" s="976"/>
      <c r="D33" s="976"/>
      <c r="E33" s="976"/>
      <c r="F33" s="976"/>
      <c r="G33" s="976"/>
      <c r="H33" s="977"/>
      <c r="I33" s="978"/>
      <c r="J33" s="979">
        <f t="shared" si="0"/>
        <v>0</v>
      </c>
    </row>
    <row r="34" spans="1:10" ht="20.25" customHeight="1">
      <c r="A34" s="974"/>
      <c r="B34" s="975"/>
      <c r="C34" s="976"/>
      <c r="D34" s="976"/>
      <c r="E34" s="976"/>
      <c r="F34" s="976"/>
      <c r="G34" s="976"/>
      <c r="H34" s="977"/>
      <c r="I34" s="978"/>
      <c r="J34" s="979">
        <f t="shared" si="0"/>
        <v>0</v>
      </c>
    </row>
    <row r="35" spans="1:10" ht="20.25" customHeight="1">
      <c r="A35" s="974"/>
      <c r="B35" s="975"/>
      <c r="C35" s="976"/>
      <c r="D35" s="976"/>
      <c r="E35" s="976"/>
      <c r="F35" s="976"/>
      <c r="G35" s="976"/>
      <c r="H35" s="977"/>
      <c r="I35" s="978"/>
      <c r="J35" s="979">
        <f t="shared" si="0"/>
        <v>0</v>
      </c>
    </row>
    <row r="36" spans="1:10" ht="20.25" customHeight="1">
      <c r="A36" s="974"/>
      <c r="B36" s="975"/>
      <c r="C36" s="976"/>
      <c r="D36" s="976"/>
      <c r="E36" s="976"/>
      <c r="F36" s="976"/>
      <c r="G36" s="976"/>
      <c r="H36" s="977"/>
      <c r="I36" s="978"/>
      <c r="J36" s="979">
        <f t="shared" si="0"/>
        <v>0</v>
      </c>
    </row>
    <row r="37" spans="1:10" ht="20.25" customHeight="1">
      <c r="A37" s="974"/>
      <c r="B37" s="975"/>
      <c r="C37" s="976"/>
      <c r="D37" s="976"/>
      <c r="E37" s="976"/>
      <c r="F37" s="976"/>
      <c r="G37" s="976"/>
      <c r="H37" s="977"/>
      <c r="I37" s="978"/>
      <c r="J37" s="979">
        <f t="shared" si="0"/>
        <v>0</v>
      </c>
    </row>
    <row r="38" spans="1:10" ht="20.25" customHeight="1">
      <c r="A38" s="974"/>
      <c r="B38" s="975"/>
      <c r="C38" s="976"/>
      <c r="D38" s="976"/>
      <c r="E38" s="976"/>
      <c r="F38" s="976"/>
      <c r="G38" s="976"/>
      <c r="H38" s="977"/>
      <c r="I38" s="978"/>
      <c r="J38" s="979">
        <f t="shared" si="0"/>
        <v>0</v>
      </c>
    </row>
    <row r="39" spans="1:10" ht="20.25" customHeight="1">
      <c r="A39" s="974"/>
      <c r="B39" s="975"/>
      <c r="C39" s="976"/>
      <c r="D39" s="976"/>
      <c r="E39" s="976"/>
      <c r="F39" s="976"/>
      <c r="G39" s="976"/>
      <c r="H39" s="977"/>
      <c r="I39" s="978"/>
      <c r="J39" s="979">
        <f t="shared" si="0"/>
        <v>0</v>
      </c>
    </row>
    <row r="40" spans="1:10" ht="20.25" customHeight="1">
      <c r="A40" s="974"/>
      <c r="B40" s="975"/>
      <c r="C40" s="976"/>
      <c r="D40" s="976"/>
      <c r="E40" s="976"/>
      <c r="F40" s="976"/>
      <c r="G40" s="976"/>
      <c r="H40" s="977"/>
      <c r="I40" s="978"/>
      <c r="J40" s="979">
        <f t="shared" si="0"/>
        <v>0</v>
      </c>
    </row>
    <row r="41" spans="1:10" ht="20.25" customHeight="1">
      <c r="A41" s="974"/>
      <c r="B41" s="975"/>
      <c r="C41" s="976"/>
      <c r="D41" s="976"/>
      <c r="E41" s="976"/>
      <c r="F41" s="976"/>
      <c r="G41" s="976"/>
      <c r="H41" s="977"/>
      <c r="I41" s="978"/>
      <c r="J41" s="979">
        <f t="shared" si="0"/>
        <v>0</v>
      </c>
    </row>
    <row r="42" spans="1:10" ht="20.25" customHeight="1">
      <c r="A42" s="974"/>
      <c r="B42" s="975"/>
      <c r="C42" s="976"/>
      <c r="D42" s="976"/>
      <c r="E42" s="976"/>
      <c r="F42" s="976"/>
      <c r="G42" s="976"/>
      <c r="H42" s="977"/>
      <c r="I42" s="978"/>
      <c r="J42" s="979">
        <f t="shared" si="0"/>
        <v>0</v>
      </c>
    </row>
    <row r="43" spans="1:10" ht="20.25" customHeight="1">
      <c r="A43" s="974"/>
      <c r="B43" s="975"/>
      <c r="C43" s="976"/>
      <c r="D43" s="976"/>
      <c r="E43" s="976"/>
      <c r="F43" s="976"/>
      <c r="G43" s="976"/>
      <c r="H43" s="977"/>
      <c r="I43" s="978"/>
      <c r="J43" s="979">
        <f t="shared" si="0"/>
        <v>0</v>
      </c>
    </row>
    <row r="44" spans="1:10" ht="20.25" customHeight="1">
      <c r="A44" s="974"/>
      <c r="B44" s="975"/>
      <c r="C44" s="976"/>
      <c r="D44" s="976"/>
      <c r="E44" s="976"/>
      <c r="F44" s="976"/>
      <c r="G44" s="976"/>
      <c r="H44" s="977"/>
      <c r="I44" s="978"/>
      <c r="J44" s="979">
        <f t="shared" si="0"/>
        <v>0</v>
      </c>
    </row>
    <row r="45" spans="1:10" ht="20.25" customHeight="1">
      <c r="A45" s="974"/>
      <c r="B45" s="975"/>
      <c r="C45" s="976"/>
      <c r="D45" s="976"/>
      <c r="E45" s="976"/>
      <c r="F45" s="976"/>
      <c r="G45" s="976"/>
      <c r="H45" s="977"/>
      <c r="I45" s="978"/>
      <c r="J45" s="979">
        <f t="shared" si="0"/>
        <v>0</v>
      </c>
    </row>
    <row r="46" spans="1:10" ht="20.25" customHeight="1">
      <c r="A46" s="974"/>
      <c r="B46" s="975"/>
      <c r="C46" s="976"/>
      <c r="D46" s="976"/>
      <c r="E46" s="976"/>
      <c r="F46" s="976"/>
      <c r="G46" s="976"/>
      <c r="H46" s="977"/>
      <c r="I46" s="978"/>
      <c r="J46" s="979">
        <f t="shared" si="0"/>
        <v>0</v>
      </c>
    </row>
    <row r="47" spans="1:10" ht="20.25" customHeight="1">
      <c r="A47" s="974"/>
      <c r="B47" s="975"/>
      <c r="C47" s="976"/>
      <c r="D47" s="976"/>
      <c r="E47" s="976"/>
      <c r="F47" s="976"/>
      <c r="G47" s="976"/>
      <c r="H47" s="977"/>
      <c r="I47" s="978"/>
      <c r="J47" s="979">
        <f t="shared" si="0"/>
        <v>0</v>
      </c>
    </row>
    <row r="48" spans="1:10" ht="20.25" customHeight="1">
      <c r="A48" s="974"/>
      <c r="B48" s="975"/>
      <c r="C48" s="976"/>
      <c r="D48" s="976"/>
      <c r="E48" s="976"/>
      <c r="F48" s="976"/>
      <c r="G48" s="976"/>
      <c r="H48" s="977"/>
      <c r="I48" s="978"/>
      <c r="J48" s="979">
        <f t="shared" si="0"/>
        <v>0</v>
      </c>
    </row>
    <row r="49" spans="1:10" ht="20.25" customHeight="1">
      <c r="A49" s="974"/>
      <c r="B49" s="975"/>
      <c r="C49" s="976"/>
      <c r="D49" s="976"/>
      <c r="E49" s="976"/>
      <c r="F49" s="976"/>
      <c r="G49" s="976"/>
      <c r="H49" s="977"/>
      <c r="I49" s="978"/>
      <c r="J49" s="979">
        <f t="shared" si="0"/>
        <v>0</v>
      </c>
    </row>
    <row r="50" spans="1:10" ht="20.25" customHeight="1">
      <c r="A50" s="974"/>
      <c r="B50" s="975"/>
      <c r="C50" s="976"/>
      <c r="D50" s="976"/>
      <c r="E50" s="976"/>
      <c r="F50" s="976"/>
      <c r="G50" s="976"/>
      <c r="H50" s="977"/>
      <c r="I50" s="978"/>
      <c r="J50" s="979">
        <f t="shared" si="0"/>
        <v>0</v>
      </c>
    </row>
    <row r="51" spans="1:10" ht="20.25" customHeight="1">
      <c r="A51" s="974"/>
      <c r="B51" s="975"/>
      <c r="C51" s="976"/>
      <c r="D51" s="976"/>
      <c r="E51" s="976"/>
      <c r="F51" s="976"/>
      <c r="G51" s="976"/>
      <c r="H51" s="977"/>
      <c r="I51" s="978"/>
      <c r="J51" s="979">
        <f t="shared" si="0"/>
        <v>0</v>
      </c>
    </row>
    <row r="52" spans="1:10" ht="20.25" customHeight="1">
      <c r="A52" s="974"/>
      <c r="B52" s="975"/>
      <c r="C52" s="976"/>
      <c r="D52" s="976"/>
      <c r="E52" s="976"/>
      <c r="F52" s="976"/>
      <c r="G52" s="976"/>
      <c r="H52" s="977"/>
      <c r="I52" s="978"/>
      <c r="J52" s="979">
        <f t="shared" si="0"/>
        <v>0</v>
      </c>
    </row>
    <row r="53" spans="1:10" ht="20.25" customHeight="1">
      <c r="A53" s="974"/>
      <c r="B53" s="975"/>
      <c r="C53" s="976"/>
      <c r="D53" s="976"/>
      <c r="E53" s="976"/>
      <c r="F53" s="976"/>
      <c r="G53" s="976"/>
      <c r="H53" s="977"/>
      <c r="I53" s="978"/>
      <c r="J53" s="979">
        <f t="shared" si="0"/>
        <v>0</v>
      </c>
    </row>
    <row r="54" spans="1:10" ht="20.25" customHeight="1">
      <c r="A54" s="974"/>
      <c r="B54" s="975"/>
      <c r="C54" s="976"/>
      <c r="D54" s="976"/>
      <c r="E54" s="976"/>
      <c r="F54" s="976"/>
      <c r="G54" s="976"/>
      <c r="H54" s="977"/>
      <c r="I54" s="978"/>
      <c r="J54" s="979">
        <f t="shared" si="0"/>
        <v>0</v>
      </c>
    </row>
    <row r="55" spans="1:10" ht="20.25" customHeight="1">
      <c r="A55" s="974"/>
      <c r="B55" s="975"/>
      <c r="C55" s="976"/>
      <c r="D55" s="976"/>
      <c r="E55" s="976"/>
      <c r="F55" s="976"/>
      <c r="G55" s="976"/>
      <c r="H55" s="977"/>
      <c r="I55" s="978"/>
      <c r="J55" s="979">
        <f t="shared" si="0"/>
        <v>0</v>
      </c>
    </row>
    <row r="56" spans="1:10" ht="20.25" customHeight="1">
      <c r="A56" s="974"/>
      <c r="B56" s="975"/>
      <c r="C56" s="976"/>
      <c r="D56" s="976"/>
      <c r="E56" s="976"/>
      <c r="F56" s="976"/>
      <c r="G56" s="976"/>
      <c r="H56" s="977"/>
      <c r="I56" s="978"/>
      <c r="J56" s="979">
        <f t="shared" si="0"/>
        <v>0</v>
      </c>
    </row>
    <row r="57" spans="1:10" ht="20.25" customHeight="1">
      <c r="A57" s="974"/>
      <c r="B57" s="975"/>
      <c r="C57" s="976"/>
      <c r="D57" s="976"/>
      <c r="E57" s="976"/>
      <c r="F57" s="976"/>
      <c r="G57" s="976"/>
      <c r="H57" s="977"/>
      <c r="I57" s="978"/>
      <c r="J57" s="979">
        <f t="shared" si="0"/>
        <v>0</v>
      </c>
    </row>
    <row r="58" spans="1:10" ht="20.25" customHeight="1">
      <c r="A58" s="974"/>
      <c r="B58" s="975"/>
      <c r="C58" s="976"/>
      <c r="D58" s="976"/>
      <c r="E58" s="976"/>
      <c r="F58" s="976"/>
      <c r="G58" s="976"/>
      <c r="H58" s="977"/>
      <c r="I58" s="978"/>
      <c r="J58" s="979">
        <f t="shared" si="0"/>
        <v>0</v>
      </c>
    </row>
    <row r="59" spans="1:10" ht="20.25" customHeight="1">
      <c r="A59" s="974"/>
      <c r="B59" s="975"/>
      <c r="C59" s="976"/>
      <c r="D59" s="976"/>
      <c r="E59" s="976"/>
      <c r="F59" s="976"/>
      <c r="G59" s="976"/>
      <c r="H59" s="977"/>
      <c r="I59" s="978"/>
      <c r="J59" s="979">
        <f t="shared" si="0"/>
        <v>0</v>
      </c>
    </row>
    <row r="60" spans="1:10" ht="20.25" customHeight="1">
      <c r="A60" s="974"/>
      <c r="B60" s="975"/>
      <c r="C60" s="976"/>
      <c r="D60" s="976"/>
      <c r="E60" s="976"/>
      <c r="F60" s="976"/>
      <c r="G60" s="976"/>
      <c r="H60" s="977"/>
      <c r="I60" s="978"/>
      <c r="J60" s="979">
        <f t="shared" si="0"/>
        <v>0</v>
      </c>
    </row>
    <row r="61" spans="1:10" ht="20.25" customHeight="1">
      <c r="A61" s="974"/>
      <c r="B61" s="975"/>
      <c r="C61" s="976"/>
      <c r="D61" s="976"/>
      <c r="E61" s="976"/>
      <c r="F61" s="976"/>
      <c r="G61" s="976"/>
      <c r="H61" s="977"/>
      <c r="I61" s="978"/>
      <c r="J61" s="979">
        <f t="shared" si="0"/>
        <v>0</v>
      </c>
    </row>
    <row r="62" spans="1:10" ht="20.25" customHeight="1">
      <c r="A62" s="974"/>
      <c r="B62" s="975"/>
      <c r="C62" s="976"/>
      <c r="D62" s="976"/>
      <c r="E62" s="976"/>
      <c r="F62" s="976"/>
      <c r="G62" s="976"/>
      <c r="H62" s="977"/>
      <c r="I62" s="978"/>
      <c r="J62" s="979">
        <f t="shared" si="0"/>
        <v>0</v>
      </c>
    </row>
    <row r="63" spans="1:10" ht="20.25" customHeight="1">
      <c r="A63" s="974"/>
      <c r="B63" s="975"/>
      <c r="C63" s="976"/>
      <c r="D63" s="976"/>
      <c r="E63" s="976"/>
      <c r="F63" s="976"/>
      <c r="G63" s="976"/>
      <c r="H63" s="977"/>
      <c r="I63" s="978"/>
      <c r="J63" s="979">
        <f t="shared" si="0"/>
        <v>0</v>
      </c>
    </row>
    <row r="64" spans="1:10" ht="20.25" customHeight="1">
      <c r="A64" s="974"/>
      <c r="B64" s="975"/>
      <c r="C64" s="976"/>
      <c r="D64" s="976"/>
      <c r="E64" s="976"/>
      <c r="F64" s="976"/>
      <c r="G64" s="976"/>
      <c r="H64" s="977"/>
      <c r="I64" s="978"/>
      <c r="J64" s="979">
        <f t="shared" si="0"/>
        <v>0</v>
      </c>
    </row>
    <row r="65" spans="1:10" ht="20.25" customHeight="1">
      <c r="A65" s="974"/>
      <c r="B65" s="975"/>
      <c r="C65" s="976"/>
      <c r="D65" s="976"/>
      <c r="E65" s="976"/>
      <c r="F65" s="976"/>
      <c r="G65" s="976"/>
      <c r="H65" s="977"/>
      <c r="I65" s="978"/>
      <c r="J65" s="979">
        <f t="shared" si="0"/>
        <v>0</v>
      </c>
    </row>
  </sheetData>
  <sheetProtection password="CAEF" sheet="1" formatCells="0" formatColumns="0" formatRows="0" insertRows="0"/>
  <mergeCells count="16">
    <mergeCell ref="L4:P13"/>
    <mergeCell ref="G2:J2"/>
    <mergeCell ref="H4:J4"/>
    <mergeCell ref="H8:H9"/>
    <mergeCell ref="E3:F3"/>
    <mergeCell ref="A10:D10"/>
    <mergeCell ref="H3:J3"/>
    <mergeCell ref="A6:H6"/>
    <mergeCell ref="I6:J6"/>
    <mergeCell ref="A8:A9"/>
    <mergeCell ref="B8:B9"/>
    <mergeCell ref="C8:C9"/>
    <mergeCell ref="D8:E8"/>
    <mergeCell ref="F8:G8"/>
    <mergeCell ref="I8:I9"/>
    <mergeCell ref="J8:J9"/>
  </mergeCells>
  <phoneticPr fontId="38" type="noConversion"/>
  <hyperlinks>
    <hyperlink ref="L1" location="Weideblatt!A1" display="◄"/>
    <hyperlink ref="M1" location="Pfl_Schutz!A1" display="  ►"/>
  </hyperlinks>
  <pageMargins left="0.39370078740157483" right="0.35433070866141736" top="0.43307086614173229" bottom="0.39370078740157483" header="0.51181102362204722" footer="0.51181102362204722"/>
  <pageSetup paperSize="9" scale="80" firstPageNumber="0" orientation="portrait" blackAndWhite="1" horizontalDpi="300" verticalDpi="30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7">
    <tabColor theme="8" tint="0.39997558519241921"/>
    <pageSetUpPr fitToPage="1"/>
  </sheetPr>
  <dimension ref="A1:M30"/>
  <sheetViews>
    <sheetView showZeros="0" zoomScale="80" zoomScaleNormal="80" workbookViewId="0">
      <selection activeCell="M14" sqref="M14"/>
    </sheetView>
  </sheetViews>
  <sheetFormatPr baseColWidth="10" defaultRowHeight="13.2"/>
  <cols>
    <col min="1" max="1" width="37.88671875" customWidth="1"/>
    <col min="2" max="5" width="8.109375" customWidth="1"/>
    <col min="6" max="6" width="7.33203125" customWidth="1"/>
    <col min="7" max="8" width="7.109375" customWidth="1"/>
    <col min="9" max="9" width="9.6640625" customWidth="1"/>
    <col min="10" max="10" width="4.33203125" customWidth="1"/>
  </cols>
  <sheetData>
    <row r="1" spans="1:13" ht="31.5" customHeight="1">
      <c r="A1" s="1332" t="s">
        <v>1736</v>
      </c>
      <c r="B1" s="1333"/>
      <c r="C1" s="1333"/>
      <c r="D1" s="1333"/>
      <c r="E1" s="1333"/>
      <c r="F1" s="1333"/>
      <c r="G1" s="1333"/>
      <c r="H1" s="1333"/>
      <c r="I1" s="1333"/>
    </row>
    <row r="2" spans="1:13" ht="30" customHeight="1">
      <c r="A2" s="1421" t="s">
        <v>1737</v>
      </c>
      <c r="B2" s="1422" t="s">
        <v>1738</v>
      </c>
      <c r="C2" s="1422" t="s">
        <v>1138</v>
      </c>
      <c r="D2" s="1422" t="s">
        <v>1139</v>
      </c>
      <c r="E2" s="1422" t="s">
        <v>1140</v>
      </c>
      <c r="F2" s="1422" t="s">
        <v>927</v>
      </c>
      <c r="G2" s="1422" t="s">
        <v>1574</v>
      </c>
      <c r="H2" s="1422" t="s">
        <v>1739</v>
      </c>
      <c r="I2" s="1423" t="s">
        <v>1633</v>
      </c>
    </row>
    <row r="3" spans="1:13" ht="27.75" customHeight="1">
      <c r="A3" s="1197" t="s">
        <v>1740</v>
      </c>
      <c r="B3" s="1198">
        <f>Tabelle1!AQ48</f>
        <v>0</v>
      </c>
      <c r="C3" s="1198">
        <f>Tabelle1!AR48</f>
        <v>0</v>
      </c>
      <c r="D3" s="1198">
        <f>Tabelle1!AS48</f>
        <v>0</v>
      </c>
      <c r="E3" s="1198">
        <f>Tabelle1!AT48</f>
        <v>0</v>
      </c>
      <c r="F3" s="1198">
        <f>Tabelle1!AU48</f>
        <v>0</v>
      </c>
      <c r="G3" s="1199"/>
      <c r="H3" s="1199"/>
      <c r="I3" s="1200">
        <f>SUM(B3:H3)</f>
        <v>0</v>
      </c>
    </row>
    <row r="4" spans="1:13" ht="19.5" customHeight="1">
      <c r="A4" s="1201" t="s">
        <v>1741</v>
      </c>
      <c r="B4" s="1198">
        <f>Tabelle1!AQ49</f>
        <v>0</v>
      </c>
      <c r="C4" s="1198">
        <f>Tabelle1!AR49</f>
        <v>0</v>
      </c>
      <c r="D4" s="1198">
        <f>Tabelle1!AS49</f>
        <v>0</v>
      </c>
      <c r="E4" s="1198">
        <f>Tabelle1!AT49</f>
        <v>0</v>
      </c>
      <c r="F4" s="1198">
        <f>Tabelle1!AU49</f>
        <v>0</v>
      </c>
      <c r="G4" s="1199"/>
      <c r="H4" s="1199"/>
      <c r="I4" s="1200">
        <f>SUM(B4:H4)</f>
        <v>0</v>
      </c>
    </row>
    <row r="5" spans="1:13" ht="19.5" customHeight="1">
      <c r="A5" s="1202" t="s">
        <v>1742</v>
      </c>
      <c r="B5" s="1203"/>
      <c r="C5" s="1203"/>
      <c r="D5" s="1203"/>
      <c r="E5" s="1203"/>
      <c r="F5" s="1203"/>
      <c r="G5" s="1203"/>
      <c r="H5" s="1203"/>
      <c r="I5" s="1200">
        <f>-Tabelle1!AX55</f>
        <v>0</v>
      </c>
    </row>
    <row r="6" spans="1:13" ht="19.5" customHeight="1">
      <c r="A6" s="1202" t="s">
        <v>1743</v>
      </c>
      <c r="B6" s="1203">
        <f>Tabelle1!AQ50</f>
        <v>0</v>
      </c>
      <c r="C6" s="1203">
        <f>Tabelle1!AR50</f>
        <v>0</v>
      </c>
      <c r="D6" s="1203">
        <f>Tabelle1!AS50</f>
        <v>0</v>
      </c>
      <c r="E6" s="1203">
        <f>Tabelle1!AT50</f>
        <v>0</v>
      </c>
      <c r="F6" s="1203">
        <f>Tabelle1!AU50</f>
        <v>0</v>
      </c>
      <c r="G6" s="1199"/>
      <c r="H6" s="1199"/>
      <c r="I6" s="1200">
        <f>SUM(B6:H6)</f>
        <v>0</v>
      </c>
    </row>
    <row r="7" spans="1:13" ht="19.5" customHeight="1">
      <c r="A7" s="1201" t="s">
        <v>1187</v>
      </c>
      <c r="B7" s="1203">
        <f>Tabelle1!AQ51</f>
        <v>0</v>
      </c>
      <c r="C7" s="1203">
        <f>Tabelle1!AR51</f>
        <v>0</v>
      </c>
      <c r="D7" s="1203">
        <f>Tabelle1!AS51</f>
        <v>0</v>
      </c>
      <c r="E7" s="1203">
        <f>Tabelle1!AT51</f>
        <v>0</v>
      </c>
      <c r="F7" s="1199"/>
      <c r="G7" s="1199"/>
      <c r="H7" s="1199"/>
      <c r="I7" s="1200">
        <f>SUM(B7:H7)</f>
        <v>0</v>
      </c>
    </row>
    <row r="8" spans="1:13" ht="19.5" customHeight="1">
      <c r="A8" s="1201" t="s">
        <v>1744</v>
      </c>
      <c r="B8" s="1199"/>
      <c r="C8" s="1199"/>
      <c r="D8" s="1199"/>
      <c r="E8" s="1199"/>
      <c r="F8" s="1203">
        <f>Tabelle1!AU52</f>
        <v>0</v>
      </c>
      <c r="G8" s="1199"/>
      <c r="H8" s="1199"/>
      <c r="I8" s="1200">
        <f>SUM(B8:H8)</f>
        <v>0</v>
      </c>
    </row>
    <row r="9" spans="1:13" ht="30" customHeight="1">
      <c r="A9" s="1201" t="s">
        <v>1745</v>
      </c>
      <c r="B9" s="1204">
        <f>Tabelle1!AQ53</f>
        <v>0</v>
      </c>
      <c r="C9" s="1204">
        <f>Tabelle1!AR53</f>
        <v>0</v>
      </c>
      <c r="D9" s="1204">
        <f>Tabelle1!AS53</f>
        <v>0</v>
      </c>
      <c r="E9" s="1204">
        <f>Tabelle1!AT53</f>
        <v>0</v>
      </c>
      <c r="F9" s="1204">
        <f>Tabelle1!AU53</f>
        <v>0</v>
      </c>
      <c r="G9" s="1204">
        <f>Tabelle1!AV53</f>
        <v>0</v>
      </c>
      <c r="H9" s="1204">
        <f>Tabelle1!AW53</f>
        <v>0</v>
      </c>
      <c r="I9" s="1200">
        <f>SUM(B9:H9)</f>
        <v>0</v>
      </c>
    </row>
    <row r="10" spans="1:13" ht="19.5" customHeight="1">
      <c r="A10" s="1421" t="s">
        <v>1746</v>
      </c>
      <c r="B10" s="1424"/>
      <c r="C10" s="1424"/>
      <c r="D10" s="1424"/>
      <c r="E10" s="1424"/>
      <c r="F10" s="1424"/>
      <c r="G10" s="1424"/>
      <c r="H10" s="1424"/>
      <c r="I10" s="1425">
        <f>SUM(I3:I9)</f>
        <v>0</v>
      </c>
    </row>
    <row r="11" spans="1:13" ht="10.5" customHeight="1">
      <c r="A11" s="260"/>
      <c r="B11" s="261"/>
      <c r="C11" s="261"/>
      <c r="D11" s="261"/>
      <c r="E11" s="261"/>
      <c r="F11" s="261"/>
      <c r="G11" s="261"/>
      <c r="H11" s="261"/>
      <c r="I11" s="262"/>
    </row>
    <row r="12" spans="1:13" ht="19.5" customHeight="1">
      <c r="A12" s="263" t="s">
        <v>1747</v>
      </c>
      <c r="B12" s="261"/>
      <c r="C12" s="261"/>
      <c r="D12" s="261"/>
      <c r="E12" s="261"/>
      <c r="F12" s="261"/>
      <c r="G12" s="261"/>
      <c r="H12" s="261"/>
      <c r="I12" s="262"/>
    </row>
    <row r="13" spans="1:13" ht="30" customHeight="1">
      <c r="A13" s="1421" t="s">
        <v>1748</v>
      </c>
      <c r="B13" s="1422" t="s">
        <v>1738</v>
      </c>
      <c r="C13" s="1422" t="s">
        <v>1138</v>
      </c>
      <c r="D13" s="1422" t="s">
        <v>1139</v>
      </c>
      <c r="E13" s="1422" t="s">
        <v>1140</v>
      </c>
      <c r="F13" s="1422" t="s">
        <v>927</v>
      </c>
      <c r="G13" s="1422" t="s">
        <v>1574</v>
      </c>
      <c r="H13" s="1422" t="s">
        <v>1142</v>
      </c>
      <c r="I13" s="1426" t="s">
        <v>1633</v>
      </c>
    </row>
    <row r="14" spans="1:13" ht="30" customHeight="1">
      <c r="A14" s="1201" t="s">
        <v>1749</v>
      </c>
      <c r="B14" s="1205">
        <f>Tabelle1!AQ61</f>
        <v>0</v>
      </c>
      <c r="C14" s="1205">
        <f>Tabelle1!AR61</f>
        <v>0</v>
      </c>
      <c r="D14" s="1205">
        <f>Tabelle1!AS61</f>
        <v>0</v>
      </c>
      <c r="E14" s="1205">
        <f>Tabelle1!AT61</f>
        <v>0</v>
      </c>
      <c r="F14" s="1205">
        <f>Tabelle1!AU61</f>
        <v>0</v>
      </c>
      <c r="G14" s="1205">
        <f>Tabelle1!AV61</f>
        <v>0</v>
      </c>
      <c r="H14" s="1205">
        <f>Tabelle1!AW61</f>
        <v>0</v>
      </c>
      <c r="I14" s="1206">
        <f>SUM(B14:H14)</f>
        <v>0</v>
      </c>
      <c r="M14" s="619"/>
    </row>
    <row r="15" spans="1:13" ht="36.75" customHeight="1">
      <c r="A15" s="1201" t="s">
        <v>1750</v>
      </c>
      <c r="B15" s="1205">
        <f>Tabelle1!AQ62</f>
        <v>0</v>
      </c>
      <c r="C15" s="1205">
        <f>Tabelle1!AR62</f>
        <v>0</v>
      </c>
      <c r="D15" s="1205">
        <f>Tabelle1!AS62</f>
        <v>0</v>
      </c>
      <c r="E15" s="1205">
        <f>Tabelle1!AT62</f>
        <v>0</v>
      </c>
      <c r="F15" s="1205">
        <f>Tabelle1!AU62</f>
        <v>0</v>
      </c>
      <c r="G15" s="1205">
        <f>Tabelle1!AV62</f>
        <v>0</v>
      </c>
      <c r="H15" s="1205">
        <f>Tabelle1!AW62</f>
        <v>0</v>
      </c>
      <c r="I15" s="1206">
        <f>SUM(B15:H15)</f>
        <v>0</v>
      </c>
    </row>
    <row r="16" spans="1:13" ht="20.25" customHeight="1">
      <c r="A16" s="1201" t="s">
        <v>1213</v>
      </c>
      <c r="B16" s="1205">
        <f>Tabelle1!AQ63</f>
        <v>0</v>
      </c>
      <c r="C16" s="1205">
        <f>Tabelle1!AR63</f>
        <v>0</v>
      </c>
      <c r="D16" s="1205">
        <f>Tabelle1!AS63</f>
        <v>0</v>
      </c>
      <c r="E16" s="1205">
        <f>Tabelle1!AT63</f>
        <v>0</v>
      </c>
      <c r="F16" s="1205">
        <f>Tabelle1!AU63</f>
        <v>0</v>
      </c>
      <c r="G16" s="1205">
        <f>Tabelle1!AV63</f>
        <v>0</v>
      </c>
      <c r="H16" s="1205">
        <f>Tabelle1!AW63</f>
        <v>0</v>
      </c>
      <c r="I16" s="1206">
        <f>SUM(B16:H16)</f>
        <v>0</v>
      </c>
    </row>
    <row r="17" spans="1:9" ht="36" customHeight="1">
      <c r="A17" s="1201" t="s">
        <v>1751</v>
      </c>
      <c r="B17" s="1427">
        <v>0.87</v>
      </c>
      <c r="C17" s="1427">
        <v>0.87</v>
      </c>
      <c r="D17" s="1427">
        <v>0.87</v>
      </c>
      <c r="E17" s="1428">
        <v>0.87</v>
      </c>
      <c r="F17" s="1427">
        <v>0.91</v>
      </c>
      <c r="G17" s="1427">
        <v>0.91</v>
      </c>
      <c r="H17" s="1427">
        <v>0.91</v>
      </c>
      <c r="I17" s="1207"/>
    </row>
    <row r="18" spans="1:9" ht="21.75" customHeight="1">
      <c r="A18" s="1208" t="s">
        <v>1752</v>
      </c>
      <c r="B18" s="1209">
        <f>Tabelle1!AQ66</f>
        <v>0</v>
      </c>
      <c r="C18" s="1209">
        <f>Tabelle1!AR66</f>
        <v>0</v>
      </c>
      <c r="D18" s="1209">
        <f>Tabelle1!AS66</f>
        <v>0</v>
      </c>
      <c r="E18" s="1209">
        <f>Tabelle1!AT66</f>
        <v>0</v>
      </c>
      <c r="F18" s="1209">
        <f>Tabelle1!AU66</f>
        <v>0</v>
      </c>
      <c r="G18" s="1209">
        <f>Tabelle1!AV66</f>
        <v>0</v>
      </c>
      <c r="H18" s="1209">
        <f>Tabelle1!AW66</f>
        <v>0</v>
      </c>
      <c r="I18" s="1210">
        <f>SUM(B18:H18)</f>
        <v>0</v>
      </c>
    </row>
    <row r="19" spans="1:9" ht="19.5" customHeight="1">
      <c r="A19" s="1211" t="s">
        <v>1753</v>
      </c>
      <c r="B19" s="1212"/>
      <c r="C19" s="1212"/>
      <c r="D19" s="1212"/>
      <c r="E19" s="1212"/>
      <c r="F19" s="1212"/>
      <c r="G19" s="1212"/>
      <c r="H19" s="1212"/>
      <c r="I19" s="1206">
        <f>Tabelle1!AX68</f>
        <v>0</v>
      </c>
    </row>
    <row r="20" spans="1:9" ht="19.5" customHeight="1">
      <c r="A20" s="1211" t="s">
        <v>1223</v>
      </c>
      <c r="B20" s="1212"/>
      <c r="C20" s="1212"/>
      <c r="D20" s="1212"/>
      <c r="E20" s="1212"/>
      <c r="F20" s="1212"/>
      <c r="G20" s="1212"/>
      <c r="H20" s="1212"/>
      <c r="I20" s="1206">
        <f>Tabelle1!AX67</f>
        <v>0</v>
      </c>
    </row>
    <row r="21" spans="1:9" ht="19.5" customHeight="1">
      <c r="A21" s="1421" t="s">
        <v>1754</v>
      </c>
      <c r="B21" s="1429"/>
      <c r="C21" s="1429"/>
      <c r="D21" s="1429"/>
      <c r="E21" s="1429"/>
      <c r="F21" s="1429"/>
      <c r="G21" s="1429"/>
      <c r="H21" s="1429"/>
      <c r="I21" s="1425">
        <f>Tabelle1!AX69</f>
        <v>0</v>
      </c>
    </row>
    <row r="22" spans="1:9" ht="12" customHeight="1">
      <c r="A22" s="264"/>
      <c r="B22" s="261"/>
      <c r="C22" s="261"/>
      <c r="D22" s="261"/>
      <c r="E22" s="261"/>
      <c r="F22" s="261"/>
      <c r="G22" s="261"/>
      <c r="H22" s="261"/>
      <c r="I22" s="265"/>
    </row>
    <row r="23" spans="1:9" ht="20.25" customHeight="1">
      <c r="A23" s="452" t="s">
        <v>1755</v>
      </c>
      <c r="B23" s="261"/>
      <c r="C23" s="261"/>
      <c r="D23" s="261"/>
      <c r="E23" s="266"/>
      <c r="F23" s="261"/>
      <c r="G23" s="261"/>
      <c r="H23" s="261"/>
      <c r="I23" s="265"/>
    </row>
    <row r="24" spans="1:9" ht="26.25" customHeight="1">
      <c r="A24" s="1421" t="s">
        <v>1756</v>
      </c>
      <c r="B24" s="1422" t="s">
        <v>1738</v>
      </c>
      <c r="C24" s="1422" t="s">
        <v>1757</v>
      </c>
      <c r="D24" s="1422" t="s">
        <v>1139</v>
      </c>
      <c r="E24" s="1422" t="s">
        <v>1140</v>
      </c>
      <c r="F24" s="1422" t="s">
        <v>927</v>
      </c>
      <c r="G24" s="1422" t="s">
        <v>1574</v>
      </c>
      <c r="H24" s="1422" t="s">
        <v>1739</v>
      </c>
      <c r="I24" s="1426" t="s">
        <v>1633</v>
      </c>
    </row>
    <row r="25" spans="1:9" ht="21" customHeight="1">
      <c r="A25" s="1197" t="s">
        <v>1758</v>
      </c>
      <c r="B25" s="1205">
        <f>Tabelle1!AQ73</f>
        <v>0</v>
      </c>
      <c r="C25" s="1205">
        <f>Tabelle1!AR73</f>
        <v>0</v>
      </c>
      <c r="D25" s="1205">
        <f>Tabelle1!AS73</f>
        <v>0</v>
      </c>
      <c r="E25" s="1205">
        <f>Tabelle1!AT73</f>
        <v>0</v>
      </c>
      <c r="F25" s="1205">
        <f>Tabelle1!AU73</f>
        <v>0</v>
      </c>
      <c r="G25" s="1205">
        <f>Tabelle1!AV73</f>
        <v>0</v>
      </c>
      <c r="H25" s="1205">
        <f>Tabelle1!AW73</f>
        <v>0</v>
      </c>
      <c r="I25" s="1206">
        <f>SUM(B25:H25)</f>
        <v>0</v>
      </c>
    </row>
    <row r="26" spans="1:9" ht="30" customHeight="1">
      <c r="A26" s="1208" t="s">
        <v>1759</v>
      </c>
      <c r="B26" s="1428">
        <v>0.7</v>
      </c>
      <c r="C26" s="1428">
        <v>0.8</v>
      </c>
      <c r="D26" s="1428">
        <v>0.85</v>
      </c>
      <c r="E26" s="1428">
        <v>1</v>
      </c>
      <c r="F26" s="1428">
        <v>0.5</v>
      </c>
      <c r="G26" s="1428">
        <v>0.3</v>
      </c>
      <c r="H26" s="1428">
        <v>0.1</v>
      </c>
      <c r="I26" s="1206"/>
    </row>
    <row r="27" spans="1:9" ht="30" customHeight="1">
      <c r="A27" s="1202" t="s">
        <v>1760</v>
      </c>
      <c r="B27" s="1205">
        <f>Tabelle1!AQ75</f>
        <v>0</v>
      </c>
      <c r="C27" s="1205">
        <f>Tabelle1!AR75</f>
        <v>0</v>
      </c>
      <c r="D27" s="1205">
        <f>Tabelle1!AS75</f>
        <v>0</v>
      </c>
      <c r="E27" s="1205">
        <f>Tabelle1!AT75</f>
        <v>0</v>
      </c>
      <c r="F27" s="1205">
        <f>Tabelle1!AU75</f>
        <v>0</v>
      </c>
      <c r="G27" s="1205">
        <f>Tabelle1!AV75</f>
        <v>0</v>
      </c>
      <c r="H27" s="1205">
        <f>Tabelle1!AW75</f>
        <v>0</v>
      </c>
      <c r="I27" s="1206">
        <f>SUM(B27:H27)</f>
        <v>0</v>
      </c>
    </row>
    <row r="28" spans="1:9" ht="21" customHeight="1">
      <c r="A28" s="1211" t="s">
        <v>1239</v>
      </c>
      <c r="B28" s="1212"/>
      <c r="C28" s="1212"/>
      <c r="D28" s="1212"/>
      <c r="E28" s="1212"/>
      <c r="F28" s="1212"/>
      <c r="G28" s="1212"/>
      <c r="H28" s="1212"/>
      <c r="I28" s="1206">
        <f>Tabelle1!AX76</f>
        <v>0</v>
      </c>
    </row>
    <row r="29" spans="1:9" ht="21" customHeight="1">
      <c r="A29" s="1211" t="s">
        <v>1761</v>
      </c>
      <c r="B29" s="1212"/>
      <c r="C29" s="1212"/>
      <c r="D29" s="1212"/>
      <c r="E29" s="1212"/>
      <c r="F29" s="1212"/>
      <c r="G29" s="1212"/>
      <c r="H29" s="1212"/>
      <c r="I29" s="1206">
        <f>Tabelle1!AX77</f>
        <v>0</v>
      </c>
    </row>
    <row r="30" spans="1:9" ht="25.65" customHeight="1">
      <c r="A30" s="1430" t="s">
        <v>1762</v>
      </c>
      <c r="B30" s="1429"/>
      <c r="C30" s="1429"/>
      <c r="D30" s="1429"/>
      <c r="E30" s="1431"/>
      <c r="F30" s="1429"/>
      <c r="G30" s="1429"/>
      <c r="H30" s="1429"/>
      <c r="I30" s="1425">
        <f>Tabelle1!AX78</f>
        <v>0</v>
      </c>
    </row>
  </sheetData>
  <sheetProtection password="CAEF" sheet="1" formatCells="0" formatColumns="0" formatRows="0"/>
  <phoneticPr fontId="38" type="noConversion"/>
  <pageMargins left="0.59055118110236227" right="0.39370078740157483" top="0.78740157480314965" bottom="0.78740157480314965" header="0.51181102362204722" footer="0.51181102362204722"/>
  <pageSetup paperSize="9" scale="67" firstPageNumber="0" orientation="portrait" blackAndWhite="1"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8">
    <tabColor theme="8" tint="0.39997558519241921"/>
    <pageSetUpPr fitToPage="1"/>
  </sheetPr>
  <dimension ref="A1:AL111"/>
  <sheetViews>
    <sheetView showZeros="0" zoomScale="75" zoomScaleNormal="75" workbookViewId="0">
      <selection activeCell="A8" sqref="A8"/>
    </sheetView>
  </sheetViews>
  <sheetFormatPr baseColWidth="10" defaultRowHeight="13.2"/>
  <cols>
    <col min="1" max="1" width="26.33203125" customWidth="1"/>
    <col min="2" max="2" width="6.33203125" customWidth="1"/>
    <col min="3" max="3" width="7" customWidth="1"/>
    <col min="4" max="4" width="7.44140625" customWidth="1"/>
    <col min="5" max="5" width="7.6640625" customWidth="1"/>
    <col min="6" max="6" width="6.44140625" customWidth="1"/>
    <col min="7" max="23" width="6.33203125" customWidth="1"/>
    <col min="24" max="24" width="2.6640625" customWidth="1"/>
    <col min="25" max="25" width="21.33203125" customWidth="1"/>
    <col min="26" max="28" width="9.44140625" customWidth="1"/>
    <col min="29" max="29" width="7.109375" hidden="1" customWidth="1"/>
    <col min="30" max="30" width="7.44140625" hidden="1" customWidth="1"/>
    <col min="31" max="31" width="7.88671875" customWidth="1"/>
    <col min="32" max="32" width="6.6640625" customWidth="1"/>
    <col min="33" max="33" width="7.109375" customWidth="1"/>
    <col min="34" max="34" width="6.109375" customWidth="1"/>
    <col min="35" max="35" width="23.44140625" customWidth="1"/>
    <col min="36" max="36" width="11.88671875" customWidth="1"/>
    <col min="37" max="39" width="4.109375" customWidth="1"/>
  </cols>
  <sheetData>
    <row r="1" spans="1:38" ht="26.25" customHeight="1">
      <c r="A1" s="1334" t="s">
        <v>695</v>
      </c>
      <c r="B1" s="1334"/>
      <c r="C1" s="1334"/>
      <c r="D1" s="1335"/>
      <c r="E1" s="1335"/>
      <c r="F1" s="3027" t="s">
        <v>658</v>
      </c>
      <c r="G1" s="3021">
        <f>Y8</f>
        <v>0</v>
      </c>
      <c r="H1" s="3021">
        <f>Y9</f>
        <v>0</v>
      </c>
      <c r="I1" s="3021">
        <f>Y10</f>
        <v>0</v>
      </c>
      <c r="J1" s="3021">
        <f>Y11</f>
        <v>0</v>
      </c>
      <c r="K1" s="3021">
        <f>Y12</f>
        <v>0</v>
      </c>
      <c r="L1" s="3022">
        <f>Y14</f>
        <v>0</v>
      </c>
      <c r="M1" s="3022">
        <f>Y15</f>
        <v>0</v>
      </c>
      <c r="N1" s="3022">
        <f>Y16</f>
        <v>0</v>
      </c>
      <c r="O1" s="3022">
        <f>Y17</f>
        <v>0</v>
      </c>
      <c r="P1" s="3022">
        <f>Y18</f>
        <v>0</v>
      </c>
      <c r="Q1" s="3022">
        <f>Y19</f>
        <v>0</v>
      </c>
      <c r="R1" s="3022">
        <f>Y20</f>
        <v>0</v>
      </c>
      <c r="S1" s="3022">
        <f>Y21</f>
        <v>0</v>
      </c>
      <c r="T1" s="3021">
        <f>Y23</f>
        <v>0</v>
      </c>
      <c r="U1" s="3021">
        <f>Y24</f>
        <v>0</v>
      </c>
      <c r="V1" s="3021">
        <f>Y25</f>
        <v>0</v>
      </c>
      <c r="W1" s="3021">
        <f>Y26</f>
        <v>0</v>
      </c>
      <c r="X1" s="213"/>
      <c r="Y1" s="1229" t="s">
        <v>717</v>
      </c>
      <c r="Z1" s="3035" t="s">
        <v>718</v>
      </c>
      <c r="AA1" s="3035"/>
      <c r="AB1" s="3034" t="s">
        <v>699</v>
      </c>
      <c r="AC1" s="3034"/>
      <c r="AD1" s="3034"/>
      <c r="AE1" s="3034"/>
      <c r="AF1" s="3034"/>
      <c r="AG1" s="3034"/>
      <c r="AH1" s="3034"/>
      <c r="AI1" s="3034"/>
      <c r="AJ1" s="3034"/>
      <c r="AK1" s="213"/>
      <c r="AL1" s="214"/>
    </row>
    <row r="2" spans="1:38" ht="27.75" customHeight="1">
      <c r="A2" s="3023" t="s">
        <v>0</v>
      </c>
      <c r="B2" s="3023"/>
      <c r="C2" s="3023"/>
      <c r="D2" s="3023"/>
      <c r="E2" s="3023"/>
      <c r="F2" s="3027"/>
      <c r="G2" s="3021"/>
      <c r="H2" s="3021"/>
      <c r="I2" s="3021"/>
      <c r="J2" s="3021"/>
      <c r="K2" s="3021"/>
      <c r="L2" s="3022"/>
      <c r="M2" s="3022"/>
      <c r="N2" s="3022"/>
      <c r="O2" s="3022"/>
      <c r="P2" s="3022"/>
      <c r="Q2" s="3022"/>
      <c r="R2" s="3022"/>
      <c r="S2" s="3022"/>
      <c r="T2" s="3021"/>
      <c r="U2" s="3021"/>
      <c r="V2" s="3021"/>
      <c r="W2" s="3021"/>
      <c r="X2" s="213"/>
      <c r="Y2" s="3031" t="s">
        <v>689</v>
      </c>
      <c r="Z2" s="3031"/>
      <c r="AA2" s="3031"/>
      <c r="AB2" s="3034"/>
      <c r="AC2" s="3034"/>
      <c r="AD2" s="3034"/>
      <c r="AE2" s="3034"/>
      <c r="AF2" s="3034"/>
      <c r="AG2" s="3034"/>
      <c r="AH2" s="3034"/>
      <c r="AI2" s="3034"/>
      <c r="AJ2" s="3034"/>
      <c r="AK2" s="213"/>
      <c r="AL2" s="214"/>
    </row>
    <row r="3" spans="1:38" ht="22.5" customHeight="1">
      <c r="A3" s="3026">
        <f>Betrieb!B4</f>
        <v>0</v>
      </c>
      <c r="B3" s="3026"/>
      <c r="C3" s="3026"/>
      <c r="D3" s="3024" t="s">
        <v>870</v>
      </c>
      <c r="E3" s="3025"/>
      <c r="F3" s="3027"/>
      <c r="G3" s="3021"/>
      <c r="H3" s="3021"/>
      <c r="I3" s="3021"/>
      <c r="J3" s="3021"/>
      <c r="K3" s="3021"/>
      <c r="L3" s="3022"/>
      <c r="M3" s="3022"/>
      <c r="N3" s="3022"/>
      <c r="O3" s="3022"/>
      <c r="P3" s="3022"/>
      <c r="Q3" s="3022"/>
      <c r="R3" s="3022"/>
      <c r="S3" s="3022"/>
      <c r="T3" s="3021"/>
      <c r="U3" s="3021"/>
      <c r="V3" s="3021"/>
      <c r="W3" s="3021"/>
      <c r="X3" s="213"/>
      <c r="Y3" s="3031"/>
      <c r="Z3" s="3031"/>
      <c r="AA3" s="3031"/>
      <c r="AB3" s="3034"/>
      <c r="AC3" s="3034"/>
      <c r="AD3" s="3034"/>
      <c r="AE3" s="3034"/>
      <c r="AF3" s="3034"/>
      <c r="AG3" s="3034"/>
      <c r="AH3" s="3034"/>
      <c r="AI3" s="3034"/>
      <c r="AJ3" s="3034"/>
      <c r="AK3" s="213"/>
      <c r="AL3" s="214"/>
    </row>
    <row r="4" spans="1:38" ht="22.5" customHeight="1">
      <c r="A4" s="3026">
        <f>Betrieb!B5</f>
        <v>0</v>
      </c>
      <c r="B4" s="3026"/>
      <c r="C4" s="3026"/>
      <c r="D4" s="3019">
        <f>Betrieb!B3</f>
        <v>0</v>
      </c>
      <c r="E4" s="3020"/>
      <c r="F4" s="3027"/>
      <c r="G4" s="3021"/>
      <c r="H4" s="3021"/>
      <c r="I4" s="3021"/>
      <c r="J4" s="3021"/>
      <c r="K4" s="3021"/>
      <c r="L4" s="3022"/>
      <c r="M4" s="3022"/>
      <c r="N4" s="3022"/>
      <c r="O4" s="3022"/>
      <c r="P4" s="3022"/>
      <c r="Q4" s="3022"/>
      <c r="R4" s="3022"/>
      <c r="S4" s="3022"/>
      <c r="T4" s="3021"/>
      <c r="U4" s="3021"/>
      <c r="V4" s="3021"/>
      <c r="W4" s="3021"/>
      <c r="X4" s="213"/>
      <c r="Y4" s="3031"/>
      <c r="Z4" s="3031"/>
      <c r="AA4" s="3031"/>
      <c r="AB4" s="3034"/>
      <c r="AC4" s="3034"/>
      <c r="AD4" s="3034"/>
      <c r="AE4" s="3034"/>
      <c r="AF4" s="3034"/>
      <c r="AG4" s="3034"/>
      <c r="AH4" s="3034"/>
      <c r="AI4" s="3034"/>
      <c r="AJ4" s="3034"/>
      <c r="AK4" s="213"/>
      <c r="AL4" s="214"/>
    </row>
    <row r="5" spans="1:38" ht="22.5" customHeight="1">
      <c r="A5" s="3026">
        <f>Betrieb!B6</f>
        <v>0</v>
      </c>
      <c r="B5" s="3026"/>
      <c r="C5" s="3026"/>
      <c r="D5" s="1473" t="s">
        <v>872</v>
      </c>
      <c r="E5" s="1474">
        <f>Betrieb!D4</f>
        <v>2022</v>
      </c>
      <c r="F5" s="3027"/>
      <c r="G5" s="3021"/>
      <c r="H5" s="3021"/>
      <c r="I5" s="3021"/>
      <c r="J5" s="3021"/>
      <c r="K5" s="3021"/>
      <c r="L5" s="3022"/>
      <c r="M5" s="3022"/>
      <c r="N5" s="3022"/>
      <c r="O5" s="3022"/>
      <c r="P5" s="3022"/>
      <c r="Q5" s="3022"/>
      <c r="R5" s="3022"/>
      <c r="S5" s="3022"/>
      <c r="T5" s="3021"/>
      <c r="U5" s="3021"/>
      <c r="V5" s="3021"/>
      <c r="W5" s="3021"/>
      <c r="X5" s="213"/>
      <c r="Y5" s="3031"/>
      <c r="Z5" s="3031"/>
      <c r="AA5" s="3031"/>
      <c r="AB5" s="3034"/>
      <c r="AC5" s="3034"/>
      <c r="AD5" s="3034"/>
      <c r="AE5" s="3034"/>
      <c r="AF5" s="3034"/>
      <c r="AG5" s="3034"/>
      <c r="AH5" s="3034"/>
      <c r="AI5" s="3034"/>
      <c r="AJ5" s="3034"/>
      <c r="AK5" s="213"/>
      <c r="AL5" s="214"/>
    </row>
    <row r="6" spans="1:38" ht="6" customHeight="1">
      <c r="A6" s="938"/>
      <c r="B6" s="939"/>
      <c r="C6" s="213"/>
      <c r="D6" s="213"/>
      <c r="E6" s="213"/>
      <c r="F6" s="213"/>
      <c r="G6" s="658"/>
      <c r="H6" s="658"/>
      <c r="I6" s="658"/>
      <c r="J6" s="658"/>
      <c r="K6" s="658"/>
      <c r="L6" s="658"/>
      <c r="M6" s="658"/>
      <c r="N6" s="658"/>
      <c r="O6" s="658"/>
      <c r="P6" s="658"/>
      <c r="Q6" s="658"/>
      <c r="R6" s="658"/>
      <c r="S6" s="658"/>
      <c r="T6" s="658"/>
      <c r="U6" s="658"/>
      <c r="V6" s="658"/>
      <c r="W6" s="658"/>
      <c r="X6" s="213"/>
      <c r="Y6" s="3031"/>
      <c r="Z6" s="3031"/>
      <c r="AA6" s="3031"/>
      <c r="AB6" s="3034"/>
      <c r="AC6" s="3034"/>
      <c r="AD6" s="3034"/>
      <c r="AE6" s="3034"/>
      <c r="AF6" s="3034"/>
      <c r="AG6" s="3034"/>
      <c r="AH6" s="3034"/>
      <c r="AI6" s="3034"/>
      <c r="AJ6" s="3034"/>
      <c r="AK6" s="213"/>
      <c r="AL6" s="214"/>
    </row>
    <row r="7" spans="1:38" ht="41.25" customHeight="1">
      <c r="A7" s="1416" t="s">
        <v>683</v>
      </c>
      <c r="B7" s="1417" t="s">
        <v>1388</v>
      </c>
      <c r="C7" s="1418" t="s">
        <v>659</v>
      </c>
      <c r="D7" s="1418" t="s">
        <v>660</v>
      </c>
      <c r="E7" s="1418" t="s">
        <v>662</v>
      </c>
      <c r="F7" s="1418" t="s">
        <v>661</v>
      </c>
      <c r="G7" s="1419" t="s">
        <v>693</v>
      </c>
      <c r="H7" s="1420"/>
      <c r="I7" s="1420"/>
      <c r="J7" s="1420"/>
      <c r="K7" s="1420"/>
      <c r="L7" s="1420"/>
      <c r="M7" s="1420"/>
      <c r="N7" s="1420"/>
      <c r="O7" s="1420"/>
      <c r="P7" s="1420"/>
      <c r="Q7" s="1420"/>
      <c r="R7" s="1420"/>
      <c r="S7" s="1420"/>
      <c r="T7" s="1420"/>
      <c r="U7" s="1420"/>
      <c r="V7" s="1420"/>
      <c r="W7" s="1420"/>
      <c r="X7" s="213"/>
      <c r="Y7" s="1414" t="s">
        <v>696</v>
      </c>
      <c r="Z7" s="1415" t="s">
        <v>667</v>
      </c>
      <c r="AA7" s="1415" t="s">
        <v>688</v>
      </c>
      <c r="AB7" s="1408" t="s">
        <v>694</v>
      </c>
      <c r="AC7" s="1409" t="s">
        <v>664</v>
      </c>
      <c r="AD7" s="1409" t="s">
        <v>665</v>
      </c>
      <c r="AE7" s="1410" t="s">
        <v>708</v>
      </c>
      <c r="AF7" s="1410" t="s">
        <v>1099</v>
      </c>
      <c r="AG7" s="1410" t="s">
        <v>1100</v>
      </c>
      <c r="AH7" s="1411" t="s">
        <v>666</v>
      </c>
      <c r="AI7" s="1412" t="s">
        <v>673</v>
      </c>
      <c r="AJ7" s="1413" t="s">
        <v>676</v>
      </c>
      <c r="AK7" s="213"/>
      <c r="AL7" s="214"/>
    </row>
    <row r="8" spans="1:38" ht="27.15" customHeight="1">
      <c r="A8" s="1230" t="str">
        <f>N_Bedarf!C5</f>
        <v/>
      </c>
      <c r="B8" s="1231">
        <f>N_Bedarf!E5</f>
        <v>0</v>
      </c>
      <c r="C8" s="1232">
        <f>N_Bedarf!F5</f>
        <v>0</v>
      </c>
      <c r="D8" s="1233">
        <f>N_Bedarf!I5</f>
        <v>0</v>
      </c>
      <c r="E8" s="1228">
        <f t="shared" ref="E8:E21" si="0">F37</f>
        <v>0</v>
      </c>
      <c r="F8" s="1234">
        <f t="shared" ref="F8:F21" si="1">E8-D8</f>
        <v>0</v>
      </c>
      <c r="G8" s="1235"/>
      <c r="H8" s="1235"/>
      <c r="I8" s="1235"/>
      <c r="J8" s="1235"/>
      <c r="K8" s="1235"/>
      <c r="L8" s="1235"/>
      <c r="M8" s="1235"/>
      <c r="N8" s="1235"/>
      <c r="O8" s="1235"/>
      <c r="P8" s="1235"/>
      <c r="Q8" s="1235"/>
      <c r="R8" s="1235"/>
      <c r="S8" s="1235"/>
      <c r="T8" s="1235"/>
      <c r="U8" s="1235"/>
      <c r="V8" s="1235"/>
      <c r="W8" s="1235"/>
      <c r="X8" s="620"/>
      <c r="Y8" s="1213"/>
      <c r="Z8" s="1214">
        <f>IF(ISNA(Tabelle1!W159),0,Tabelle1!W159)</f>
        <v>0</v>
      </c>
      <c r="AA8" s="1214">
        <f>G81</f>
        <v>0</v>
      </c>
      <c r="AB8" s="1215">
        <f>IF(AA8=0,0,Z8-AA8)</f>
        <v>0</v>
      </c>
      <c r="AC8" s="1216">
        <f>IF(ISNA(Tabelle1!U159),0,Tabelle1!X159)</f>
        <v>0</v>
      </c>
      <c r="AD8" s="1216">
        <f>IF(ISNA(Tabelle1!U159),0,Tabelle1!Y159)</f>
        <v>0</v>
      </c>
      <c r="AE8" s="1217">
        <f>IF(ISNA(Tabelle1!U159),0,Tabelle1!Z159)</f>
        <v>0</v>
      </c>
      <c r="AF8" s="1217">
        <f>IF(ISNA(Tabelle1!U159),0,Tabelle1!AA159)</f>
        <v>0</v>
      </c>
      <c r="AG8" s="1217">
        <f>IF(ISNA(Tabelle1!U159),0,Tabelle1!AB159)</f>
        <v>0</v>
      </c>
      <c r="AH8" s="1218">
        <f>IF(ISNA(Tabelle1!U159),0,Tabelle1!AC159)</f>
        <v>0</v>
      </c>
      <c r="AI8" s="1219" t="str">
        <f>IF(AA8&gt;Z8,"Mehr verplant als vorhanden!",IF(AA8&lt;Z8,"Noch Dünger im Bestand!","Ok!"))</f>
        <v>Ok!</v>
      </c>
      <c r="AJ8" s="1215">
        <f>G$107</f>
        <v>0</v>
      </c>
      <c r="AK8" s="213"/>
      <c r="AL8" s="214"/>
    </row>
    <row r="9" spans="1:38" ht="27.15" customHeight="1">
      <c r="A9" s="1230">
        <f>N_Bedarf!C6</f>
        <v>0</v>
      </c>
      <c r="B9" s="1231">
        <f>N_Bedarf!E6</f>
        <v>0</v>
      </c>
      <c r="C9" s="1232">
        <f>N_Bedarf!F6</f>
        <v>0</v>
      </c>
      <c r="D9" s="1233">
        <f>N_Bedarf!I6</f>
        <v>0</v>
      </c>
      <c r="E9" s="1228">
        <f t="shared" si="0"/>
        <v>0</v>
      </c>
      <c r="F9" s="1234">
        <f t="shared" si="1"/>
        <v>0</v>
      </c>
      <c r="G9" s="1235"/>
      <c r="H9" s="1235"/>
      <c r="I9" s="1235"/>
      <c r="J9" s="1235"/>
      <c r="K9" s="1235"/>
      <c r="L9" s="1235"/>
      <c r="M9" s="1235"/>
      <c r="N9" s="1235"/>
      <c r="O9" s="1235"/>
      <c r="P9" s="1235"/>
      <c r="Q9" s="1235"/>
      <c r="R9" s="1235"/>
      <c r="S9" s="1235"/>
      <c r="T9" s="1235"/>
      <c r="U9" s="1235"/>
      <c r="V9" s="1235"/>
      <c r="W9" s="1235"/>
      <c r="X9" s="620"/>
      <c r="Y9" s="1213"/>
      <c r="Z9" s="1214">
        <f>IF(ISNA(Tabelle1!W160),0,Tabelle1!W160)</f>
        <v>0</v>
      </c>
      <c r="AA9" s="1214">
        <f>H81</f>
        <v>0</v>
      </c>
      <c r="AB9" s="1215">
        <f>IF(AA9=0,0,Z9-AA9)</f>
        <v>0</v>
      </c>
      <c r="AC9" s="1216">
        <f>IF(ISNA(Tabelle1!U160),0,Tabelle1!X160)</f>
        <v>0</v>
      </c>
      <c r="AD9" s="1216">
        <f>IF(ISNA(Tabelle1!U160),0,Tabelle1!Y160)</f>
        <v>0</v>
      </c>
      <c r="AE9" s="1217">
        <f>IF(ISNA(Tabelle1!U160),0,Tabelle1!Z160)</f>
        <v>0</v>
      </c>
      <c r="AF9" s="1217">
        <f>IF(ISNA(Tabelle1!U160),0,Tabelle1!AA160)</f>
        <v>0</v>
      </c>
      <c r="AG9" s="1217">
        <f>IF(ISNA(Tabelle1!U160),0,Tabelle1!AB160)</f>
        <v>0</v>
      </c>
      <c r="AH9" s="1218">
        <f>IF(ISNA(Tabelle1!U160),0,Tabelle1!AC160)</f>
        <v>0</v>
      </c>
      <c r="AI9" s="1219" t="str">
        <f>IF(AA9&gt;Z9,"Mehr verplant als vorhanden!",IF(AA9&lt;Z9,"Noch Dünger im Bestand!","Ok!"))</f>
        <v>Ok!</v>
      </c>
      <c r="AJ9" s="1215">
        <f>H$107</f>
        <v>0</v>
      </c>
      <c r="AK9" s="213"/>
      <c r="AL9" s="214"/>
    </row>
    <row r="10" spans="1:38" ht="27.15" customHeight="1">
      <c r="A10" s="1230">
        <f>N_Bedarf!C7</f>
        <v>0</v>
      </c>
      <c r="B10" s="1231">
        <f>N_Bedarf!E7</f>
        <v>0</v>
      </c>
      <c r="C10" s="1232">
        <f>N_Bedarf!F7</f>
        <v>0</v>
      </c>
      <c r="D10" s="1233">
        <f>N_Bedarf!I7</f>
        <v>0</v>
      </c>
      <c r="E10" s="1228">
        <f t="shared" si="0"/>
        <v>0</v>
      </c>
      <c r="F10" s="1234">
        <f t="shared" si="1"/>
        <v>0</v>
      </c>
      <c r="G10" s="1235"/>
      <c r="H10" s="1235"/>
      <c r="I10" s="1235"/>
      <c r="J10" s="1235"/>
      <c r="K10" s="1235"/>
      <c r="L10" s="1235"/>
      <c r="M10" s="1235"/>
      <c r="N10" s="1235"/>
      <c r="O10" s="1235"/>
      <c r="P10" s="1235"/>
      <c r="Q10" s="1235"/>
      <c r="R10" s="1235"/>
      <c r="S10" s="1235"/>
      <c r="T10" s="1235"/>
      <c r="U10" s="1235"/>
      <c r="V10" s="1235"/>
      <c r="W10" s="1235"/>
      <c r="X10" s="620"/>
      <c r="Y10" s="1213"/>
      <c r="Z10" s="1214">
        <f>IF(ISNA(Tabelle1!W161),0,Tabelle1!W161)</f>
        <v>0</v>
      </c>
      <c r="AA10" s="1214">
        <f>I81</f>
        <v>0</v>
      </c>
      <c r="AB10" s="1215">
        <f>IF(AA10=0,0,Z10-AA10)</f>
        <v>0</v>
      </c>
      <c r="AC10" s="1216">
        <f>IF(ISNA(Tabelle1!U161),0,Tabelle1!X161)</f>
        <v>0</v>
      </c>
      <c r="AD10" s="1216">
        <f>IF(ISNA(Tabelle1!U161),0,Tabelle1!Y161)</f>
        <v>0</v>
      </c>
      <c r="AE10" s="1217">
        <f>IF(ISNA(Tabelle1!U161),0,Tabelle1!Z161)</f>
        <v>0</v>
      </c>
      <c r="AF10" s="1217">
        <f>IF(ISNA(Tabelle1!U161),0,Tabelle1!AA161)</f>
        <v>0</v>
      </c>
      <c r="AG10" s="1217">
        <f>IF(ISNA(Tabelle1!U161),0,Tabelle1!AB161)</f>
        <v>0</v>
      </c>
      <c r="AH10" s="1218">
        <f>IF(ISNA(Tabelle1!U161),0,Tabelle1!AC161)</f>
        <v>0</v>
      </c>
      <c r="AI10" s="1219" t="str">
        <f>IF(AA10&gt;Z10,"Mehr verplant als vorhanden!",IF(AA10&lt;Z10,"Noch Dünger im Bestand!","Ok!"))</f>
        <v>Ok!</v>
      </c>
      <c r="AJ10" s="1215">
        <f>I$107</f>
        <v>0</v>
      </c>
      <c r="AK10" s="213"/>
      <c r="AL10" s="214"/>
    </row>
    <row r="11" spans="1:38" ht="27.15" customHeight="1">
      <c r="A11" s="1230">
        <f>N_Bedarf!C8</f>
        <v>0</v>
      </c>
      <c r="B11" s="1231">
        <f>N_Bedarf!E8</f>
        <v>0</v>
      </c>
      <c r="C11" s="1232">
        <f>N_Bedarf!F8</f>
        <v>0</v>
      </c>
      <c r="D11" s="1233">
        <f>N_Bedarf!I8</f>
        <v>0</v>
      </c>
      <c r="E11" s="1228">
        <f t="shared" si="0"/>
        <v>0</v>
      </c>
      <c r="F11" s="1234">
        <f t="shared" si="1"/>
        <v>0</v>
      </c>
      <c r="G11" s="1235"/>
      <c r="H11" s="1235"/>
      <c r="I11" s="1235"/>
      <c r="J11" s="1235"/>
      <c r="K11" s="1235"/>
      <c r="L11" s="1235"/>
      <c r="M11" s="1235"/>
      <c r="N11" s="1235"/>
      <c r="O11" s="1235"/>
      <c r="P11" s="1235"/>
      <c r="Q11" s="1235"/>
      <c r="R11" s="1235"/>
      <c r="S11" s="1235"/>
      <c r="T11" s="1235"/>
      <c r="U11" s="1235"/>
      <c r="V11" s="1235"/>
      <c r="W11" s="1235"/>
      <c r="X11" s="620"/>
      <c r="Y11" s="1213"/>
      <c r="Z11" s="1214">
        <f>IF(ISNA(Tabelle1!W162),0,Tabelle1!W162)</f>
        <v>0</v>
      </c>
      <c r="AA11" s="1214">
        <f>J81</f>
        <v>0</v>
      </c>
      <c r="AB11" s="1215">
        <f>IF(AA11=0,0,Z11-AA11)</f>
        <v>0</v>
      </c>
      <c r="AC11" s="1216">
        <f>IF(ISNA(Tabelle1!U162),0,Tabelle1!X162)</f>
        <v>0</v>
      </c>
      <c r="AD11" s="1216">
        <f>IF(ISNA(Tabelle1!U162),0,Tabelle1!Y162)</f>
        <v>0</v>
      </c>
      <c r="AE11" s="1217">
        <f>IF(ISNA(Tabelle1!U162),0,Tabelle1!Z162)</f>
        <v>0</v>
      </c>
      <c r="AF11" s="1217">
        <f>IF(ISNA(Tabelle1!U162),0,Tabelle1!AA162)</f>
        <v>0</v>
      </c>
      <c r="AG11" s="1217">
        <f>IF(ISNA(Tabelle1!U162),0,Tabelle1!AB162)</f>
        <v>0</v>
      </c>
      <c r="AH11" s="1218">
        <f>IF(ISNA(Tabelle1!U162),0,Tabelle1!AC162)</f>
        <v>0</v>
      </c>
      <c r="AI11" s="1219" t="str">
        <f>IF(AA11&gt;Z11,"Mehr verplant als vorhanden!",IF(AA11&lt;Z11,"Noch Dünger im Bestand!","Ok!"))</f>
        <v>Ok!</v>
      </c>
      <c r="AJ11" s="1215">
        <f>J$107</f>
        <v>0</v>
      </c>
      <c r="AK11" s="213"/>
      <c r="AL11" s="214"/>
    </row>
    <row r="12" spans="1:38" ht="27.15" customHeight="1">
      <c r="A12" s="1230">
        <f>N_Bedarf!C9</f>
        <v>0</v>
      </c>
      <c r="B12" s="1231">
        <f>N_Bedarf!E9</f>
        <v>0</v>
      </c>
      <c r="C12" s="1232">
        <f>N_Bedarf!F9</f>
        <v>0</v>
      </c>
      <c r="D12" s="1233">
        <f>N_Bedarf!I9</f>
        <v>0</v>
      </c>
      <c r="E12" s="1228">
        <f t="shared" si="0"/>
        <v>0</v>
      </c>
      <c r="F12" s="1234">
        <f t="shared" si="1"/>
        <v>0</v>
      </c>
      <c r="G12" s="1235"/>
      <c r="H12" s="1235"/>
      <c r="I12" s="1235"/>
      <c r="J12" s="1235"/>
      <c r="K12" s="1235"/>
      <c r="L12" s="1235"/>
      <c r="M12" s="1235"/>
      <c r="N12" s="1235"/>
      <c r="O12" s="1235"/>
      <c r="P12" s="1235"/>
      <c r="Q12" s="1235"/>
      <c r="R12" s="1235"/>
      <c r="S12" s="1235"/>
      <c r="T12" s="1235"/>
      <c r="U12" s="1235"/>
      <c r="V12" s="1235"/>
      <c r="W12" s="1235"/>
      <c r="X12" s="620"/>
      <c r="Y12" s="1213"/>
      <c r="Z12" s="1214">
        <f>IF(ISNA(Tabelle1!W163),0,Tabelle1!W163)</f>
        <v>0</v>
      </c>
      <c r="AA12" s="1214">
        <f>K81</f>
        <v>0</v>
      </c>
      <c r="AB12" s="1215">
        <f>IF(AA12=0,0,Z12-AA12)</f>
        <v>0</v>
      </c>
      <c r="AC12" s="1216">
        <f>IF(ISNA(Tabelle1!U163),0,Tabelle1!X163)</f>
        <v>0</v>
      </c>
      <c r="AD12" s="1216">
        <f>IF(ISNA(Tabelle1!U163),0,Tabelle1!Y163)</f>
        <v>0</v>
      </c>
      <c r="AE12" s="1217">
        <f>IF(ISNA(Tabelle1!U163),0,Tabelle1!Z163)</f>
        <v>0</v>
      </c>
      <c r="AF12" s="1217">
        <f>IF(ISNA(Tabelle1!U163),0,Tabelle1!AA163)</f>
        <v>0</v>
      </c>
      <c r="AG12" s="1217">
        <f>IF(ISNA(Tabelle1!U163),0,Tabelle1!AB163)</f>
        <v>0</v>
      </c>
      <c r="AH12" s="1218">
        <f>IF(ISNA(Tabelle1!U163),0,Tabelle1!AC163)</f>
        <v>0</v>
      </c>
      <c r="AI12" s="1219" t="str">
        <f>IF(AA12&gt;Z12,"Mehr verplant als vorhanden!",IF(AA12&lt;Z12,"Noch Dünger im Bestand!","Ok!"))</f>
        <v>Ok!</v>
      </c>
      <c r="AJ12" s="1215">
        <f>J$107</f>
        <v>0</v>
      </c>
      <c r="AK12" s="213"/>
      <c r="AL12" s="214"/>
    </row>
    <row r="13" spans="1:38" ht="27.15" customHeight="1">
      <c r="A13" s="1230">
        <f>N_Bedarf!C10</f>
        <v>0</v>
      </c>
      <c r="B13" s="1231">
        <f>N_Bedarf!E10</f>
        <v>0</v>
      </c>
      <c r="C13" s="1232">
        <f>N_Bedarf!F10</f>
        <v>0</v>
      </c>
      <c r="D13" s="1233">
        <f>N_Bedarf!I10</f>
        <v>0</v>
      </c>
      <c r="E13" s="1228">
        <f t="shared" si="0"/>
        <v>0</v>
      </c>
      <c r="F13" s="1234">
        <f t="shared" si="1"/>
        <v>0</v>
      </c>
      <c r="G13" s="1235"/>
      <c r="H13" s="1235"/>
      <c r="I13" s="1235"/>
      <c r="J13" s="1235"/>
      <c r="K13" s="1235"/>
      <c r="L13" s="1235"/>
      <c r="M13" s="1235"/>
      <c r="N13" s="1235"/>
      <c r="O13" s="1235"/>
      <c r="P13" s="1235"/>
      <c r="Q13" s="1235"/>
      <c r="R13" s="1235"/>
      <c r="S13" s="1235"/>
      <c r="T13" s="1235"/>
      <c r="U13" s="1235"/>
      <c r="V13" s="1235"/>
      <c r="W13" s="1235"/>
      <c r="X13" s="620"/>
      <c r="Y13" s="1220" t="s">
        <v>672</v>
      </c>
      <c r="Z13" s="1221"/>
      <c r="AA13" s="1221"/>
      <c r="AB13" s="1221"/>
      <c r="AC13" s="1221"/>
      <c r="AD13" s="1221"/>
      <c r="AE13" s="1221"/>
      <c r="AF13" s="1221"/>
      <c r="AG13" s="1221"/>
      <c r="AH13" s="1221"/>
      <c r="AI13" s="1222"/>
      <c r="AJ13" s="1221"/>
      <c r="AK13" s="213"/>
      <c r="AL13" s="214"/>
    </row>
    <row r="14" spans="1:38" ht="27.15" customHeight="1">
      <c r="A14" s="1230">
        <f>N_Bedarf!C11</f>
        <v>0</v>
      </c>
      <c r="B14" s="1231">
        <f>N_Bedarf!E11</f>
        <v>0</v>
      </c>
      <c r="C14" s="1232">
        <f>N_Bedarf!F11</f>
        <v>0</v>
      </c>
      <c r="D14" s="1233">
        <f>N_Bedarf!I11</f>
        <v>0</v>
      </c>
      <c r="E14" s="1228">
        <f t="shared" si="0"/>
        <v>0</v>
      </c>
      <c r="F14" s="1234">
        <f t="shared" si="1"/>
        <v>0</v>
      </c>
      <c r="G14" s="1235"/>
      <c r="H14" s="1235"/>
      <c r="I14" s="1235"/>
      <c r="J14" s="1235"/>
      <c r="K14" s="1235"/>
      <c r="L14" s="1235"/>
      <c r="M14" s="1235"/>
      <c r="N14" s="1235"/>
      <c r="O14" s="1235"/>
      <c r="P14" s="1235"/>
      <c r="Q14" s="1235"/>
      <c r="R14" s="1235"/>
      <c r="S14" s="1235"/>
      <c r="T14" s="1235"/>
      <c r="U14" s="1235"/>
      <c r="V14" s="1235"/>
      <c r="W14" s="1235"/>
      <c r="X14" s="620"/>
      <c r="Y14" s="1223"/>
      <c r="Z14" s="1214">
        <f>IF(ISNA(VLOOKUP(Y14,Tabelle1!$C$179:$Q$203,15,0)),0,VLOOKUP(Y14,Tabelle1!$C$179:$Q$203,15,0))</f>
        <v>0</v>
      </c>
      <c r="AA14" s="1214">
        <f>L81</f>
        <v>0</v>
      </c>
      <c r="AB14" s="1215">
        <f>IF(AA14=0,0,Z14-AA14)</f>
        <v>0</v>
      </c>
      <c r="AC14" s="1216">
        <f>IF(ISNA(Tabelle1!U165),0,Tabelle1!X165)</f>
        <v>0</v>
      </c>
      <c r="AD14" s="1216">
        <f>IF(ISNA(Tabelle1!U165),0,Tabelle1!Y165)</f>
        <v>0</v>
      </c>
      <c r="AE14" s="1224">
        <f>IF(ISNA(Tabelle1!U165),0,Tabelle1!Z165)</f>
        <v>0</v>
      </c>
      <c r="AF14" s="1224">
        <f>IF(ISNA(Tabelle1!U165),0,Tabelle1!AA165)</f>
        <v>0</v>
      </c>
      <c r="AG14" s="1224">
        <f>IF(ISNA(Tabelle1!U165),0,Tabelle1!AB165)</f>
        <v>0</v>
      </c>
      <c r="AH14" s="1218">
        <f>IF(ISNA(Tabelle1!U165),0,Tabelle1!AC165)</f>
        <v>0</v>
      </c>
      <c r="AI14" s="1219" t="str">
        <f t="shared" ref="AI14:AI21" si="2">IF(AA14&gt;Z14,"Mehr verplant als vorhanden!",IF(AA14&lt;Z14,"Noch Dünger im Bestand!","Ok!"))</f>
        <v>Ok!</v>
      </c>
      <c r="AJ14" s="1215">
        <f>L$107</f>
        <v>0</v>
      </c>
      <c r="AK14" s="213"/>
      <c r="AL14" s="214"/>
    </row>
    <row r="15" spans="1:38" ht="27.15" customHeight="1">
      <c r="A15" s="1230">
        <f>N_Bedarf!C12</f>
        <v>0</v>
      </c>
      <c r="B15" s="1231">
        <f>N_Bedarf!E12</f>
        <v>0</v>
      </c>
      <c r="C15" s="1232">
        <f>N_Bedarf!F12</f>
        <v>0</v>
      </c>
      <c r="D15" s="1233">
        <f>N_Bedarf!I12</f>
        <v>0</v>
      </c>
      <c r="E15" s="1228">
        <f t="shared" si="0"/>
        <v>0</v>
      </c>
      <c r="F15" s="1234">
        <f t="shared" si="1"/>
        <v>0</v>
      </c>
      <c r="G15" s="1235"/>
      <c r="H15" s="1235"/>
      <c r="I15" s="1235"/>
      <c r="J15" s="1235"/>
      <c r="K15" s="1235"/>
      <c r="L15" s="1235"/>
      <c r="M15" s="1235"/>
      <c r="N15" s="1235"/>
      <c r="O15" s="1235"/>
      <c r="P15" s="1235"/>
      <c r="Q15" s="1235"/>
      <c r="R15" s="1235"/>
      <c r="S15" s="1235"/>
      <c r="T15" s="1235"/>
      <c r="U15" s="1235"/>
      <c r="V15" s="1235"/>
      <c r="W15" s="1235"/>
      <c r="X15" s="620"/>
      <c r="Y15" s="1223"/>
      <c r="Z15" s="1214">
        <f>IF(ISNA(VLOOKUP(Y15,Tabelle1!$C$179:$Q$203,15,0)),0,VLOOKUP(Y15,Tabelle1!$C$179:$Q$203,15,0))</f>
        <v>0</v>
      </c>
      <c r="AA15" s="1214">
        <f>M81</f>
        <v>0</v>
      </c>
      <c r="AB15" s="1215">
        <f t="shared" ref="AB15:AB21" si="3">IF(AA15=0,0,Z15-AA15)</f>
        <v>0</v>
      </c>
      <c r="AC15" s="1216">
        <f>IF(ISNA(Tabelle1!U166),0,Tabelle1!X166)</f>
        <v>0</v>
      </c>
      <c r="AD15" s="1216">
        <f>IF(ISNA(Tabelle1!U166),0,Tabelle1!Y166)</f>
        <v>0</v>
      </c>
      <c r="AE15" s="1224">
        <f>IF(ISNA(Tabelle1!U166),0,Tabelle1!Z166)</f>
        <v>0</v>
      </c>
      <c r="AF15" s="1224">
        <f>IF(ISNA(Tabelle1!U166),0,Tabelle1!AA166)</f>
        <v>0</v>
      </c>
      <c r="AG15" s="1224">
        <f>IF(ISNA(Tabelle1!U166),0,Tabelle1!AB166)</f>
        <v>0</v>
      </c>
      <c r="AH15" s="1218">
        <f>IF(ISNA(Tabelle1!U166),0,Tabelle1!AC166)</f>
        <v>0</v>
      </c>
      <c r="AI15" s="1219" t="str">
        <f t="shared" si="2"/>
        <v>Ok!</v>
      </c>
      <c r="AJ15" s="1215">
        <f>M$107</f>
        <v>0</v>
      </c>
      <c r="AK15" s="213"/>
      <c r="AL15" s="214"/>
    </row>
    <row r="16" spans="1:38" ht="27.15" customHeight="1">
      <c r="A16" s="1230">
        <f>N_Bedarf!C13</f>
        <v>0</v>
      </c>
      <c r="B16" s="1231">
        <f>N_Bedarf!E13</f>
        <v>0</v>
      </c>
      <c r="C16" s="1232">
        <f>N_Bedarf!F13</f>
        <v>0</v>
      </c>
      <c r="D16" s="1233">
        <f>N_Bedarf!I13</f>
        <v>0</v>
      </c>
      <c r="E16" s="1228">
        <f t="shared" si="0"/>
        <v>0</v>
      </c>
      <c r="F16" s="1234">
        <f t="shared" si="1"/>
        <v>0</v>
      </c>
      <c r="G16" s="1235"/>
      <c r="H16" s="1235"/>
      <c r="I16" s="1235"/>
      <c r="J16" s="1235"/>
      <c r="K16" s="1235"/>
      <c r="L16" s="1235"/>
      <c r="M16" s="1235"/>
      <c r="N16" s="1235"/>
      <c r="O16" s="1235"/>
      <c r="P16" s="1235"/>
      <c r="Q16" s="1235"/>
      <c r="R16" s="1235"/>
      <c r="S16" s="1235"/>
      <c r="T16" s="1235"/>
      <c r="U16" s="1235"/>
      <c r="V16" s="1235"/>
      <c r="W16" s="1235"/>
      <c r="X16" s="620"/>
      <c r="Y16" s="1223"/>
      <c r="Z16" s="1214">
        <f>IF(ISNA(VLOOKUP(Y16,Tabelle1!$C$179:$Q$203,15,0)),0,VLOOKUP(Y16,Tabelle1!$C$179:$Q$203,15,0))</f>
        <v>0</v>
      </c>
      <c r="AA16" s="1214">
        <f>N81</f>
        <v>0</v>
      </c>
      <c r="AB16" s="1215">
        <f t="shared" si="3"/>
        <v>0</v>
      </c>
      <c r="AC16" s="1216">
        <f>IF(ISNA(Tabelle1!U167),0,Tabelle1!X167)</f>
        <v>0</v>
      </c>
      <c r="AD16" s="1216">
        <f>IF(ISNA(Tabelle1!U167),0,Tabelle1!Y167)</f>
        <v>0</v>
      </c>
      <c r="AE16" s="1224">
        <f>IF(ISNA(Tabelle1!U167),0,Tabelle1!Z167)</f>
        <v>0</v>
      </c>
      <c r="AF16" s="1224">
        <f>IF(ISNA(Tabelle1!U167),0,Tabelle1!AA167)</f>
        <v>0</v>
      </c>
      <c r="AG16" s="1224">
        <f>IF(ISNA(Tabelle1!U167),0,Tabelle1!AB167)</f>
        <v>0</v>
      </c>
      <c r="AH16" s="1218">
        <f>IF(ISNA(Tabelle1!U167),0,Tabelle1!AC167)</f>
        <v>0</v>
      </c>
      <c r="AI16" s="1219" t="str">
        <f t="shared" si="2"/>
        <v>Ok!</v>
      </c>
      <c r="AJ16" s="1215">
        <f>N$107</f>
        <v>0</v>
      </c>
      <c r="AK16" s="213"/>
      <c r="AL16" s="214"/>
    </row>
    <row r="17" spans="1:38" ht="27.15" customHeight="1">
      <c r="A17" s="1230">
        <f>N_Bedarf!C14</f>
        <v>0</v>
      </c>
      <c r="B17" s="1231">
        <f>N_Bedarf!E14</f>
        <v>0</v>
      </c>
      <c r="C17" s="1232">
        <f>N_Bedarf!F14</f>
        <v>0</v>
      </c>
      <c r="D17" s="1233">
        <f>N_Bedarf!I14</f>
        <v>0</v>
      </c>
      <c r="E17" s="1228">
        <f t="shared" si="0"/>
        <v>0</v>
      </c>
      <c r="F17" s="1234">
        <f t="shared" si="1"/>
        <v>0</v>
      </c>
      <c r="G17" s="1235"/>
      <c r="H17" s="1235"/>
      <c r="I17" s="1235"/>
      <c r="J17" s="1235"/>
      <c r="K17" s="1235"/>
      <c r="L17" s="1235"/>
      <c r="M17" s="1235"/>
      <c r="N17" s="1235"/>
      <c r="O17" s="1235"/>
      <c r="P17" s="1235"/>
      <c r="Q17" s="1235"/>
      <c r="R17" s="1235"/>
      <c r="S17" s="1235"/>
      <c r="T17" s="1235"/>
      <c r="U17" s="1235"/>
      <c r="V17" s="1235"/>
      <c r="W17" s="1235"/>
      <c r="X17" s="620"/>
      <c r="Y17" s="1223"/>
      <c r="Z17" s="1214">
        <f>IF(ISNA(VLOOKUP(Y17,Tabelle1!$C$179:$Q$203,15,0)),0,VLOOKUP(Y17,Tabelle1!$C$179:$Q$203,15,0))</f>
        <v>0</v>
      </c>
      <c r="AA17" s="1214">
        <f>O81</f>
        <v>0</v>
      </c>
      <c r="AB17" s="1215">
        <f t="shared" si="3"/>
        <v>0</v>
      </c>
      <c r="AC17" s="1216">
        <f>IF(ISNA(Tabelle1!U168),0,Tabelle1!X168)</f>
        <v>0</v>
      </c>
      <c r="AD17" s="1216">
        <f>IF(ISNA(Tabelle1!U168),0,Tabelle1!Y168)</f>
        <v>0</v>
      </c>
      <c r="AE17" s="1224">
        <f>IF(ISNA(Tabelle1!U168),0,Tabelle1!Z168)</f>
        <v>0</v>
      </c>
      <c r="AF17" s="1224">
        <f>IF(ISNA(Tabelle1!U168),0,Tabelle1!AA168)</f>
        <v>0</v>
      </c>
      <c r="AG17" s="1224">
        <f>IF(ISNA(Tabelle1!U168),0,Tabelle1!AB168)</f>
        <v>0</v>
      </c>
      <c r="AH17" s="1218">
        <f>IF(ISNA(Tabelle1!U168),0,Tabelle1!AC168)</f>
        <v>0</v>
      </c>
      <c r="AI17" s="1219" t="str">
        <f t="shared" si="2"/>
        <v>Ok!</v>
      </c>
      <c r="AJ17" s="1215">
        <f>O$107</f>
        <v>0</v>
      </c>
      <c r="AK17" s="213"/>
      <c r="AL17" s="214"/>
    </row>
    <row r="18" spans="1:38" ht="27.15" customHeight="1">
      <c r="A18" s="1230">
        <f>N_Bedarf!C15</f>
        <v>0</v>
      </c>
      <c r="B18" s="1231">
        <f>N_Bedarf!E15</f>
        <v>0</v>
      </c>
      <c r="C18" s="1232">
        <f>N_Bedarf!F15</f>
        <v>0</v>
      </c>
      <c r="D18" s="1233">
        <f>N_Bedarf!I15</f>
        <v>0</v>
      </c>
      <c r="E18" s="1228">
        <f t="shared" si="0"/>
        <v>0</v>
      </c>
      <c r="F18" s="1234">
        <f t="shared" si="1"/>
        <v>0</v>
      </c>
      <c r="G18" s="1235"/>
      <c r="H18" s="1235"/>
      <c r="I18" s="1235"/>
      <c r="J18" s="1235"/>
      <c r="K18" s="1235"/>
      <c r="L18" s="1235"/>
      <c r="M18" s="1235"/>
      <c r="N18" s="1235"/>
      <c r="O18" s="1235"/>
      <c r="P18" s="1235"/>
      <c r="Q18" s="1235"/>
      <c r="R18" s="1235"/>
      <c r="S18" s="1235"/>
      <c r="T18" s="1235"/>
      <c r="U18" s="1235"/>
      <c r="V18" s="1235"/>
      <c r="W18" s="1235"/>
      <c r="X18" s="620"/>
      <c r="Y18" s="1223"/>
      <c r="Z18" s="1214">
        <f>IF(ISNA(VLOOKUP(Y18,Tabelle1!$C$179:$Q$203,15,0)),0,VLOOKUP(Y18,Tabelle1!$C$179:$Q$203,15,0))</f>
        <v>0</v>
      </c>
      <c r="AA18" s="1214">
        <f>P81</f>
        <v>0</v>
      </c>
      <c r="AB18" s="1215">
        <f t="shared" si="3"/>
        <v>0</v>
      </c>
      <c r="AC18" s="1216">
        <f>IF(ISNA(Tabelle1!U169),0,Tabelle1!X169)</f>
        <v>0</v>
      </c>
      <c r="AD18" s="1216">
        <f>IF(ISNA(Tabelle1!U169),0,Tabelle1!Y169)</f>
        <v>0</v>
      </c>
      <c r="AE18" s="1224">
        <f>IF(ISNA(Tabelle1!U169),0,Tabelle1!Z169)</f>
        <v>0</v>
      </c>
      <c r="AF18" s="1224">
        <f>IF(ISNA(Tabelle1!U169),0,Tabelle1!AA169)</f>
        <v>0</v>
      </c>
      <c r="AG18" s="1224">
        <f>IF(ISNA(Tabelle1!U169),0,Tabelle1!AB169)</f>
        <v>0</v>
      </c>
      <c r="AH18" s="1218">
        <f>IF(ISNA(Tabelle1!U169),0,Tabelle1!AC169)</f>
        <v>0</v>
      </c>
      <c r="AI18" s="1219" t="str">
        <f t="shared" si="2"/>
        <v>Ok!</v>
      </c>
      <c r="AJ18" s="1215">
        <f>P$107</f>
        <v>0</v>
      </c>
      <c r="AK18" s="213"/>
      <c r="AL18" s="214"/>
    </row>
    <row r="19" spans="1:38" ht="27.15" customHeight="1">
      <c r="A19" s="1230">
        <f>N_Bedarf!C16</f>
        <v>0</v>
      </c>
      <c r="B19" s="1231">
        <f>N_Bedarf!E16</f>
        <v>0</v>
      </c>
      <c r="C19" s="1232">
        <f>N_Bedarf!F16</f>
        <v>0</v>
      </c>
      <c r="D19" s="1233">
        <f>N_Bedarf!I16</f>
        <v>0</v>
      </c>
      <c r="E19" s="1228">
        <f t="shared" si="0"/>
        <v>0</v>
      </c>
      <c r="F19" s="1234">
        <f t="shared" si="1"/>
        <v>0</v>
      </c>
      <c r="G19" s="1235"/>
      <c r="H19" s="1235"/>
      <c r="I19" s="1235"/>
      <c r="J19" s="1235"/>
      <c r="K19" s="1235"/>
      <c r="L19" s="1235"/>
      <c r="M19" s="1235"/>
      <c r="N19" s="1235"/>
      <c r="O19" s="1235"/>
      <c r="P19" s="1235"/>
      <c r="Q19" s="1235"/>
      <c r="R19" s="1235"/>
      <c r="S19" s="1235"/>
      <c r="T19" s="1235"/>
      <c r="U19" s="1235"/>
      <c r="V19" s="1235"/>
      <c r="W19" s="1235"/>
      <c r="X19" s="620"/>
      <c r="Y19" s="1223"/>
      <c r="Z19" s="1214">
        <f>IF(ISNA(VLOOKUP(Y19,Tabelle1!$C$179:$Q$203,15,0)),0,VLOOKUP(Y19,Tabelle1!$C$179:$Q$203,15,0))</f>
        <v>0</v>
      </c>
      <c r="AA19" s="1214">
        <f>Q81</f>
        <v>0</v>
      </c>
      <c r="AB19" s="1215">
        <f t="shared" si="3"/>
        <v>0</v>
      </c>
      <c r="AC19" s="1216">
        <f>IF(ISNA(Tabelle1!U170),0,Tabelle1!X170)</f>
        <v>0</v>
      </c>
      <c r="AD19" s="1216">
        <f>IF(ISNA(Tabelle1!U170),0,Tabelle1!Y170)</f>
        <v>0</v>
      </c>
      <c r="AE19" s="1224">
        <f>IF(ISNA(Tabelle1!U170),0,Tabelle1!Z170)</f>
        <v>0</v>
      </c>
      <c r="AF19" s="1224">
        <f>IF(ISNA(Tabelle1!U170),0,Tabelle1!AA170)</f>
        <v>0</v>
      </c>
      <c r="AG19" s="1224">
        <f>IF(ISNA(Tabelle1!U170),0,Tabelle1!AB170)</f>
        <v>0</v>
      </c>
      <c r="AH19" s="1218">
        <f>IF(ISNA(Tabelle1!U170),0,Tabelle1!AC170)</f>
        <v>0</v>
      </c>
      <c r="AI19" s="1219" t="str">
        <f t="shared" si="2"/>
        <v>Ok!</v>
      </c>
      <c r="AJ19" s="1215">
        <f>Q$107</f>
        <v>0</v>
      </c>
      <c r="AK19" s="213"/>
      <c r="AL19" s="214"/>
    </row>
    <row r="20" spans="1:38" ht="27.15" customHeight="1">
      <c r="A20" s="1230">
        <f>N_Bedarf!C17</f>
        <v>0</v>
      </c>
      <c r="B20" s="1231">
        <f>N_Bedarf!E17</f>
        <v>0</v>
      </c>
      <c r="C20" s="1232">
        <f>N_Bedarf!F17</f>
        <v>0</v>
      </c>
      <c r="D20" s="1233">
        <f>N_Bedarf!I17</f>
        <v>0</v>
      </c>
      <c r="E20" s="1228">
        <f t="shared" si="0"/>
        <v>0</v>
      </c>
      <c r="F20" s="1234">
        <f t="shared" si="1"/>
        <v>0</v>
      </c>
      <c r="G20" s="1235"/>
      <c r="H20" s="1235"/>
      <c r="I20" s="1235"/>
      <c r="J20" s="1235"/>
      <c r="K20" s="1235"/>
      <c r="L20" s="1235"/>
      <c r="M20" s="1235"/>
      <c r="N20" s="1235"/>
      <c r="O20" s="1235"/>
      <c r="P20" s="1235"/>
      <c r="Q20" s="1235"/>
      <c r="R20" s="1235"/>
      <c r="S20" s="1235"/>
      <c r="T20" s="1235"/>
      <c r="U20" s="1235"/>
      <c r="V20" s="1235"/>
      <c r="W20" s="1235"/>
      <c r="X20" s="620"/>
      <c r="Y20" s="1223"/>
      <c r="Z20" s="1214">
        <f>IF(ISNA(VLOOKUP(Y20,Tabelle1!$C$179:$Q$203,15,0)),0,VLOOKUP(Y20,Tabelle1!$C$179:$Q$203,15,0))</f>
        <v>0</v>
      </c>
      <c r="AA20" s="1214">
        <f>R81</f>
        <v>0</v>
      </c>
      <c r="AB20" s="1215">
        <f t="shared" si="3"/>
        <v>0</v>
      </c>
      <c r="AC20" s="1216">
        <f>IF(ISNA(Tabelle1!U171),0,Tabelle1!X171)</f>
        <v>0</v>
      </c>
      <c r="AD20" s="1216">
        <f>IF(ISNA(Tabelle1!U171),0,Tabelle1!Y171)</f>
        <v>0</v>
      </c>
      <c r="AE20" s="1224">
        <f>IF(ISNA(Tabelle1!U171),0,Tabelle1!Z171)</f>
        <v>0</v>
      </c>
      <c r="AF20" s="1224">
        <f>IF(ISNA(Tabelle1!U171),0,Tabelle1!AA171)</f>
        <v>0</v>
      </c>
      <c r="AG20" s="1224">
        <f>IF(ISNA(Tabelle1!U171),0,Tabelle1!AB171)</f>
        <v>0</v>
      </c>
      <c r="AH20" s="1218">
        <f>IF(ISNA(Tabelle1!U171),0,Tabelle1!AC171)</f>
        <v>0</v>
      </c>
      <c r="AI20" s="1219" t="str">
        <f t="shared" si="2"/>
        <v>Ok!</v>
      </c>
      <c r="AJ20" s="1215">
        <f>R$107</f>
        <v>0</v>
      </c>
      <c r="AK20" s="213"/>
      <c r="AL20" s="214"/>
    </row>
    <row r="21" spans="1:38" ht="27.15" customHeight="1">
      <c r="A21" s="1230" t="str">
        <f>N_Bedarf!C18</f>
        <v>diverse Grünbrachen zB Biodiv.</v>
      </c>
      <c r="B21" s="1231">
        <f>N_Bedarf!E18</f>
        <v>0</v>
      </c>
      <c r="C21" s="1232">
        <f>N_Bedarf!F18</f>
        <v>0</v>
      </c>
      <c r="D21" s="1233">
        <f>N_Bedarf!I18</f>
        <v>0</v>
      </c>
      <c r="E21" s="1228">
        <f t="shared" si="0"/>
        <v>0</v>
      </c>
      <c r="F21" s="1234">
        <f t="shared" si="1"/>
        <v>0</v>
      </c>
      <c r="G21" s="1235"/>
      <c r="H21" s="1235"/>
      <c r="I21" s="1235"/>
      <c r="J21" s="1235"/>
      <c r="K21" s="1235"/>
      <c r="L21" s="1235"/>
      <c r="M21" s="1235"/>
      <c r="N21" s="1235"/>
      <c r="O21" s="1235"/>
      <c r="P21" s="1235"/>
      <c r="Q21" s="1235"/>
      <c r="R21" s="1235"/>
      <c r="S21" s="1235"/>
      <c r="T21" s="1235"/>
      <c r="U21" s="1235"/>
      <c r="V21" s="1235"/>
      <c r="W21" s="1235"/>
      <c r="X21" s="620"/>
      <c r="Y21" s="1223"/>
      <c r="Z21" s="1214">
        <f>IF(ISNA(VLOOKUP(Y21,Tabelle1!$C$179:$Q$203,15,0)),0,VLOOKUP(Y21,Tabelle1!$C$179:$Q$203,15,0))</f>
        <v>0</v>
      </c>
      <c r="AA21" s="1214">
        <f>S81</f>
        <v>0</v>
      </c>
      <c r="AB21" s="1215">
        <f t="shared" si="3"/>
        <v>0</v>
      </c>
      <c r="AC21" s="1216">
        <f>IF(ISNA(Tabelle1!U172),0,Tabelle1!X172)</f>
        <v>0</v>
      </c>
      <c r="AD21" s="1216">
        <f>IF(ISNA(Tabelle1!U172),0,Tabelle1!Y172)</f>
        <v>0</v>
      </c>
      <c r="AE21" s="1224">
        <f>IF(ISNA(Tabelle1!U172),0,Tabelle1!Z172)</f>
        <v>0</v>
      </c>
      <c r="AF21" s="1224">
        <f>IF(ISNA(Tabelle1!U172),0,Tabelle1!AA172)</f>
        <v>0</v>
      </c>
      <c r="AG21" s="1224">
        <f>IF(ISNA(Tabelle1!U172),0,Tabelle1!AB172)</f>
        <v>0</v>
      </c>
      <c r="AH21" s="1218">
        <f>IF(ISNA(Tabelle1!U172),0,Tabelle1!AC172)</f>
        <v>0</v>
      </c>
      <c r="AI21" s="1219" t="str">
        <f t="shared" si="2"/>
        <v>Ok!</v>
      </c>
      <c r="AJ21" s="1215">
        <f>S$107</f>
        <v>0</v>
      </c>
      <c r="AK21" s="213"/>
      <c r="AL21" s="214"/>
    </row>
    <row r="22" spans="1:38" ht="22.5" customHeight="1">
      <c r="A22" s="1236" t="s">
        <v>1818</v>
      </c>
      <c r="B22" s="1237"/>
      <c r="C22" s="1238"/>
      <c r="D22" s="1239"/>
      <c r="E22" s="1240"/>
      <c r="F22" s="1241"/>
      <c r="G22" s="1242"/>
      <c r="H22" s="1242"/>
      <c r="I22" s="1242"/>
      <c r="J22" s="1242"/>
      <c r="K22" s="1242"/>
      <c r="L22" s="1242"/>
      <c r="M22" s="1242"/>
      <c r="N22" s="1242"/>
      <c r="O22" s="1242"/>
      <c r="P22" s="1242"/>
      <c r="Q22" s="1242"/>
      <c r="R22" s="1242"/>
      <c r="S22" s="1242"/>
      <c r="T22" s="1242"/>
      <c r="U22" s="1242"/>
      <c r="V22" s="1242"/>
      <c r="W22" s="1242"/>
      <c r="X22" s="620"/>
      <c r="Y22" s="1225" t="s">
        <v>663</v>
      </c>
      <c r="Z22" s="1221"/>
      <c r="AA22" s="1221"/>
      <c r="AB22" s="1221"/>
      <c r="AC22" s="1221"/>
      <c r="AD22" s="1221"/>
      <c r="AE22" s="1221"/>
      <c r="AF22" s="1221"/>
      <c r="AG22" s="1221"/>
      <c r="AH22" s="1221"/>
      <c r="AI22" s="1222"/>
      <c r="AJ22" s="1221"/>
      <c r="AK22" s="213"/>
      <c r="AL22" s="214"/>
    </row>
    <row r="23" spans="1:38" ht="29.25" customHeight="1">
      <c r="A23" s="1243">
        <f>N_Bedarf!C20</f>
        <v>0</v>
      </c>
      <c r="B23" s="1231">
        <f>N_Bedarf!E20</f>
        <v>0</v>
      </c>
      <c r="C23" s="1232">
        <f>N_Bedarf!F20</f>
        <v>0</v>
      </c>
      <c r="D23" s="1233">
        <f>N_Bedarf!I20</f>
        <v>0</v>
      </c>
      <c r="E23" s="1228">
        <f t="shared" ref="E23:E28" si="4">F52</f>
        <v>0</v>
      </c>
      <c r="F23" s="1234">
        <f t="shared" ref="F23:F28" si="5">E23-D23</f>
        <v>0</v>
      </c>
      <c r="G23" s="1235"/>
      <c r="H23" s="1235"/>
      <c r="I23" s="1235"/>
      <c r="J23" s="1235"/>
      <c r="K23" s="1235"/>
      <c r="L23" s="1235"/>
      <c r="M23" s="1235"/>
      <c r="N23" s="1235"/>
      <c r="O23" s="1235"/>
      <c r="P23" s="1235"/>
      <c r="Q23" s="1235"/>
      <c r="R23" s="1235"/>
      <c r="S23" s="1235"/>
      <c r="T23" s="1235"/>
      <c r="U23" s="1235"/>
      <c r="V23" s="1235"/>
      <c r="W23" s="1235"/>
      <c r="X23" s="620"/>
      <c r="Y23" s="1226"/>
      <c r="Z23" s="1214">
        <f>IF(ISNA(Tabelle1!W174),0,Tabelle1!W174)</f>
        <v>0</v>
      </c>
      <c r="AA23" s="1214">
        <f>T81</f>
        <v>0</v>
      </c>
      <c r="AB23" s="1215">
        <f>IF(AA23=0,0,Z23-AA23)</f>
        <v>0</v>
      </c>
      <c r="AC23" s="1216">
        <f>IF(ISNA(Tabelle1!U174),0,Tabelle1!X174)</f>
        <v>0</v>
      </c>
      <c r="AD23" s="1216">
        <f>IF(ISNA(Tabelle1!U174),0,Tabelle1!Y174)</f>
        <v>0</v>
      </c>
      <c r="AE23" s="1224">
        <f>IF(ISNA(Tabelle1!U174),0,Tabelle1!Z174)</f>
        <v>0</v>
      </c>
      <c r="AF23" s="1224">
        <f>IF(ISNA(Tabelle1!U174),0,Tabelle1!AA174)</f>
        <v>0</v>
      </c>
      <c r="AG23" s="1224">
        <f>IF(ISNA(Tabelle1!U174),0,Tabelle1!AB174)</f>
        <v>0</v>
      </c>
      <c r="AH23" s="1218">
        <f>IF(ISNA(Tabelle1!U174),0,Tabelle1!AC174)</f>
        <v>0</v>
      </c>
      <c r="AI23" s="1219" t="str">
        <f>IF(AA23&gt;Z23,"Mehr verplant als vorhanden!",IF(AA23&lt;Z23,"Noch Dünger im Bestand!","Ok!"))</f>
        <v>Ok!</v>
      </c>
      <c r="AJ23" s="1215">
        <f>T$107</f>
        <v>0</v>
      </c>
      <c r="AK23" s="213"/>
      <c r="AL23" s="214"/>
    </row>
    <row r="24" spans="1:38" ht="29.25" customHeight="1">
      <c r="A24" s="1243">
        <f>N_Bedarf!C21</f>
        <v>0</v>
      </c>
      <c r="B24" s="1231">
        <f>N_Bedarf!E21</f>
        <v>0</v>
      </c>
      <c r="C24" s="1232">
        <f>N_Bedarf!F21</f>
        <v>0</v>
      </c>
      <c r="D24" s="1233">
        <f>N_Bedarf!I21</f>
        <v>0</v>
      </c>
      <c r="E24" s="1228">
        <f t="shared" si="4"/>
        <v>0</v>
      </c>
      <c r="F24" s="1234">
        <f t="shared" si="5"/>
        <v>0</v>
      </c>
      <c r="G24" s="1235"/>
      <c r="H24" s="1235"/>
      <c r="I24" s="1235"/>
      <c r="J24" s="1235"/>
      <c r="K24" s="1235"/>
      <c r="L24" s="1235"/>
      <c r="M24" s="1235"/>
      <c r="N24" s="1235"/>
      <c r="O24" s="1235"/>
      <c r="P24" s="1235"/>
      <c r="Q24" s="1235"/>
      <c r="R24" s="1235"/>
      <c r="S24" s="1235"/>
      <c r="T24" s="1235"/>
      <c r="U24" s="1235"/>
      <c r="V24" s="1235"/>
      <c r="W24" s="1235"/>
      <c r="X24" s="620"/>
      <c r="Y24" s="1226"/>
      <c r="Z24" s="1214">
        <f>IF(ISNA(Tabelle1!W175),0,Tabelle1!W175)</f>
        <v>0</v>
      </c>
      <c r="AA24" s="1214">
        <f>U81</f>
        <v>0</v>
      </c>
      <c r="AB24" s="1215">
        <f>IF(AA24=0,0,Z24-AA24)</f>
        <v>0</v>
      </c>
      <c r="AC24" s="1227">
        <f>Tabelle1!X175</f>
        <v>0</v>
      </c>
      <c r="AD24" s="1216">
        <f>Tabelle1!Y175</f>
        <v>0</v>
      </c>
      <c r="AE24" s="1224">
        <f>Tabelle1!Z175</f>
        <v>0</v>
      </c>
      <c r="AF24" s="1224">
        <f>Tabelle1!AA175</f>
        <v>0</v>
      </c>
      <c r="AG24" s="1224">
        <f>Tabelle1!AB175</f>
        <v>0</v>
      </c>
      <c r="AH24" s="1218">
        <f>Tabelle1!AC175</f>
        <v>0</v>
      </c>
      <c r="AI24" s="1219" t="str">
        <f>IF(AA24&gt;Z24,"Mehr verplant als vorhanden!",IF(AA24&lt;Z24,"Noch Dünger im Bestand!","Ok!"))</f>
        <v>Ok!</v>
      </c>
      <c r="AJ24" s="1215">
        <f>U$107</f>
        <v>0</v>
      </c>
      <c r="AK24" s="213"/>
      <c r="AL24" s="214"/>
    </row>
    <row r="25" spans="1:38" ht="29.25" customHeight="1">
      <c r="A25" s="1243">
        <f>N_Bedarf!C22</f>
        <v>0</v>
      </c>
      <c r="B25" s="1231">
        <f>N_Bedarf!E22</f>
        <v>0</v>
      </c>
      <c r="C25" s="1232">
        <f>N_Bedarf!F22</f>
        <v>0</v>
      </c>
      <c r="D25" s="1233">
        <f>N_Bedarf!I22</f>
        <v>0</v>
      </c>
      <c r="E25" s="1228">
        <f t="shared" si="4"/>
        <v>0</v>
      </c>
      <c r="F25" s="1234">
        <f t="shared" si="5"/>
        <v>0</v>
      </c>
      <c r="G25" s="1235"/>
      <c r="H25" s="1235"/>
      <c r="I25" s="1235"/>
      <c r="J25" s="1235"/>
      <c r="K25" s="1235"/>
      <c r="L25" s="1235"/>
      <c r="M25" s="1235"/>
      <c r="N25" s="1235"/>
      <c r="O25" s="1235"/>
      <c r="P25" s="1235"/>
      <c r="Q25" s="1235"/>
      <c r="R25" s="1235"/>
      <c r="S25" s="1235"/>
      <c r="T25" s="1235"/>
      <c r="U25" s="1235"/>
      <c r="V25" s="1235"/>
      <c r="W25" s="1235"/>
      <c r="X25" s="620"/>
      <c r="Y25" s="1226"/>
      <c r="Z25" s="1214">
        <f>IF(ISNA(Tabelle1!W176),0,Tabelle1!W176)</f>
        <v>0</v>
      </c>
      <c r="AA25" s="1214">
        <f>V81</f>
        <v>0</v>
      </c>
      <c r="AB25" s="1215">
        <f>IF(AA25=0,0,Z25-AA25)</f>
        <v>0</v>
      </c>
      <c r="AC25" s="1227">
        <f>Tabelle1!X176</f>
        <v>0</v>
      </c>
      <c r="AD25" s="1216">
        <f>Tabelle1!Y176</f>
        <v>0</v>
      </c>
      <c r="AE25" s="1224">
        <f>Tabelle1!Z176</f>
        <v>0</v>
      </c>
      <c r="AF25" s="1224">
        <f>Tabelle1!AA176</f>
        <v>0</v>
      </c>
      <c r="AG25" s="1224">
        <f>Tabelle1!AB176</f>
        <v>0</v>
      </c>
      <c r="AH25" s="1218">
        <f>Tabelle1!AC176</f>
        <v>0</v>
      </c>
      <c r="AI25" s="1219" t="str">
        <f>IF(AA25&gt;Z25,"Mehr verplant als vorhanden!",IF(AA25&lt;Z25,"Noch Dünger im Bestand!","Ok!"))</f>
        <v>Ok!</v>
      </c>
      <c r="AJ25" s="1215">
        <f>V$107</f>
        <v>0</v>
      </c>
      <c r="AK25" s="213"/>
      <c r="AL25" s="214"/>
    </row>
    <row r="26" spans="1:38" ht="29.25" customHeight="1">
      <c r="A26" s="1243">
        <f>N_Bedarf!C23</f>
        <v>0</v>
      </c>
      <c r="B26" s="1231">
        <f>N_Bedarf!E23</f>
        <v>0</v>
      </c>
      <c r="C26" s="1232">
        <f>N_Bedarf!F23</f>
        <v>0</v>
      </c>
      <c r="D26" s="1233">
        <f>N_Bedarf!I23</f>
        <v>0</v>
      </c>
      <c r="E26" s="1228">
        <f t="shared" si="4"/>
        <v>0</v>
      </c>
      <c r="F26" s="1234">
        <f t="shared" si="5"/>
        <v>0</v>
      </c>
      <c r="G26" s="1235"/>
      <c r="H26" s="1235"/>
      <c r="I26" s="1235"/>
      <c r="J26" s="1235"/>
      <c r="K26" s="1235"/>
      <c r="L26" s="1235"/>
      <c r="M26" s="1235"/>
      <c r="N26" s="1235"/>
      <c r="O26" s="1235"/>
      <c r="P26" s="1235"/>
      <c r="Q26" s="1235"/>
      <c r="R26" s="1235"/>
      <c r="S26" s="1235"/>
      <c r="T26" s="1235"/>
      <c r="U26" s="1235"/>
      <c r="V26" s="1235"/>
      <c r="W26" s="1235"/>
      <c r="X26" s="620"/>
      <c r="Y26" s="1226"/>
      <c r="Z26" s="1214">
        <f>IF(ISNA(Tabelle1!W177),0,Tabelle1!W177)</f>
        <v>0</v>
      </c>
      <c r="AA26" s="1214">
        <f>W81</f>
        <v>0</v>
      </c>
      <c r="AB26" s="1215">
        <f>IF(AA26=0,0,Z26-AA26)</f>
        <v>0</v>
      </c>
      <c r="AC26" s="1227">
        <f>Tabelle1!X177</f>
        <v>0</v>
      </c>
      <c r="AD26" s="1216">
        <f>Tabelle1!Y177</f>
        <v>0</v>
      </c>
      <c r="AE26" s="1224">
        <f>Tabelle1!Z177</f>
        <v>0</v>
      </c>
      <c r="AF26" s="1224">
        <f>Tabelle1!AA177</f>
        <v>0</v>
      </c>
      <c r="AG26" s="1224">
        <f>Tabelle1!AB177</f>
        <v>0</v>
      </c>
      <c r="AH26" s="1218">
        <f>Tabelle1!AC177</f>
        <v>0</v>
      </c>
      <c r="AI26" s="1219" t="str">
        <f>IF(AA26&gt;Z26,"Mehr verplant als vorhanden!",IF(AA26&lt;Z26,"Noch Dünger im Bestand!","Ok!"))</f>
        <v>Ok!</v>
      </c>
      <c r="AJ26" s="1215">
        <f>W$107</f>
        <v>0</v>
      </c>
      <c r="AK26" s="213"/>
      <c r="AL26" s="214"/>
    </row>
    <row r="27" spans="1:38" ht="29.25" customHeight="1">
      <c r="A27" s="1243">
        <f>N_Bedarf!C24</f>
        <v>0</v>
      </c>
      <c r="B27" s="1231">
        <f>N_Bedarf!E24</f>
        <v>0</v>
      </c>
      <c r="C27" s="1232">
        <f>N_Bedarf!F24</f>
        <v>0</v>
      </c>
      <c r="D27" s="1233">
        <f>N_Bedarf!I24</f>
        <v>0</v>
      </c>
      <c r="E27" s="1228">
        <f t="shared" si="4"/>
        <v>0</v>
      </c>
      <c r="F27" s="1234">
        <f t="shared" si="5"/>
        <v>0</v>
      </c>
      <c r="G27" s="1235"/>
      <c r="H27" s="1235"/>
      <c r="I27" s="1235"/>
      <c r="J27" s="1235"/>
      <c r="K27" s="1235"/>
      <c r="L27" s="1235"/>
      <c r="M27" s="1235"/>
      <c r="N27" s="1235"/>
      <c r="O27" s="1235"/>
      <c r="P27" s="1235"/>
      <c r="Q27" s="1235"/>
      <c r="R27" s="1235"/>
      <c r="S27" s="1235"/>
      <c r="T27" s="1235"/>
      <c r="U27" s="1235"/>
      <c r="V27" s="1235"/>
      <c r="W27" s="1235"/>
      <c r="X27" s="620"/>
      <c r="Y27" s="1402"/>
      <c r="Z27" s="1402"/>
      <c r="AA27" s="1402"/>
      <c r="AB27" s="1402"/>
      <c r="AC27" s="1403"/>
      <c r="AD27" s="1403"/>
      <c r="AE27" s="1403"/>
      <c r="AF27" s="1404" t="s">
        <v>692</v>
      </c>
      <c r="AG27" s="3032">
        <f>N_Bedarf!M26</f>
        <v>0</v>
      </c>
      <c r="AH27" s="3033"/>
      <c r="AI27" s="1407" t="s">
        <v>701</v>
      </c>
      <c r="AJ27" s="1228">
        <f>Y107</f>
        <v>0</v>
      </c>
      <c r="AK27" s="213"/>
      <c r="AL27" s="214"/>
    </row>
    <row r="28" spans="1:38" ht="29.25" customHeight="1">
      <c r="A28" s="1243">
        <f>N_Bedarf!C25</f>
        <v>0</v>
      </c>
      <c r="B28" s="1231">
        <f>N_Bedarf!E25</f>
        <v>0</v>
      </c>
      <c r="C28" s="1232">
        <f>N_Bedarf!F25</f>
        <v>0</v>
      </c>
      <c r="D28" s="1233">
        <f>N_Bedarf!I25</f>
        <v>0</v>
      </c>
      <c r="E28" s="1228">
        <f t="shared" si="4"/>
        <v>0</v>
      </c>
      <c r="F28" s="1234">
        <f t="shared" si="5"/>
        <v>0</v>
      </c>
      <c r="G28" s="1235"/>
      <c r="H28" s="1235"/>
      <c r="I28" s="1235"/>
      <c r="J28" s="1235"/>
      <c r="K28" s="1235"/>
      <c r="L28" s="1235"/>
      <c r="M28" s="1235"/>
      <c r="N28" s="1235"/>
      <c r="O28" s="1235"/>
      <c r="P28" s="1235"/>
      <c r="Q28" s="1235"/>
      <c r="R28" s="1235"/>
      <c r="S28" s="1235"/>
      <c r="T28" s="1235"/>
      <c r="U28" s="1235"/>
      <c r="V28" s="1235"/>
      <c r="W28" s="1235"/>
      <c r="X28" s="620"/>
      <c r="Y28" s="1405"/>
      <c r="Z28" s="1405"/>
      <c r="AA28" s="1405"/>
      <c r="AB28" s="1405"/>
      <c r="AC28" s="1403"/>
      <c r="AD28" s="1403"/>
      <c r="AE28" s="1403"/>
      <c r="AF28" s="1406" t="s">
        <v>690</v>
      </c>
      <c r="AG28" s="3032">
        <f>N_Bedarf!J27</f>
        <v>0</v>
      </c>
      <c r="AH28" s="3033"/>
      <c r="AI28" s="1407" t="s">
        <v>700</v>
      </c>
      <c r="AJ28" s="1228">
        <f>Y58-N_Bedarf!J26</f>
        <v>0</v>
      </c>
      <c r="AK28" s="213"/>
      <c r="AL28" s="214"/>
    </row>
    <row r="29" spans="1:38" ht="30" customHeight="1">
      <c r="A29" s="213"/>
      <c r="B29" s="213"/>
      <c r="C29" s="213"/>
      <c r="D29" s="213"/>
      <c r="E29" s="213"/>
      <c r="F29" s="213"/>
      <c r="G29" s="213"/>
      <c r="H29" s="213"/>
      <c r="I29" s="213"/>
      <c r="J29" s="213"/>
      <c r="K29" s="213"/>
      <c r="L29" s="213"/>
      <c r="M29" s="213"/>
      <c r="N29" s="213"/>
      <c r="O29" s="213"/>
      <c r="P29" s="213"/>
      <c r="Q29" s="213"/>
      <c r="R29" s="213"/>
      <c r="S29" s="213"/>
      <c r="T29" s="213"/>
      <c r="U29" s="213"/>
      <c r="V29" s="213"/>
      <c r="W29" s="213"/>
      <c r="X29" s="213"/>
      <c r="Y29" s="213"/>
      <c r="Z29" s="213"/>
      <c r="AA29" s="3030" t="str">
        <f>IF(AND(Z107=0,AJ27&gt;AG27),"* Der P-Mindeststandard ist ok, weil kein mineralischer Phosphor im Einsatz!",IF(AND(Z107&gt;0,AJ27&gt;AG27),"* Mehr Phosphordünger ist geplant als der P-Bedarf!",""))</f>
        <v/>
      </c>
      <c r="AB29" s="3030"/>
      <c r="AC29" s="3030"/>
      <c r="AD29" s="3030"/>
      <c r="AE29" s="3030"/>
      <c r="AF29" s="3030"/>
      <c r="AG29" s="3030"/>
      <c r="AH29" s="3030"/>
      <c r="AI29" s="3030"/>
      <c r="AJ29" s="3030"/>
      <c r="AK29" s="458"/>
    </row>
    <row r="30" spans="1:38" ht="24.75" customHeight="1">
      <c r="A30" s="214"/>
      <c r="B30" s="214"/>
      <c r="C30" s="214"/>
      <c r="D30" s="214"/>
      <c r="E30" s="214"/>
      <c r="F30" s="214"/>
      <c r="G30" s="214"/>
      <c r="H30" s="214"/>
      <c r="I30" s="214"/>
      <c r="J30" s="214"/>
      <c r="K30" s="214"/>
      <c r="L30" s="214"/>
      <c r="M30" s="214"/>
      <c r="N30" s="214"/>
      <c r="O30" s="214"/>
      <c r="P30" s="214"/>
      <c r="Q30" s="214"/>
      <c r="R30" s="214"/>
      <c r="S30" s="214"/>
      <c r="T30" s="214"/>
      <c r="U30" s="214"/>
      <c r="V30" s="214"/>
      <c r="W30" s="214"/>
      <c r="X30" s="214"/>
      <c r="Y30" s="214"/>
      <c r="Z30" s="214"/>
      <c r="AA30" s="214"/>
      <c r="AB30" s="214"/>
      <c r="AC30" s="214"/>
      <c r="AD30" s="214"/>
      <c r="AE30" s="214"/>
      <c r="AF30" s="214"/>
      <c r="AG30" s="214"/>
      <c r="AH30" s="214"/>
      <c r="AI30" s="214"/>
      <c r="AJ30" s="214"/>
      <c r="AK30" s="214"/>
    </row>
    <row r="31" spans="1:38" ht="54.75" customHeight="1">
      <c r="A31" s="213"/>
      <c r="B31" s="213"/>
      <c r="C31" s="213"/>
      <c r="D31" s="213"/>
      <c r="E31" s="213"/>
      <c r="F31" s="213"/>
      <c r="G31" s="622">
        <f t="shared" ref="G31:W31" si="6">G1</f>
        <v>0</v>
      </c>
      <c r="H31" s="622">
        <f t="shared" si="6"/>
        <v>0</v>
      </c>
      <c r="I31" s="622">
        <f t="shared" si="6"/>
        <v>0</v>
      </c>
      <c r="J31" s="622">
        <f t="shared" si="6"/>
        <v>0</v>
      </c>
      <c r="K31" s="622">
        <f t="shared" si="6"/>
        <v>0</v>
      </c>
      <c r="L31" s="622">
        <f t="shared" si="6"/>
        <v>0</v>
      </c>
      <c r="M31" s="622">
        <f t="shared" si="6"/>
        <v>0</v>
      </c>
      <c r="N31" s="622">
        <f t="shared" si="6"/>
        <v>0</v>
      </c>
      <c r="O31" s="622">
        <f t="shared" si="6"/>
        <v>0</v>
      </c>
      <c r="P31" s="622">
        <f t="shared" si="6"/>
        <v>0</v>
      </c>
      <c r="Q31" s="622">
        <f t="shared" si="6"/>
        <v>0</v>
      </c>
      <c r="R31" s="622">
        <f t="shared" si="6"/>
        <v>0</v>
      </c>
      <c r="S31" s="622">
        <f t="shared" si="6"/>
        <v>0</v>
      </c>
      <c r="T31" s="622">
        <f t="shared" si="6"/>
        <v>0</v>
      </c>
      <c r="U31" s="622">
        <f t="shared" si="6"/>
        <v>0</v>
      </c>
      <c r="V31" s="622">
        <f t="shared" si="6"/>
        <v>0</v>
      </c>
      <c r="W31" s="622">
        <f t="shared" si="6"/>
        <v>0</v>
      </c>
      <c r="X31" s="213"/>
      <c r="Y31" s="214"/>
      <c r="Z31" s="214"/>
      <c r="AA31" s="214"/>
      <c r="AB31" s="214"/>
      <c r="AC31" s="214"/>
      <c r="AD31" s="214"/>
      <c r="AE31" s="214"/>
      <c r="AF31" s="214"/>
      <c r="AG31" s="214"/>
      <c r="AH31" s="214"/>
      <c r="AI31" s="214"/>
      <c r="AJ31" s="214"/>
      <c r="AK31" s="214"/>
    </row>
    <row r="32" spans="1:38" ht="19.5" customHeight="1">
      <c r="A32" s="213"/>
      <c r="B32" s="213"/>
      <c r="C32" s="213"/>
      <c r="D32" s="213"/>
      <c r="E32" s="213"/>
      <c r="F32" s="623" t="s">
        <v>1143</v>
      </c>
      <c r="G32" s="624">
        <f>Z8</f>
        <v>0</v>
      </c>
      <c r="H32" s="624">
        <f>Z9</f>
        <v>0</v>
      </c>
      <c r="I32" s="624">
        <f>Z10</f>
        <v>0</v>
      </c>
      <c r="J32" s="624">
        <f>Z11</f>
        <v>0</v>
      </c>
      <c r="K32" s="624">
        <f>Z12</f>
        <v>0</v>
      </c>
      <c r="L32" s="624">
        <f>Z14</f>
        <v>0</v>
      </c>
      <c r="M32" s="624">
        <f>Z15</f>
        <v>0</v>
      </c>
      <c r="N32" s="624">
        <f>Z16</f>
        <v>0</v>
      </c>
      <c r="O32" s="624">
        <f>Z17</f>
        <v>0</v>
      </c>
      <c r="P32" s="624">
        <f>Z18</f>
        <v>0</v>
      </c>
      <c r="Q32" s="624">
        <f>Z19</f>
        <v>0</v>
      </c>
      <c r="R32" s="624">
        <f>Z20</f>
        <v>0</v>
      </c>
      <c r="S32" s="624">
        <f>Z21</f>
        <v>0</v>
      </c>
      <c r="T32" s="624">
        <f>Z23</f>
        <v>0</v>
      </c>
      <c r="U32" s="624">
        <f>Z24</f>
        <v>0</v>
      </c>
      <c r="V32" s="624">
        <f>Z25</f>
        <v>0</v>
      </c>
      <c r="W32" s="624">
        <f>Z26</f>
        <v>0</v>
      </c>
      <c r="X32" s="213"/>
      <c r="Y32" s="214"/>
      <c r="Z32" s="214"/>
      <c r="AA32" s="214"/>
      <c r="AB32" s="214"/>
      <c r="AC32" s="214"/>
      <c r="AD32" s="214"/>
      <c r="AE32" s="214"/>
      <c r="AF32" s="214"/>
      <c r="AG32" s="214"/>
      <c r="AH32" s="214"/>
      <c r="AI32" s="214"/>
      <c r="AJ32" s="214"/>
      <c r="AK32" s="214"/>
    </row>
    <row r="33" spans="1:37" ht="19.5" customHeight="1">
      <c r="A33" s="213"/>
      <c r="B33" s="213"/>
      <c r="C33" s="213"/>
      <c r="D33" s="213"/>
      <c r="E33" s="213"/>
      <c r="F33" s="623" t="s">
        <v>1351</v>
      </c>
      <c r="G33" s="625">
        <f>AE8</f>
        <v>0</v>
      </c>
      <c r="H33" s="625">
        <f>AE9</f>
        <v>0</v>
      </c>
      <c r="I33" s="625">
        <f>AE10</f>
        <v>0</v>
      </c>
      <c r="J33" s="625">
        <f>AE11</f>
        <v>0</v>
      </c>
      <c r="K33" s="625">
        <f>AE12</f>
        <v>0</v>
      </c>
      <c r="L33" s="625">
        <f>AE14</f>
        <v>0</v>
      </c>
      <c r="M33" s="625">
        <f>AE15</f>
        <v>0</v>
      </c>
      <c r="N33" s="625">
        <f>AE16</f>
        <v>0</v>
      </c>
      <c r="O33" s="625">
        <f>AE17</f>
        <v>0</v>
      </c>
      <c r="P33" s="625">
        <f>AE18</f>
        <v>0</v>
      </c>
      <c r="Q33" s="625">
        <f>AE19</f>
        <v>0</v>
      </c>
      <c r="R33" s="625">
        <f>AE20</f>
        <v>0</v>
      </c>
      <c r="S33" s="625">
        <f>AE21</f>
        <v>0</v>
      </c>
      <c r="T33" s="625">
        <f>AE23</f>
        <v>0</v>
      </c>
      <c r="U33" s="625">
        <f>AE24</f>
        <v>0</v>
      </c>
      <c r="V33" s="624">
        <f>AE25</f>
        <v>0</v>
      </c>
      <c r="W33" s="624">
        <f>AE26</f>
        <v>0</v>
      </c>
      <c r="X33" s="213"/>
      <c r="Y33" s="214"/>
      <c r="Z33" s="214"/>
      <c r="AA33" s="214"/>
      <c r="AB33" s="214"/>
      <c r="AC33" s="214"/>
      <c r="AD33" s="214"/>
      <c r="AE33" s="214"/>
      <c r="AF33" s="214"/>
      <c r="AG33" s="214"/>
      <c r="AH33" s="214"/>
      <c r="AI33" s="214"/>
      <c r="AJ33" s="214"/>
      <c r="AK33" s="214"/>
    </row>
    <row r="34" spans="1:37" ht="19.5" customHeight="1">
      <c r="A34" s="213"/>
      <c r="B34" s="213"/>
      <c r="C34" s="213"/>
      <c r="D34" s="213"/>
      <c r="E34" s="213"/>
      <c r="F34" s="623" t="s">
        <v>669</v>
      </c>
      <c r="G34" s="626">
        <f t="shared" ref="G34:W34" si="7">SUM(G60:G80)</f>
        <v>0</v>
      </c>
      <c r="H34" s="626">
        <f t="shared" si="7"/>
        <v>0</v>
      </c>
      <c r="I34" s="626">
        <f t="shared" si="7"/>
        <v>0</v>
      </c>
      <c r="J34" s="626">
        <f t="shared" si="7"/>
        <v>0</v>
      </c>
      <c r="K34" s="626">
        <f t="shared" si="7"/>
        <v>0</v>
      </c>
      <c r="L34" s="626">
        <f t="shared" si="7"/>
        <v>0</v>
      </c>
      <c r="M34" s="626">
        <f t="shared" si="7"/>
        <v>0</v>
      </c>
      <c r="N34" s="626">
        <f t="shared" si="7"/>
        <v>0</v>
      </c>
      <c r="O34" s="626">
        <f t="shared" si="7"/>
        <v>0</v>
      </c>
      <c r="P34" s="626">
        <f t="shared" si="7"/>
        <v>0</v>
      </c>
      <c r="Q34" s="626">
        <f t="shared" si="7"/>
        <v>0</v>
      </c>
      <c r="R34" s="626">
        <f t="shared" si="7"/>
        <v>0</v>
      </c>
      <c r="S34" s="626">
        <f t="shared" si="7"/>
        <v>0</v>
      </c>
      <c r="T34" s="626">
        <f t="shared" si="7"/>
        <v>0</v>
      </c>
      <c r="U34" s="626">
        <f t="shared" si="7"/>
        <v>0</v>
      </c>
      <c r="V34" s="626">
        <f t="shared" si="7"/>
        <v>0</v>
      </c>
      <c r="W34" s="626">
        <f t="shared" si="7"/>
        <v>0</v>
      </c>
      <c r="X34" s="213"/>
      <c r="Y34" s="214"/>
      <c r="Z34" s="214"/>
      <c r="AA34" s="214"/>
      <c r="AB34" s="214"/>
      <c r="AC34" s="214"/>
      <c r="AD34" s="214"/>
      <c r="AE34" s="214"/>
      <c r="AF34" s="214"/>
      <c r="AG34" s="214"/>
      <c r="AH34" s="214"/>
      <c r="AI34" s="214"/>
      <c r="AJ34" s="214"/>
      <c r="AK34" s="214"/>
    </row>
    <row r="35" spans="1:37">
      <c r="A35" s="213"/>
      <c r="B35" s="213"/>
      <c r="C35" s="213"/>
      <c r="D35" s="213"/>
      <c r="E35" s="213"/>
      <c r="F35" s="213"/>
      <c r="G35" s="627"/>
      <c r="H35" s="627"/>
      <c r="I35" s="627"/>
      <c r="J35" s="627"/>
      <c r="K35" s="627"/>
      <c r="L35" s="627"/>
      <c r="M35" s="627"/>
      <c r="N35" s="627"/>
      <c r="O35" s="627"/>
      <c r="P35" s="627"/>
      <c r="Q35" s="627"/>
      <c r="R35" s="627"/>
      <c r="S35" s="627"/>
      <c r="T35" s="627"/>
      <c r="U35" s="627"/>
      <c r="V35" s="627"/>
      <c r="W35" s="627"/>
      <c r="X35" s="213"/>
      <c r="Y35" s="214"/>
      <c r="Z35" s="214"/>
      <c r="AA35" s="214"/>
      <c r="AB35" s="214"/>
      <c r="AC35" s="214"/>
      <c r="AD35" s="214"/>
      <c r="AE35" s="214"/>
      <c r="AF35" s="214"/>
      <c r="AG35" s="214"/>
      <c r="AH35" s="214"/>
      <c r="AI35" s="214"/>
      <c r="AJ35" s="214"/>
      <c r="AK35" s="214"/>
    </row>
    <row r="36" spans="1:37" ht="21" customHeight="1">
      <c r="A36" s="213"/>
      <c r="B36" s="213"/>
      <c r="C36" s="213"/>
      <c r="D36" s="213"/>
      <c r="E36" s="213"/>
      <c r="F36" s="628" t="s">
        <v>1332</v>
      </c>
      <c r="G36" s="629" t="s">
        <v>670</v>
      </c>
      <c r="H36" s="630"/>
      <c r="I36" s="630"/>
      <c r="J36" s="630"/>
      <c r="K36" s="630"/>
      <c r="L36" s="631"/>
      <c r="M36" s="631"/>
      <c r="N36" s="631"/>
      <c r="O36" s="630"/>
      <c r="P36" s="630"/>
      <c r="Q36" s="630"/>
      <c r="R36" s="630"/>
      <c r="S36" s="630"/>
      <c r="T36" s="630"/>
      <c r="U36" s="630"/>
      <c r="V36" s="630"/>
      <c r="W36" s="632"/>
      <c r="X36" s="214"/>
      <c r="Y36" s="633" t="s">
        <v>691</v>
      </c>
      <c r="Z36" s="634"/>
      <c r="AA36" s="634"/>
      <c r="AB36" s="634"/>
      <c r="AC36" s="214"/>
      <c r="AD36" s="214"/>
      <c r="AE36" s="214"/>
      <c r="AF36" s="214"/>
      <c r="AG36" s="214"/>
      <c r="AH36" s="214"/>
      <c r="AI36" s="214"/>
      <c r="AJ36" s="214"/>
      <c r="AK36" s="214"/>
    </row>
    <row r="37" spans="1:37" ht="17.399999999999999" customHeight="1">
      <c r="A37" s="213"/>
      <c r="B37" s="213"/>
      <c r="C37" s="213"/>
      <c r="D37" s="213"/>
      <c r="E37" s="635" t="str">
        <f t="shared" ref="E37:E50" si="8">A8</f>
        <v/>
      </c>
      <c r="F37" s="636">
        <f>SUM(G37:W37)</f>
        <v>0</v>
      </c>
      <c r="G37" s="438">
        <f t="shared" ref="G37:W37" si="9">G8*G$33</f>
        <v>0</v>
      </c>
      <c r="H37" s="438">
        <f t="shared" si="9"/>
        <v>0</v>
      </c>
      <c r="I37" s="438">
        <f t="shared" si="9"/>
        <v>0</v>
      </c>
      <c r="J37" s="438">
        <f t="shared" si="9"/>
        <v>0</v>
      </c>
      <c r="K37" s="438">
        <f t="shared" si="9"/>
        <v>0</v>
      </c>
      <c r="L37" s="438">
        <f t="shared" si="9"/>
        <v>0</v>
      </c>
      <c r="M37" s="438">
        <f t="shared" si="9"/>
        <v>0</v>
      </c>
      <c r="N37" s="438">
        <f t="shared" si="9"/>
        <v>0</v>
      </c>
      <c r="O37" s="438">
        <f t="shared" si="9"/>
        <v>0</v>
      </c>
      <c r="P37" s="438">
        <f t="shared" si="9"/>
        <v>0</v>
      </c>
      <c r="Q37" s="438">
        <f t="shared" si="9"/>
        <v>0</v>
      </c>
      <c r="R37" s="438">
        <f t="shared" si="9"/>
        <v>0</v>
      </c>
      <c r="S37" s="438">
        <f t="shared" si="9"/>
        <v>0</v>
      </c>
      <c r="T37" s="438">
        <f t="shared" si="9"/>
        <v>0</v>
      </c>
      <c r="U37" s="438">
        <f t="shared" si="9"/>
        <v>0</v>
      </c>
      <c r="V37" s="438">
        <f t="shared" si="9"/>
        <v>0</v>
      </c>
      <c r="W37" s="438">
        <f t="shared" si="9"/>
        <v>0</v>
      </c>
      <c r="X37" s="214"/>
      <c r="Y37" s="438">
        <f t="shared" ref="Y37:Y50" si="10">F37*B8</f>
        <v>0</v>
      </c>
      <c r="Z37" s="445"/>
      <c r="AA37" s="445"/>
      <c r="AB37" s="445"/>
      <c r="AC37" s="214"/>
      <c r="AD37" s="214"/>
      <c r="AE37" s="214"/>
      <c r="AF37" s="214"/>
      <c r="AG37" s="214"/>
      <c r="AH37" s="214"/>
      <c r="AI37" s="214"/>
      <c r="AJ37" s="214"/>
      <c r="AK37" s="214"/>
    </row>
    <row r="38" spans="1:37" ht="17.399999999999999" customHeight="1">
      <c r="A38" s="213"/>
      <c r="B38" s="213"/>
      <c r="C38" s="213"/>
      <c r="D38" s="213"/>
      <c r="E38" s="635">
        <f t="shared" si="8"/>
        <v>0</v>
      </c>
      <c r="F38" s="636">
        <f t="shared" ref="F38:F50" si="11">SUM(G38:W38)</f>
        <v>0</v>
      </c>
      <c r="G38" s="438">
        <f t="shared" ref="G38:W38" si="12">G9*G$33</f>
        <v>0</v>
      </c>
      <c r="H38" s="438">
        <f t="shared" si="12"/>
        <v>0</v>
      </c>
      <c r="I38" s="438">
        <f t="shared" si="12"/>
        <v>0</v>
      </c>
      <c r="J38" s="438">
        <f t="shared" si="12"/>
        <v>0</v>
      </c>
      <c r="K38" s="438">
        <f t="shared" si="12"/>
        <v>0</v>
      </c>
      <c r="L38" s="438">
        <f t="shared" si="12"/>
        <v>0</v>
      </c>
      <c r="M38" s="438">
        <f t="shared" si="12"/>
        <v>0</v>
      </c>
      <c r="N38" s="438">
        <f t="shared" si="12"/>
        <v>0</v>
      </c>
      <c r="O38" s="438">
        <f t="shared" si="12"/>
        <v>0</v>
      </c>
      <c r="P38" s="438">
        <f t="shared" si="12"/>
        <v>0</v>
      </c>
      <c r="Q38" s="438">
        <f t="shared" si="12"/>
        <v>0</v>
      </c>
      <c r="R38" s="438">
        <f t="shared" si="12"/>
        <v>0</v>
      </c>
      <c r="S38" s="438">
        <f t="shared" si="12"/>
        <v>0</v>
      </c>
      <c r="T38" s="438">
        <f t="shared" si="12"/>
        <v>0</v>
      </c>
      <c r="U38" s="438">
        <f t="shared" si="12"/>
        <v>0</v>
      </c>
      <c r="V38" s="438">
        <f t="shared" si="12"/>
        <v>0</v>
      </c>
      <c r="W38" s="438">
        <f t="shared" si="12"/>
        <v>0</v>
      </c>
      <c r="X38" s="214"/>
      <c r="Y38" s="438">
        <f t="shared" si="10"/>
        <v>0</v>
      </c>
      <c r="Z38" s="445"/>
      <c r="AA38" s="445"/>
      <c r="AB38" s="445"/>
      <c r="AC38" s="214"/>
      <c r="AD38" s="214"/>
      <c r="AE38" s="214"/>
      <c r="AF38" s="214"/>
      <c r="AG38" s="214"/>
      <c r="AH38" s="214"/>
      <c r="AI38" s="214"/>
      <c r="AJ38" s="214"/>
      <c r="AK38" s="214"/>
    </row>
    <row r="39" spans="1:37" ht="17.399999999999999" customHeight="1">
      <c r="A39" s="213"/>
      <c r="B39" s="213"/>
      <c r="C39" s="213"/>
      <c r="D39" s="213"/>
      <c r="E39" s="635">
        <f t="shared" si="8"/>
        <v>0</v>
      </c>
      <c r="F39" s="636">
        <f t="shared" si="11"/>
        <v>0</v>
      </c>
      <c r="G39" s="438">
        <f t="shared" ref="G39:W39" si="13">G10*G$33</f>
        <v>0</v>
      </c>
      <c r="H39" s="438">
        <f t="shared" si="13"/>
        <v>0</v>
      </c>
      <c r="I39" s="438">
        <f t="shared" si="13"/>
        <v>0</v>
      </c>
      <c r="J39" s="438">
        <f t="shared" si="13"/>
        <v>0</v>
      </c>
      <c r="K39" s="438">
        <f t="shared" si="13"/>
        <v>0</v>
      </c>
      <c r="L39" s="438">
        <f t="shared" si="13"/>
        <v>0</v>
      </c>
      <c r="M39" s="438">
        <f t="shared" si="13"/>
        <v>0</v>
      </c>
      <c r="N39" s="438">
        <f t="shared" si="13"/>
        <v>0</v>
      </c>
      <c r="O39" s="438">
        <f t="shared" si="13"/>
        <v>0</v>
      </c>
      <c r="P39" s="438">
        <f t="shared" si="13"/>
        <v>0</v>
      </c>
      <c r="Q39" s="438">
        <f t="shared" si="13"/>
        <v>0</v>
      </c>
      <c r="R39" s="438">
        <f t="shared" si="13"/>
        <v>0</v>
      </c>
      <c r="S39" s="438">
        <f t="shared" si="13"/>
        <v>0</v>
      </c>
      <c r="T39" s="438">
        <f t="shared" si="13"/>
        <v>0</v>
      </c>
      <c r="U39" s="438">
        <f t="shared" si="13"/>
        <v>0</v>
      </c>
      <c r="V39" s="438">
        <f t="shared" si="13"/>
        <v>0</v>
      </c>
      <c r="W39" s="438">
        <f t="shared" si="13"/>
        <v>0</v>
      </c>
      <c r="X39" s="214"/>
      <c r="Y39" s="438">
        <f t="shared" si="10"/>
        <v>0</v>
      </c>
      <c r="Z39" s="445"/>
      <c r="AA39" s="445"/>
      <c r="AB39" s="445"/>
      <c r="AC39" s="214"/>
      <c r="AD39" s="214"/>
      <c r="AE39" s="214"/>
      <c r="AF39" s="214"/>
      <c r="AG39" s="214"/>
      <c r="AH39" s="214"/>
      <c r="AI39" s="214"/>
      <c r="AJ39" s="214"/>
      <c r="AK39" s="214"/>
    </row>
    <row r="40" spans="1:37" ht="17.399999999999999" customHeight="1">
      <c r="A40" s="213"/>
      <c r="B40" s="213"/>
      <c r="C40" s="213"/>
      <c r="D40" s="213"/>
      <c r="E40" s="635">
        <f t="shared" si="8"/>
        <v>0</v>
      </c>
      <c r="F40" s="636">
        <f t="shared" si="11"/>
        <v>0</v>
      </c>
      <c r="G40" s="438">
        <f t="shared" ref="G40:W40" si="14">G11*G$33</f>
        <v>0</v>
      </c>
      <c r="H40" s="438">
        <f t="shared" si="14"/>
        <v>0</v>
      </c>
      <c r="I40" s="438">
        <f t="shared" si="14"/>
        <v>0</v>
      </c>
      <c r="J40" s="438">
        <f t="shared" si="14"/>
        <v>0</v>
      </c>
      <c r="K40" s="438">
        <f t="shared" si="14"/>
        <v>0</v>
      </c>
      <c r="L40" s="438">
        <f t="shared" si="14"/>
        <v>0</v>
      </c>
      <c r="M40" s="438">
        <f t="shared" si="14"/>
        <v>0</v>
      </c>
      <c r="N40" s="438">
        <f t="shared" si="14"/>
        <v>0</v>
      </c>
      <c r="O40" s="438">
        <f t="shared" si="14"/>
        <v>0</v>
      </c>
      <c r="P40" s="438">
        <f t="shared" si="14"/>
        <v>0</v>
      </c>
      <c r="Q40" s="438">
        <f t="shared" si="14"/>
        <v>0</v>
      </c>
      <c r="R40" s="438">
        <f t="shared" si="14"/>
        <v>0</v>
      </c>
      <c r="S40" s="438">
        <f t="shared" si="14"/>
        <v>0</v>
      </c>
      <c r="T40" s="438">
        <f t="shared" si="14"/>
        <v>0</v>
      </c>
      <c r="U40" s="438">
        <f t="shared" si="14"/>
        <v>0</v>
      </c>
      <c r="V40" s="438">
        <f t="shared" si="14"/>
        <v>0</v>
      </c>
      <c r="W40" s="438">
        <f t="shared" si="14"/>
        <v>0</v>
      </c>
      <c r="X40" s="214"/>
      <c r="Y40" s="438">
        <f t="shared" si="10"/>
        <v>0</v>
      </c>
      <c r="Z40" s="445"/>
      <c r="AA40" s="445"/>
      <c r="AB40" s="445"/>
      <c r="AC40" s="214"/>
      <c r="AD40" s="214"/>
      <c r="AE40" s="214"/>
      <c r="AF40" s="214"/>
      <c r="AG40" s="214"/>
      <c r="AH40" s="214"/>
      <c r="AI40" s="214"/>
      <c r="AJ40" s="214"/>
      <c r="AK40" s="214"/>
    </row>
    <row r="41" spans="1:37" ht="17.399999999999999" customHeight="1">
      <c r="A41" s="213"/>
      <c r="B41" s="213"/>
      <c r="C41" s="213"/>
      <c r="D41" s="213"/>
      <c r="E41" s="635">
        <f t="shared" si="8"/>
        <v>0</v>
      </c>
      <c r="F41" s="636">
        <f t="shared" si="11"/>
        <v>0</v>
      </c>
      <c r="G41" s="438">
        <f t="shared" ref="G41:W41" si="15">G12*G$33</f>
        <v>0</v>
      </c>
      <c r="H41" s="438">
        <f t="shared" si="15"/>
        <v>0</v>
      </c>
      <c r="I41" s="438">
        <f t="shared" si="15"/>
        <v>0</v>
      </c>
      <c r="J41" s="438">
        <f t="shared" si="15"/>
        <v>0</v>
      </c>
      <c r="K41" s="438">
        <f t="shared" si="15"/>
        <v>0</v>
      </c>
      <c r="L41" s="438">
        <f t="shared" si="15"/>
        <v>0</v>
      </c>
      <c r="M41" s="438">
        <f t="shared" si="15"/>
        <v>0</v>
      </c>
      <c r="N41" s="438">
        <f t="shared" si="15"/>
        <v>0</v>
      </c>
      <c r="O41" s="438">
        <f t="shared" si="15"/>
        <v>0</v>
      </c>
      <c r="P41" s="438">
        <f t="shared" si="15"/>
        <v>0</v>
      </c>
      <c r="Q41" s="438">
        <f t="shared" si="15"/>
        <v>0</v>
      </c>
      <c r="R41" s="438">
        <f t="shared" si="15"/>
        <v>0</v>
      </c>
      <c r="S41" s="438">
        <f t="shared" si="15"/>
        <v>0</v>
      </c>
      <c r="T41" s="438">
        <f t="shared" si="15"/>
        <v>0</v>
      </c>
      <c r="U41" s="438">
        <f t="shared" si="15"/>
        <v>0</v>
      </c>
      <c r="V41" s="438">
        <f t="shared" si="15"/>
        <v>0</v>
      </c>
      <c r="W41" s="438">
        <f t="shared" si="15"/>
        <v>0</v>
      </c>
      <c r="X41" s="214"/>
      <c r="Y41" s="438">
        <f t="shared" si="10"/>
        <v>0</v>
      </c>
      <c r="Z41" s="445"/>
      <c r="AA41" s="445"/>
      <c r="AB41" s="445"/>
      <c r="AC41" s="214"/>
      <c r="AD41" s="214"/>
      <c r="AE41" s="214"/>
      <c r="AF41" s="214"/>
      <c r="AG41" s="214"/>
      <c r="AH41" s="214"/>
      <c r="AI41" s="214"/>
      <c r="AJ41" s="214"/>
      <c r="AK41" s="214"/>
    </row>
    <row r="42" spans="1:37" ht="17.399999999999999" customHeight="1">
      <c r="A42" s="213"/>
      <c r="B42" s="213"/>
      <c r="C42" s="213"/>
      <c r="D42" s="213"/>
      <c r="E42" s="635">
        <f t="shared" si="8"/>
        <v>0</v>
      </c>
      <c r="F42" s="636">
        <f t="shared" si="11"/>
        <v>0</v>
      </c>
      <c r="G42" s="438">
        <f t="shared" ref="G42:W42" si="16">G13*G$33</f>
        <v>0</v>
      </c>
      <c r="H42" s="438">
        <f t="shared" si="16"/>
        <v>0</v>
      </c>
      <c r="I42" s="438">
        <f t="shared" si="16"/>
        <v>0</v>
      </c>
      <c r="J42" s="438">
        <f t="shared" si="16"/>
        <v>0</v>
      </c>
      <c r="K42" s="438">
        <f t="shared" si="16"/>
        <v>0</v>
      </c>
      <c r="L42" s="438">
        <f t="shared" si="16"/>
        <v>0</v>
      </c>
      <c r="M42" s="438">
        <f t="shared" si="16"/>
        <v>0</v>
      </c>
      <c r="N42" s="438">
        <f t="shared" si="16"/>
        <v>0</v>
      </c>
      <c r="O42" s="438">
        <f t="shared" si="16"/>
        <v>0</v>
      </c>
      <c r="P42" s="438">
        <f t="shared" si="16"/>
        <v>0</v>
      </c>
      <c r="Q42" s="438">
        <f t="shared" si="16"/>
        <v>0</v>
      </c>
      <c r="R42" s="438">
        <f t="shared" si="16"/>
        <v>0</v>
      </c>
      <c r="S42" s="438">
        <f t="shared" si="16"/>
        <v>0</v>
      </c>
      <c r="T42" s="438">
        <f t="shared" si="16"/>
        <v>0</v>
      </c>
      <c r="U42" s="438">
        <f t="shared" si="16"/>
        <v>0</v>
      </c>
      <c r="V42" s="438">
        <f t="shared" si="16"/>
        <v>0</v>
      </c>
      <c r="W42" s="438">
        <f t="shared" si="16"/>
        <v>0</v>
      </c>
      <c r="X42" s="214"/>
      <c r="Y42" s="438">
        <f t="shared" si="10"/>
        <v>0</v>
      </c>
      <c r="Z42" s="445"/>
      <c r="AA42" s="445"/>
      <c r="AB42" s="445"/>
      <c r="AC42" s="214"/>
      <c r="AD42" s="214"/>
      <c r="AE42" s="214"/>
      <c r="AF42" s="214"/>
      <c r="AG42" s="214"/>
      <c r="AH42" s="214"/>
      <c r="AI42" s="214"/>
      <c r="AJ42" s="214"/>
      <c r="AK42" s="214"/>
    </row>
    <row r="43" spans="1:37" ht="17.399999999999999" customHeight="1">
      <c r="A43" s="213"/>
      <c r="B43" s="213"/>
      <c r="C43" s="213"/>
      <c r="D43" s="213"/>
      <c r="E43" s="635">
        <f t="shared" si="8"/>
        <v>0</v>
      </c>
      <c r="F43" s="636">
        <f t="shared" si="11"/>
        <v>0</v>
      </c>
      <c r="G43" s="438">
        <f t="shared" ref="G43:W43" si="17">G14*G$33</f>
        <v>0</v>
      </c>
      <c r="H43" s="438">
        <f t="shared" si="17"/>
        <v>0</v>
      </c>
      <c r="I43" s="438">
        <f t="shared" si="17"/>
        <v>0</v>
      </c>
      <c r="J43" s="438">
        <f t="shared" si="17"/>
        <v>0</v>
      </c>
      <c r="K43" s="438">
        <f t="shared" si="17"/>
        <v>0</v>
      </c>
      <c r="L43" s="438">
        <f t="shared" si="17"/>
        <v>0</v>
      </c>
      <c r="M43" s="438">
        <f t="shared" si="17"/>
        <v>0</v>
      </c>
      <c r="N43" s="438">
        <f t="shared" si="17"/>
        <v>0</v>
      </c>
      <c r="O43" s="438">
        <f t="shared" si="17"/>
        <v>0</v>
      </c>
      <c r="P43" s="438">
        <f t="shared" si="17"/>
        <v>0</v>
      </c>
      <c r="Q43" s="438">
        <f t="shared" si="17"/>
        <v>0</v>
      </c>
      <c r="R43" s="438">
        <f t="shared" si="17"/>
        <v>0</v>
      </c>
      <c r="S43" s="438">
        <f t="shared" si="17"/>
        <v>0</v>
      </c>
      <c r="T43" s="438">
        <f t="shared" si="17"/>
        <v>0</v>
      </c>
      <c r="U43" s="438">
        <f t="shared" si="17"/>
        <v>0</v>
      </c>
      <c r="V43" s="438">
        <f t="shared" si="17"/>
        <v>0</v>
      </c>
      <c r="W43" s="438">
        <f t="shared" si="17"/>
        <v>0</v>
      </c>
      <c r="X43" s="214"/>
      <c r="Y43" s="438">
        <f t="shared" si="10"/>
        <v>0</v>
      </c>
      <c r="Z43" s="445"/>
      <c r="AA43" s="445"/>
      <c r="AB43" s="445"/>
      <c r="AC43" s="214"/>
      <c r="AD43" s="214"/>
      <c r="AE43" s="214"/>
      <c r="AF43" s="214"/>
      <c r="AG43" s="214"/>
      <c r="AH43" s="214"/>
      <c r="AI43" s="214"/>
      <c r="AJ43" s="214"/>
      <c r="AK43" s="214"/>
    </row>
    <row r="44" spans="1:37" ht="17.399999999999999" customHeight="1">
      <c r="A44" s="213"/>
      <c r="B44" s="213"/>
      <c r="C44" s="213"/>
      <c r="D44" s="213"/>
      <c r="E44" s="635">
        <f t="shared" si="8"/>
        <v>0</v>
      </c>
      <c r="F44" s="636">
        <f t="shared" si="11"/>
        <v>0</v>
      </c>
      <c r="G44" s="438">
        <f t="shared" ref="G44:W44" si="18">G15*G$33</f>
        <v>0</v>
      </c>
      <c r="H44" s="438">
        <f t="shared" si="18"/>
        <v>0</v>
      </c>
      <c r="I44" s="438">
        <f t="shared" si="18"/>
        <v>0</v>
      </c>
      <c r="J44" s="438">
        <f t="shared" si="18"/>
        <v>0</v>
      </c>
      <c r="K44" s="438">
        <f t="shared" si="18"/>
        <v>0</v>
      </c>
      <c r="L44" s="438">
        <f t="shared" si="18"/>
        <v>0</v>
      </c>
      <c r="M44" s="438">
        <f t="shared" si="18"/>
        <v>0</v>
      </c>
      <c r="N44" s="438">
        <f t="shared" si="18"/>
        <v>0</v>
      </c>
      <c r="O44" s="438">
        <f t="shared" si="18"/>
        <v>0</v>
      </c>
      <c r="P44" s="438">
        <f t="shared" si="18"/>
        <v>0</v>
      </c>
      <c r="Q44" s="438">
        <f t="shared" si="18"/>
        <v>0</v>
      </c>
      <c r="R44" s="438">
        <f t="shared" si="18"/>
        <v>0</v>
      </c>
      <c r="S44" s="438">
        <f t="shared" si="18"/>
        <v>0</v>
      </c>
      <c r="T44" s="438">
        <f t="shared" si="18"/>
        <v>0</v>
      </c>
      <c r="U44" s="438">
        <f t="shared" si="18"/>
        <v>0</v>
      </c>
      <c r="V44" s="438">
        <f t="shared" si="18"/>
        <v>0</v>
      </c>
      <c r="W44" s="438">
        <f t="shared" si="18"/>
        <v>0</v>
      </c>
      <c r="X44" s="214"/>
      <c r="Y44" s="438">
        <f t="shared" si="10"/>
        <v>0</v>
      </c>
      <c r="Z44" s="445"/>
      <c r="AA44" s="445"/>
      <c r="AB44" s="445"/>
      <c r="AC44" s="214"/>
      <c r="AD44" s="214"/>
      <c r="AE44" s="214"/>
      <c r="AF44" s="214"/>
      <c r="AG44" s="214"/>
      <c r="AH44" s="214"/>
      <c r="AI44" s="214"/>
      <c r="AJ44" s="214"/>
      <c r="AK44" s="214"/>
    </row>
    <row r="45" spans="1:37" ht="17.399999999999999" customHeight="1">
      <c r="A45" s="213"/>
      <c r="B45" s="213"/>
      <c r="C45" s="213"/>
      <c r="D45" s="213"/>
      <c r="E45" s="635">
        <f t="shared" si="8"/>
        <v>0</v>
      </c>
      <c r="F45" s="636">
        <f t="shared" si="11"/>
        <v>0</v>
      </c>
      <c r="G45" s="438">
        <f t="shared" ref="G45:W45" si="19">G16*G$33</f>
        <v>0</v>
      </c>
      <c r="H45" s="438">
        <f t="shared" si="19"/>
        <v>0</v>
      </c>
      <c r="I45" s="438">
        <f t="shared" si="19"/>
        <v>0</v>
      </c>
      <c r="J45" s="438">
        <f t="shared" si="19"/>
        <v>0</v>
      </c>
      <c r="K45" s="438">
        <f t="shared" si="19"/>
        <v>0</v>
      </c>
      <c r="L45" s="438">
        <f t="shared" si="19"/>
        <v>0</v>
      </c>
      <c r="M45" s="438">
        <f t="shared" si="19"/>
        <v>0</v>
      </c>
      <c r="N45" s="438">
        <f t="shared" si="19"/>
        <v>0</v>
      </c>
      <c r="O45" s="438">
        <f t="shared" si="19"/>
        <v>0</v>
      </c>
      <c r="P45" s="438">
        <f t="shared" si="19"/>
        <v>0</v>
      </c>
      <c r="Q45" s="438">
        <f t="shared" si="19"/>
        <v>0</v>
      </c>
      <c r="R45" s="438">
        <f t="shared" si="19"/>
        <v>0</v>
      </c>
      <c r="S45" s="438">
        <f t="shared" si="19"/>
        <v>0</v>
      </c>
      <c r="T45" s="438">
        <f t="shared" si="19"/>
        <v>0</v>
      </c>
      <c r="U45" s="438">
        <f t="shared" si="19"/>
        <v>0</v>
      </c>
      <c r="V45" s="438">
        <f t="shared" si="19"/>
        <v>0</v>
      </c>
      <c r="W45" s="438">
        <f t="shared" si="19"/>
        <v>0</v>
      </c>
      <c r="X45" s="214"/>
      <c r="Y45" s="438">
        <f t="shared" si="10"/>
        <v>0</v>
      </c>
      <c r="Z45" s="445"/>
      <c r="AA45" s="445"/>
      <c r="AB45" s="445"/>
      <c r="AC45" s="214"/>
      <c r="AD45" s="214"/>
      <c r="AE45" s="214"/>
      <c r="AF45" s="214"/>
      <c r="AG45" s="214"/>
      <c r="AH45" s="214"/>
      <c r="AI45" s="214"/>
      <c r="AJ45" s="214"/>
      <c r="AK45" s="214"/>
    </row>
    <row r="46" spans="1:37" ht="17.399999999999999" customHeight="1">
      <c r="A46" s="213"/>
      <c r="B46" s="213"/>
      <c r="C46" s="213"/>
      <c r="D46" s="213"/>
      <c r="E46" s="635">
        <f t="shared" si="8"/>
        <v>0</v>
      </c>
      <c r="F46" s="636">
        <f t="shared" si="11"/>
        <v>0</v>
      </c>
      <c r="G46" s="438">
        <f t="shared" ref="G46:W46" si="20">G17*G$33</f>
        <v>0</v>
      </c>
      <c r="H46" s="438">
        <f t="shared" si="20"/>
        <v>0</v>
      </c>
      <c r="I46" s="438">
        <f t="shared" si="20"/>
        <v>0</v>
      </c>
      <c r="J46" s="438">
        <f t="shared" si="20"/>
        <v>0</v>
      </c>
      <c r="K46" s="438">
        <f t="shared" si="20"/>
        <v>0</v>
      </c>
      <c r="L46" s="438">
        <f t="shared" si="20"/>
        <v>0</v>
      </c>
      <c r="M46" s="438">
        <f t="shared" si="20"/>
        <v>0</v>
      </c>
      <c r="N46" s="438">
        <f t="shared" si="20"/>
        <v>0</v>
      </c>
      <c r="O46" s="438">
        <f t="shared" si="20"/>
        <v>0</v>
      </c>
      <c r="P46" s="438">
        <f t="shared" si="20"/>
        <v>0</v>
      </c>
      <c r="Q46" s="438">
        <f t="shared" si="20"/>
        <v>0</v>
      </c>
      <c r="R46" s="438">
        <f t="shared" si="20"/>
        <v>0</v>
      </c>
      <c r="S46" s="438">
        <f t="shared" si="20"/>
        <v>0</v>
      </c>
      <c r="T46" s="438">
        <f t="shared" si="20"/>
        <v>0</v>
      </c>
      <c r="U46" s="438">
        <f t="shared" si="20"/>
        <v>0</v>
      </c>
      <c r="V46" s="438">
        <f t="shared" si="20"/>
        <v>0</v>
      </c>
      <c r="W46" s="438">
        <f t="shared" si="20"/>
        <v>0</v>
      </c>
      <c r="X46" s="214"/>
      <c r="Y46" s="438">
        <f t="shared" si="10"/>
        <v>0</v>
      </c>
      <c r="Z46" s="445"/>
      <c r="AA46" s="445"/>
      <c r="AB46" s="445"/>
      <c r="AC46" s="214"/>
      <c r="AD46" s="214"/>
      <c r="AE46" s="214"/>
      <c r="AF46" s="214"/>
      <c r="AG46" s="214"/>
      <c r="AH46" s="214"/>
      <c r="AI46" s="214"/>
      <c r="AJ46" s="214"/>
      <c r="AK46" s="214"/>
    </row>
    <row r="47" spans="1:37" ht="17.399999999999999" customHeight="1">
      <c r="A47" s="213"/>
      <c r="B47" s="213"/>
      <c r="C47" s="637"/>
      <c r="D47" s="213"/>
      <c r="E47" s="635">
        <f t="shared" si="8"/>
        <v>0</v>
      </c>
      <c r="F47" s="636">
        <f t="shared" si="11"/>
        <v>0</v>
      </c>
      <c r="G47" s="438">
        <f t="shared" ref="G47:W47" si="21">G18*G$33</f>
        <v>0</v>
      </c>
      <c r="H47" s="438">
        <f t="shared" si="21"/>
        <v>0</v>
      </c>
      <c r="I47" s="438">
        <f t="shared" si="21"/>
        <v>0</v>
      </c>
      <c r="J47" s="438">
        <f t="shared" si="21"/>
        <v>0</v>
      </c>
      <c r="K47" s="438">
        <f t="shared" si="21"/>
        <v>0</v>
      </c>
      <c r="L47" s="438">
        <f t="shared" si="21"/>
        <v>0</v>
      </c>
      <c r="M47" s="438">
        <f t="shared" si="21"/>
        <v>0</v>
      </c>
      <c r="N47" s="438">
        <f t="shared" si="21"/>
        <v>0</v>
      </c>
      <c r="O47" s="438">
        <f t="shared" si="21"/>
        <v>0</v>
      </c>
      <c r="P47" s="438">
        <f t="shared" si="21"/>
        <v>0</v>
      </c>
      <c r="Q47" s="438">
        <f t="shared" si="21"/>
        <v>0</v>
      </c>
      <c r="R47" s="438">
        <f t="shared" si="21"/>
        <v>0</v>
      </c>
      <c r="S47" s="438">
        <f t="shared" si="21"/>
        <v>0</v>
      </c>
      <c r="T47" s="438">
        <f t="shared" si="21"/>
        <v>0</v>
      </c>
      <c r="U47" s="438">
        <f t="shared" si="21"/>
        <v>0</v>
      </c>
      <c r="V47" s="438">
        <f t="shared" si="21"/>
        <v>0</v>
      </c>
      <c r="W47" s="438">
        <f t="shared" si="21"/>
        <v>0</v>
      </c>
      <c r="X47" s="214"/>
      <c r="Y47" s="438">
        <f t="shared" si="10"/>
        <v>0</v>
      </c>
      <c r="Z47" s="445"/>
      <c r="AA47" s="445"/>
      <c r="AB47" s="445"/>
      <c r="AC47" s="214"/>
      <c r="AD47" s="214"/>
      <c r="AE47" s="214"/>
      <c r="AF47" s="214"/>
      <c r="AG47" s="214"/>
      <c r="AH47" s="214"/>
      <c r="AI47" s="214"/>
      <c r="AJ47" s="214"/>
      <c r="AK47" s="214"/>
    </row>
    <row r="48" spans="1:37" ht="17.399999999999999" customHeight="1">
      <c r="A48" s="213"/>
      <c r="B48" s="213"/>
      <c r="C48" s="213"/>
      <c r="D48" s="213"/>
      <c r="E48" s="635">
        <f t="shared" si="8"/>
        <v>0</v>
      </c>
      <c r="F48" s="636">
        <f t="shared" si="11"/>
        <v>0</v>
      </c>
      <c r="G48" s="438">
        <f t="shared" ref="G48:W48" si="22">G19*G$33</f>
        <v>0</v>
      </c>
      <c r="H48" s="438">
        <f t="shared" si="22"/>
        <v>0</v>
      </c>
      <c r="I48" s="438">
        <f t="shared" si="22"/>
        <v>0</v>
      </c>
      <c r="J48" s="438">
        <f t="shared" si="22"/>
        <v>0</v>
      </c>
      <c r="K48" s="438">
        <f t="shared" si="22"/>
        <v>0</v>
      </c>
      <c r="L48" s="438">
        <f t="shared" si="22"/>
        <v>0</v>
      </c>
      <c r="M48" s="438">
        <f t="shared" si="22"/>
        <v>0</v>
      </c>
      <c r="N48" s="438">
        <f t="shared" si="22"/>
        <v>0</v>
      </c>
      <c r="O48" s="438">
        <f t="shared" si="22"/>
        <v>0</v>
      </c>
      <c r="P48" s="438">
        <f t="shared" si="22"/>
        <v>0</v>
      </c>
      <c r="Q48" s="438">
        <f t="shared" si="22"/>
        <v>0</v>
      </c>
      <c r="R48" s="438">
        <f t="shared" si="22"/>
        <v>0</v>
      </c>
      <c r="S48" s="438">
        <f t="shared" si="22"/>
        <v>0</v>
      </c>
      <c r="T48" s="438">
        <f t="shared" si="22"/>
        <v>0</v>
      </c>
      <c r="U48" s="438">
        <f t="shared" si="22"/>
        <v>0</v>
      </c>
      <c r="V48" s="438">
        <f t="shared" si="22"/>
        <v>0</v>
      </c>
      <c r="W48" s="438">
        <f t="shared" si="22"/>
        <v>0</v>
      </c>
      <c r="X48" s="214"/>
      <c r="Y48" s="438">
        <f t="shared" si="10"/>
        <v>0</v>
      </c>
      <c r="Z48" s="445"/>
      <c r="AA48" s="445"/>
      <c r="AB48" s="445"/>
      <c r="AC48" s="214"/>
      <c r="AD48" s="214"/>
      <c r="AE48" s="214"/>
      <c r="AF48" s="214"/>
      <c r="AG48" s="214"/>
      <c r="AH48" s="214"/>
      <c r="AI48" s="214"/>
      <c r="AJ48" s="214"/>
      <c r="AK48" s="214"/>
    </row>
    <row r="49" spans="1:37" ht="17.399999999999999" customHeight="1">
      <c r="A49" s="213"/>
      <c r="B49" s="213"/>
      <c r="C49" s="213"/>
      <c r="D49" s="213"/>
      <c r="E49" s="635">
        <f t="shared" si="8"/>
        <v>0</v>
      </c>
      <c r="F49" s="636">
        <f t="shared" si="11"/>
        <v>0</v>
      </c>
      <c r="G49" s="438">
        <f t="shared" ref="G49:W49" si="23">G20*G$33</f>
        <v>0</v>
      </c>
      <c r="H49" s="438">
        <f t="shared" si="23"/>
        <v>0</v>
      </c>
      <c r="I49" s="438">
        <f t="shared" si="23"/>
        <v>0</v>
      </c>
      <c r="J49" s="438">
        <f t="shared" si="23"/>
        <v>0</v>
      </c>
      <c r="K49" s="438">
        <f t="shared" si="23"/>
        <v>0</v>
      </c>
      <c r="L49" s="438">
        <f t="shared" si="23"/>
        <v>0</v>
      </c>
      <c r="M49" s="438">
        <f t="shared" si="23"/>
        <v>0</v>
      </c>
      <c r="N49" s="438">
        <f t="shared" si="23"/>
        <v>0</v>
      </c>
      <c r="O49" s="438">
        <f t="shared" si="23"/>
        <v>0</v>
      </c>
      <c r="P49" s="438">
        <f t="shared" si="23"/>
        <v>0</v>
      </c>
      <c r="Q49" s="438">
        <f t="shared" si="23"/>
        <v>0</v>
      </c>
      <c r="R49" s="438">
        <f t="shared" si="23"/>
        <v>0</v>
      </c>
      <c r="S49" s="438">
        <f t="shared" si="23"/>
        <v>0</v>
      </c>
      <c r="T49" s="438">
        <f t="shared" si="23"/>
        <v>0</v>
      </c>
      <c r="U49" s="438">
        <f t="shared" si="23"/>
        <v>0</v>
      </c>
      <c r="V49" s="438">
        <f t="shared" si="23"/>
        <v>0</v>
      </c>
      <c r="W49" s="438">
        <f t="shared" si="23"/>
        <v>0</v>
      </c>
      <c r="X49" s="214"/>
      <c r="Y49" s="438">
        <f t="shared" si="10"/>
        <v>0</v>
      </c>
      <c r="Z49" s="445"/>
      <c r="AA49" s="445"/>
      <c r="AB49" s="445"/>
      <c r="AC49" s="214"/>
      <c r="AD49" s="214"/>
      <c r="AE49" s="214"/>
      <c r="AF49" s="214"/>
      <c r="AG49" s="214"/>
      <c r="AH49" s="214"/>
      <c r="AI49" s="214"/>
      <c r="AJ49" s="214"/>
      <c r="AK49" s="214"/>
    </row>
    <row r="50" spans="1:37" ht="17.399999999999999" customHeight="1">
      <c r="A50" s="213"/>
      <c r="B50" s="213"/>
      <c r="C50" s="213"/>
      <c r="D50" s="213"/>
      <c r="E50" s="635" t="str">
        <f t="shared" si="8"/>
        <v>diverse Grünbrachen zB Biodiv.</v>
      </c>
      <c r="F50" s="636">
        <f t="shared" si="11"/>
        <v>0</v>
      </c>
      <c r="G50" s="438">
        <f t="shared" ref="G50:W50" si="24">G21*G$33</f>
        <v>0</v>
      </c>
      <c r="H50" s="438">
        <f t="shared" si="24"/>
        <v>0</v>
      </c>
      <c r="I50" s="438">
        <f t="shared" si="24"/>
        <v>0</v>
      </c>
      <c r="J50" s="438">
        <f t="shared" si="24"/>
        <v>0</v>
      </c>
      <c r="K50" s="438">
        <f t="shared" si="24"/>
        <v>0</v>
      </c>
      <c r="L50" s="438">
        <f t="shared" si="24"/>
        <v>0</v>
      </c>
      <c r="M50" s="438">
        <f t="shared" si="24"/>
        <v>0</v>
      </c>
      <c r="N50" s="438">
        <f t="shared" si="24"/>
        <v>0</v>
      </c>
      <c r="O50" s="438">
        <f t="shared" si="24"/>
        <v>0</v>
      </c>
      <c r="P50" s="438">
        <f t="shared" si="24"/>
        <v>0</v>
      </c>
      <c r="Q50" s="438">
        <f t="shared" si="24"/>
        <v>0</v>
      </c>
      <c r="R50" s="438">
        <f t="shared" si="24"/>
        <v>0</v>
      </c>
      <c r="S50" s="438">
        <f t="shared" si="24"/>
        <v>0</v>
      </c>
      <c r="T50" s="438">
        <f t="shared" si="24"/>
        <v>0</v>
      </c>
      <c r="U50" s="438">
        <f t="shared" si="24"/>
        <v>0</v>
      </c>
      <c r="V50" s="438">
        <f t="shared" si="24"/>
        <v>0</v>
      </c>
      <c r="W50" s="438">
        <f t="shared" si="24"/>
        <v>0</v>
      </c>
      <c r="X50" s="214"/>
      <c r="Y50" s="438">
        <f t="shared" si="10"/>
        <v>0</v>
      </c>
      <c r="Z50" s="445"/>
      <c r="AA50" s="445"/>
      <c r="AB50" s="445"/>
      <c r="AC50" s="214"/>
      <c r="AD50" s="214"/>
      <c r="AE50" s="214"/>
      <c r="AF50" s="214"/>
      <c r="AG50" s="214"/>
      <c r="AH50" s="214"/>
      <c r="AI50" s="214"/>
      <c r="AJ50" s="214"/>
      <c r="AK50" s="214"/>
    </row>
    <row r="51" spans="1:37" ht="8.25" customHeight="1">
      <c r="A51" s="213"/>
      <c r="B51" s="213"/>
      <c r="C51" s="213"/>
      <c r="D51" s="213"/>
      <c r="E51" s="635"/>
      <c r="F51" s="638"/>
      <c r="G51" s="639"/>
      <c r="H51" s="639"/>
      <c r="I51" s="639"/>
      <c r="J51" s="639"/>
      <c r="K51" s="639"/>
      <c r="L51" s="639"/>
      <c r="M51" s="639"/>
      <c r="N51" s="639"/>
      <c r="O51" s="639"/>
      <c r="P51" s="639"/>
      <c r="Q51" s="639"/>
      <c r="R51" s="639"/>
      <c r="S51" s="639"/>
      <c r="T51" s="639"/>
      <c r="U51" s="639"/>
      <c r="V51" s="639"/>
      <c r="W51" s="639"/>
      <c r="X51" s="214"/>
      <c r="Y51" s="640"/>
      <c r="Z51" s="640"/>
      <c r="AA51" s="640"/>
      <c r="AB51" s="640"/>
      <c r="AC51" s="214"/>
      <c r="AD51" s="214"/>
      <c r="AE51" s="214"/>
      <c r="AF51" s="214"/>
      <c r="AG51" s="214"/>
      <c r="AH51" s="214"/>
      <c r="AI51" s="214"/>
      <c r="AJ51" s="214"/>
      <c r="AK51" s="214"/>
    </row>
    <row r="52" spans="1:37" ht="17.399999999999999" customHeight="1">
      <c r="A52" s="213"/>
      <c r="B52" s="213"/>
      <c r="C52" s="213"/>
      <c r="D52" s="213"/>
      <c r="E52" s="635">
        <f t="shared" ref="E52:E57" si="25">A23</f>
        <v>0</v>
      </c>
      <c r="F52" s="636">
        <f t="shared" ref="F52:F57" si="26">SUM(G52:W52)</f>
        <v>0</v>
      </c>
      <c r="G52" s="438">
        <f t="shared" ref="G52:W52" si="27">G23*G$33</f>
        <v>0</v>
      </c>
      <c r="H52" s="438">
        <f t="shared" si="27"/>
        <v>0</v>
      </c>
      <c r="I52" s="438">
        <f t="shared" si="27"/>
        <v>0</v>
      </c>
      <c r="J52" s="438">
        <f t="shared" si="27"/>
        <v>0</v>
      </c>
      <c r="K52" s="438">
        <f t="shared" si="27"/>
        <v>0</v>
      </c>
      <c r="L52" s="438">
        <f t="shared" si="27"/>
        <v>0</v>
      </c>
      <c r="M52" s="438">
        <f t="shared" si="27"/>
        <v>0</v>
      </c>
      <c r="N52" s="438">
        <f t="shared" si="27"/>
        <v>0</v>
      </c>
      <c r="O52" s="438">
        <f t="shared" si="27"/>
        <v>0</v>
      </c>
      <c r="P52" s="438">
        <f t="shared" si="27"/>
        <v>0</v>
      </c>
      <c r="Q52" s="438">
        <f t="shared" si="27"/>
        <v>0</v>
      </c>
      <c r="R52" s="438">
        <f t="shared" si="27"/>
        <v>0</v>
      </c>
      <c r="S52" s="438">
        <f t="shared" si="27"/>
        <v>0</v>
      </c>
      <c r="T52" s="438">
        <f t="shared" si="27"/>
        <v>0</v>
      </c>
      <c r="U52" s="438">
        <f t="shared" si="27"/>
        <v>0</v>
      </c>
      <c r="V52" s="438">
        <f t="shared" si="27"/>
        <v>0</v>
      </c>
      <c r="W52" s="438">
        <f t="shared" si="27"/>
        <v>0</v>
      </c>
      <c r="X52" s="214"/>
      <c r="Y52" s="438">
        <f t="shared" ref="Y52:Y57" si="28">F52*B23</f>
        <v>0</v>
      </c>
      <c r="Z52" s="445"/>
      <c r="AA52" s="445"/>
      <c r="AB52" s="445"/>
      <c r="AC52" s="214"/>
      <c r="AD52" s="214"/>
      <c r="AE52" s="214"/>
      <c r="AF52" s="214"/>
      <c r="AG52" s="214"/>
      <c r="AH52" s="214"/>
      <c r="AI52" s="214"/>
      <c r="AJ52" s="214"/>
      <c r="AK52" s="214"/>
    </row>
    <row r="53" spans="1:37" ht="17.399999999999999" customHeight="1">
      <c r="A53" s="213"/>
      <c r="B53" s="213"/>
      <c r="C53" s="213"/>
      <c r="D53" s="213"/>
      <c r="E53" s="635">
        <f t="shared" si="25"/>
        <v>0</v>
      </c>
      <c r="F53" s="636">
        <f t="shared" si="26"/>
        <v>0</v>
      </c>
      <c r="G53" s="438">
        <f t="shared" ref="G53:W53" si="29">G24*G$33</f>
        <v>0</v>
      </c>
      <c r="H53" s="438">
        <f t="shared" si="29"/>
        <v>0</v>
      </c>
      <c r="I53" s="438">
        <f t="shared" si="29"/>
        <v>0</v>
      </c>
      <c r="J53" s="438">
        <f t="shared" si="29"/>
        <v>0</v>
      </c>
      <c r="K53" s="438">
        <f t="shared" si="29"/>
        <v>0</v>
      </c>
      <c r="L53" s="438">
        <f t="shared" si="29"/>
        <v>0</v>
      </c>
      <c r="M53" s="438">
        <f t="shared" si="29"/>
        <v>0</v>
      </c>
      <c r="N53" s="438">
        <f t="shared" si="29"/>
        <v>0</v>
      </c>
      <c r="O53" s="438">
        <f t="shared" si="29"/>
        <v>0</v>
      </c>
      <c r="P53" s="438">
        <f t="shared" si="29"/>
        <v>0</v>
      </c>
      <c r="Q53" s="438">
        <f t="shared" si="29"/>
        <v>0</v>
      </c>
      <c r="R53" s="438">
        <f t="shared" si="29"/>
        <v>0</v>
      </c>
      <c r="S53" s="438">
        <f t="shared" si="29"/>
        <v>0</v>
      </c>
      <c r="T53" s="438">
        <f t="shared" si="29"/>
        <v>0</v>
      </c>
      <c r="U53" s="438">
        <f t="shared" si="29"/>
        <v>0</v>
      </c>
      <c r="V53" s="438">
        <f t="shared" si="29"/>
        <v>0</v>
      </c>
      <c r="W53" s="438">
        <f t="shared" si="29"/>
        <v>0</v>
      </c>
      <c r="X53" s="214"/>
      <c r="Y53" s="438">
        <f t="shared" si="28"/>
        <v>0</v>
      </c>
      <c r="Z53" s="445"/>
      <c r="AA53" s="445"/>
      <c r="AB53" s="445"/>
      <c r="AC53" s="214"/>
      <c r="AD53" s="214"/>
      <c r="AE53" s="214"/>
      <c r="AF53" s="214"/>
      <c r="AG53" s="214"/>
      <c r="AH53" s="214"/>
      <c r="AI53" s="214"/>
      <c r="AJ53" s="214"/>
      <c r="AK53" s="214"/>
    </row>
    <row r="54" spans="1:37" ht="17.399999999999999" customHeight="1">
      <c r="A54" s="213"/>
      <c r="B54" s="213"/>
      <c r="C54" s="213"/>
      <c r="D54" s="213"/>
      <c r="E54" s="635">
        <f t="shared" si="25"/>
        <v>0</v>
      </c>
      <c r="F54" s="636">
        <f t="shared" si="26"/>
        <v>0</v>
      </c>
      <c r="G54" s="438">
        <f t="shared" ref="G54:W54" si="30">G25*G$33</f>
        <v>0</v>
      </c>
      <c r="H54" s="438">
        <f t="shared" si="30"/>
        <v>0</v>
      </c>
      <c r="I54" s="438">
        <f t="shared" si="30"/>
        <v>0</v>
      </c>
      <c r="J54" s="438">
        <f t="shared" si="30"/>
        <v>0</v>
      </c>
      <c r="K54" s="438">
        <f t="shared" si="30"/>
        <v>0</v>
      </c>
      <c r="L54" s="438">
        <f t="shared" si="30"/>
        <v>0</v>
      </c>
      <c r="M54" s="438">
        <f t="shared" si="30"/>
        <v>0</v>
      </c>
      <c r="N54" s="438">
        <f t="shared" si="30"/>
        <v>0</v>
      </c>
      <c r="O54" s="438">
        <f t="shared" si="30"/>
        <v>0</v>
      </c>
      <c r="P54" s="438">
        <f t="shared" si="30"/>
        <v>0</v>
      </c>
      <c r="Q54" s="438">
        <f t="shared" si="30"/>
        <v>0</v>
      </c>
      <c r="R54" s="438">
        <f t="shared" si="30"/>
        <v>0</v>
      </c>
      <c r="S54" s="438">
        <f t="shared" si="30"/>
        <v>0</v>
      </c>
      <c r="T54" s="438">
        <f t="shared" si="30"/>
        <v>0</v>
      </c>
      <c r="U54" s="438">
        <f t="shared" si="30"/>
        <v>0</v>
      </c>
      <c r="V54" s="438">
        <f t="shared" si="30"/>
        <v>0</v>
      </c>
      <c r="W54" s="438">
        <f t="shared" si="30"/>
        <v>0</v>
      </c>
      <c r="X54" s="214"/>
      <c r="Y54" s="438">
        <f t="shared" si="28"/>
        <v>0</v>
      </c>
      <c r="Z54" s="445"/>
      <c r="AA54" s="445"/>
      <c r="AB54" s="445"/>
      <c r="AC54" s="214"/>
      <c r="AD54" s="214"/>
      <c r="AE54" s="214"/>
      <c r="AF54" s="214"/>
      <c r="AG54" s="214"/>
      <c r="AH54" s="214"/>
      <c r="AI54" s="214"/>
      <c r="AJ54" s="214"/>
      <c r="AK54" s="214"/>
    </row>
    <row r="55" spans="1:37" ht="17.399999999999999" customHeight="1">
      <c r="A55" s="213"/>
      <c r="B55" s="213"/>
      <c r="C55" s="213"/>
      <c r="D55" s="213"/>
      <c r="E55" s="635">
        <f t="shared" si="25"/>
        <v>0</v>
      </c>
      <c r="F55" s="636">
        <f t="shared" si="26"/>
        <v>0</v>
      </c>
      <c r="G55" s="438">
        <f t="shared" ref="G55:W55" si="31">G26*G$33</f>
        <v>0</v>
      </c>
      <c r="H55" s="438">
        <f t="shared" si="31"/>
        <v>0</v>
      </c>
      <c r="I55" s="438">
        <f t="shared" si="31"/>
        <v>0</v>
      </c>
      <c r="J55" s="438">
        <f t="shared" si="31"/>
        <v>0</v>
      </c>
      <c r="K55" s="438">
        <f t="shared" si="31"/>
        <v>0</v>
      </c>
      <c r="L55" s="438">
        <f t="shared" si="31"/>
        <v>0</v>
      </c>
      <c r="M55" s="438">
        <f t="shared" si="31"/>
        <v>0</v>
      </c>
      <c r="N55" s="438">
        <f t="shared" si="31"/>
        <v>0</v>
      </c>
      <c r="O55" s="438">
        <f t="shared" si="31"/>
        <v>0</v>
      </c>
      <c r="P55" s="438">
        <f t="shared" si="31"/>
        <v>0</v>
      </c>
      <c r="Q55" s="438">
        <f t="shared" si="31"/>
        <v>0</v>
      </c>
      <c r="R55" s="438">
        <f t="shared" si="31"/>
        <v>0</v>
      </c>
      <c r="S55" s="438">
        <f t="shared" si="31"/>
        <v>0</v>
      </c>
      <c r="T55" s="438">
        <f t="shared" si="31"/>
        <v>0</v>
      </c>
      <c r="U55" s="438">
        <f t="shared" si="31"/>
        <v>0</v>
      </c>
      <c r="V55" s="438">
        <f t="shared" si="31"/>
        <v>0</v>
      </c>
      <c r="W55" s="438">
        <f t="shared" si="31"/>
        <v>0</v>
      </c>
      <c r="X55" s="214"/>
      <c r="Y55" s="438">
        <f t="shared" si="28"/>
        <v>0</v>
      </c>
      <c r="Z55" s="445"/>
      <c r="AA55" s="445"/>
      <c r="AB55" s="445"/>
      <c r="AC55" s="214"/>
      <c r="AD55" s="214"/>
      <c r="AE55" s="214"/>
      <c r="AF55" s="214"/>
      <c r="AG55" s="214"/>
      <c r="AH55" s="214"/>
      <c r="AI55" s="214"/>
      <c r="AJ55" s="214"/>
      <c r="AK55" s="214"/>
    </row>
    <row r="56" spans="1:37" ht="17.399999999999999" customHeight="1">
      <c r="A56" s="213"/>
      <c r="B56" s="213"/>
      <c r="C56" s="213"/>
      <c r="D56" s="213"/>
      <c r="E56" s="635">
        <f t="shared" si="25"/>
        <v>0</v>
      </c>
      <c r="F56" s="636">
        <f t="shared" si="26"/>
        <v>0</v>
      </c>
      <c r="G56" s="438">
        <f t="shared" ref="G56:W56" si="32">G27*G$33</f>
        <v>0</v>
      </c>
      <c r="H56" s="438">
        <f t="shared" si="32"/>
        <v>0</v>
      </c>
      <c r="I56" s="438">
        <f t="shared" si="32"/>
        <v>0</v>
      </c>
      <c r="J56" s="438">
        <f t="shared" si="32"/>
        <v>0</v>
      </c>
      <c r="K56" s="438">
        <f t="shared" si="32"/>
        <v>0</v>
      </c>
      <c r="L56" s="438">
        <f t="shared" si="32"/>
        <v>0</v>
      </c>
      <c r="M56" s="438">
        <f t="shared" si="32"/>
        <v>0</v>
      </c>
      <c r="N56" s="438">
        <f t="shared" si="32"/>
        <v>0</v>
      </c>
      <c r="O56" s="438">
        <f t="shared" si="32"/>
        <v>0</v>
      </c>
      <c r="P56" s="438">
        <f t="shared" si="32"/>
        <v>0</v>
      </c>
      <c r="Q56" s="438">
        <f t="shared" si="32"/>
        <v>0</v>
      </c>
      <c r="R56" s="438">
        <f t="shared" si="32"/>
        <v>0</v>
      </c>
      <c r="S56" s="438">
        <f t="shared" si="32"/>
        <v>0</v>
      </c>
      <c r="T56" s="438">
        <f t="shared" si="32"/>
        <v>0</v>
      </c>
      <c r="U56" s="438">
        <f t="shared" si="32"/>
        <v>0</v>
      </c>
      <c r="V56" s="438">
        <f t="shared" si="32"/>
        <v>0</v>
      </c>
      <c r="W56" s="438">
        <f t="shared" si="32"/>
        <v>0</v>
      </c>
      <c r="X56" s="214"/>
      <c r="Y56" s="438">
        <f t="shared" si="28"/>
        <v>0</v>
      </c>
      <c r="Z56" s="445"/>
      <c r="AA56" s="445"/>
      <c r="AB56" s="445"/>
      <c r="AC56" s="214"/>
      <c r="AD56" s="214"/>
      <c r="AE56" s="214"/>
      <c r="AF56" s="214"/>
      <c r="AG56" s="214"/>
      <c r="AH56" s="214"/>
      <c r="AI56" s="214"/>
      <c r="AJ56" s="214"/>
      <c r="AK56" s="214"/>
    </row>
    <row r="57" spans="1:37" ht="17.399999999999999" customHeight="1">
      <c r="A57" s="213"/>
      <c r="B57" s="213"/>
      <c r="C57" s="213"/>
      <c r="D57" s="213"/>
      <c r="E57" s="635">
        <f t="shared" si="25"/>
        <v>0</v>
      </c>
      <c r="F57" s="636">
        <f t="shared" si="26"/>
        <v>0</v>
      </c>
      <c r="G57" s="438">
        <f t="shared" ref="G57:W57" si="33">G28*G$33</f>
        <v>0</v>
      </c>
      <c r="H57" s="438">
        <f t="shared" si="33"/>
        <v>0</v>
      </c>
      <c r="I57" s="438">
        <f t="shared" si="33"/>
        <v>0</v>
      </c>
      <c r="J57" s="438">
        <f t="shared" si="33"/>
        <v>0</v>
      </c>
      <c r="K57" s="438">
        <f t="shared" si="33"/>
        <v>0</v>
      </c>
      <c r="L57" s="438">
        <f t="shared" si="33"/>
        <v>0</v>
      </c>
      <c r="M57" s="438">
        <f t="shared" si="33"/>
        <v>0</v>
      </c>
      <c r="N57" s="438">
        <f t="shared" si="33"/>
        <v>0</v>
      </c>
      <c r="O57" s="438">
        <f t="shared" si="33"/>
        <v>0</v>
      </c>
      <c r="P57" s="438">
        <f t="shared" si="33"/>
        <v>0</v>
      </c>
      <c r="Q57" s="438">
        <f t="shared" si="33"/>
        <v>0</v>
      </c>
      <c r="R57" s="438">
        <f t="shared" si="33"/>
        <v>0</v>
      </c>
      <c r="S57" s="438">
        <f t="shared" si="33"/>
        <v>0</v>
      </c>
      <c r="T57" s="438">
        <f t="shared" si="33"/>
        <v>0</v>
      </c>
      <c r="U57" s="438">
        <f t="shared" si="33"/>
        <v>0</v>
      </c>
      <c r="V57" s="438">
        <f t="shared" si="33"/>
        <v>0</v>
      </c>
      <c r="W57" s="438">
        <f t="shared" si="33"/>
        <v>0</v>
      </c>
      <c r="X57" s="214"/>
      <c r="Y57" s="438">
        <f t="shared" si="28"/>
        <v>0</v>
      </c>
      <c r="Z57" s="445"/>
      <c r="AA57" s="445"/>
      <c r="AB57" s="445"/>
      <c r="AC57" s="214"/>
      <c r="AD57" s="214"/>
      <c r="AE57" s="214"/>
      <c r="AF57" s="214"/>
      <c r="AG57" s="214"/>
      <c r="AH57" s="214"/>
      <c r="AI57" s="214"/>
      <c r="AJ57" s="214"/>
      <c r="AK57" s="214"/>
    </row>
    <row r="58" spans="1:37" ht="20.25" customHeight="1">
      <c r="A58" s="213"/>
      <c r="B58" s="213"/>
      <c r="C58" s="213"/>
      <c r="D58" s="213"/>
      <c r="E58" s="213"/>
      <c r="F58" s="213"/>
      <c r="G58" s="213"/>
      <c r="H58" s="213"/>
      <c r="I58" s="213"/>
      <c r="J58" s="213"/>
      <c r="K58" s="213"/>
      <c r="L58" s="213"/>
      <c r="M58" s="213"/>
      <c r="N58" s="213"/>
      <c r="O58" s="213"/>
      <c r="P58" s="213"/>
      <c r="Q58" s="213"/>
      <c r="R58" s="213"/>
      <c r="S58" s="213"/>
      <c r="T58" s="213"/>
      <c r="U58" s="213"/>
      <c r="V58" s="213"/>
      <c r="W58" s="213"/>
      <c r="X58" s="213"/>
      <c r="Y58" s="641">
        <f>SUM(Y37:Y57)</f>
        <v>0</v>
      </c>
      <c r="Z58" s="642"/>
      <c r="AA58" s="642"/>
      <c r="AB58" s="642"/>
      <c r="AC58" s="214"/>
      <c r="AD58" s="214"/>
      <c r="AE58" s="214"/>
      <c r="AF58" s="214"/>
      <c r="AG58" s="214"/>
      <c r="AH58" s="214"/>
      <c r="AI58" s="214"/>
      <c r="AJ58" s="214"/>
      <c r="AK58" s="214"/>
    </row>
    <row r="59" spans="1:37" ht="13.8">
      <c r="A59" s="213"/>
      <c r="B59" s="213"/>
      <c r="C59" s="213"/>
      <c r="D59" s="213"/>
      <c r="E59" s="630"/>
      <c r="F59" s="630"/>
      <c r="G59" s="643" t="s">
        <v>668</v>
      </c>
      <c r="H59" s="630"/>
      <c r="I59" s="630"/>
      <c r="J59" s="630"/>
      <c r="K59" s="630"/>
      <c r="L59" s="630"/>
      <c r="M59" s="630"/>
      <c r="N59" s="630"/>
      <c r="O59" s="630"/>
      <c r="P59" s="630"/>
      <c r="Q59" s="630"/>
      <c r="R59" s="630"/>
      <c r="S59" s="630"/>
      <c r="T59" s="630"/>
      <c r="U59" s="630"/>
      <c r="V59" s="630"/>
      <c r="W59" s="632"/>
      <c r="X59" s="213"/>
      <c r="Y59" s="214"/>
      <c r="Z59" s="214"/>
      <c r="AA59" s="214"/>
      <c r="AB59" s="214"/>
      <c r="AC59" s="214"/>
      <c r="AD59" s="214"/>
      <c r="AE59" s="214"/>
      <c r="AF59" s="214"/>
      <c r="AG59" s="214"/>
      <c r="AH59" s="214"/>
      <c r="AI59" s="214"/>
      <c r="AJ59" s="214"/>
      <c r="AK59" s="214"/>
    </row>
    <row r="60" spans="1:37">
      <c r="A60" s="213"/>
      <c r="B60" s="213"/>
      <c r="C60" s="213"/>
      <c r="D60" s="213"/>
      <c r="E60" s="213"/>
      <c r="F60" s="644" t="str">
        <f t="shared" ref="F60:F73" si="34">A8</f>
        <v/>
      </c>
      <c r="G60" s="440">
        <f t="shared" ref="G60:W60" si="35">G8*$B8</f>
        <v>0</v>
      </c>
      <c r="H60" s="440">
        <f t="shared" si="35"/>
        <v>0</v>
      </c>
      <c r="I60" s="440">
        <f t="shared" si="35"/>
        <v>0</v>
      </c>
      <c r="J60" s="440">
        <f t="shared" si="35"/>
        <v>0</v>
      </c>
      <c r="K60" s="440">
        <f t="shared" si="35"/>
        <v>0</v>
      </c>
      <c r="L60" s="440">
        <f t="shared" si="35"/>
        <v>0</v>
      </c>
      <c r="M60" s="440">
        <f t="shared" si="35"/>
        <v>0</v>
      </c>
      <c r="N60" s="440">
        <f t="shared" si="35"/>
        <v>0</v>
      </c>
      <c r="O60" s="440">
        <f t="shared" si="35"/>
        <v>0</v>
      </c>
      <c r="P60" s="440">
        <f t="shared" si="35"/>
        <v>0</v>
      </c>
      <c r="Q60" s="440">
        <f t="shared" si="35"/>
        <v>0</v>
      </c>
      <c r="R60" s="440">
        <f t="shared" si="35"/>
        <v>0</v>
      </c>
      <c r="S60" s="440">
        <f t="shared" si="35"/>
        <v>0</v>
      </c>
      <c r="T60" s="440">
        <f t="shared" si="35"/>
        <v>0</v>
      </c>
      <c r="U60" s="440">
        <f t="shared" si="35"/>
        <v>0</v>
      </c>
      <c r="V60" s="440">
        <f t="shared" si="35"/>
        <v>0</v>
      </c>
      <c r="W60" s="440">
        <f t="shared" si="35"/>
        <v>0</v>
      </c>
      <c r="X60" s="213"/>
      <c r="Y60" s="214"/>
      <c r="Z60" s="214"/>
      <c r="AA60" s="214"/>
      <c r="AB60" s="214"/>
      <c r="AC60" s="214"/>
      <c r="AD60" s="214"/>
      <c r="AE60" s="214"/>
      <c r="AF60" s="214"/>
      <c r="AG60" s="214"/>
      <c r="AH60" s="214"/>
      <c r="AI60" s="214"/>
      <c r="AJ60" s="214"/>
      <c r="AK60" s="214"/>
    </row>
    <row r="61" spans="1:37">
      <c r="A61" s="213"/>
      <c r="B61" s="213"/>
      <c r="C61" s="213"/>
      <c r="D61" s="213"/>
      <c r="E61" s="213"/>
      <c r="F61" s="644">
        <f t="shared" si="34"/>
        <v>0</v>
      </c>
      <c r="G61" s="440">
        <f t="shared" ref="G61:W61" si="36">G9*$B9</f>
        <v>0</v>
      </c>
      <c r="H61" s="440">
        <f t="shared" si="36"/>
        <v>0</v>
      </c>
      <c r="I61" s="440">
        <f t="shared" si="36"/>
        <v>0</v>
      </c>
      <c r="J61" s="440">
        <f t="shared" si="36"/>
        <v>0</v>
      </c>
      <c r="K61" s="440">
        <f t="shared" si="36"/>
        <v>0</v>
      </c>
      <c r="L61" s="440">
        <f t="shared" si="36"/>
        <v>0</v>
      </c>
      <c r="M61" s="440">
        <f t="shared" si="36"/>
        <v>0</v>
      </c>
      <c r="N61" s="440">
        <f t="shared" si="36"/>
        <v>0</v>
      </c>
      <c r="O61" s="440">
        <f t="shared" si="36"/>
        <v>0</v>
      </c>
      <c r="P61" s="440">
        <f t="shared" si="36"/>
        <v>0</v>
      </c>
      <c r="Q61" s="440">
        <f t="shared" si="36"/>
        <v>0</v>
      </c>
      <c r="R61" s="440">
        <f t="shared" si="36"/>
        <v>0</v>
      </c>
      <c r="S61" s="440">
        <f t="shared" si="36"/>
        <v>0</v>
      </c>
      <c r="T61" s="440">
        <f t="shared" si="36"/>
        <v>0</v>
      </c>
      <c r="U61" s="440">
        <f t="shared" si="36"/>
        <v>0</v>
      </c>
      <c r="V61" s="440">
        <f t="shared" si="36"/>
        <v>0</v>
      </c>
      <c r="W61" s="440">
        <f t="shared" si="36"/>
        <v>0</v>
      </c>
      <c r="X61" s="213"/>
      <c r="Y61" s="214"/>
      <c r="Z61" s="214"/>
      <c r="AA61" s="214"/>
      <c r="AB61" s="214"/>
      <c r="AC61" s="214"/>
      <c r="AD61" s="214"/>
      <c r="AE61" s="214"/>
      <c r="AF61" s="214"/>
      <c r="AG61" s="214"/>
      <c r="AH61" s="214"/>
      <c r="AI61" s="214"/>
      <c r="AJ61" s="214"/>
      <c r="AK61" s="214"/>
    </row>
    <row r="62" spans="1:37">
      <c r="A62" s="213"/>
      <c r="B62" s="213"/>
      <c r="C62" s="213"/>
      <c r="D62" s="213"/>
      <c r="E62" s="213"/>
      <c r="F62" s="644">
        <f t="shared" si="34"/>
        <v>0</v>
      </c>
      <c r="G62" s="440">
        <f t="shared" ref="G62:W62" si="37">G10*$B10</f>
        <v>0</v>
      </c>
      <c r="H62" s="440">
        <f t="shared" si="37"/>
        <v>0</v>
      </c>
      <c r="I62" s="440">
        <f t="shared" si="37"/>
        <v>0</v>
      </c>
      <c r="J62" s="440">
        <f t="shared" si="37"/>
        <v>0</v>
      </c>
      <c r="K62" s="440">
        <f t="shared" si="37"/>
        <v>0</v>
      </c>
      <c r="L62" s="440">
        <f t="shared" si="37"/>
        <v>0</v>
      </c>
      <c r="M62" s="440">
        <f t="shared" si="37"/>
        <v>0</v>
      </c>
      <c r="N62" s="440">
        <f t="shared" si="37"/>
        <v>0</v>
      </c>
      <c r="O62" s="440">
        <f t="shared" si="37"/>
        <v>0</v>
      </c>
      <c r="P62" s="440">
        <f t="shared" si="37"/>
        <v>0</v>
      </c>
      <c r="Q62" s="440">
        <f t="shared" si="37"/>
        <v>0</v>
      </c>
      <c r="R62" s="440">
        <f t="shared" si="37"/>
        <v>0</v>
      </c>
      <c r="S62" s="440">
        <f t="shared" si="37"/>
        <v>0</v>
      </c>
      <c r="T62" s="440">
        <f t="shared" si="37"/>
        <v>0</v>
      </c>
      <c r="U62" s="440">
        <f t="shared" si="37"/>
        <v>0</v>
      </c>
      <c r="V62" s="440">
        <f t="shared" si="37"/>
        <v>0</v>
      </c>
      <c r="W62" s="440">
        <f t="shared" si="37"/>
        <v>0</v>
      </c>
      <c r="X62" s="213"/>
      <c r="Y62" s="214"/>
      <c r="Z62" s="214"/>
      <c r="AA62" s="214"/>
      <c r="AB62" s="214"/>
      <c r="AC62" s="214"/>
      <c r="AD62" s="214"/>
      <c r="AE62" s="214"/>
      <c r="AF62" s="214"/>
      <c r="AG62" s="214"/>
      <c r="AH62" s="214"/>
      <c r="AI62" s="214"/>
      <c r="AJ62" s="214"/>
      <c r="AK62" s="214"/>
    </row>
    <row r="63" spans="1:37">
      <c r="A63" s="213"/>
      <c r="B63" s="213"/>
      <c r="C63" s="213"/>
      <c r="D63" s="213"/>
      <c r="E63" s="213"/>
      <c r="F63" s="644">
        <f t="shared" si="34"/>
        <v>0</v>
      </c>
      <c r="G63" s="440">
        <f t="shared" ref="G63:W63" si="38">G11*$B11</f>
        <v>0</v>
      </c>
      <c r="H63" s="440">
        <f t="shared" si="38"/>
        <v>0</v>
      </c>
      <c r="I63" s="440">
        <f t="shared" si="38"/>
        <v>0</v>
      </c>
      <c r="J63" s="440">
        <f t="shared" si="38"/>
        <v>0</v>
      </c>
      <c r="K63" s="440">
        <f t="shared" si="38"/>
        <v>0</v>
      </c>
      <c r="L63" s="440">
        <f t="shared" si="38"/>
        <v>0</v>
      </c>
      <c r="M63" s="440">
        <f t="shared" si="38"/>
        <v>0</v>
      </c>
      <c r="N63" s="440">
        <f t="shared" si="38"/>
        <v>0</v>
      </c>
      <c r="O63" s="440">
        <f t="shared" si="38"/>
        <v>0</v>
      </c>
      <c r="P63" s="440">
        <f t="shared" si="38"/>
        <v>0</v>
      </c>
      <c r="Q63" s="440">
        <f t="shared" si="38"/>
        <v>0</v>
      </c>
      <c r="R63" s="440">
        <f t="shared" si="38"/>
        <v>0</v>
      </c>
      <c r="S63" s="440">
        <f t="shared" si="38"/>
        <v>0</v>
      </c>
      <c r="T63" s="440">
        <f t="shared" si="38"/>
        <v>0</v>
      </c>
      <c r="U63" s="440">
        <f t="shared" si="38"/>
        <v>0</v>
      </c>
      <c r="V63" s="440">
        <f t="shared" si="38"/>
        <v>0</v>
      </c>
      <c r="W63" s="440">
        <f t="shared" si="38"/>
        <v>0</v>
      </c>
      <c r="X63" s="213"/>
      <c r="Y63" s="214"/>
      <c r="Z63" s="214"/>
      <c r="AA63" s="214"/>
      <c r="AB63" s="214"/>
      <c r="AC63" s="214"/>
      <c r="AD63" s="214"/>
      <c r="AE63" s="214"/>
      <c r="AF63" s="214"/>
      <c r="AG63" s="214"/>
      <c r="AH63" s="214"/>
      <c r="AI63" s="214"/>
      <c r="AJ63" s="214"/>
      <c r="AK63" s="214"/>
    </row>
    <row r="64" spans="1:37">
      <c r="A64" s="213"/>
      <c r="B64" s="213"/>
      <c r="C64" s="213"/>
      <c r="D64" s="213"/>
      <c r="E64" s="213"/>
      <c r="F64" s="644">
        <f t="shared" si="34"/>
        <v>0</v>
      </c>
      <c r="G64" s="440">
        <f t="shared" ref="G64:W64" si="39">G12*$B12</f>
        <v>0</v>
      </c>
      <c r="H64" s="440">
        <f t="shared" si="39"/>
        <v>0</v>
      </c>
      <c r="I64" s="440">
        <f t="shared" si="39"/>
        <v>0</v>
      </c>
      <c r="J64" s="440">
        <f t="shared" si="39"/>
        <v>0</v>
      </c>
      <c r="K64" s="440">
        <f t="shared" si="39"/>
        <v>0</v>
      </c>
      <c r="L64" s="440">
        <f t="shared" si="39"/>
        <v>0</v>
      </c>
      <c r="M64" s="440">
        <f t="shared" si="39"/>
        <v>0</v>
      </c>
      <c r="N64" s="440">
        <f t="shared" si="39"/>
        <v>0</v>
      </c>
      <c r="O64" s="440">
        <f t="shared" si="39"/>
        <v>0</v>
      </c>
      <c r="P64" s="440">
        <f t="shared" si="39"/>
        <v>0</v>
      </c>
      <c r="Q64" s="440">
        <f t="shared" si="39"/>
        <v>0</v>
      </c>
      <c r="R64" s="440">
        <f t="shared" si="39"/>
        <v>0</v>
      </c>
      <c r="S64" s="440">
        <f t="shared" si="39"/>
        <v>0</v>
      </c>
      <c r="T64" s="440">
        <f t="shared" si="39"/>
        <v>0</v>
      </c>
      <c r="U64" s="440">
        <f t="shared" si="39"/>
        <v>0</v>
      </c>
      <c r="V64" s="440">
        <f t="shared" si="39"/>
        <v>0</v>
      </c>
      <c r="W64" s="440">
        <f t="shared" si="39"/>
        <v>0</v>
      </c>
      <c r="X64" s="213"/>
      <c r="Y64" s="214"/>
      <c r="Z64" s="214"/>
      <c r="AA64" s="214"/>
      <c r="AB64" s="214"/>
      <c r="AC64" s="214"/>
      <c r="AD64" s="214"/>
      <c r="AE64" s="214"/>
      <c r="AF64" s="214"/>
      <c r="AG64" s="214"/>
      <c r="AH64" s="214"/>
      <c r="AI64" s="214"/>
      <c r="AJ64" s="214"/>
      <c r="AK64" s="214"/>
    </row>
    <row r="65" spans="1:37">
      <c r="A65" s="213"/>
      <c r="B65" s="213"/>
      <c r="C65" s="213"/>
      <c r="D65" s="213"/>
      <c r="E65" s="213"/>
      <c r="F65" s="644">
        <f t="shared" si="34"/>
        <v>0</v>
      </c>
      <c r="G65" s="440">
        <f t="shared" ref="G65:W65" si="40">G13*$B13</f>
        <v>0</v>
      </c>
      <c r="H65" s="440">
        <f t="shared" si="40"/>
        <v>0</v>
      </c>
      <c r="I65" s="440">
        <f t="shared" si="40"/>
        <v>0</v>
      </c>
      <c r="J65" s="440">
        <f t="shared" si="40"/>
        <v>0</v>
      </c>
      <c r="K65" s="440">
        <f t="shared" si="40"/>
        <v>0</v>
      </c>
      <c r="L65" s="440">
        <f t="shared" si="40"/>
        <v>0</v>
      </c>
      <c r="M65" s="440">
        <f t="shared" si="40"/>
        <v>0</v>
      </c>
      <c r="N65" s="440">
        <f t="shared" si="40"/>
        <v>0</v>
      </c>
      <c r="O65" s="440">
        <f t="shared" si="40"/>
        <v>0</v>
      </c>
      <c r="P65" s="440">
        <f t="shared" si="40"/>
        <v>0</v>
      </c>
      <c r="Q65" s="440">
        <f t="shared" si="40"/>
        <v>0</v>
      </c>
      <c r="R65" s="440">
        <f t="shared" si="40"/>
        <v>0</v>
      </c>
      <c r="S65" s="440">
        <f t="shared" si="40"/>
        <v>0</v>
      </c>
      <c r="T65" s="440">
        <f t="shared" si="40"/>
        <v>0</v>
      </c>
      <c r="U65" s="440">
        <f t="shared" si="40"/>
        <v>0</v>
      </c>
      <c r="V65" s="440">
        <f t="shared" si="40"/>
        <v>0</v>
      </c>
      <c r="W65" s="440">
        <f t="shared" si="40"/>
        <v>0</v>
      </c>
      <c r="X65" s="213"/>
      <c r="Y65" s="214"/>
      <c r="Z65" s="214"/>
      <c r="AA65" s="214"/>
      <c r="AB65" s="214"/>
      <c r="AC65" s="214"/>
      <c r="AD65" s="214"/>
      <c r="AE65" s="214"/>
      <c r="AF65" s="214"/>
      <c r="AG65" s="214"/>
      <c r="AH65" s="214"/>
      <c r="AI65" s="214"/>
      <c r="AJ65" s="214"/>
      <c r="AK65" s="214"/>
    </row>
    <row r="66" spans="1:37">
      <c r="A66" s="213"/>
      <c r="B66" s="213"/>
      <c r="C66" s="213"/>
      <c r="D66" s="213"/>
      <c r="E66" s="213"/>
      <c r="F66" s="644">
        <f t="shared" si="34"/>
        <v>0</v>
      </c>
      <c r="G66" s="440">
        <f t="shared" ref="G66:W66" si="41">G14*$B14</f>
        <v>0</v>
      </c>
      <c r="H66" s="440">
        <f t="shared" si="41"/>
        <v>0</v>
      </c>
      <c r="I66" s="440">
        <f t="shared" si="41"/>
        <v>0</v>
      </c>
      <c r="J66" s="440">
        <f t="shared" si="41"/>
        <v>0</v>
      </c>
      <c r="K66" s="440">
        <f t="shared" si="41"/>
        <v>0</v>
      </c>
      <c r="L66" s="440">
        <f t="shared" si="41"/>
        <v>0</v>
      </c>
      <c r="M66" s="440">
        <f t="shared" si="41"/>
        <v>0</v>
      </c>
      <c r="N66" s="440">
        <f t="shared" si="41"/>
        <v>0</v>
      </c>
      <c r="O66" s="440">
        <f t="shared" si="41"/>
        <v>0</v>
      </c>
      <c r="P66" s="440">
        <f t="shared" si="41"/>
        <v>0</v>
      </c>
      <c r="Q66" s="440">
        <f t="shared" si="41"/>
        <v>0</v>
      </c>
      <c r="R66" s="440">
        <f t="shared" si="41"/>
        <v>0</v>
      </c>
      <c r="S66" s="440">
        <f t="shared" si="41"/>
        <v>0</v>
      </c>
      <c r="T66" s="440">
        <f t="shared" si="41"/>
        <v>0</v>
      </c>
      <c r="U66" s="440">
        <f t="shared" si="41"/>
        <v>0</v>
      </c>
      <c r="V66" s="440">
        <f t="shared" si="41"/>
        <v>0</v>
      </c>
      <c r="W66" s="440">
        <f t="shared" si="41"/>
        <v>0</v>
      </c>
      <c r="X66" s="213"/>
      <c r="Y66" s="214"/>
      <c r="Z66" s="214"/>
      <c r="AA66" s="214"/>
      <c r="AB66" s="214"/>
      <c r="AC66" s="214"/>
      <c r="AD66" s="214"/>
      <c r="AE66" s="214"/>
      <c r="AF66" s="214"/>
      <c r="AG66" s="214"/>
      <c r="AH66" s="214"/>
      <c r="AI66" s="214"/>
      <c r="AJ66" s="214"/>
      <c r="AK66" s="214"/>
    </row>
    <row r="67" spans="1:37">
      <c r="A67" s="213"/>
      <c r="B67" s="213"/>
      <c r="C67" s="213"/>
      <c r="D67" s="213"/>
      <c r="E67" s="213"/>
      <c r="F67" s="644">
        <f t="shared" si="34"/>
        <v>0</v>
      </c>
      <c r="G67" s="440">
        <f t="shared" ref="G67:W67" si="42">G15*$B15</f>
        <v>0</v>
      </c>
      <c r="H67" s="440">
        <f t="shared" si="42"/>
        <v>0</v>
      </c>
      <c r="I67" s="440">
        <f t="shared" si="42"/>
        <v>0</v>
      </c>
      <c r="J67" s="440">
        <f t="shared" si="42"/>
        <v>0</v>
      </c>
      <c r="K67" s="440">
        <f t="shared" si="42"/>
        <v>0</v>
      </c>
      <c r="L67" s="440">
        <f t="shared" si="42"/>
        <v>0</v>
      </c>
      <c r="M67" s="440">
        <f t="shared" si="42"/>
        <v>0</v>
      </c>
      <c r="N67" s="440">
        <f t="shared" si="42"/>
        <v>0</v>
      </c>
      <c r="O67" s="440">
        <f t="shared" si="42"/>
        <v>0</v>
      </c>
      <c r="P67" s="440">
        <f t="shared" si="42"/>
        <v>0</v>
      </c>
      <c r="Q67" s="440">
        <f t="shared" si="42"/>
        <v>0</v>
      </c>
      <c r="R67" s="440">
        <f t="shared" si="42"/>
        <v>0</v>
      </c>
      <c r="S67" s="440">
        <f t="shared" si="42"/>
        <v>0</v>
      </c>
      <c r="T67" s="440">
        <f t="shared" si="42"/>
        <v>0</v>
      </c>
      <c r="U67" s="440">
        <f t="shared" si="42"/>
        <v>0</v>
      </c>
      <c r="V67" s="440">
        <f t="shared" si="42"/>
        <v>0</v>
      </c>
      <c r="W67" s="440">
        <f t="shared" si="42"/>
        <v>0</v>
      </c>
      <c r="X67" s="213"/>
      <c r="Y67" s="214"/>
      <c r="Z67" s="214"/>
      <c r="AA67" s="214"/>
      <c r="AB67" s="214"/>
      <c r="AC67" s="214"/>
      <c r="AD67" s="214"/>
      <c r="AE67" s="214"/>
      <c r="AF67" s="214"/>
      <c r="AG67" s="214"/>
      <c r="AH67" s="214"/>
      <c r="AI67" s="214"/>
      <c r="AJ67" s="214"/>
      <c r="AK67" s="214"/>
    </row>
    <row r="68" spans="1:37">
      <c r="A68" s="213"/>
      <c r="B68" s="213"/>
      <c r="C68" s="213"/>
      <c r="D68" s="213"/>
      <c r="E68" s="213"/>
      <c r="F68" s="644">
        <f t="shared" si="34"/>
        <v>0</v>
      </c>
      <c r="G68" s="440">
        <f t="shared" ref="G68:W68" si="43">G16*$B16</f>
        <v>0</v>
      </c>
      <c r="H68" s="440">
        <f t="shared" si="43"/>
        <v>0</v>
      </c>
      <c r="I68" s="440">
        <f t="shared" si="43"/>
        <v>0</v>
      </c>
      <c r="J68" s="440">
        <f t="shared" si="43"/>
        <v>0</v>
      </c>
      <c r="K68" s="440">
        <f t="shared" si="43"/>
        <v>0</v>
      </c>
      <c r="L68" s="440">
        <f t="shared" si="43"/>
        <v>0</v>
      </c>
      <c r="M68" s="440">
        <f t="shared" si="43"/>
        <v>0</v>
      </c>
      <c r="N68" s="440">
        <f t="shared" si="43"/>
        <v>0</v>
      </c>
      <c r="O68" s="440">
        <f t="shared" si="43"/>
        <v>0</v>
      </c>
      <c r="P68" s="440">
        <f t="shared" si="43"/>
        <v>0</v>
      </c>
      <c r="Q68" s="440">
        <f t="shared" si="43"/>
        <v>0</v>
      </c>
      <c r="R68" s="440">
        <f t="shared" si="43"/>
        <v>0</v>
      </c>
      <c r="S68" s="440">
        <f t="shared" si="43"/>
        <v>0</v>
      </c>
      <c r="T68" s="440">
        <f t="shared" si="43"/>
        <v>0</v>
      </c>
      <c r="U68" s="440">
        <f t="shared" si="43"/>
        <v>0</v>
      </c>
      <c r="V68" s="440">
        <f t="shared" si="43"/>
        <v>0</v>
      </c>
      <c r="W68" s="440">
        <f t="shared" si="43"/>
        <v>0</v>
      </c>
      <c r="X68" s="213"/>
      <c r="Y68" s="214"/>
      <c r="Z68" s="214"/>
      <c r="AA68" s="214"/>
      <c r="AB68" s="214"/>
      <c r="AC68" s="214"/>
      <c r="AD68" s="214"/>
      <c r="AE68" s="214"/>
      <c r="AF68" s="214"/>
      <c r="AG68" s="214"/>
      <c r="AH68" s="214"/>
      <c r="AI68" s="214"/>
      <c r="AJ68" s="214"/>
      <c r="AK68" s="214"/>
    </row>
    <row r="69" spans="1:37">
      <c r="A69" s="213"/>
      <c r="B69" s="213"/>
      <c r="C69" s="213"/>
      <c r="D69" s="213"/>
      <c r="E69" s="213"/>
      <c r="F69" s="644">
        <f t="shared" si="34"/>
        <v>0</v>
      </c>
      <c r="G69" s="440">
        <f t="shared" ref="G69:W69" si="44">G17*$B17</f>
        <v>0</v>
      </c>
      <c r="H69" s="440">
        <f t="shared" si="44"/>
        <v>0</v>
      </c>
      <c r="I69" s="440">
        <f t="shared" si="44"/>
        <v>0</v>
      </c>
      <c r="J69" s="440">
        <f t="shared" si="44"/>
        <v>0</v>
      </c>
      <c r="K69" s="440">
        <f t="shared" si="44"/>
        <v>0</v>
      </c>
      <c r="L69" s="440">
        <f t="shared" si="44"/>
        <v>0</v>
      </c>
      <c r="M69" s="440">
        <f t="shared" si="44"/>
        <v>0</v>
      </c>
      <c r="N69" s="440">
        <f t="shared" si="44"/>
        <v>0</v>
      </c>
      <c r="O69" s="440">
        <f t="shared" si="44"/>
        <v>0</v>
      </c>
      <c r="P69" s="440">
        <f t="shared" si="44"/>
        <v>0</v>
      </c>
      <c r="Q69" s="440">
        <f t="shared" si="44"/>
        <v>0</v>
      </c>
      <c r="R69" s="440">
        <f t="shared" si="44"/>
        <v>0</v>
      </c>
      <c r="S69" s="440">
        <f t="shared" si="44"/>
        <v>0</v>
      </c>
      <c r="T69" s="440">
        <f t="shared" si="44"/>
        <v>0</v>
      </c>
      <c r="U69" s="440">
        <f t="shared" si="44"/>
        <v>0</v>
      </c>
      <c r="V69" s="440">
        <f t="shared" si="44"/>
        <v>0</v>
      </c>
      <c r="W69" s="440">
        <f t="shared" si="44"/>
        <v>0</v>
      </c>
      <c r="X69" s="213"/>
      <c r="Y69" s="214"/>
      <c r="Z69" s="214"/>
      <c r="AA69" s="214"/>
      <c r="AB69" s="214"/>
      <c r="AC69" s="214"/>
      <c r="AD69" s="214"/>
      <c r="AE69" s="214"/>
      <c r="AF69" s="214"/>
      <c r="AG69" s="214"/>
      <c r="AH69" s="214"/>
      <c r="AI69" s="214"/>
      <c r="AJ69" s="214"/>
      <c r="AK69" s="214"/>
    </row>
    <row r="70" spans="1:37">
      <c r="A70" s="213"/>
      <c r="B70" s="213"/>
      <c r="C70" s="213"/>
      <c r="D70" s="213"/>
      <c r="E70" s="213"/>
      <c r="F70" s="644">
        <f t="shared" si="34"/>
        <v>0</v>
      </c>
      <c r="G70" s="440">
        <f t="shared" ref="G70:W70" si="45">G18*$B18</f>
        <v>0</v>
      </c>
      <c r="H70" s="440">
        <f t="shared" si="45"/>
        <v>0</v>
      </c>
      <c r="I70" s="440">
        <f t="shared" si="45"/>
        <v>0</v>
      </c>
      <c r="J70" s="440">
        <f t="shared" si="45"/>
        <v>0</v>
      </c>
      <c r="K70" s="440">
        <f t="shared" si="45"/>
        <v>0</v>
      </c>
      <c r="L70" s="440">
        <f t="shared" si="45"/>
        <v>0</v>
      </c>
      <c r="M70" s="440">
        <f t="shared" si="45"/>
        <v>0</v>
      </c>
      <c r="N70" s="440">
        <f t="shared" si="45"/>
        <v>0</v>
      </c>
      <c r="O70" s="440">
        <f t="shared" si="45"/>
        <v>0</v>
      </c>
      <c r="P70" s="440">
        <f t="shared" si="45"/>
        <v>0</v>
      </c>
      <c r="Q70" s="440">
        <f t="shared" si="45"/>
        <v>0</v>
      </c>
      <c r="R70" s="440">
        <f t="shared" si="45"/>
        <v>0</v>
      </c>
      <c r="S70" s="440">
        <f t="shared" si="45"/>
        <v>0</v>
      </c>
      <c r="T70" s="440">
        <f t="shared" si="45"/>
        <v>0</v>
      </c>
      <c r="U70" s="440">
        <f t="shared" si="45"/>
        <v>0</v>
      </c>
      <c r="V70" s="440">
        <f t="shared" si="45"/>
        <v>0</v>
      </c>
      <c r="W70" s="440">
        <f t="shared" si="45"/>
        <v>0</v>
      </c>
      <c r="X70" s="213"/>
      <c r="Y70" s="214"/>
      <c r="Z70" s="214"/>
      <c r="AA70" s="214"/>
      <c r="AB70" s="214"/>
      <c r="AC70" s="214"/>
      <c r="AD70" s="214"/>
      <c r="AE70" s="214"/>
      <c r="AF70" s="214"/>
      <c r="AG70" s="214"/>
      <c r="AH70" s="214"/>
      <c r="AI70" s="214"/>
      <c r="AJ70" s="214"/>
      <c r="AK70" s="214"/>
    </row>
    <row r="71" spans="1:37">
      <c r="A71" s="213"/>
      <c r="B71" s="213"/>
      <c r="C71" s="213"/>
      <c r="D71" s="213"/>
      <c r="E71" s="213"/>
      <c r="F71" s="644">
        <f t="shared" si="34"/>
        <v>0</v>
      </c>
      <c r="G71" s="440">
        <f t="shared" ref="G71:W71" si="46">G19*$B19</f>
        <v>0</v>
      </c>
      <c r="H71" s="440">
        <f t="shared" si="46"/>
        <v>0</v>
      </c>
      <c r="I71" s="440">
        <f t="shared" si="46"/>
        <v>0</v>
      </c>
      <c r="J71" s="440">
        <f t="shared" si="46"/>
        <v>0</v>
      </c>
      <c r="K71" s="440">
        <f t="shared" si="46"/>
        <v>0</v>
      </c>
      <c r="L71" s="440">
        <f t="shared" si="46"/>
        <v>0</v>
      </c>
      <c r="M71" s="440">
        <f t="shared" si="46"/>
        <v>0</v>
      </c>
      <c r="N71" s="440">
        <f t="shared" si="46"/>
        <v>0</v>
      </c>
      <c r="O71" s="440">
        <f t="shared" si="46"/>
        <v>0</v>
      </c>
      <c r="P71" s="440">
        <f t="shared" si="46"/>
        <v>0</v>
      </c>
      <c r="Q71" s="440">
        <f t="shared" si="46"/>
        <v>0</v>
      </c>
      <c r="R71" s="440">
        <f t="shared" si="46"/>
        <v>0</v>
      </c>
      <c r="S71" s="440">
        <f t="shared" si="46"/>
        <v>0</v>
      </c>
      <c r="T71" s="440">
        <f t="shared" si="46"/>
        <v>0</v>
      </c>
      <c r="U71" s="440">
        <f t="shared" si="46"/>
        <v>0</v>
      </c>
      <c r="V71" s="440">
        <f t="shared" si="46"/>
        <v>0</v>
      </c>
      <c r="W71" s="440">
        <f t="shared" si="46"/>
        <v>0</v>
      </c>
      <c r="X71" s="213"/>
      <c r="Y71" s="214"/>
      <c r="Z71" s="214"/>
      <c r="AA71" s="214"/>
      <c r="AB71" s="214"/>
      <c r="AC71" s="214"/>
      <c r="AD71" s="214"/>
      <c r="AE71" s="214"/>
      <c r="AF71" s="214"/>
      <c r="AG71" s="214"/>
      <c r="AH71" s="214"/>
      <c r="AI71" s="214"/>
      <c r="AJ71" s="214"/>
      <c r="AK71" s="214"/>
    </row>
    <row r="72" spans="1:37">
      <c r="A72" s="213"/>
      <c r="B72" s="213"/>
      <c r="C72" s="213"/>
      <c r="D72" s="213"/>
      <c r="E72" s="213"/>
      <c r="F72" s="644">
        <f t="shared" si="34"/>
        <v>0</v>
      </c>
      <c r="G72" s="440">
        <f t="shared" ref="G72:W72" si="47">G20*$B20</f>
        <v>0</v>
      </c>
      <c r="H72" s="440">
        <f t="shared" si="47"/>
        <v>0</v>
      </c>
      <c r="I72" s="440">
        <f t="shared" si="47"/>
        <v>0</v>
      </c>
      <c r="J72" s="440">
        <f t="shared" si="47"/>
        <v>0</v>
      </c>
      <c r="K72" s="440">
        <f t="shared" si="47"/>
        <v>0</v>
      </c>
      <c r="L72" s="440">
        <f t="shared" si="47"/>
        <v>0</v>
      </c>
      <c r="M72" s="440">
        <f t="shared" si="47"/>
        <v>0</v>
      </c>
      <c r="N72" s="440">
        <f t="shared" si="47"/>
        <v>0</v>
      </c>
      <c r="O72" s="440">
        <f t="shared" si="47"/>
        <v>0</v>
      </c>
      <c r="P72" s="440">
        <f t="shared" si="47"/>
        <v>0</v>
      </c>
      <c r="Q72" s="440">
        <f t="shared" si="47"/>
        <v>0</v>
      </c>
      <c r="R72" s="440">
        <f t="shared" si="47"/>
        <v>0</v>
      </c>
      <c r="S72" s="440">
        <f t="shared" si="47"/>
        <v>0</v>
      </c>
      <c r="T72" s="440">
        <f t="shared" si="47"/>
        <v>0</v>
      </c>
      <c r="U72" s="440">
        <f t="shared" si="47"/>
        <v>0</v>
      </c>
      <c r="V72" s="440">
        <f t="shared" si="47"/>
        <v>0</v>
      </c>
      <c r="W72" s="440">
        <f t="shared" si="47"/>
        <v>0</v>
      </c>
      <c r="X72" s="213"/>
      <c r="Y72" s="214"/>
      <c r="Z72" s="214"/>
      <c r="AA72" s="214"/>
      <c r="AB72" s="214"/>
      <c r="AC72" s="214"/>
      <c r="AD72" s="214"/>
      <c r="AE72" s="214"/>
      <c r="AF72" s="214"/>
      <c r="AG72" s="214"/>
      <c r="AH72" s="214"/>
      <c r="AI72" s="214"/>
      <c r="AJ72" s="214"/>
      <c r="AK72" s="214"/>
    </row>
    <row r="73" spans="1:37">
      <c r="A73" s="213"/>
      <c r="B73" s="213"/>
      <c r="C73" s="213"/>
      <c r="D73" s="213"/>
      <c r="E73" s="213"/>
      <c r="F73" s="644" t="str">
        <f t="shared" si="34"/>
        <v>diverse Grünbrachen zB Biodiv.</v>
      </c>
      <c r="G73" s="440">
        <f t="shared" ref="G73:W73" si="48">G21*$B21</f>
        <v>0</v>
      </c>
      <c r="H73" s="440">
        <f t="shared" si="48"/>
        <v>0</v>
      </c>
      <c r="I73" s="440">
        <f t="shared" si="48"/>
        <v>0</v>
      </c>
      <c r="J73" s="440">
        <f t="shared" si="48"/>
        <v>0</v>
      </c>
      <c r="K73" s="440">
        <f t="shared" si="48"/>
        <v>0</v>
      </c>
      <c r="L73" s="440">
        <f t="shared" si="48"/>
        <v>0</v>
      </c>
      <c r="M73" s="440">
        <f t="shared" si="48"/>
        <v>0</v>
      </c>
      <c r="N73" s="440">
        <f t="shared" si="48"/>
        <v>0</v>
      </c>
      <c r="O73" s="440">
        <f t="shared" si="48"/>
        <v>0</v>
      </c>
      <c r="P73" s="440">
        <f t="shared" si="48"/>
        <v>0</v>
      </c>
      <c r="Q73" s="440">
        <f t="shared" si="48"/>
        <v>0</v>
      </c>
      <c r="R73" s="440">
        <f t="shared" si="48"/>
        <v>0</v>
      </c>
      <c r="S73" s="440">
        <f t="shared" si="48"/>
        <v>0</v>
      </c>
      <c r="T73" s="440">
        <f t="shared" si="48"/>
        <v>0</v>
      </c>
      <c r="U73" s="440">
        <f t="shared" si="48"/>
        <v>0</v>
      </c>
      <c r="V73" s="440">
        <f t="shared" si="48"/>
        <v>0</v>
      </c>
      <c r="W73" s="440">
        <f t="shared" si="48"/>
        <v>0</v>
      </c>
      <c r="X73" s="213"/>
      <c r="Y73" s="214"/>
      <c r="Z73" s="214"/>
      <c r="AA73" s="214"/>
      <c r="AB73" s="214"/>
      <c r="AC73" s="214"/>
      <c r="AD73" s="214"/>
      <c r="AE73" s="214"/>
      <c r="AF73" s="214"/>
      <c r="AG73" s="214"/>
      <c r="AH73" s="214"/>
      <c r="AI73" s="214"/>
      <c r="AJ73" s="214"/>
      <c r="AK73" s="214"/>
    </row>
    <row r="74" spans="1:37" ht="6.75" customHeight="1">
      <c r="A74" s="213"/>
      <c r="B74" s="213"/>
      <c r="C74" s="213"/>
      <c r="D74" s="213"/>
      <c r="E74" s="213"/>
      <c r="F74" s="644"/>
      <c r="G74" s="213"/>
      <c r="H74" s="213"/>
      <c r="I74" s="213"/>
      <c r="J74" s="213"/>
      <c r="K74" s="213"/>
      <c r="L74" s="213"/>
      <c r="M74" s="213"/>
      <c r="N74" s="213"/>
      <c r="O74" s="213"/>
      <c r="P74" s="213"/>
      <c r="Q74" s="213"/>
      <c r="R74" s="213"/>
      <c r="S74" s="213"/>
      <c r="T74" s="213"/>
      <c r="U74" s="213"/>
      <c r="V74" s="213"/>
      <c r="W74" s="213"/>
      <c r="X74" s="213"/>
      <c r="Y74" s="214"/>
      <c r="Z74" s="214"/>
      <c r="AA74" s="214"/>
      <c r="AB74" s="214"/>
      <c r="AC74" s="214"/>
      <c r="AD74" s="214"/>
      <c r="AE74" s="214"/>
      <c r="AF74" s="214"/>
      <c r="AG74" s="214"/>
      <c r="AH74" s="214"/>
      <c r="AI74" s="214"/>
      <c r="AJ74" s="214"/>
      <c r="AK74" s="214"/>
    </row>
    <row r="75" spans="1:37">
      <c r="A75" s="213"/>
      <c r="B75" s="213"/>
      <c r="C75" s="213"/>
      <c r="D75" s="213"/>
      <c r="E75" s="213"/>
      <c r="F75" s="644">
        <f t="shared" ref="F75:F80" si="49">A23</f>
        <v>0</v>
      </c>
      <c r="G75" s="440">
        <f t="shared" ref="G75:W75" si="50">G23*$B23</f>
        <v>0</v>
      </c>
      <c r="H75" s="440">
        <f t="shared" si="50"/>
        <v>0</v>
      </c>
      <c r="I75" s="440">
        <f t="shared" si="50"/>
        <v>0</v>
      </c>
      <c r="J75" s="440">
        <f t="shared" si="50"/>
        <v>0</v>
      </c>
      <c r="K75" s="440">
        <f t="shared" si="50"/>
        <v>0</v>
      </c>
      <c r="L75" s="440">
        <f t="shared" si="50"/>
        <v>0</v>
      </c>
      <c r="M75" s="440">
        <f t="shared" si="50"/>
        <v>0</v>
      </c>
      <c r="N75" s="440">
        <f t="shared" si="50"/>
        <v>0</v>
      </c>
      <c r="O75" s="440">
        <f t="shared" si="50"/>
        <v>0</v>
      </c>
      <c r="P75" s="440">
        <f t="shared" si="50"/>
        <v>0</v>
      </c>
      <c r="Q75" s="440">
        <f t="shared" si="50"/>
        <v>0</v>
      </c>
      <c r="R75" s="440">
        <f t="shared" si="50"/>
        <v>0</v>
      </c>
      <c r="S75" s="440">
        <f t="shared" si="50"/>
        <v>0</v>
      </c>
      <c r="T75" s="440">
        <f t="shared" si="50"/>
        <v>0</v>
      </c>
      <c r="U75" s="440">
        <f t="shared" si="50"/>
        <v>0</v>
      </c>
      <c r="V75" s="440">
        <f t="shared" si="50"/>
        <v>0</v>
      </c>
      <c r="W75" s="440">
        <f t="shared" si="50"/>
        <v>0</v>
      </c>
      <c r="X75" s="213"/>
      <c r="Y75" s="214"/>
      <c r="Z75" s="214"/>
      <c r="AA75" s="214"/>
      <c r="AB75" s="214"/>
      <c r="AC75" s="214"/>
      <c r="AD75" s="214"/>
      <c r="AE75" s="214"/>
      <c r="AF75" s="214"/>
      <c r="AG75" s="214"/>
      <c r="AH75" s="214"/>
      <c r="AI75" s="214"/>
      <c r="AJ75" s="214"/>
      <c r="AK75" s="214"/>
    </row>
    <row r="76" spans="1:37">
      <c r="A76" s="213"/>
      <c r="B76" s="213"/>
      <c r="C76" s="213"/>
      <c r="D76" s="213"/>
      <c r="E76" s="213"/>
      <c r="F76" s="644">
        <f t="shared" si="49"/>
        <v>0</v>
      </c>
      <c r="G76" s="440">
        <f t="shared" ref="G76:W76" si="51">G24*$B24</f>
        <v>0</v>
      </c>
      <c r="H76" s="440">
        <f t="shared" si="51"/>
        <v>0</v>
      </c>
      <c r="I76" s="440">
        <f t="shared" si="51"/>
        <v>0</v>
      </c>
      <c r="J76" s="440">
        <f t="shared" si="51"/>
        <v>0</v>
      </c>
      <c r="K76" s="440">
        <f t="shared" si="51"/>
        <v>0</v>
      </c>
      <c r="L76" s="440">
        <f t="shared" si="51"/>
        <v>0</v>
      </c>
      <c r="M76" s="440">
        <f t="shared" si="51"/>
        <v>0</v>
      </c>
      <c r="N76" s="440">
        <f t="shared" si="51"/>
        <v>0</v>
      </c>
      <c r="O76" s="440">
        <f t="shared" si="51"/>
        <v>0</v>
      </c>
      <c r="P76" s="440">
        <f t="shared" si="51"/>
        <v>0</v>
      </c>
      <c r="Q76" s="440">
        <f t="shared" si="51"/>
        <v>0</v>
      </c>
      <c r="R76" s="440">
        <f t="shared" si="51"/>
        <v>0</v>
      </c>
      <c r="S76" s="440">
        <f t="shared" si="51"/>
        <v>0</v>
      </c>
      <c r="T76" s="440">
        <f t="shared" si="51"/>
        <v>0</v>
      </c>
      <c r="U76" s="440">
        <f t="shared" si="51"/>
        <v>0</v>
      </c>
      <c r="V76" s="440">
        <f t="shared" si="51"/>
        <v>0</v>
      </c>
      <c r="W76" s="440">
        <f t="shared" si="51"/>
        <v>0</v>
      </c>
      <c r="X76" s="213"/>
      <c r="Y76" s="214"/>
      <c r="Z76" s="214"/>
      <c r="AA76" s="214"/>
      <c r="AB76" s="214"/>
      <c r="AC76" s="214"/>
      <c r="AD76" s="214"/>
      <c r="AE76" s="214"/>
      <c r="AF76" s="214"/>
      <c r="AG76" s="214"/>
      <c r="AH76" s="214"/>
      <c r="AI76" s="214"/>
      <c r="AJ76" s="214"/>
      <c r="AK76" s="214"/>
    </row>
    <row r="77" spans="1:37">
      <c r="A77" s="213"/>
      <c r="B77" s="213"/>
      <c r="C77" s="213"/>
      <c r="D77" s="213"/>
      <c r="E77" s="213"/>
      <c r="F77" s="644">
        <f t="shared" si="49"/>
        <v>0</v>
      </c>
      <c r="G77" s="440">
        <f t="shared" ref="G77:W77" si="52">G25*$B25</f>
        <v>0</v>
      </c>
      <c r="H77" s="440">
        <f t="shared" si="52"/>
        <v>0</v>
      </c>
      <c r="I77" s="440">
        <f t="shared" si="52"/>
        <v>0</v>
      </c>
      <c r="J77" s="440">
        <f t="shared" si="52"/>
        <v>0</v>
      </c>
      <c r="K77" s="440">
        <f t="shared" si="52"/>
        <v>0</v>
      </c>
      <c r="L77" s="440">
        <f t="shared" si="52"/>
        <v>0</v>
      </c>
      <c r="M77" s="440">
        <f t="shared" si="52"/>
        <v>0</v>
      </c>
      <c r="N77" s="440">
        <f t="shared" si="52"/>
        <v>0</v>
      </c>
      <c r="O77" s="440">
        <f t="shared" si="52"/>
        <v>0</v>
      </c>
      <c r="P77" s="440">
        <f t="shared" si="52"/>
        <v>0</v>
      </c>
      <c r="Q77" s="440">
        <f t="shared" si="52"/>
        <v>0</v>
      </c>
      <c r="R77" s="440">
        <f t="shared" si="52"/>
        <v>0</v>
      </c>
      <c r="S77" s="440">
        <f t="shared" si="52"/>
        <v>0</v>
      </c>
      <c r="T77" s="440">
        <f t="shared" si="52"/>
        <v>0</v>
      </c>
      <c r="U77" s="440">
        <f t="shared" si="52"/>
        <v>0</v>
      </c>
      <c r="V77" s="440">
        <f t="shared" si="52"/>
        <v>0</v>
      </c>
      <c r="W77" s="440">
        <f t="shared" si="52"/>
        <v>0</v>
      </c>
      <c r="X77" s="213"/>
      <c r="Y77" s="214"/>
      <c r="Z77" s="214"/>
      <c r="AA77" s="214"/>
      <c r="AB77" s="214"/>
      <c r="AC77" s="214"/>
      <c r="AD77" s="214"/>
      <c r="AE77" s="214"/>
      <c r="AF77" s="214"/>
      <c r="AG77" s="214"/>
      <c r="AH77" s="214"/>
      <c r="AI77" s="214"/>
      <c r="AJ77" s="214"/>
      <c r="AK77" s="214"/>
    </row>
    <row r="78" spans="1:37">
      <c r="A78" s="213"/>
      <c r="B78" s="213"/>
      <c r="C78" s="213"/>
      <c r="D78" s="213"/>
      <c r="E78" s="213"/>
      <c r="F78" s="644">
        <f t="shared" si="49"/>
        <v>0</v>
      </c>
      <c r="G78" s="440">
        <f t="shared" ref="G78:W78" si="53">G26*$B26</f>
        <v>0</v>
      </c>
      <c r="H78" s="440">
        <f t="shared" si="53"/>
        <v>0</v>
      </c>
      <c r="I78" s="440">
        <f t="shared" si="53"/>
        <v>0</v>
      </c>
      <c r="J78" s="440">
        <f t="shared" si="53"/>
        <v>0</v>
      </c>
      <c r="K78" s="440">
        <f t="shared" si="53"/>
        <v>0</v>
      </c>
      <c r="L78" s="440">
        <f t="shared" si="53"/>
        <v>0</v>
      </c>
      <c r="M78" s="440">
        <f t="shared" si="53"/>
        <v>0</v>
      </c>
      <c r="N78" s="440">
        <f t="shared" si="53"/>
        <v>0</v>
      </c>
      <c r="O78" s="440">
        <f t="shared" si="53"/>
        <v>0</v>
      </c>
      <c r="P78" s="440">
        <f t="shared" si="53"/>
        <v>0</v>
      </c>
      <c r="Q78" s="440">
        <f t="shared" si="53"/>
        <v>0</v>
      </c>
      <c r="R78" s="440">
        <f t="shared" si="53"/>
        <v>0</v>
      </c>
      <c r="S78" s="440">
        <f t="shared" si="53"/>
        <v>0</v>
      </c>
      <c r="T78" s="440">
        <f t="shared" si="53"/>
        <v>0</v>
      </c>
      <c r="U78" s="440">
        <f t="shared" si="53"/>
        <v>0</v>
      </c>
      <c r="V78" s="440">
        <f t="shared" si="53"/>
        <v>0</v>
      </c>
      <c r="W78" s="440">
        <f t="shared" si="53"/>
        <v>0</v>
      </c>
      <c r="X78" s="213"/>
      <c r="Y78" s="214"/>
      <c r="Z78" s="214"/>
      <c r="AA78" s="214"/>
      <c r="AB78" s="214"/>
      <c r="AC78" s="214"/>
      <c r="AD78" s="214"/>
      <c r="AE78" s="214"/>
      <c r="AF78" s="214"/>
      <c r="AG78" s="214"/>
      <c r="AH78" s="214"/>
      <c r="AI78" s="214"/>
      <c r="AJ78" s="214"/>
      <c r="AK78" s="214"/>
    </row>
    <row r="79" spans="1:37">
      <c r="A79" s="213"/>
      <c r="B79" s="213"/>
      <c r="C79" s="213"/>
      <c r="D79" s="213"/>
      <c r="E79" s="213"/>
      <c r="F79" s="644">
        <f t="shared" si="49"/>
        <v>0</v>
      </c>
      <c r="G79" s="440">
        <f t="shared" ref="G79:W79" si="54">G27*$B27</f>
        <v>0</v>
      </c>
      <c r="H79" s="440">
        <f t="shared" si="54"/>
        <v>0</v>
      </c>
      <c r="I79" s="440">
        <f t="shared" si="54"/>
        <v>0</v>
      </c>
      <c r="J79" s="440">
        <f t="shared" si="54"/>
        <v>0</v>
      </c>
      <c r="K79" s="440">
        <f t="shared" si="54"/>
        <v>0</v>
      </c>
      <c r="L79" s="440">
        <f t="shared" si="54"/>
        <v>0</v>
      </c>
      <c r="M79" s="440">
        <f t="shared" si="54"/>
        <v>0</v>
      </c>
      <c r="N79" s="440">
        <f t="shared" si="54"/>
        <v>0</v>
      </c>
      <c r="O79" s="440">
        <f t="shared" si="54"/>
        <v>0</v>
      </c>
      <c r="P79" s="440">
        <f t="shared" si="54"/>
        <v>0</v>
      </c>
      <c r="Q79" s="440">
        <f t="shared" si="54"/>
        <v>0</v>
      </c>
      <c r="R79" s="440">
        <f t="shared" si="54"/>
        <v>0</v>
      </c>
      <c r="S79" s="440">
        <f t="shared" si="54"/>
        <v>0</v>
      </c>
      <c r="T79" s="440">
        <f t="shared" si="54"/>
        <v>0</v>
      </c>
      <c r="U79" s="440">
        <f t="shared" si="54"/>
        <v>0</v>
      </c>
      <c r="V79" s="440">
        <f t="shared" si="54"/>
        <v>0</v>
      </c>
      <c r="W79" s="440">
        <f t="shared" si="54"/>
        <v>0</v>
      </c>
      <c r="X79" s="213"/>
      <c r="Y79" s="214"/>
      <c r="Z79" s="214"/>
      <c r="AA79" s="214"/>
      <c r="AB79" s="214"/>
      <c r="AC79" s="214"/>
      <c r="AD79" s="214"/>
      <c r="AE79" s="214"/>
      <c r="AF79" s="214"/>
      <c r="AG79" s="214"/>
      <c r="AH79" s="214"/>
      <c r="AI79" s="214"/>
      <c r="AJ79" s="214"/>
      <c r="AK79" s="214"/>
    </row>
    <row r="80" spans="1:37">
      <c r="A80" s="213"/>
      <c r="B80" s="213"/>
      <c r="C80" s="213"/>
      <c r="D80" s="213"/>
      <c r="E80" s="213"/>
      <c r="F80" s="644">
        <f t="shared" si="49"/>
        <v>0</v>
      </c>
      <c r="G80" s="440">
        <f t="shared" ref="G80:W80" si="55">G28*$B28</f>
        <v>0</v>
      </c>
      <c r="H80" s="440">
        <f t="shared" si="55"/>
        <v>0</v>
      </c>
      <c r="I80" s="440">
        <f t="shared" si="55"/>
        <v>0</v>
      </c>
      <c r="J80" s="440">
        <f t="shared" si="55"/>
        <v>0</v>
      </c>
      <c r="K80" s="440">
        <f t="shared" si="55"/>
        <v>0</v>
      </c>
      <c r="L80" s="440">
        <f t="shared" si="55"/>
        <v>0</v>
      </c>
      <c r="M80" s="440">
        <f t="shared" si="55"/>
        <v>0</v>
      </c>
      <c r="N80" s="440">
        <f t="shared" si="55"/>
        <v>0</v>
      </c>
      <c r="O80" s="440">
        <f t="shared" si="55"/>
        <v>0</v>
      </c>
      <c r="P80" s="440">
        <f t="shared" si="55"/>
        <v>0</v>
      </c>
      <c r="Q80" s="440">
        <f t="shared" si="55"/>
        <v>0</v>
      </c>
      <c r="R80" s="440">
        <f t="shared" si="55"/>
        <v>0</v>
      </c>
      <c r="S80" s="440">
        <f t="shared" si="55"/>
        <v>0</v>
      </c>
      <c r="T80" s="440">
        <f t="shared" si="55"/>
        <v>0</v>
      </c>
      <c r="U80" s="440">
        <f t="shared" si="55"/>
        <v>0</v>
      </c>
      <c r="V80" s="440">
        <f t="shared" si="55"/>
        <v>0</v>
      </c>
      <c r="W80" s="440">
        <f t="shared" si="55"/>
        <v>0</v>
      </c>
      <c r="X80" s="213"/>
      <c r="Y80" s="214"/>
      <c r="Z80" s="214"/>
      <c r="AA80" s="214"/>
      <c r="AB80" s="214"/>
      <c r="AC80" s="214"/>
      <c r="AD80" s="214"/>
      <c r="AE80" s="214"/>
      <c r="AF80" s="214"/>
      <c r="AG80" s="214"/>
      <c r="AH80" s="214"/>
      <c r="AI80" s="214"/>
      <c r="AJ80" s="214"/>
      <c r="AK80" s="214"/>
    </row>
    <row r="81" spans="1:37" ht="20.25" customHeight="1">
      <c r="A81" s="213"/>
      <c r="B81" s="213"/>
      <c r="C81" s="213"/>
      <c r="D81" s="213"/>
      <c r="E81" s="213"/>
      <c r="F81" s="628" t="s">
        <v>671</v>
      </c>
      <c r="G81" s="645">
        <f t="shared" ref="G81:W81" si="56">SUM(G60:G80)</f>
        <v>0</v>
      </c>
      <c r="H81" s="645">
        <f t="shared" si="56"/>
        <v>0</v>
      </c>
      <c r="I81" s="645">
        <f t="shared" si="56"/>
        <v>0</v>
      </c>
      <c r="J81" s="645">
        <f t="shared" si="56"/>
        <v>0</v>
      </c>
      <c r="K81" s="645">
        <f>SUM(K60:K80)</f>
        <v>0</v>
      </c>
      <c r="L81" s="645">
        <f t="shared" si="56"/>
        <v>0</v>
      </c>
      <c r="M81" s="645">
        <f t="shared" si="56"/>
        <v>0</v>
      </c>
      <c r="N81" s="645">
        <f t="shared" si="56"/>
        <v>0</v>
      </c>
      <c r="O81" s="645">
        <f t="shared" si="56"/>
        <v>0</v>
      </c>
      <c r="P81" s="645">
        <f t="shared" si="56"/>
        <v>0</v>
      </c>
      <c r="Q81" s="645">
        <f t="shared" si="56"/>
        <v>0</v>
      </c>
      <c r="R81" s="645">
        <f t="shared" si="56"/>
        <v>0</v>
      </c>
      <c r="S81" s="645">
        <f t="shared" si="56"/>
        <v>0</v>
      </c>
      <c r="T81" s="645">
        <f t="shared" si="56"/>
        <v>0</v>
      </c>
      <c r="U81" s="645">
        <f t="shared" si="56"/>
        <v>0</v>
      </c>
      <c r="V81" s="645">
        <f t="shared" si="56"/>
        <v>0</v>
      </c>
      <c r="W81" s="645">
        <f t="shared" si="56"/>
        <v>0</v>
      </c>
      <c r="X81" s="213"/>
      <c r="Y81" s="214"/>
      <c r="Z81" s="214"/>
      <c r="AA81" s="214"/>
      <c r="AB81" s="214"/>
      <c r="AC81" s="214"/>
      <c r="AD81" s="214"/>
      <c r="AE81" s="214"/>
      <c r="AF81" s="214"/>
      <c r="AG81" s="214"/>
      <c r="AH81" s="214"/>
      <c r="AI81" s="214"/>
      <c r="AJ81" s="214"/>
      <c r="AK81" s="214"/>
    </row>
    <row r="82" spans="1:37">
      <c r="A82" s="213"/>
      <c r="B82" s="213"/>
      <c r="C82" s="213"/>
      <c r="D82" s="213"/>
      <c r="E82" s="213"/>
      <c r="F82" s="213"/>
      <c r="G82" s="213"/>
      <c r="H82" s="213"/>
      <c r="I82" s="213"/>
      <c r="J82" s="213"/>
      <c r="K82" s="213"/>
      <c r="L82" s="213"/>
      <c r="M82" s="213"/>
      <c r="N82" s="213"/>
      <c r="O82" s="213"/>
      <c r="P82" s="213"/>
      <c r="Q82" s="213"/>
      <c r="R82" s="213"/>
      <c r="S82" s="213"/>
      <c r="T82" s="213"/>
      <c r="U82" s="213"/>
      <c r="V82" s="213"/>
      <c r="W82" s="213"/>
      <c r="X82" s="213"/>
      <c r="Y82" s="214"/>
      <c r="Z82" s="214"/>
      <c r="AA82" s="214"/>
      <c r="AB82" s="214"/>
      <c r="AC82" s="214"/>
      <c r="AD82" s="214"/>
      <c r="AE82" s="214"/>
      <c r="AF82" s="214"/>
      <c r="AG82" s="214"/>
      <c r="AH82" s="214"/>
      <c r="AI82" s="214"/>
      <c r="AJ82" s="214"/>
      <c r="AK82" s="214"/>
    </row>
    <row r="83" spans="1:37" ht="13.8" thickBot="1">
      <c r="A83" s="213"/>
      <c r="B83" s="213"/>
      <c r="C83" s="213"/>
      <c r="D83" s="213"/>
      <c r="E83" s="213"/>
      <c r="F83" s="213"/>
      <c r="G83" s="213"/>
      <c r="H83" s="213"/>
      <c r="I83" s="213"/>
      <c r="J83" s="213"/>
      <c r="K83" s="213"/>
      <c r="L83" s="213"/>
      <c r="M83" s="213"/>
      <c r="N83" s="213"/>
      <c r="O83" s="213"/>
      <c r="P83" s="213"/>
      <c r="Q83" s="213"/>
      <c r="R83" s="213"/>
      <c r="S83" s="213"/>
      <c r="T83" s="213"/>
      <c r="U83" s="213"/>
      <c r="V83" s="213"/>
      <c r="W83" s="213"/>
      <c r="X83" s="213"/>
      <c r="Y83" s="214"/>
      <c r="Z83" s="214"/>
      <c r="AA83" s="214"/>
      <c r="AB83" s="214"/>
      <c r="AC83" s="214"/>
      <c r="AD83" s="214"/>
      <c r="AE83" s="214"/>
      <c r="AF83" s="214"/>
      <c r="AG83" s="214"/>
      <c r="AH83" s="214"/>
      <c r="AI83" s="214"/>
      <c r="AJ83" s="214"/>
      <c r="AK83" s="214"/>
    </row>
    <row r="84" spans="1:37" ht="13.8">
      <c r="A84" s="213"/>
      <c r="B84" s="213"/>
      <c r="C84" s="213"/>
      <c r="D84" s="213"/>
      <c r="E84" s="213"/>
      <c r="F84" s="628" t="s">
        <v>1333</v>
      </c>
      <c r="G84" s="646" t="s">
        <v>674</v>
      </c>
      <c r="H84" s="647"/>
      <c r="I84" s="647"/>
      <c r="J84" s="647"/>
      <c r="K84" s="647"/>
      <c r="L84" s="647"/>
      <c r="M84" s="647"/>
      <c r="N84" s="647"/>
      <c r="O84" s="647"/>
      <c r="P84" s="647"/>
      <c r="Q84" s="647"/>
      <c r="R84" s="647"/>
      <c r="S84" s="647"/>
      <c r="T84" s="647"/>
      <c r="U84" s="647"/>
      <c r="V84" s="647"/>
      <c r="W84" s="647"/>
      <c r="X84" s="621"/>
      <c r="Y84" s="214"/>
      <c r="Z84" s="214"/>
      <c r="AA84" s="214"/>
      <c r="AB84" s="214"/>
      <c r="AC84" s="214"/>
      <c r="AD84" s="214"/>
      <c r="AE84" s="214"/>
      <c r="AF84" s="214"/>
      <c r="AG84" s="214"/>
      <c r="AH84" s="214"/>
      <c r="AI84" s="214"/>
      <c r="AJ84" s="214"/>
      <c r="AK84" s="214"/>
    </row>
    <row r="85" spans="1:37" ht="13.8">
      <c r="A85" s="213"/>
      <c r="B85" s="213"/>
      <c r="C85" s="213"/>
      <c r="D85" s="213"/>
      <c r="E85" s="213"/>
      <c r="F85" s="628"/>
      <c r="G85" s="648">
        <f>AF8</f>
        <v>0</v>
      </c>
      <c r="H85" s="649">
        <f>AF9</f>
        <v>0</v>
      </c>
      <c r="I85" s="649">
        <f>AF10</f>
        <v>0</v>
      </c>
      <c r="J85" s="649">
        <f>AF11</f>
        <v>0</v>
      </c>
      <c r="K85" s="649">
        <f>AF12</f>
        <v>0</v>
      </c>
      <c r="L85" s="650">
        <f>AF14</f>
        <v>0</v>
      </c>
      <c r="M85" s="649">
        <f>AF15</f>
        <v>0</v>
      </c>
      <c r="N85" s="649">
        <f>AF16</f>
        <v>0</v>
      </c>
      <c r="O85" s="649">
        <f>AF17</f>
        <v>0</v>
      </c>
      <c r="P85" s="649">
        <f>AF18</f>
        <v>0</v>
      </c>
      <c r="Q85" s="649">
        <f>AF19</f>
        <v>0</v>
      </c>
      <c r="R85" s="649">
        <f>AF20</f>
        <v>0</v>
      </c>
      <c r="S85" s="649">
        <f>AF21</f>
        <v>0</v>
      </c>
      <c r="T85" s="649">
        <f>AF23</f>
        <v>0</v>
      </c>
      <c r="U85" s="649">
        <f>AF24</f>
        <v>0</v>
      </c>
      <c r="V85" s="649">
        <f>AF25</f>
        <v>0</v>
      </c>
      <c r="W85" s="649">
        <f>AF26</f>
        <v>0</v>
      </c>
      <c r="X85" s="621"/>
      <c r="Y85" s="214"/>
      <c r="Z85" s="214"/>
      <c r="AA85" s="214"/>
      <c r="AB85" s="214"/>
      <c r="AC85" s="214"/>
      <c r="AD85" s="214"/>
      <c r="AE85" s="214"/>
      <c r="AF85" s="214"/>
      <c r="AG85" s="214"/>
      <c r="AH85" s="214"/>
      <c r="AI85" s="214"/>
      <c r="AJ85" s="214"/>
      <c r="AK85" s="214"/>
    </row>
    <row r="86" spans="1:37" ht="17.399999999999999" customHeight="1">
      <c r="A86" s="213"/>
      <c r="B86" s="213"/>
      <c r="C86" s="213"/>
      <c r="D86" s="213"/>
      <c r="E86" s="635">
        <f>A36</f>
        <v>0</v>
      </c>
      <c r="F86" s="651">
        <f>SUM(G86:W86)</f>
        <v>0</v>
      </c>
      <c r="G86" s="438">
        <f t="shared" ref="G86:W86" si="57">G8*G$85*$B8</f>
        <v>0</v>
      </c>
      <c r="H86" s="438">
        <f t="shared" si="57"/>
        <v>0</v>
      </c>
      <c r="I86" s="438">
        <f t="shared" si="57"/>
        <v>0</v>
      </c>
      <c r="J86" s="438">
        <f t="shared" si="57"/>
        <v>0</v>
      </c>
      <c r="K86" s="438">
        <f t="shared" si="57"/>
        <v>0</v>
      </c>
      <c r="L86" s="438">
        <f t="shared" si="57"/>
        <v>0</v>
      </c>
      <c r="M86" s="438">
        <f t="shared" si="57"/>
        <v>0</v>
      </c>
      <c r="N86" s="438">
        <f t="shared" si="57"/>
        <v>0</v>
      </c>
      <c r="O86" s="438">
        <f t="shared" si="57"/>
        <v>0</v>
      </c>
      <c r="P86" s="438">
        <f t="shared" si="57"/>
        <v>0</v>
      </c>
      <c r="Q86" s="438">
        <f t="shared" si="57"/>
        <v>0</v>
      </c>
      <c r="R86" s="438">
        <f t="shared" si="57"/>
        <v>0</v>
      </c>
      <c r="S86" s="438">
        <f t="shared" si="57"/>
        <v>0</v>
      </c>
      <c r="T86" s="438">
        <f t="shared" si="57"/>
        <v>0</v>
      </c>
      <c r="U86" s="438">
        <f t="shared" si="57"/>
        <v>0</v>
      </c>
      <c r="V86" s="438">
        <f t="shared" si="57"/>
        <v>0</v>
      </c>
      <c r="W86" s="438">
        <f t="shared" si="57"/>
        <v>0</v>
      </c>
      <c r="X86" s="214"/>
      <c r="Y86" s="439" t="str">
        <f t="shared" ref="Y86:Y106" si="58">A8</f>
        <v/>
      </c>
      <c r="Z86" s="446"/>
      <c r="AA86" s="446"/>
      <c r="AB86" s="446"/>
      <c r="AC86" s="214"/>
      <c r="AD86" s="214"/>
      <c r="AE86" s="214"/>
      <c r="AF86" s="214"/>
      <c r="AG86" s="214"/>
      <c r="AH86" s="214"/>
      <c r="AI86" s="214"/>
      <c r="AJ86" s="214"/>
      <c r="AK86" s="214"/>
    </row>
    <row r="87" spans="1:37" ht="17.399999999999999" customHeight="1">
      <c r="A87" s="213"/>
      <c r="B87" s="213"/>
      <c r="C87" s="213"/>
      <c r="D87" s="213"/>
      <c r="E87" s="635">
        <f t="shared" ref="E87:E97" si="59">A37</f>
        <v>0</v>
      </c>
      <c r="F87" s="651">
        <f t="shared" ref="F87:F99" si="60">SUM(G87:W87)</f>
        <v>0</v>
      </c>
      <c r="G87" s="438">
        <f t="shared" ref="G87:W87" si="61">G9*G$85*$B9</f>
        <v>0</v>
      </c>
      <c r="H87" s="438">
        <f t="shared" si="61"/>
        <v>0</v>
      </c>
      <c r="I87" s="438">
        <f t="shared" si="61"/>
        <v>0</v>
      </c>
      <c r="J87" s="438">
        <f t="shared" si="61"/>
        <v>0</v>
      </c>
      <c r="K87" s="438">
        <f t="shared" si="61"/>
        <v>0</v>
      </c>
      <c r="L87" s="438">
        <f t="shared" si="61"/>
        <v>0</v>
      </c>
      <c r="M87" s="438">
        <f t="shared" si="61"/>
        <v>0</v>
      </c>
      <c r="N87" s="438">
        <f t="shared" si="61"/>
        <v>0</v>
      </c>
      <c r="O87" s="438">
        <f t="shared" si="61"/>
        <v>0</v>
      </c>
      <c r="P87" s="438">
        <f t="shared" si="61"/>
        <v>0</v>
      </c>
      <c r="Q87" s="438">
        <f t="shared" si="61"/>
        <v>0</v>
      </c>
      <c r="R87" s="438">
        <f t="shared" si="61"/>
        <v>0</v>
      </c>
      <c r="S87" s="438">
        <f t="shared" si="61"/>
        <v>0</v>
      </c>
      <c r="T87" s="438">
        <f t="shared" si="61"/>
        <v>0</v>
      </c>
      <c r="U87" s="438">
        <f t="shared" si="61"/>
        <v>0</v>
      </c>
      <c r="V87" s="438">
        <f t="shared" si="61"/>
        <v>0</v>
      </c>
      <c r="W87" s="438">
        <f t="shared" si="61"/>
        <v>0</v>
      </c>
      <c r="X87" s="214"/>
      <c r="Y87" s="439">
        <f t="shared" si="58"/>
        <v>0</v>
      </c>
      <c r="Z87" s="446"/>
      <c r="AA87" s="446"/>
      <c r="AB87" s="446"/>
      <c r="AC87" s="214"/>
      <c r="AD87" s="214"/>
      <c r="AE87" s="214"/>
      <c r="AF87" s="214"/>
      <c r="AG87" s="214"/>
      <c r="AH87" s="214"/>
      <c r="AI87" s="214"/>
      <c r="AJ87" s="214"/>
      <c r="AK87" s="214"/>
    </row>
    <row r="88" spans="1:37" ht="17.399999999999999" customHeight="1">
      <c r="A88" s="213"/>
      <c r="B88" s="213"/>
      <c r="C88" s="213"/>
      <c r="D88" s="213"/>
      <c r="E88" s="635">
        <f t="shared" si="59"/>
        <v>0</v>
      </c>
      <c r="F88" s="651">
        <f t="shared" si="60"/>
        <v>0</v>
      </c>
      <c r="G88" s="438">
        <f t="shared" ref="G88:W88" si="62">G10*G$85*$B10</f>
        <v>0</v>
      </c>
      <c r="H88" s="438">
        <f t="shared" si="62"/>
        <v>0</v>
      </c>
      <c r="I88" s="438">
        <f t="shared" si="62"/>
        <v>0</v>
      </c>
      <c r="J88" s="438">
        <f t="shared" si="62"/>
        <v>0</v>
      </c>
      <c r="K88" s="438">
        <f t="shared" si="62"/>
        <v>0</v>
      </c>
      <c r="L88" s="438">
        <f t="shared" si="62"/>
        <v>0</v>
      </c>
      <c r="M88" s="438">
        <f t="shared" si="62"/>
        <v>0</v>
      </c>
      <c r="N88" s="438">
        <f t="shared" si="62"/>
        <v>0</v>
      </c>
      <c r="O88" s="438">
        <f t="shared" si="62"/>
        <v>0</v>
      </c>
      <c r="P88" s="438">
        <f t="shared" si="62"/>
        <v>0</v>
      </c>
      <c r="Q88" s="438">
        <f t="shared" si="62"/>
        <v>0</v>
      </c>
      <c r="R88" s="438">
        <f t="shared" si="62"/>
        <v>0</v>
      </c>
      <c r="S88" s="438">
        <f t="shared" si="62"/>
        <v>0</v>
      </c>
      <c r="T88" s="438">
        <f t="shared" si="62"/>
        <v>0</v>
      </c>
      <c r="U88" s="438">
        <f t="shared" si="62"/>
        <v>0</v>
      </c>
      <c r="V88" s="438">
        <f t="shared" si="62"/>
        <v>0</v>
      </c>
      <c r="W88" s="438">
        <f t="shared" si="62"/>
        <v>0</v>
      </c>
      <c r="X88" s="214"/>
      <c r="Y88" s="439">
        <f t="shared" si="58"/>
        <v>0</v>
      </c>
      <c r="Z88" s="446"/>
      <c r="AA88" s="446"/>
      <c r="AB88" s="446"/>
      <c r="AC88" s="214"/>
      <c r="AD88" s="214"/>
      <c r="AE88" s="214"/>
      <c r="AF88" s="214"/>
      <c r="AG88" s="214"/>
      <c r="AH88" s="214"/>
      <c r="AI88" s="214"/>
      <c r="AJ88" s="214"/>
      <c r="AK88" s="214"/>
    </row>
    <row r="89" spans="1:37" ht="17.399999999999999" customHeight="1">
      <c r="A89" s="213"/>
      <c r="B89" s="213"/>
      <c r="C89" s="213"/>
      <c r="D89" s="213"/>
      <c r="E89" s="635">
        <f t="shared" si="59"/>
        <v>0</v>
      </c>
      <c r="F89" s="651">
        <f t="shared" si="60"/>
        <v>0</v>
      </c>
      <c r="G89" s="438">
        <f t="shared" ref="G89:W89" si="63">G11*G$85*$B11</f>
        <v>0</v>
      </c>
      <c r="H89" s="438">
        <f t="shared" si="63"/>
        <v>0</v>
      </c>
      <c r="I89" s="438">
        <f t="shared" si="63"/>
        <v>0</v>
      </c>
      <c r="J89" s="438">
        <f t="shared" si="63"/>
        <v>0</v>
      </c>
      <c r="K89" s="438">
        <f t="shared" si="63"/>
        <v>0</v>
      </c>
      <c r="L89" s="438">
        <f t="shared" si="63"/>
        <v>0</v>
      </c>
      <c r="M89" s="438">
        <f t="shared" si="63"/>
        <v>0</v>
      </c>
      <c r="N89" s="438">
        <f t="shared" si="63"/>
        <v>0</v>
      </c>
      <c r="O89" s="438">
        <f t="shared" si="63"/>
        <v>0</v>
      </c>
      <c r="P89" s="438">
        <f t="shared" si="63"/>
        <v>0</v>
      </c>
      <c r="Q89" s="438">
        <f t="shared" si="63"/>
        <v>0</v>
      </c>
      <c r="R89" s="438">
        <f t="shared" si="63"/>
        <v>0</v>
      </c>
      <c r="S89" s="438">
        <f t="shared" si="63"/>
        <v>0</v>
      </c>
      <c r="T89" s="438">
        <f t="shared" si="63"/>
        <v>0</v>
      </c>
      <c r="U89" s="438">
        <f t="shared" si="63"/>
        <v>0</v>
      </c>
      <c r="V89" s="438">
        <f t="shared" si="63"/>
        <v>0</v>
      </c>
      <c r="W89" s="438">
        <f t="shared" si="63"/>
        <v>0</v>
      </c>
      <c r="X89" s="214"/>
      <c r="Y89" s="439">
        <f t="shared" si="58"/>
        <v>0</v>
      </c>
      <c r="Z89" s="446"/>
      <c r="AA89" s="446"/>
      <c r="AB89" s="446"/>
      <c r="AC89" s="214"/>
      <c r="AD89" s="214"/>
      <c r="AE89" s="214"/>
      <c r="AF89" s="214"/>
      <c r="AG89" s="214"/>
      <c r="AH89" s="214"/>
      <c r="AI89" s="214"/>
      <c r="AJ89" s="214"/>
      <c r="AK89" s="214"/>
    </row>
    <row r="90" spans="1:37" ht="17.399999999999999" customHeight="1">
      <c r="A90" s="213"/>
      <c r="B90" s="213"/>
      <c r="C90" s="213"/>
      <c r="D90" s="213"/>
      <c r="E90" s="635">
        <f t="shared" si="59"/>
        <v>0</v>
      </c>
      <c r="F90" s="651">
        <f t="shared" si="60"/>
        <v>0</v>
      </c>
      <c r="G90" s="438">
        <f t="shared" ref="G90:W90" si="64">G12*G$85*$B12</f>
        <v>0</v>
      </c>
      <c r="H90" s="438">
        <f t="shared" si="64"/>
        <v>0</v>
      </c>
      <c r="I90" s="438">
        <f t="shared" si="64"/>
        <v>0</v>
      </c>
      <c r="J90" s="438">
        <f t="shared" si="64"/>
        <v>0</v>
      </c>
      <c r="K90" s="438">
        <f t="shared" si="64"/>
        <v>0</v>
      </c>
      <c r="L90" s="438">
        <f t="shared" si="64"/>
        <v>0</v>
      </c>
      <c r="M90" s="438">
        <f t="shared" si="64"/>
        <v>0</v>
      </c>
      <c r="N90" s="438">
        <f t="shared" si="64"/>
        <v>0</v>
      </c>
      <c r="O90" s="438">
        <f t="shared" si="64"/>
        <v>0</v>
      </c>
      <c r="P90" s="438">
        <f t="shared" si="64"/>
        <v>0</v>
      </c>
      <c r="Q90" s="438">
        <f t="shared" si="64"/>
        <v>0</v>
      </c>
      <c r="R90" s="438">
        <f t="shared" si="64"/>
        <v>0</v>
      </c>
      <c r="S90" s="438">
        <f t="shared" si="64"/>
        <v>0</v>
      </c>
      <c r="T90" s="438">
        <f t="shared" si="64"/>
        <v>0</v>
      </c>
      <c r="U90" s="438">
        <f t="shared" si="64"/>
        <v>0</v>
      </c>
      <c r="V90" s="438">
        <f t="shared" si="64"/>
        <v>0</v>
      </c>
      <c r="W90" s="438">
        <f t="shared" si="64"/>
        <v>0</v>
      </c>
      <c r="X90" s="214"/>
      <c r="Y90" s="439">
        <f t="shared" si="58"/>
        <v>0</v>
      </c>
      <c r="Z90" s="446"/>
      <c r="AA90" s="446"/>
      <c r="AB90" s="446"/>
      <c r="AC90" s="214"/>
      <c r="AD90" s="214"/>
      <c r="AE90" s="214"/>
      <c r="AF90" s="214"/>
      <c r="AG90" s="214"/>
      <c r="AH90" s="214"/>
      <c r="AI90" s="214"/>
      <c r="AJ90" s="214"/>
      <c r="AK90" s="214"/>
    </row>
    <row r="91" spans="1:37" ht="17.399999999999999" customHeight="1">
      <c r="A91" s="213"/>
      <c r="B91" s="213"/>
      <c r="C91" s="213"/>
      <c r="D91" s="213"/>
      <c r="E91" s="635">
        <f t="shared" si="59"/>
        <v>0</v>
      </c>
      <c r="F91" s="651">
        <f t="shared" si="60"/>
        <v>0</v>
      </c>
      <c r="G91" s="438">
        <f t="shared" ref="G91:W91" si="65">G13*G$85*$B13</f>
        <v>0</v>
      </c>
      <c r="H91" s="438">
        <f t="shared" si="65"/>
        <v>0</v>
      </c>
      <c r="I91" s="438">
        <f t="shared" si="65"/>
        <v>0</v>
      </c>
      <c r="J91" s="438">
        <f t="shared" si="65"/>
        <v>0</v>
      </c>
      <c r="K91" s="438">
        <f t="shared" si="65"/>
        <v>0</v>
      </c>
      <c r="L91" s="438">
        <f t="shared" si="65"/>
        <v>0</v>
      </c>
      <c r="M91" s="438">
        <f t="shared" si="65"/>
        <v>0</v>
      </c>
      <c r="N91" s="438">
        <f t="shared" si="65"/>
        <v>0</v>
      </c>
      <c r="O91" s="438">
        <f t="shared" si="65"/>
        <v>0</v>
      </c>
      <c r="P91" s="438">
        <f t="shared" si="65"/>
        <v>0</v>
      </c>
      <c r="Q91" s="438">
        <f t="shared" si="65"/>
        <v>0</v>
      </c>
      <c r="R91" s="438">
        <f t="shared" si="65"/>
        <v>0</v>
      </c>
      <c r="S91" s="438">
        <f t="shared" si="65"/>
        <v>0</v>
      </c>
      <c r="T91" s="438">
        <f t="shared" si="65"/>
        <v>0</v>
      </c>
      <c r="U91" s="438">
        <f t="shared" si="65"/>
        <v>0</v>
      </c>
      <c r="V91" s="438">
        <f t="shared" si="65"/>
        <v>0</v>
      </c>
      <c r="W91" s="438">
        <f t="shared" si="65"/>
        <v>0</v>
      </c>
      <c r="X91" s="214"/>
      <c r="Y91" s="439">
        <f t="shared" si="58"/>
        <v>0</v>
      </c>
      <c r="Z91" s="446"/>
      <c r="AA91" s="446"/>
      <c r="AB91" s="446"/>
      <c r="AC91" s="214"/>
      <c r="AD91" s="214"/>
      <c r="AE91" s="214"/>
      <c r="AF91" s="214"/>
      <c r="AG91" s="214"/>
      <c r="AH91" s="214"/>
      <c r="AI91" s="214"/>
      <c r="AJ91" s="214"/>
      <c r="AK91" s="214"/>
    </row>
    <row r="92" spans="1:37" ht="17.399999999999999" customHeight="1">
      <c r="A92" s="213"/>
      <c r="B92" s="213"/>
      <c r="C92" s="213"/>
      <c r="D92" s="213"/>
      <c r="E92" s="635">
        <f t="shared" si="59"/>
        <v>0</v>
      </c>
      <c r="F92" s="651">
        <f t="shared" si="60"/>
        <v>0</v>
      </c>
      <c r="G92" s="438">
        <f t="shared" ref="G92:W92" si="66">G14*G$85*$B14</f>
        <v>0</v>
      </c>
      <c r="H92" s="438">
        <f t="shared" si="66"/>
        <v>0</v>
      </c>
      <c r="I92" s="438">
        <f t="shared" si="66"/>
        <v>0</v>
      </c>
      <c r="J92" s="438">
        <f t="shared" si="66"/>
        <v>0</v>
      </c>
      <c r="K92" s="438">
        <f t="shared" si="66"/>
        <v>0</v>
      </c>
      <c r="L92" s="438">
        <f t="shared" si="66"/>
        <v>0</v>
      </c>
      <c r="M92" s="438">
        <f t="shared" si="66"/>
        <v>0</v>
      </c>
      <c r="N92" s="438">
        <f t="shared" si="66"/>
        <v>0</v>
      </c>
      <c r="O92" s="438">
        <f t="shared" si="66"/>
        <v>0</v>
      </c>
      <c r="P92" s="438">
        <f t="shared" si="66"/>
        <v>0</v>
      </c>
      <c r="Q92" s="438">
        <f t="shared" si="66"/>
        <v>0</v>
      </c>
      <c r="R92" s="438">
        <f t="shared" si="66"/>
        <v>0</v>
      </c>
      <c r="S92" s="438">
        <f t="shared" si="66"/>
        <v>0</v>
      </c>
      <c r="T92" s="438">
        <f t="shared" si="66"/>
        <v>0</v>
      </c>
      <c r="U92" s="438">
        <f t="shared" si="66"/>
        <v>0</v>
      </c>
      <c r="V92" s="438">
        <f t="shared" si="66"/>
        <v>0</v>
      </c>
      <c r="W92" s="438">
        <f t="shared" si="66"/>
        <v>0</v>
      </c>
      <c r="X92" s="214"/>
      <c r="Y92" s="439">
        <f t="shared" si="58"/>
        <v>0</v>
      </c>
      <c r="Z92" s="446"/>
      <c r="AA92" s="446"/>
      <c r="AB92" s="446"/>
      <c r="AC92" s="214"/>
      <c r="AD92" s="214"/>
      <c r="AE92" s="214"/>
      <c r="AF92" s="214"/>
      <c r="AG92" s="214"/>
      <c r="AH92" s="214"/>
      <c r="AI92" s="214"/>
      <c r="AJ92" s="214"/>
      <c r="AK92" s="214"/>
    </row>
    <row r="93" spans="1:37" ht="17.399999999999999" customHeight="1">
      <c r="A93" s="213"/>
      <c r="B93" s="213"/>
      <c r="C93" s="213"/>
      <c r="D93" s="213"/>
      <c r="E93" s="635">
        <f t="shared" si="59"/>
        <v>0</v>
      </c>
      <c r="F93" s="651">
        <f t="shared" si="60"/>
        <v>0</v>
      </c>
      <c r="G93" s="438">
        <f t="shared" ref="G93:W93" si="67">G15*G$85*$B15</f>
        <v>0</v>
      </c>
      <c r="H93" s="438">
        <f t="shared" si="67"/>
        <v>0</v>
      </c>
      <c r="I93" s="438">
        <f t="shared" si="67"/>
        <v>0</v>
      </c>
      <c r="J93" s="438">
        <f t="shared" si="67"/>
        <v>0</v>
      </c>
      <c r="K93" s="438">
        <f t="shared" si="67"/>
        <v>0</v>
      </c>
      <c r="L93" s="438">
        <f t="shared" si="67"/>
        <v>0</v>
      </c>
      <c r="M93" s="438">
        <f t="shared" si="67"/>
        <v>0</v>
      </c>
      <c r="N93" s="438">
        <f t="shared" si="67"/>
        <v>0</v>
      </c>
      <c r="O93" s="438">
        <f t="shared" si="67"/>
        <v>0</v>
      </c>
      <c r="P93" s="438">
        <f t="shared" si="67"/>
        <v>0</v>
      </c>
      <c r="Q93" s="438">
        <f t="shared" si="67"/>
        <v>0</v>
      </c>
      <c r="R93" s="438">
        <f t="shared" si="67"/>
        <v>0</v>
      </c>
      <c r="S93" s="438">
        <f t="shared" si="67"/>
        <v>0</v>
      </c>
      <c r="T93" s="438">
        <f t="shared" si="67"/>
        <v>0</v>
      </c>
      <c r="U93" s="438">
        <f t="shared" si="67"/>
        <v>0</v>
      </c>
      <c r="V93" s="438">
        <f t="shared" si="67"/>
        <v>0</v>
      </c>
      <c r="W93" s="438">
        <f t="shared" si="67"/>
        <v>0</v>
      </c>
      <c r="X93" s="214"/>
      <c r="Y93" s="439">
        <f t="shared" si="58"/>
        <v>0</v>
      </c>
      <c r="Z93" s="446"/>
      <c r="AA93" s="446"/>
      <c r="AB93" s="446"/>
      <c r="AC93" s="214"/>
      <c r="AD93" s="214"/>
      <c r="AE93" s="214"/>
      <c r="AF93" s="214"/>
      <c r="AG93" s="214"/>
      <c r="AH93" s="214"/>
      <c r="AI93" s="214"/>
      <c r="AJ93" s="214"/>
      <c r="AK93" s="214"/>
    </row>
    <row r="94" spans="1:37" ht="17.399999999999999" customHeight="1">
      <c r="A94" s="213"/>
      <c r="B94" s="213"/>
      <c r="C94" s="213"/>
      <c r="D94" s="213"/>
      <c r="E94" s="635">
        <f t="shared" si="59"/>
        <v>0</v>
      </c>
      <c r="F94" s="651">
        <f t="shared" si="60"/>
        <v>0</v>
      </c>
      <c r="G94" s="438">
        <f t="shared" ref="G94:W94" si="68">G16*G$85*$B16</f>
        <v>0</v>
      </c>
      <c r="H94" s="438">
        <f t="shared" si="68"/>
        <v>0</v>
      </c>
      <c r="I94" s="438">
        <f t="shared" si="68"/>
        <v>0</v>
      </c>
      <c r="J94" s="438">
        <f t="shared" si="68"/>
        <v>0</v>
      </c>
      <c r="K94" s="438">
        <f t="shared" si="68"/>
        <v>0</v>
      </c>
      <c r="L94" s="438">
        <f t="shared" si="68"/>
        <v>0</v>
      </c>
      <c r="M94" s="438">
        <f t="shared" si="68"/>
        <v>0</v>
      </c>
      <c r="N94" s="438">
        <f t="shared" si="68"/>
        <v>0</v>
      </c>
      <c r="O94" s="438">
        <f t="shared" si="68"/>
        <v>0</v>
      </c>
      <c r="P94" s="438">
        <f t="shared" si="68"/>
        <v>0</v>
      </c>
      <c r="Q94" s="438">
        <f t="shared" si="68"/>
        <v>0</v>
      </c>
      <c r="R94" s="438">
        <f t="shared" si="68"/>
        <v>0</v>
      </c>
      <c r="S94" s="438">
        <f t="shared" si="68"/>
        <v>0</v>
      </c>
      <c r="T94" s="438">
        <f t="shared" si="68"/>
        <v>0</v>
      </c>
      <c r="U94" s="438">
        <f t="shared" si="68"/>
        <v>0</v>
      </c>
      <c r="V94" s="438">
        <f t="shared" si="68"/>
        <v>0</v>
      </c>
      <c r="W94" s="438">
        <f t="shared" si="68"/>
        <v>0</v>
      </c>
      <c r="X94" s="214"/>
      <c r="Y94" s="439">
        <f t="shared" si="58"/>
        <v>0</v>
      </c>
      <c r="Z94" s="446"/>
      <c r="AA94" s="446"/>
      <c r="AB94" s="446"/>
      <c r="AC94" s="214"/>
      <c r="AD94" s="214"/>
      <c r="AE94" s="214"/>
      <c r="AF94" s="214"/>
      <c r="AG94" s="214"/>
      <c r="AH94" s="214"/>
      <c r="AI94" s="214"/>
      <c r="AJ94" s="214"/>
      <c r="AK94" s="214"/>
    </row>
    <row r="95" spans="1:37" ht="17.399999999999999" customHeight="1">
      <c r="A95" s="213"/>
      <c r="B95" s="213"/>
      <c r="C95" s="213"/>
      <c r="D95" s="213"/>
      <c r="E95" s="635">
        <f t="shared" si="59"/>
        <v>0</v>
      </c>
      <c r="F95" s="651">
        <f t="shared" si="60"/>
        <v>0</v>
      </c>
      <c r="G95" s="438">
        <f t="shared" ref="G95:W95" si="69">G17*G$85*$B17</f>
        <v>0</v>
      </c>
      <c r="H95" s="438">
        <f t="shared" si="69"/>
        <v>0</v>
      </c>
      <c r="I95" s="438">
        <f t="shared" si="69"/>
        <v>0</v>
      </c>
      <c r="J95" s="438">
        <f t="shared" si="69"/>
        <v>0</v>
      </c>
      <c r="K95" s="438">
        <f t="shared" si="69"/>
        <v>0</v>
      </c>
      <c r="L95" s="438">
        <f t="shared" si="69"/>
        <v>0</v>
      </c>
      <c r="M95" s="438">
        <f t="shared" si="69"/>
        <v>0</v>
      </c>
      <c r="N95" s="438">
        <f t="shared" si="69"/>
        <v>0</v>
      </c>
      <c r="O95" s="438">
        <f t="shared" si="69"/>
        <v>0</v>
      </c>
      <c r="P95" s="438">
        <f t="shared" si="69"/>
        <v>0</v>
      </c>
      <c r="Q95" s="438">
        <f t="shared" si="69"/>
        <v>0</v>
      </c>
      <c r="R95" s="438">
        <f t="shared" si="69"/>
        <v>0</v>
      </c>
      <c r="S95" s="438">
        <f t="shared" si="69"/>
        <v>0</v>
      </c>
      <c r="T95" s="438">
        <f t="shared" si="69"/>
        <v>0</v>
      </c>
      <c r="U95" s="438">
        <f t="shared" si="69"/>
        <v>0</v>
      </c>
      <c r="V95" s="438">
        <f t="shared" si="69"/>
        <v>0</v>
      </c>
      <c r="W95" s="438">
        <f t="shared" si="69"/>
        <v>0</v>
      </c>
      <c r="X95" s="214"/>
      <c r="Y95" s="439">
        <f t="shared" si="58"/>
        <v>0</v>
      </c>
      <c r="Z95" s="446"/>
      <c r="AA95" s="446"/>
      <c r="AB95" s="446"/>
      <c r="AC95" s="214"/>
      <c r="AD95" s="214"/>
      <c r="AE95" s="214"/>
      <c r="AF95" s="214"/>
      <c r="AG95" s="214"/>
      <c r="AH95" s="214"/>
      <c r="AI95" s="214"/>
      <c r="AJ95" s="214"/>
      <c r="AK95" s="214"/>
    </row>
    <row r="96" spans="1:37" ht="17.399999999999999" customHeight="1">
      <c r="A96" s="213"/>
      <c r="B96" s="213"/>
      <c r="C96" s="213"/>
      <c r="D96" s="213"/>
      <c r="E96" s="635">
        <f t="shared" si="59"/>
        <v>0</v>
      </c>
      <c r="F96" s="651">
        <f t="shared" si="60"/>
        <v>0</v>
      </c>
      <c r="G96" s="438">
        <f t="shared" ref="G96:W96" si="70">G18*G$85*$B18</f>
        <v>0</v>
      </c>
      <c r="H96" s="438">
        <f t="shared" si="70"/>
        <v>0</v>
      </c>
      <c r="I96" s="438">
        <f t="shared" si="70"/>
        <v>0</v>
      </c>
      <c r="J96" s="438">
        <f t="shared" si="70"/>
        <v>0</v>
      </c>
      <c r="K96" s="438">
        <f t="shared" si="70"/>
        <v>0</v>
      </c>
      <c r="L96" s="438">
        <f t="shared" si="70"/>
        <v>0</v>
      </c>
      <c r="M96" s="438">
        <f t="shared" si="70"/>
        <v>0</v>
      </c>
      <c r="N96" s="438">
        <f t="shared" si="70"/>
        <v>0</v>
      </c>
      <c r="O96" s="438">
        <f t="shared" si="70"/>
        <v>0</v>
      </c>
      <c r="P96" s="438">
        <f t="shared" si="70"/>
        <v>0</v>
      </c>
      <c r="Q96" s="438">
        <f t="shared" si="70"/>
        <v>0</v>
      </c>
      <c r="R96" s="438">
        <f t="shared" si="70"/>
        <v>0</v>
      </c>
      <c r="S96" s="438">
        <f t="shared" si="70"/>
        <v>0</v>
      </c>
      <c r="T96" s="438">
        <f t="shared" si="70"/>
        <v>0</v>
      </c>
      <c r="U96" s="438">
        <f t="shared" si="70"/>
        <v>0</v>
      </c>
      <c r="V96" s="438">
        <f t="shared" si="70"/>
        <v>0</v>
      </c>
      <c r="W96" s="438">
        <f t="shared" si="70"/>
        <v>0</v>
      </c>
      <c r="X96" s="214"/>
      <c r="Y96" s="439">
        <f t="shared" si="58"/>
        <v>0</v>
      </c>
      <c r="Z96" s="446"/>
      <c r="AA96" s="446"/>
      <c r="AB96" s="446"/>
      <c r="AC96" s="214"/>
      <c r="AD96" s="214"/>
      <c r="AE96" s="214"/>
      <c r="AF96" s="214"/>
      <c r="AG96" s="214"/>
      <c r="AH96" s="214"/>
      <c r="AI96" s="214"/>
      <c r="AJ96" s="214"/>
      <c r="AK96" s="214"/>
    </row>
    <row r="97" spans="1:37" ht="17.399999999999999" customHeight="1">
      <c r="A97" s="213"/>
      <c r="B97" s="213"/>
      <c r="C97" s="213"/>
      <c r="D97" s="213"/>
      <c r="E97" s="635">
        <f t="shared" si="59"/>
        <v>0</v>
      </c>
      <c r="F97" s="651">
        <f t="shared" si="60"/>
        <v>0</v>
      </c>
      <c r="G97" s="438">
        <f t="shared" ref="G97:W97" si="71">G19*G$85*$B19</f>
        <v>0</v>
      </c>
      <c r="H97" s="438">
        <f t="shared" si="71"/>
        <v>0</v>
      </c>
      <c r="I97" s="438">
        <f t="shared" si="71"/>
        <v>0</v>
      </c>
      <c r="J97" s="438">
        <f t="shared" si="71"/>
        <v>0</v>
      </c>
      <c r="K97" s="438">
        <f t="shared" si="71"/>
        <v>0</v>
      </c>
      <c r="L97" s="438">
        <f t="shared" si="71"/>
        <v>0</v>
      </c>
      <c r="M97" s="438">
        <f t="shared" si="71"/>
        <v>0</v>
      </c>
      <c r="N97" s="438">
        <f t="shared" si="71"/>
        <v>0</v>
      </c>
      <c r="O97" s="438">
        <f t="shared" si="71"/>
        <v>0</v>
      </c>
      <c r="P97" s="438">
        <f t="shared" si="71"/>
        <v>0</v>
      </c>
      <c r="Q97" s="438">
        <f t="shared" si="71"/>
        <v>0</v>
      </c>
      <c r="R97" s="438">
        <f t="shared" si="71"/>
        <v>0</v>
      </c>
      <c r="S97" s="438">
        <f t="shared" si="71"/>
        <v>0</v>
      </c>
      <c r="T97" s="438">
        <f t="shared" si="71"/>
        <v>0</v>
      </c>
      <c r="U97" s="438">
        <f t="shared" si="71"/>
        <v>0</v>
      </c>
      <c r="V97" s="438">
        <f t="shared" si="71"/>
        <v>0</v>
      </c>
      <c r="W97" s="438">
        <f t="shared" si="71"/>
        <v>0</v>
      </c>
      <c r="X97" s="214"/>
      <c r="Y97" s="439">
        <f t="shared" si="58"/>
        <v>0</v>
      </c>
      <c r="Z97" s="446"/>
      <c r="AA97" s="446"/>
      <c r="AB97" s="446"/>
      <c r="AC97" s="214"/>
      <c r="AD97" s="214"/>
      <c r="AE97" s="214"/>
      <c r="AF97" s="214"/>
      <c r="AG97" s="214"/>
      <c r="AH97" s="214"/>
      <c r="AI97" s="214"/>
      <c r="AJ97" s="214"/>
      <c r="AK97" s="214"/>
    </row>
    <row r="98" spans="1:37" ht="17.399999999999999" customHeight="1">
      <c r="A98" s="213"/>
      <c r="B98" s="213"/>
      <c r="C98" s="213"/>
      <c r="D98" s="213"/>
      <c r="E98" s="635">
        <f>A48</f>
        <v>0</v>
      </c>
      <c r="F98" s="651">
        <f t="shared" si="60"/>
        <v>0</v>
      </c>
      <c r="G98" s="438">
        <f t="shared" ref="G98:W98" si="72">G20*G$85*$B20</f>
        <v>0</v>
      </c>
      <c r="H98" s="438">
        <f t="shared" si="72"/>
        <v>0</v>
      </c>
      <c r="I98" s="438">
        <f t="shared" si="72"/>
        <v>0</v>
      </c>
      <c r="J98" s="438">
        <f t="shared" si="72"/>
        <v>0</v>
      </c>
      <c r="K98" s="438">
        <f t="shared" si="72"/>
        <v>0</v>
      </c>
      <c r="L98" s="438">
        <f t="shared" si="72"/>
        <v>0</v>
      </c>
      <c r="M98" s="438">
        <f t="shared" si="72"/>
        <v>0</v>
      </c>
      <c r="N98" s="438">
        <f t="shared" si="72"/>
        <v>0</v>
      </c>
      <c r="O98" s="438">
        <f t="shared" si="72"/>
        <v>0</v>
      </c>
      <c r="P98" s="438">
        <f t="shared" si="72"/>
        <v>0</v>
      </c>
      <c r="Q98" s="438">
        <f t="shared" si="72"/>
        <v>0</v>
      </c>
      <c r="R98" s="438">
        <f t="shared" si="72"/>
        <v>0</v>
      </c>
      <c r="S98" s="438">
        <f t="shared" si="72"/>
        <v>0</v>
      </c>
      <c r="T98" s="438">
        <f t="shared" si="72"/>
        <v>0</v>
      </c>
      <c r="U98" s="438">
        <f t="shared" si="72"/>
        <v>0</v>
      </c>
      <c r="V98" s="438">
        <f t="shared" si="72"/>
        <v>0</v>
      </c>
      <c r="W98" s="438">
        <f t="shared" si="72"/>
        <v>0</v>
      </c>
      <c r="X98" s="214"/>
      <c r="Y98" s="439">
        <f t="shared" si="58"/>
        <v>0</v>
      </c>
      <c r="Z98" s="446"/>
      <c r="AA98" s="446"/>
      <c r="AB98" s="446"/>
      <c r="AC98" s="214"/>
      <c r="AD98" s="214"/>
      <c r="AE98" s="214"/>
      <c r="AF98" s="214"/>
      <c r="AG98" s="214"/>
      <c r="AH98" s="214"/>
      <c r="AI98" s="214"/>
      <c r="AJ98" s="214"/>
      <c r="AK98" s="214"/>
    </row>
    <row r="99" spans="1:37" ht="17.399999999999999" customHeight="1">
      <c r="A99" s="213"/>
      <c r="B99" s="213"/>
      <c r="C99" s="213"/>
      <c r="D99" s="213"/>
      <c r="E99" s="635">
        <f>A49</f>
        <v>0</v>
      </c>
      <c r="F99" s="651">
        <f t="shared" si="60"/>
        <v>0</v>
      </c>
      <c r="G99" s="438">
        <f t="shared" ref="G99:W99" si="73">G21*G$85*$B21</f>
        <v>0</v>
      </c>
      <c r="H99" s="438">
        <f t="shared" si="73"/>
        <v>0</v>
      </c>
      <c r="I99" s="438">
        <f t="shared" si="73"/>
        <v>0</v>
      </c>
      <c r="J99" s="438">
        <f t="shared" si="73"/>
        <v>0</v>
      </c>
      <c r="K99" s="438">
        <f t="shared" si="73"/>
        <v>0</v>
      </c>
      <c r="L99" s="438">
        <f t="shared" si="73"/>
        <v>0</v>
      </c>
      <c r="M99" s="438">
        <f t="shared" si="73"/>
        <v>0</v>
      </c>
      <c r="N99" s="438">
        <f t="shared" si="73"/>
        <v>0</v>
      </c>
      <c r="O99" s="438">
        <f t="shared" si="73"/>
        <v>0</v>
      </c>
      <c r="P99" s="438">
        <f t="shared" si="73"/>
        <v>0</v>
      </c>
      <c r="Q99" s="438">
        <f t="shared" si="73"/>
        <v>0</v>
      </c>
      <c r="R99" s="438">
        <f t="shared" si="73"/>
        <v>0</v>
      </c>
      <c r="S99" s="438">
        <f t="shared" si="73"/>
        <v>0</v>
      </c>
      <c r="T99" s="438">
        <f t="shared" si="73"/>
        <v>0</v>
      </c>
      <c r="U99" s="438">
        <f t="shared" si="73"/>
        <v>0</v>
      </c>
      <c r="V99" s="438">
        <f t="shared" si="73"/>
        <v>0</v>
      </c>
      <c r="W99" s="438">
        <f t="shared" si="73"/>
        <v>0</v>
      </c>
      <c r="X99" s="214"/>
      <c r="Y99" s="439" t="str">
        <f t="shared" si="58"/>
        <v>diverse Grünbrachen zB Biodiv.</v>
      </c>
      <c r="Z99" s="446"/>
      <c r="AA99" s="446"/>
      <c r="AB99" s="446"/>
      <c r="AC99" s="214"/>
      <c r="AD99" s="214"/>
      <c r="AE99" s="214"/>
      <c r="AF99" s="214"/>
      <c r="AG99" s="214"/>
      <c r="AH99" s="214"/>
      <c r="AI99" s="214"/>
      <c r="AJ99" s="214"/>
      <c r="AK99" s="214"/>
    </row>
    <row r="100" spans="1:37" ht="17.399999999999999" customHeight="1">
      <c r="A100" s="213"/>
      <c r="B100" s="213"/>
      <c r="C100" s="213"/>
      <c r="D100" s="213"/>
      <c r="E100" s="635"/>
      <c r="F100" s="652"/>
      <c r="G100" s="638"/>
      <c r="H100" s="638"/>
      <c r="I100" s="638"/>
      <c r="J100" s="638"/>
      <c r="K100" s="638"/>
      <c r="L100" s="638"/>
      <c r="M100" s="638"/>
      <c r="N100" s="638"/>
      <c r="O100" s="638"/>
      <c r="P100" s="638"/>
      <c r="Q100" s="638"/>
      <c r="R100" s="638"/>
      <c r="S100" s="638"/>
      <c r="T100" s="638"/>
      <c r="U100" s="638"/>
      <c r="V100" s="638"/>
      <c r="W100" s="638"/>
      <c r="X100" s="214"/>
      <c r="Y100" s="653" t="str">
        <f t="shared" si="58"/>
        <v>Grünland</v>
      </c>
      <c r="Z100" s="653"/>
      <c r="AA100" s="653"/>
      <c r="AB100" s="653"/>
      <c r="AC100" s="214"/>
      <c r="AD100" s="214"/>
      <c r="AE100" s="214"/>
      <c r="AF100" s="214"/>
      <c r="AG100" s="214"/>
      <c r="AH100" s="214"/>
      <c r="AI100" s="214"/>
      <c r="AJ100" s="214"/>
      <c r="AK100" s="214"/>
    </row>
    <row r="101" spans="1:37" ht="17.399999999999999" customHeight="1">
      <c r="A101" s="213"/>
      <c r="B101" s="213"/>
      <c r="C101" s="213"/>
      <c r="D101" s="213"/>
      <c r="E101" s="635">
        <f t="shared" ref="E101:E106" si="74">A51</f>
        <v>0</v>
      </c>
      <c r="F101" s="651">
        <f t="shared" ref="F101:F106" si="75">SUM(G101:W101)</f>
        <v>0</v>
      </c>
      <c r="G101" s="438">
        <f t="shared" ref="G101:W101" si="76">G23*G$85*$B23</f>
        <v>0</v>
      </c>
      <c r="H101" s="438">
        <f t="shared" si="76"/>
        <v>0</v>
      </c>
      <c r="I101" s="438">
        <f t="shared" si="76"/>
        <v>0</v>
      </c>
      <c r="J101" s="438">
        <f t="shared" si="76"/>
        <v>0</v>
      </c>
      <c r="K101" s="438">
        <f t="shared" si="76"/>
        <v>0</v>
      </c>
      <c r="L101" s="438">
        <f t="shared" si="76"/>
        <v>0</v>
      </c>
      <c r="M101" s="438">
        <f t="shared" si="76"/>
        <v>0</v>
      </c>
      <c r="N101" s="438">
        <f t="shared" si="76"/>
        <v>0</v>
      </c>
      <c r="O101" s="438">
        <f t="shared" si="76"/>
        <v>0</v>
      </c>
      <c r="P101" s="438">
        <f t="shared" si="76"/>
        <v>0</v>
      </c>
      <c r="Q101" s="438">
        <f t="shared" si="76"/>
        <v>0</v>
      </c>
      <c r="R101" s="438">
        <f t="shared" si="76"/>
        <v>0</v>
      </c>
      <c r="S101" s="438">
        <f t="shared" si="76"/>
        <v>0</v>
      </c>
      <c r="T101" s="438">
        <f t="shared" si="76"/>
        <v>0</v>
      </c>
      <c r="U101" s="438">
        <f t="shared" si="76"/>
        <v>0</v>
      </c>
      <c r="V101" s="438">
        <f t="shared" si="76"/>
        <v>0</v>
      </c>
      <c r="W101" s="438">
        <f t="shared" si="76"/>
        <v>0</v>
      </c>
      <c r="X101" s="214"/>
      <c r="Y101" s="439">
        <f t="shared" si="58"/>
        <v>0</v>
      </c>
      <c r="Z101" s="446"/>
      <c r="AA101" s="446"/>
      <c r="AB101" s="446"/>
      <c r="AC101" s="214"/>
      <c r="AD101" s="214"/>
      <c r="AE101" s="214"/>
      <c r="AF101" s="214"/>
      <c r="AG101" s="214"/>
      <c r="AH101" s="214"/>
      <c r="AI101" s="214"/>
      <c r="AJ101" s="214"/>
      <c r="AK101" s="214"/>
    </row>
    <row r="102" spans="1:37" ht="17.399999999999999" customHeight="1">
      <c r="A102" s="213"/>
      <c r="B102" s="213"/>
      <c r="C102" s="213"/>
      <c r="D102" s="213"/>
      <c r="E102" s="635">
        <f t="shared" si="74"/>
        <v>0</v>
      </c>
      <c r="F102" s="651">
        <f t="shared" si="75"/>
        <v>0</v>
      </c>
      <c r="G102" s="438">
        <f t="shared" ref="G102:W102" si="77">G24*G$85*$B24</f>
        <v>0</v>
      </c>
      <c r="H102" s="438">
        <f t="shared" si="77"/>
        <v>0</v>
      </c>
      <c r="I102" s="438">
        <f t="shared" si="77"/>
        <v>0</v>
      </c>
      <c r="J102" s="438">
        <f t="shared" si="77"/>
        <v>0</v>
      </c>
      <c r="K102" s="438">
        <f t="shared" si="77"/>
        <v>0</v>
      </c>
      <c r="L102" s="438">
        <f t="shared" si="77"/>
        <v>0</v>
      </c>
      <c r="M102" s="438">
        <f t="shared" si="77"/>
        <v>0</v>
      </c>
      <c r="N102" s="438">
        <f t="shared" si="77"/>
        <v>0</v>
      </c>
      <c r="O102" s="438">
        <f t="shared" si="77"/>
        <v>0</v>
      </c>
      <c r="P102" s="438">
        <f t="shared" si="77"/>
        <v>0</v>
      </c>
      <c r="Q102" s="438">
        <f t="shared" si="77"/>
        <v>0</v>
      </c>
      <c r="R102" s="438">
        <f t="shared" si="77"/>
        <v>0</v>
      </c>
      <c r="S102" s="438">
        <f t="shared" si="77"/>
        <v>0</v>
      </c>
      <c r="T102" s="438">
        <f t="shared" si="77"/>
        <v>0</v>
      </c>
      <c r="U102" s="438">
        <f t="shared" si="77"/>
        <v>0</v>
      </c>
      <c r="V102" s="438">
        <f t="shared" si="77"/>
        <v>0</v>
      </c>
      <c r="W102" s="438">
        <f t="shared" si="77"/>
        <v>0</v>
      </c>
      <c r="X102" s="214"/>
      <c r="Y102" s="439">
        <f t="shared" si="58"/>
        <v>0</v>
      </c>
      <c r="Z102" s="446"/>
      <c r="AA102" s="446"/>
      <c r="AB102" s="446"/>
      <c r="AC102" s="214"/>
      <c r="AD102" s="214"/>
      <c r="AE102" s="214"/>
      <c r="AF102" s="214"/>
      <c r="AG102" s="214"/>
      <c r="AH102" s="214"/>
      <c r="AI102" s="214"/>
      <c r="AJ102" s="214"/>
      <c r="AK102" s="214"/>
    </row>
    <row r="103" spans="1:37" ht="17.399999999999999" customHeight="1">
      <c r="A103" s="213"/>
      <c r="B103" s="213"/>
      <c r="C103" s="213"/>
      <c r="D103" s="213"/>
      <c r="E103" s="635">
        <f t="shared" si="74"/>
        <v>0</v>
      </c>
      <c r="F103" s="651">
        <f t="shared" si="75"/>
        <v>0</v>
      </c>
      <c r="G103" s="438">
        <f t="shared" ref="G103:W103" si="78">G25*G$85*$B25</f>
        <v>0</v>
      </c>
      <c r="H103" s="438">
        <f t="shared" si="78"/>
        <v>0</v>
      </c>
      <c r="I103" s="438">
        <f t="shared" si="78"/>
        <v>0</v>
      </c>
      <c r="J103" s="438">
        <f t="shared" si="78"/>
        <v>0</v>
      </c>
      <c r="K103" s="438">
        <f t="shared" si="78"/>
        <v>0</v>
      </c>
      <c r="L103" s="438">
        <f t="shared" si="78"/>
        <v>0</v>
      </c>
      <c r="M103" s="438">
        <f t="shared" si="78"/>
        <v>0</v>
      </c>
      <c r="N103" s="438">
        <f t="shared" si="78"/>
        <v>0</v>
      </c>
      <c r="O103" s="438">
        <f t="shared" si="78"/>
        <v>0</v>
      </c>
      <c r="P103" s="438">
        <f t="shared" si="78"/>
        <v>0</v>
      </c>
      <c r="Q103" s="438">
        <f t="shared" si="78"/>
        <v>0</v>
      </c>
      <c r="R103" s="438">
        <f t="shared" si="78"/>
        <v>0</v>
      </c>
      <c r="S103" s="438">
        <f t="shared" si="78"/>
        <v>0</v>
      </c>
      <c r="T103" s="438">
        <f t="shared" si="78"/>
        <v>0</v>
      </c>
      <c r="U103" s="438">
        <f t="shared" si="78"/>
        <v>0</v>
      </c>
      <c r="V103" s="438">
        <f t="shared" si="78"/>
        <v>0</v>
      </c>
      <c r="W103" s="438">
        <f t="shared" si="78"/>
        <v>0</v>
      </c>
      <c r="X103" s="214"/>
      <c r="Y103" s="439">
        <f t="shared" si="58"/>
        <v>0</v>
      </c>
      <c r="Z103" s="446"/>
      <c r="AA103" s="446"/>
      <c r="AB103" s="446"/>
      <c r="AC103" s="214"/>
      <c r="AD103" s="214"/>
      <c r="AE103" s="214"/>
      <c r="AF103" s="214"/>
      <c r="AG103" s="214"/>
      <c r="AH103" s="214"/>
      <c r="AI103" s="214"/>
      <c r="AJ103" s="214"/>
      <c r="AK103" s="214"/>
    </row>
    <row r="104" spans="1:37" ht="17.399999999999999" customHeight="1">
      <c r="A104" s="213"/>
      <c r="B104" s="213"/>
      <c r="C104" s="213"/>
      <c r="D104" s="213"/>
      <c r="E104" s="635">
        <f t="shared" si="74"/>
        <v>0</v>
      </c>
      <c r="F104" s="651">
        <f t="shared" si="75"/>
        <v>0</v>
      </c>
      <c r="G104" s="438">
        <f t="shared" ref="G104:W104" si="79">G26*G$85*$B26</f>
        <v>0</v>
      </c>
      <c r="H104" s="438">
        <f t="shared" si="79"/>
        <v>0</v>
      </c>
      <c r="I104" s="438">
        <f t="shared" si="79"/>
        <v>0</v>
      </c>
      <c r="J104" s="438">
        <f t="shared" si="79"/>
        <v>0</v>
      </c>
      <c r="K104" s="438">
        <f t="shared" si="79"/>
        <v>0</v>
      </c>
      <c r="L104" s="438">
        <f t="shared" si="79"/>
        <v>0</v>
      </c>
      <c r="M104" s="438">
        <f t="shared" si="79"/>
        <v>0</v>
      </c>
      <c r="N104" s="438">
        <f t="shared" si="79"/>
        <v>0</v>
      </c>
      <c r="O104" s="438">
        <f t="shared" si="79"/>
        <v>0</v>
      </c>
      <c r="P104" s="438">
        <f t="shared" si="79"/>
        <v>0</v>
      </c>
      <c r="Q104" s="438">
        <f t="shared" si="79"/>
        <v>0</v>
      </c>
      <c r="R104" s="438">
        <f t="shared" si="79"/>
        <v>0</v>
      </c>
      <c r="S104" s="438">
        <f t="shared" si="79"/>
        <v>0</v>
      </c>
      <c r="T104" s="438">
        <f t="shared" si="79"/>
        <v>0</v>
      </c>
      <c r="U104" s="438">
        <f t="shared" si="79"/>
        <v>0</v>
      </c>
      <c r="V104" s="438">
        <f t="shared" si="79"/>
        <v>0</v>
      </c>
      <c r="W104" s="438">
        <f t="shared" si="79"/>
        <v>0</v>
      </c>
      <c r="X104" s="214"/>
      <c r="Y104" s="439">
        <f t="shared" si="58"/>
        <v>0</v>
      </c>
      <c r="Z104" s="446"/>
      <c r="AA104" s="446"/>
      <c r="AB104" s="446"/>
      <c r="AC104" s="214"/>
      <c r="AD104" s="214"/>
      <c r="AE104" s="214"/>
      <c r="AF104" s="214"/>
      <c r="AG104" s="214"/>
      <c r="AH104" s="214"/>
      <c r="AI104" s="214"/>
      <c r="AJ104" s="214"/>
      <c r="AK104" s="214"/>
    </row>
    <row r="105" spans="1:37" ht="17.399999999999999" customHeight="1">
      <c r="A105" s="213"/>
      <c r="B105" s="213"/>
      <c r="C105" s="213"/>
      <c r="D105" s="213"/>
      <c r="E105" s="635">
        <f t="shared" si="74"/>
        <v>0</v>
      </c>
      <c r="F105" s="651">
        <f t="shared" si="75"/>
        <v>0</v>
      </c>
      <c r="G105" s="438">
        <f t="shared" ref="G105:W105" si="80">G27*G$85*$B27</f>
        <v>0</v>
      </c>
      <c r="H105" s="438">
        <f t="shared" si="80"/>
        <v>0</v>
      </c>
      <c r="I105" s="438">
        <f t="shared" si="80"/>
        <v>0</v>
      </c>
      <c r="J105" s="438">
        <f t="shared" si="80"/>
        <v>0</v>
      </c>
      <c r="K105" s="438">
        <f t="shared" si="80"/>
        <v>0</v>
      </c>
      <c r="L105" s="438">
        <f t="shared" si="80"/>
        <v>0</v>
      </c>
      <c r="M105" s="438">
        <f t="shared" si="80"/>
        <v>0</v>
      </c>
      <c r="N105" s="438">
        <f t="shared" si="80"/>
        <v>0</v>
      </c>
      <c r="O105" s="438">
        <f t="shared" si="80"/>
        <v>0</v>
      </c>
      <c r="P105" s="438">
        <f t="shared" si="80"/>
        <v>0</v>
      </c>
      <c r="Q105" s="438">
        <f t="shared" si="80"/>
        <v>0</v>
      </c>
      <c r="R105" s="438">
        <f t="shared" si="80"/>
        <v>0</v>
      </c>
      <c r="S105" s="438">
        <f t="shared" si="80"/>
        <v>0</v>
      </c>
      <c r="T105" s="438">
        <f t="shared" si="80"/>
        <v>0</v>
      </c>
      <c r="U105" s="438">
        <f t="shared" si="80"/>
        <v>0</v>
      </c>
      <c r="V105" s="438">
        <f t="shared" si="80"/>
        <v>0</v>
      </c>
      <c r="W105" s="438">
        <f t="shared" si="80"/>
        <v>0</v>
      </c>
      <c r="X105" s="214"/>
      <c r="Y105" s="439">
        <f t="shared" si="58"/>
        <v>0</v>
      </c>
      <c r="Z105" s="446"/>
      <c r="AA105" s="446"/>
      <c r="AB105" s="446"/>
      <c r="AC105" s="214"/>
      <c r="AD105" s="214"/>
      <c r="AE105" s="214"/>
      <c r="AF105" s="214"/>
      <c r="AG105" s="214"/>
      <c r="AH105" s="214"/>
      <c r="AI105" s="214"/>
      <c r="AJ105" s="214"/>
      <c r="AK105" s="214"/>
    </row>
    <row r="106" spans="1:37" ht="17.399999999999999" customHeight="1" thickBot="1">
      <c r="A106" s="213"/>
      <c r="B106" s="213"/>
      <c r="C106" s="213"/>
      <c r="D106" s="213"/>
      <c r="E106" s="635">
        <f t="shared" si="74"/>
        <v>0</v>
      </c>
      <c r="F106" s="651">
        <f t="shared" si="75"/>
        <v>0</v>
      </c>
      <c r="G106" s="438">
        <f t="shared" ref="G106:W106" si="81">G28*G$85*$B28</f>
        <v>0</v>
      </c>
      <c r="H106" s="438">
        <f t="shared" si="81"/>
        <v>0</v>
      </c>
      <c r="I106" s="438">
        <f t="shared" si="81"/>
        <v>0</v>
      </c>
      <c r="J106" s="438">
        <f t="shared" si="81"/>
        <v>0</v>
      </c>
      <c r="K106" s="438">
        <f t="shared" si="81"/>
        <v>0</v>
      </c>
      <c r="L106" s="438">
        <f t="shared" si="81"/>
        <v>0</v>
      </c>
      <c r="M106" s="438">
        <f t="shared" si="81"/>
        <v>0</v>
      </c>
      <c r="N106" s="438">
        <f t="shared" si="81"/>
        <v>0</v>
      </c>
      <c r="O106" s="438">
        <f t="shared" si="81"/>
        <v>0</v>
      </c>
      <c r="P106" s="438">
        <f t="shared" si="81"/>
        <v>0</v>
      </c>
      <c r="Q106" s="438">
        <f t="shared" si="81"/>
        <v>0</v>
      </c>
      <c r="R106" s="438">
        <f t="shared" si="81"/>
        <v>0</v>
      </c>
      <c r="S106" s="438">
        <f t="shared" si="81"/>
        <v>0</v>
      </c>
      <c r="T106" s="438">
        <f t="shared" si="81"/>
        <v>0</v>
      </c>
      <c r="U106" s="438">
        <f t="shared" si="81"/>
        <v>0</v>
      </c>
      <c r="V106" s="438">
        <f t="shared" si="81"/>
        <v>0</v>
      </c>
      <c r="W106" s="438">
        <f t="shared" si="81"/>
        <v>0</v>
      </c>
      <c r="X106" s="214"/>
      <c r="Y106" s="441">
        <f t="shared" si="58"/>
        <v>0</v>
      </c>
      <c r="Z106" s="654" t="s">
        <v>711</v>
      </c>
      <c r="AA106" s="446"/>
      <c r="AB106" s="446"/>
      <c r="AC106" s="214"/>
      <c r="AD106" s="214"/>
      <c r="AE106" s="214"/>
      <c r="AF106" s="214"/>
      <c r="AG106" s="214"/>
      <c r="AH106" s="214"/>
      <c r="AI106" s="214"/>
      <c r="AJ106" s="214"/>
      <c r="AK106" s="214"/>
    </row>
    <row r="107" spans="1:37" ht="20.25" customHeight="1" thickBot="1">
      <c r="A107" s="213"/>
      <c r="B107" s="655"/>
      <c r="C107" s="655"/>
      <c r="D107" s="655"/>
      <c r="E107" s="655" t="s">
        <v>675</v>
      </c>
      <c r="F107" s="656">
        <f>SUM(F86:F106)</f>
        <v>0</v>
      </c>
      <c r="G107" s="624">
        <f>SUM(G86:G106)</f>
        <v>0</v>
      </c>
      <c r="H107" s="624">
        <f t="shared" ref="H107:W107" si="82">SUM(H86:H106)</f>
        <v>0</v>
      </c>
      <c r="I107" s="624">
        <f t="shared" si="82"/>
        <v>0</v>
      </c>
      <c r="J107" s="624">
        <f t="shared" si="82"/>
        <v>0</v>
      </c>
      <c r="K107" s="624">
        <f>SUM(K86:K106)</f>
        <v>0</v>
      </c>
      <c r="L107" s="624">
        <f t="shared" si="82"/>
        <v>0</v>
      </c>
      <c r="M107" s="624">
        <f t="shared" si="82"/>
        <v>0</v>
      </c>
      <c r="N107" s="624">
        <f t="shared" si="82"/>
        <v>0</v>
      </c>
      <c r="O107" s="624">
        <f t="shared" si="82"/>
        <v>0</v>
      </c>
      <c r="P107" s="624">
        <f t="shared" si="82"/>
        <v>0</v>
      </c>
      <c r="Q107" s="624">
        <f t="shared" si="82"/>
        <v>0</v>
      </c>
      <c r="R107" s="624">
        <f t="shared" si="82"/>
        <v>0</v>
      </c>
      <c r="S107" s="624">
        <f t="shared" si="82"/>
        <v>0</v>
      </c>
      <c r="T107" s="624">
        <f t="shared" si="82"/>
        <v>0</v>
      </c>
      <c r="U107" s="624">
        <f t="shared" si="82"/>
        <v>0</v>
      </c>
      <c r="V107" s="624">
        <f t="shared" si="82"/>
        <v>0</v>
      </c>
      <c r="W107" s="657">
        <f t="shared" si="82"/>
        <v>0</v>
      </c>
      <c r="X107" s="214"/>
      <c r="Y107" s="442">
        <f>SUM(G107:W107)</f>
        <v>0</v>
      </c>
      <c r="Z107" s="3028">
        <f>SUM(L107:S107)</f>
        <v>0</v>
      </c>
      <c r="AA107" s="3029"/>
      <c r="AB107" s="447"/>
      <c r="AC107" s="214"/>
      <c r="AD107" s="214"/>
      <c r="AE107" s="214"/>
      <c r="AF107" s="214"/>
      <c r="AG107" s="214"/>
      <c r="AH107" s="214"/>
      <c r="AI107" s="214"/>
      <c r="AJ107" s="214"/>
      <c r="AK107" s="214"/>
    </row>
    <row r="108" spans="1:37" ht="21" customHeight="1">
      <c r="A108" s="213"/>
      <c r="B108" s="213"/>
      <c r="C108" s="213"/>
      <c r="D108" s="213"/>
      <c r="E108" s="213"/>
      <c r="F108" s="213"/>
      <c r="G108" s="213"/>
      <c r="H108" s="213"/>
      <c r="I108" s="213"/>
      <c r="J108" s="213"/>
      <c r="K108" s="213"/>
      <c r="L108" s="213"/>
      <c r="M108" s="213"/>
      <c r="N108" s="213"/>
      <c r="O108" s="213"/>
      <c r="P108" s="213"/>
      <c r="Q108" s="213"/>
      <c r="R108" s="213"/>
      <c r="S108" s="213"/>
      <c r="T108" s="213"/>
      <c r="U108" s="213"/>
      <c r="V108" s="213"/>
      <c r="W108" s="213"/>
      <c r="X108" s="213"/>
      <c r="Y108" s="214"/>
      <c r="Z108" s="214"/>
      <c r="AA108" s="214"/>
      <c r="AB108" s="214"/>
      <c r="AC108" s="214"/>
      <c r="AD108" s="214"/>
      <c r="AE108" s="214"/>
      <c r="AF108" s="214"/>
      <c r="AG108" s="214"/>
      <c r="AH108" s="214"/>
      <c r="AI108" s="214"/>
      <c r="AJ108" s="214"/>
      <c r="AK108" s="214"/>
    </row>
    <row r="109" spans="1:37">
      <c r="A109" s="172"/>
      <c r="B109" s="172"/>
      <c r="C109" s="172"/>
      <c r="D109" s="172"/>
      <c r="E109" s="172"/>
      <c r="F109" s="172"/>
      <c r="G109" s="172"/>
      <c r="H109" s="172"/>
      <c r="I109" s="172"/>
      <c r="J109" s="172"/>
      <c r="K109" s="172"/>
      <c r="L109" s="172"/>
      <c r="M109" s="172"/>
      <c r="N109" s="172"/>
      <c r="O109" s="172"/>
      <c r="P109" s="172"/>
      <c r="Q109" s="172"/>
      <c r="R109" s="172"/>
      <c r="S109" s="172"/>
      <c r="T109" s="172"/>
      <c r="U109" s="172"/>
      <c r="V109" s="172"/>
      <c r="W109" s="172"/>
      <c r="X109" s="172"/>
    </row>
    <row r="110" spans="1:37">
      <c r="A110" s="172"/>
      <c r="B110" s="172"/>
      <c r="C110" s="172"/>
      <c r="D110" s="172"/>
      <c r="E110" s="172"/>
      <c r="F110" s="172"/>
      <c r="G110" s="172"/>
      <c r="H110" s="172"/>
      <c r="I110" s="172"/>
      <c r="J110" s="172"/>
      <c r="K110" s="172"/>
      <c r="L110" s="172"/>
      <c r="M110" s="172"/>
      <c r="N110" s="172"/>
      <c r="O110" s="172"/>
      <c r="P110" s="172"/>
      <c r="Q110" s="172"/>
      <c r="R110" s="172"/>
      <c r="S110" s="172"/>
      <c r="T110" s="172"/>
      <c r="U110" s="172"/>
      <c r="V110" s="172"/>
      <c r="W110" s="172"/>
      <c r="X110" s="172"/>
      <c r="Y110" s="2"/>
      <c r="Z110" s="2"/>
      <c r="AA110" s="2"/>
      <c r="AB110" s="2"/>
    </row>
    <row r="111" spans="1:37">
      <c r="A111" s="172"/>
      <c r="B111" s="172"/>
      <c r="C111" s="172"/>
      <c r="D111" s="172"/>
      <c r="E111" s="172"/>
      <c r="F111" s="172"/>
      <c r="G111" s="172"/>
      <c r="H111" s="172"/>
      <c r="I111" s="172"/>
      <c r="J111" s="172"/>
      <c r="K111" s="172"/>
      <c r="L111" s="172"/>
      <c r="M111" s="172"/>
      <c r="N111" s="172"/>
      <c r="O111" s="172"/>
      <c r="P111" s="172"/>
      <c r="Q111" s="172"/>
      <c r="R111" s="172"/>
      <c r="S111" s="172"/>
      <c r="T111" s="172"/>
      <c r="U111" s="172"/>
      <c r="V111" s="172"/>
      <c r="W111" s="172"/>
      <c r="X111" s="172"/>
    </row>
  </sheetData>
  <sheetProtection password="CAEF" sheet="1" formatCells="0" formatColumns="0" formatRows="0" insertColumns="0" insertRows="0"/>
  <mergeCells count="31">
    <mergeCell ref="Z107:AA107"/>
    <mergeCell ref="R1:R5"/>
    <mergeCell ref="AA29:AJ29"/>
    <mergeCell ref="Y2:AA6"/>
    <mergeCell ref="AG27:AH27"/>
    <mergeCell ref="AG28:AH28"/>
    <mergeCell ref="AB1:AJ6"/>
    <mergeCell ref="W1:W5"/>
    <mergeCell ref="Z1:AA1"/>
    <mergeCell ref="N1:N5"/>
    <mergeCell ref="V1:V5"/>
    <mergeCell ref="T1:T5"/>
    <mergeCell ref="Q1:Q5"/>
    <mergeCell ref="J1:J5"/>
    <mergeCell ref="L1:L5"/>
    <mergeCell ref="D4:E4"/>
    <mergeCell ref="U1:U5"/>
    <mergeCell ref="S1:S5"/>
    <mergeCell ref="O1:O5"/>
    <mergeCell ref="P1:P5"/>
    <mergeCell ref="A2:E2"/>
    <mergeCell ref="M1:M5"/>
    <mergeCell ref="K1:K5"/>
    <mergeCell ref="D3:E3"/>
    <mergeCell ref="A4:C4"/>
    <mergeCell ref="H1:H5"/>
    <mergeCell ref="I1:I5"/>
    <mergeCell ref="F1:F5"/>
    <mergeCell ref="G1:G5"/>
    <mergeCell ref="A3:C3"/>
    <mergeCell ref="A5:C5"/>
  </mergeCells>
  <phoneticPr fontId="38" type="noConversion"/>
  <conditionalFormatting sqref="F8">
    <cfRule type="cellIs" dxfId="67" priority="30" operator="greaterThan">
      <formula>0</formula>
    </cfRule>
  </conditionalFormatting>
  <conditionalFormatting sqref="F9:F28">
    <cfRule type="cellIs" dxfId="66" priority="29" operator="greaterThan">
      <formula>0</formula>
    </cfRule>
  </conditionalFormatting>
  <conditionalFormatting sqref="AI8:AI12">
    <cfRule type="cellIs" dxfId="65" priority="14" operator="equal">
      <formula>"Mehr verplant als vorhanden!"</formula>
    </cfRule>
  </conditionalFormatting>
  <conditionalFormatting sqref="AI14:AI21">
    <cfRule type="cellIs" dxfId="64" priority="5" operator="equal">
      <formula>"Mehr verplant als vorhanden!"</formula>
    </cfRule>
  </conditionalFormatting>
  <conditionalFormatting sqref="AI23:AI26">
    <cfRule type="cellIs" dxfId="63" priority="4" operator="equal">
      <formula>"Mehr verplant als vorhanden!"</formula>
    </cfRule>
  </conditionalFormatting>
  <conditionalFormatting sqref="AA29">
    <cfRule type="cellIs" dxfId="62" priority="1" operator="equal">
      <formula>"* Der P-Mindeststandard ist ok, weil kein mineralischer Phosphor im Einsatz!"</formula>
    </cfRule>
  </conditionalFormatting>
  <conditionalFormatting sqref="AB14:AB21 AB8:AB12 AB23:AB26">
    <cfRule type="expression" dxfId="61" priority="36">
      <formula>$AB8&lt;0</formula>
    </cfRule>
  </conditionalFormatting>
  <dataValidations count="3">
    <dataValidation type="list" allowBlank="1" showInputMessage="1" showErrorMessage="1" sqref="Y14:Y21">
      <formula1>Liste_MD</formula1>
    </dataValidation>
    <dataValidation type="list" allowBlank="1" showInputMessage="1" showErrorMessage="1" sqref="Y8:Y12">
      <formula1>Liste_WD</formula1>
    </dataValidation>
    <dataValidation type="list" allowBlank="1" showInputMessage="1" showErrorMessage="1" sqref="Y23:Y26">
      <formula1>Liste_OD</formula1>
    </dataValidation>
  </dataValidations>
  <hyperlinks>
    <hyperlink ref="Y1" location="Hofdung!A1" display="zu &quot;Hofdung&quot;"/>
    <hyperlink ref="Z1" location="Mineral!A1" display="►"/>
  </hyperlinks>
  <pageMargins left="0.55000000000000004" right="0.52" top="0.33" bottom="0.31" header="0.23" footer="0.24"/>
  <pageSetup paperSize="9" scale="75" fitToWidth="2" orientation="landscape" blackAndWhite="1" r:id="rId1"/>
  <rowBreaks count="1" manualBreakCount="1">
    <brk id="28" max="16383" man="1"/>
  </rowBreaks>
  <colBreaks count="1" manualBreakCount="1">
    <brk id="23" max="1048575" man="1"/>
  </col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9"/>
  <dimension ref="A1:O106"/>
  <sheetViews>
    <sheetView showZeros="0" zoomScale="115" zoomScaleNormal="115" workbookViewId="0">
      <selection activeCell="D7" sqref="D7"/>
    </sheetView>
  </sheetViews>
  <sheetFormatPr baseColWidth="10" defaultColWidth="12.6640625" defaultRowHeight="17.399999999999999"/>
  <cols>
    <col min="1" max="4" width="18.88671875" style="311" customWidth="1"/>
    <col min="5" max="7" width="12.6640625" style="311" hidden="1" customWidth="1"/>
    <col min="8" max="8" width="9.44140625" style="311" hidden="1" customWidth="1"/>
    <col min="9" max="16384" width="12.6640625" style="311"/>
  </cols>
  <sheetData>
    <row r="1" spans="1:12" ht="27.75" customHeight="1">
      <c r="A1" s="1337" t="s">
        <v>650</v>
      </c>
      <c r="B1" s="1338"/>
      <c r="C1" s="1339"/>
      <c r="D1" s="1339"/>
      <c r="E1" s="312"/>
      <c r="F1" s="313" t="s">
        <v>1676</v>
      </c>
      <c r="G1" s="314">
        <v>1.26</v>
      </c>
      <c r="I1" s="531" t="s">
        <v>1383</v>
      </c>
      <c r="J1" s="531" t="s">
        <v>1355</v>
      </c>
      <c r="K1" s="3038" t="s">
        <v>495</v>
      </c>
      <c r="L1" s="3038"/>
    </row>
    <row r="2" spans="1:12" ht="9.15" customHeight="1">
      <c r="E2" s="312"/>
      <c r="F2" s="313" t="s">
        <v>496</v>
      </c>
      <c r="G2" s="314">
        <v>1.3</v>
      </c>
      <c r="H2" s="312"/>
      <c r="J2" s="312"/>
    </row>
    <row r="3" spans="1:12" ht="18" customHeight="1">
      <c r="A3" s="3039" t="s">
        <v>498</v>
      </c>
      <c r="B3" s="3039"/>
      <c r="C3" s="3039"/>
      <c r="D3" s="1357">
        <f>G106/F106</f>
        <v>0</v>
      </c>
      <c r="E3" s="312"/>
      <c r="F3" s="313" t="s">
        <v>499</v>
      </c>
      <c r="G3" s="314">
        <v>1.4</v>
      </c>
      <c r="H3" s="312"/>
      <c r="I3" s="315" t="s">
        <v>497</v>
      </c>
    </row>
    <row r="4" spans="1:12" ht="18" customHeight="1">
      <c r="A4" s="3039" t="s">
        <v>501</v>
      </c>
      <c r="B4" s="3039"/>
      <c r="C4" s="3039"/>
      <c r="D4" s="3039"/>
      <c r="E4" s="317"/>
      <c r="F4" s="318" t="s">
        <v>1684</v>
      </c>
      <c r="G4" s="319">
        <v>1.2</v>
      </c>
      <c r="H4" s="312"/>
      <c r="I4" s="316" t="s">
        <v>500</v>
      </c>
      <c r="J4" s="312"/>
    </row>
    <row r="5" spans="1:12" ht="18" customHeight="1">
      <c r="A5" s="3040"/>
      <c r="B5" s="3040"/>
      <c r="C5" s="3040"/>
      <c r="D5" s="1254" t="str">
        <f>IF($A$5="","",VLOOKUP(A5,F1:G5,2,0)*D3)</f>
        <v/>
      </c>
      <c r="E5" s="317"/>
      <c r="F5" s="313" t="s">
        <v>1679</v>
      </c>
      <c r="G5" s="314">
        <v>1</v>
      </c>
      <c r="H5" s="312"/>
      <c r="I5"/>
      <c r="J5" s="312"/>
    </row>
    <row r="6" spans="1:12" ht="8.25" customHeight="1">
      <c r="A6" s="320"/>
      <c r="B6" s="321"/>
      <c r="C6" s="321"/>
      <c r="D6" s="322"/>
      <c r="E6" s="323"/>
      <c r="F6" s="181"/>
      <c r="G6" s="181"/>
      <c r="H6" s="312"/>
      <c r="I6"/>
      <c r="J6" s="312"/>
    </row>
    <row r="7" spans="1:12" ht="19.5" customHeight="1">
      <c r="A7" s="1358" t="s">
        <v>502</v>
      </c>
      <c r="B7" s="1358"/>
      <c r="C7" s="1359" t="s">
        <v>651</v>
      </c>
      <c r="D7" s="1244"/>
      <c r="E7" s="181"/>
      <c r="F7" s="181"/>
      <c r="G7" s="181"/>
      <c r="H7" s="312"/>
      <c r="I7" s="315" t="s">
        <v>503</v>
      </c>
      <c r="J7" s="312"/>
    </row>
    <row r="8" spans="1:12" ht="18" customHeight="1">
      <c r="A8" s="1360" t="s">
        <v>1850</v>
      </c>
      <c r="B8" s="1360" t="s">
        <v>504</v>
      </c>
      <c r="C8" s="1360" t="s">
        <v>505</v>
      </c>
      <c r="D8" s="1360" t="s">
        <v>506</v>
      </c>
      <c r="E8" s="181"/>
      <c r="F8" s="324" t="s">
        <v>507</v>
      </c>
      <c r="G8" s="324" t="s">
        <v>508</v>
      </c>
      <c r="H8" s="312"/>
      <c r="I8" s="325" t="s">
        <v>652</v>
      </c>
      <c r="J8" s="312"/>
    </row>
    <row r="9" spans="1:12" ht="18" customHeight="1">
      <c r="A9" s="1245">
        <f>$D$7</f>
        <v>0</v>
      </c>
      <c r="B9" s="3037" t="s">
        <v>509</v>
      </c>
      <c r="C9" s="3037"/>
      <c r="D9" s="1247"/>
      <c r="E9" s="181"/>
      <c r="F9" s="326"/>
      <c r="G9" s="326">
        <f t="shared" ref="G9:G103" si="0">D9*F10</f>
        <v>0</v>
      </c>
      <c r="H9" s="312"/>
      <c r="I9" s="316" t="s">
        <v>510</v>
      </c>
      <c r="J9" s="312"/>
    </row>
    <row r="10" spans="1:12">
      <c r="A10" s="1248"/>
      <c r="B10" s="1249"/>
      <c r="C10" s="1249"/>
      <c r="D10" s="1250">
        <f t="shared" ref="D10:D103" si="1">IF(A10&gt;0,$D$9+SUM(B$9:B10)-SUM(C$9:C10),0)</f>
        <v>0</v>
      </c>
      <c r="E10" s="181"/>
      <c r="F10" s="327">
        <f t="shared" ref="F10:F100" si="2">IF(A10&gt;0,A10-A9,0)</f>
        <v>0</v>
      </c>
      <c r="G10" s="326">
        <f t="shared" si="0"/>
        <v>0</v>
      </c>
      <c r="H10" s="312"/>
      <c r="I10" s="328" t="s">
        <v>511</v>
      </c>
    </row>
    <row r="11" spans="1:12">
      <c r="A11" s="1248"/>
      <c r="B11" s="1249"/>
      <c r="C11" s="1249"/>
      <c r="D11" s="1250">
        <f t="shared" si="1"/>
        <v>0</v>
      </c>
      <c r="E11" s="181"/>
      <c r="F11" s="327">
        <f t="shared" si="2"/>
        <v>0</v>
      </c>
      <c r="G11" s="326">
        <f t="shared" si="0"/>
        <v>0</v>
      </c>
      <c r="H11" s="312"/>
      <c r="I11" s="316" t="s">
        <v>512</v>
      </c>
    </row>
    <row r="12" spans="1:12">
      <c r="A12" s="1248"/>
      <c r="B12" s="1249"/>
      <c r="C12" s="1249"/>
      <c r="D12" s="1250">
        <f t="shared" si="1"/>
        <v>0</v>
      </c>
      <c r="E12" s="181"/>
      <c r="F12" s="327">
        <f t="shared" si="2"/>
        <v>0</v>
      </c>
      <c r="G12" s="326">
        <f t="shared" si="0"/>
        <v>0</v>
      </c>
      <c r="H12" s="312"/>
      <c r="I12" s="316" t="s">
        <v>513</v>
      </c>
    </row>
    <row r="13" spans="1:12">
      <c r="A13" s="1248"/>
      <c r="B13" s="1249"/>
      <c r="C13" s="1249"/>
      <c r="D13" s="1250">
        <f t="shared" si="1"/>
        <v>0</v>
      </c>
      <c r="E13" s="181"/>
      <c r="F13" s="327">
        <f t="shared" si="2"/>
        <v>0</v>
      </c>
      <c r="G13" s="326">
        <f t="shared" si="0"/>
        <v>0</v>
      </c>
      <c r="H13" s="312"/>
      <c r="I13" s="316" t="s">
        <v>514</v>
      </c>
    </row>
    <row r="14" spans="1:12">
      <c r="A14" s="1248"/>
      <c r="B14" s="1249"/>
      <c r="C14" s="1249"/>
      <c r="D14" s="1250">
        <f t="shared" si="1"/>
        <v>0</v>
      </c>
      <c r="E14" s="181"/>
      <c r="F14" s="327">
        <f t="shared" si="2"/>
        <v>0</v>
      </c>
      <c r="G14" s="326">
        <f t="shared" si="0"/>
        <v>0</v>
      </c>
      <c r="H14" s="312"/>
      <c r="I14" s="316" t="s">
        <v>515</v>
      </c>
    </row>
    <row r="15" spans="1:12">
      <c r="A15" s="1248"/>
      <c r="B15" s="1249"/>
      <c r="C15" s="1249"/>
      <c r="D15" s="1250">
        <f t="shared" si="1"/>
        <v>0</v>
      </c>
      <c r="E15" s="181"/>
      <c r="F15" s="327">
        <f t="shared" si="2"/>
        <v>0</v>
      </c>
      <c r="G15" s="326">
        <f t="shared" si="0"/>
        <v>0</v>
      </c>
      <c r="H15" s="312"/>
      <c r="I15" s="316" t="s">
        <v>516</v>
      </c>
    </row>
    <row r="16" spans="1:12">
      <c r="A16" s="1248"/>
      <c r="B16" s="1249"/>
      <c r="C16" s="1249"/>
      <c r="D16" s="1250">
        <f t="shared" si="1"/>
        <v>0</v>
      </c>
      <c r="E16" s="181"/>
      <c r="F16" s="327">
        <f t="shared" si="2"/>
        <v>0</v>
      </c>
      <c r="G16" s="326">
        <f t="shared" si="0"/>
        <v>0</v>
      </c>
      <c r="H16" s="312"/>
      <c r="I16"/>
    </row>
    <row r="17" spans="1:15" ht="18" customHeight="1">
      <c r="A17" s="1248"/>
      <c r="B17" s="1249"/>
      <c r="C17" s="1249"/>
      <c r="D17" s="1250">
        <f t="shared" si="1"/>
        <v>0</v>
      </c>
      <c r="E17" s="181"/>
      <c r="F17" s="327">
        <f t="shared" si="2"/>
        <v>0</v>
      </c>
      <c r="G17" s="326">
        <f t="shared" si="0"/>
        <v>0</v>
      </c>
      <c r="H17" s="312"/>
      <c r="I17" s="482" t="s">
        <v>744</v>
      </c>
      <c r="O17" s="481"/>
    </row>
    <row r="18" spans="1:15">
      <c r="A18" s="1248"/>
      <c r="B18" s="1249"/>
      <c r="C18" s="1249"/>
      <c r="D18" s="1250">
        <f t="shared" si="1"/>
        <v>0</v>
      </c>
      <c r="E18" s="181"/>
      <c r="F18" s="327">
        <f t="shared" si="2"/>
        <v>0</v>
      </c>
      <c r="G18" s="326">
        <f t="shared" si="0"/>
        <v>0</v>
      </c>
      <c r="H18" s="312"/>
      <c r="I18" s="3036" t="s">
        <v>743</v>
      </c>
      <c r="J18" s="3036"/>
      <c r="K18" s="3036"/>
      <c r="L18" s="3036"/>
      <c r="M18" s="3036"/>
      <c r="N18" s="3036"/>
      <c r="O18" s="481"/>
    </row>
    <row r="19" spans="1:15">
      <c r="A19" s="1248"/>
      <c r="B19" s="1249"/>
      <c r="C19" s="1249"/>
      <c r="D19" s="1250">
        <f t="shared" si="1"/>
        <v>0</v>
      </c>
      <c r="E19" s="181"/>
      <c r="F19" s="327">
        <f t="shared" si="2"/>
        <v>0</v>
      </c>
      <c r="G19" s="326">
        <f t="shared" si="0"/>
        <v>0</v>
      </c>
      <c r="H19" s="312"/>
      <c r="I19" s="3036"/>
      <c r="J19" s="3036"/>
      <c r="K19" s="3036"/>
      <c r="L19" s="3036"/>
      <c r="M19" s="3036"/>
      <c r="N19" s="3036"/>
    </row>
    <row r="20" spans="1:15">
      <c r="A20" s="1248"/>
      <c r="B20" s="1249"/>
      <c r="C20" s="1249"/>
      <c r="D20" s="1250">
        <f t="shared" si="1"/>
        <v>0</v>
      </c>
      <c r="E20" s="181"/>
      <c r="F20" s="327">
        <f t="shared" si="2"/>
        <v>0</v>
      </c>
      <c r="G20" s="326">
        <f t="shared" si="0"/>
        <v>0</v>
      </c>
      <c r="H20" s="312"/>
      <c r="I20" s="480" t="s">
        <v>742</v>
      </c>
    </row>
    <row r="21" spans="1:15">
      <c r="A21" s="1248"/>
      <c r="B21" s="1249"/>
      <c r="C21" s="1249"/>
      <c r="D21" s="1250">
        <f t="shared" si="1"/>
        <v>0</v>
      </c>
      <c r="E21" s="181"/>
      <c r="F21" s="327">
        <f t="shared" si="2"/>
        <v>0</v>
      </c>
      <c r="G21" s="326">
        <f t="shared" si="0"/>
        <v>0</v>
      </c>
      <c r="H21" s="312"/>
      <c r="I21" s="312"/>
    </row>
    <row r="22" spans="1:15">
      <c r="A22" s="1248"/>
      <c r="B22" s="1249"/>
      <c r="C22" s="1249"/>
      <c r="D22" s="1250">
        <f t="shared" si="1"/>
        <v>0</v>
      </c>
      <c r="E22" s="181"/>
      <c r="F22" s="327">
        <f t="shared" si="2"/>
        <v>0</v>
      </c>
      <c r="G22" s="326">
        <f t="shared" si="0"/>
        <v>0</v>
      </c>
      <c r="H22" s="312"/>
      <c r="I22" s="312"/>
    </row>
    <row r="23" spans="1:15">
      <c r="A23" s="1248"/>
      <c r="B23" s="1249"/>
      <c r="C23" s="1249"/>
      <c r="D23" s="1250">
        <f t="shared" si="1"/>
        <v>0</v>
      </c>
      <c r="E23" s="181"/>
      <c r="F23" s="327">
        <f t="shared" si="2"/>
        <v>0</v>
      </c>
      <c r="G23" s="326">
        <f t="shared" si="0"/>
        <v>0</v>
      </c>
      <c r="H23" s="312"/>
      <c r="I23" s="312"/>
    </row>
    <row r="24" spans="1:15">
      <c r="A24" s="1248"/>
      <c r="B24" s="1249"/>
      <c r="C24" s="1249"/>
      <c r="D24" s="1250">
        <f t="shared" si="1"/>
        <v>0</v>
      </c>
      <c r="E24" s="181"/>
      <c r="F24" s="327">
        <f t="shared" si="2"/>
        <v>0</v>
      </c>
      <c r="G24" s="326">
        <f t="shared" si="0"/>
        <v>0</v>
      </c>
      <c r="H24" s="312"/>
      <c r="I24" s="312"/>
    </row>
    <row r="25" spans="1:15">
      <c r="A25" s="1248"/>
      <c r="B25" s="1249"/>
      <c r="C25" s="1249"/>
      <c r="D25" s="1250">
        <f t="shared" si="1"/>
        <v>0</v>
      </c>
      <c r="E25" s="181"/>
      <c r="F25" s="327">
        <f t="shared" si="2"/>
        <v>0</v>
      </c>
      <c r="G25" s="326">
        <f t="shared" si="0"/>
        <v>0</v>
      </c>
      <c r="H25" s="312"/>
      <c r="I25" s="312"/>
    </row>
    <row r="26" spans="1:15">
      <c r="A26" s="1248"/>
      <c r="B26" s="1249"/>
      <c r="C26" s="1249"/>
      <c r="D26" s="1250">
        <f t="shared" si="1"/>
        <v>0</v>
      </c>
      <c r="E26" s="181"/>
      <c r="F26" s="327">
        <f t="shared" si="2"/>
        <v>0</v>
      </c>
      <c r="G26" s="326">
        <f t="shared" si="0"/>
        <v>0</v>
      </c>
      <c r="H26" s="312"/>
      <c r="I26" s="312"/>
    </row>
    <row r="27" spans="1:15">
      <c r="A27" s="1248"/>
      <c r="B27" s="1249"/>
      <c r="C27" s="1249"/>
      <c r="D27" s="1250">
        <f t="shared" si="1"/>
        <v>0</v>
      </c>
      <c r="E27" s="181"/>
      <c r="F27" s="327">
        <f t="shared" si="2"/>
        <v>0</v>
      </c>
      <c r="G27" s="326">
        <f t="shared" si="0"/>
        <v>0</v>
      </c>
      <c r="H27" s="312"/>
      <c r="I27" s="312"/>
    </row>
    <row r="28" spans="1:15">
      <c r="A28" s="1248"/>
      <c r="B28" s="1249"/>
      <c r="C28" s="1249"/>
      <c r="D28" s="1250">
        <f t="shared" si="1"/>
        <v>0</v>
      </c>
      <c r="E28" s="181"/>
      <c r="F28" s="327">
        <f t="shared" si="2"/>
        <v>0</v>
      </c>
      <c r="G28" s="326">
        <f t="shared" si="0"/>
        <v>0</v>
      </c>
      <c r="H28" s="312"/>
      <c r="I28" s="312"/>
    </row>
    <row r="29" spans="1:15">
      <c r="A29" s="1248"/>
      <c r="B29" s="1249"/>
      <c r="C29" s="1249"/>
      <c r="D29" s="1250">
        <f t="shared" si="1"/>
        <v>0</v>
      </c>
      <c r="E29" s="181"/>
      <c r="F29" s="327">
        <f t="shared" si="2"/>
        <v>0</v>
      </c>
      <c r="G29" s="326">
        <f t="shared" si="0"/>
        <v>0</v>
      </c>
      <c r="H29" s="312"/>
      <c r="I29" s="312"/>
    </row>
    <row r="30" spans="1:15">
      <c r="A30" s="1248"/>
      <c r="B30" s="1249"/>
      <c r="C30" s="1249"/>
      <c r="D30" s="1250">
        <f t="shared" si="1"/>
        <v>0</v>
      </c>
      <c r="E30" s="181"/>
      <c r="F30" s="327">
        <f t="shared" si="2"/>
        <v>0</v>
      </c>
      <c r="G30" s="326">
        <f t="shared" si="0"/>
        <v>0</v>
      </c>
      <c r="H30" s="312"/>
      <c r="I30" s="312"/>
    </row>
    <row r="31" spans="1:15">
      <c r="A31" s="1248"/>
      <c r="B31" s="1249"/>
      <c r="C31" s="1249"/>
      <c r="D31" s="1250">
        <f t="shared" si="1"/>
        <v>0</v>
      </c>
      <c r="E31" s="181"/>
      <c r="F31" s="327">
        <f t="shared" si="2"/>
        <v>0</v>
      </c>
      <c r="G31" s="326">
        <f t="shared" si="0"/>
        <v>0</v>
      </c>
      <c r="H31" s="312"/>
      <c r="I31" s="312"/>
    </row>
    <row r="32" spans="1:15">
      <c r="A32" s="1248"/>
      <c r="B32" s="1249"/>
      <c r="C32" s="1249"/>
      <c r="D32" s="1250">
        <f t="shared" si="1"/>
        <v>0</v>
      </c>
      <c r="E32" s="181"/>
      <c r="F32" s="327">
        <f t="shared" si="2"/>
        <v>0</v>
      </c>
      <c r="G32" s="326">
        <f t="shared" si="0"/>
        <v>0</v>
      </c>
      <c r="H32" s="312"/>
      <c r="I32" s="312"/>
    </row>
    <row r="33" spans="1:9">
      <c r="A33" s="1248"/>
      <c r="B33" s="1249"/>
      <c r="C33" s="1249"/>
      <c r="D33" s="1250">
        <f t="shared" si="1"/>
        <v>0</v>
      </c>
      <c r="E33" s="181"/>
      <c r="F33" s="327">
        <f t="shared" si="2"/>
        <v>0</v>
      </c>
      <c r="G33" s="326">
        <f t="shared" si="0"/>
        <v>0</v>
      </c>
      <c r="H33" s="312"/>
      <c r="I33" s="312"/>
    </row>
    <row r="34" spans="1:9">
      <c r="A34" s="1248"/>
      <c r="B34" s="1249"/>
      <c r="C34" s="1249"/>
      <c r="D34" s="1250">
        <f t="shared" si="1"/>
        <v>0</v>
      </c>
      <c r="E34" s="181"/>
      <c r="F34" s="327">
        <f t="shared" si="2"/>
        <v>0</v>
      </c>
      <c r="G34" s="326">
        <f t="shared" si="0"/>
        <v>0</v>
      </c>
      <c r="H34" s="312"/>
      <c r="I34" s="312"/>
    </row>
    <row r="35" spans="1:9">
      <c r="A35" s="1248"/>
      <c r="B35" s="1249"/>
      <c r="C35" s="1249"/>
      <c r="D35" s="1250">
        <f t="shared" si="1"/>
        <v>0</v>
      </c>
      <c r="E35" s="181"/>
      <c r="F35" s="327">
        <f t="shared" si="2"/>
        <v>0</v>
      </c>
      <c r="G35" s="326">
        <f t="shared" si="0"/>
        <v>0</v>
      </c>
      <c r="H35" s="312"/>
      <c r="I35" s="312"/>
    </row>
    <row r="36" spans="1:9">
      <c r="A36" s="1248"/>
      <c r="B36" s="1249"/>
      <c r="C36" s="1249"/>
      <c r="D36" s="1250">
        <f t="shared" si="1"/>
        <v>0</v>
      </c>
      <c r="E36" s="181"/>
      <c r="F36" s="327">
        <f t="shared" si="2"/>
        <v>0</v>
      </c>
      <c r="G36" s="326">
        <f t="shared" si="0"/>
        <v>0</v>
      </c>
      <c r="H36" s="312"/>
      <c r="I36" s="312"/>
    </row>
    <row r="37" spans="1:9">
      <c r="A37" s="1248"/>
      <c r="B37" s="1249"/>
      <c r="C37" s="1249"/>
      <c r="D37" s="1250">
        <f t="shared" si="1"/>
        <v>0</v>
      </c>
      <c r="E37" s="181"/>
      <c r="F37" s="327">
        <f t="shared" si="2"/>
        <v>0</v>
      </c>
      <c r="G37" s="326">
        <f t="shared" si="0"/>
        <v>0</v>
      </c>
      <c r="H37" s="312"/>
      <c r="I37" s="312"/>
    </row>
    <row r="38" spans="1:9">
      <c r="A38" s="1248"/>
      <c r="B38" s="1249"/>
      <c r="C38" s="1249"/>
      <c r="D38" s="1250">
        <f t="shared" si="1"/>
        <v>0</v>
      </c>
      <c r="E38" s="181"/>
      <c r="F38" s="327">
        <f t="shared" si="2"/>
        <v>0</v>
      </c>
      <c r="G38" s="326">
        <f t="shared" si="0"/>
        <v>0</v>
      </c>
      <c r="H38" s="312"/>
      <c r="I38" s="312"/>
    </row>
    <row r="39" spans="1:9">
      <c r="A39" s="1248"/>
      <c r="B39" s="1249"/>
      <c r="C39" s="1249"/>
      <c r="D39" s="1250">
        <f t="shared" si="1"/>
        <v>0</v>
      </c>
      <c r="E39" s="181"/>
      <c r="F39" s="327">
        <f t="shared" si="2"/>
        <v>0</v>
      </c>
      <c r="G39" s="326">
        <f t="shared" si="0"/>
        <v>0</v>
      </c>
      <c r="H39" s="312"/>
      <c r="I39" s="312"/>
    </row>
    <row r="40" spans="1:9">
      <c r="A40" s="1248"/>
      <c r="B40" s="1249"/>
      <c r="C40" s="1249"/>
      <c r="D40" s="1250">
        <f t="shared" si="1"/>
        <v>0</v>
      </c>
      <c r="E40" s="181"/>
      <c r="F40" s="327">
        <f t="shared" si="2"/>
        <v>0</v>
      </c>
      <c r="G40" s="326">
        <f t="shared" si="0"/>
        <v>0</v>
      </c>
      <c r="H40" s="312"/>
      <c r="I40" s="312"/>
    </row>
    <row r="41" spans="1:9">
      <c r="A41" s="1248"/>
      <c r="B41" s="1249"/>
      <c r="C41" s="1249"/>
      <c r="D41" s="1250">
        <f t="shared" si="1"/>
        <v>0</v>
      </c>
      <c r="E41" s="181"/>
      <c r="F41" s="327">
        <f t="shared" si="2"/>
        <v>0</v>
      </c>
      <c r="G41" s="326">
        <f t="shared" si="0"/>
        <v>0</v>
      </c>
      <c r="H41" s="312"/>
      <c r="I41" s="312"/>
    </row>
    <row r="42" spans="1:9">
      <c r="A42" s="1248"/>
      <c r="B42" s="1249"/>
      <c r="C42" s="1249"/>
      <c r="D42" s="1250">
        <f t="shared" si="1"/>
        <v>0</v>
      </c>
      <c r="E42" s="181"/>
      <c r="F42" s="327">
        <f t="shared" si="2"/>
        <v>0</v>
      </c>
      <c r="G42" s="326">
        <f t="shared" si="0"/>
        <v>0</v>
      </c>
      <c r="I42" s="312"/>
    </row>
    <row r="43" spans="1:9">
      <c r="A43" s="1248"/>
      <c r="B43" s="1249"/>
      <c r="C43" s="1249"/>
      <c r="D43" s="1250">
        <f t="shared" si="1"/>
        <v>0</v>
      </c>
      <c r="E43" s="181"/>
      <c r="F43" s="327">
        <f t="shared" si="2"/>
        <v>0</v>
      </c>
      <c r="G43" s="326">
        <f t="shared" si="0"/>
        <v>0</v>
      </c>
    </row>
    <row r="44" spans="1:9">
      <c r="A44" s="1248"/>
      <c r="B44" s="1249"/>
      <c r="C44" s="1249"/>
      <c r="D44" s="1250">
        <f t="shared" si="1"/>
        <v>0</v>
      </c>
      <c r="E44" s="181"/>
      <c r="F44" s="327">
        <f t="shared" si="2"/>
        <v>0</v>
      </c>
      <c r="G44" s="326">
        <f t="shared" si="0"/>
        <v>0</v>
      </c>
    </row>
    <row r="45" spans="1:9">
      <c r="A45" s="1248"/>
      <c r="B45" s="1249"/>
      <c r="C45" s="1249"/>
      <c r="D45" s="1250">
        <f t="shared" si="1"/>
        <v>0</v>
      </c>
      <c r="E45" s="181"/>
      <c r="F45" s="327">
        <f t="shared" si="2"/>
        <v>0</v>
      </c>
      <c r="G45" s="326">
        <f t="shared" si="0"/>
        <v>0</v>
      </c>
    </row>
    <row r="46" spans="1:9">
      <c r="A46" s="1248"/>
      <c r="B46" s="1249"/>
      <c r="C46" s="1249"/>
      <c r="D46" s="1250">
        <f t="shared" si="1"/>
        <v>0</v>
      </c>
      <c r="E46" s="181"/>
      <c r="F46" s="327">
        <f t="shared" si="2"/>
        <v>0</v>
      </c>
      <c r="G46" s="326">
        <f t="shared" si="0"/>
        <v>0</v>
      </c>
    </row>
    <row r="47" spans="1:9">
      <c r="A47" s="1248"/>
      <c r="B47" s="1249"/>
      <c r="C47" s="1249"/>
      <c r="D47" s="1250">
        <f t="shared" si="1"/>
        <v>0</v>
      </c>
      <c r="E47" s="181"/>
      <c r="F47" s="327">
        <f t="shared" si="2"/>
        <v>0</v>
      </c>
      <c r="G47" s="326">
        <f t="shared" si="0"/>
        <v>0</v>
      </c>
    </row>
    <row r="48" spans="1:9">
      <c r="A48" s="1248"/>
      <c r="B48" s="1249"/>
      <c r="C48" s="1249"/>
      <c r="D48" s="1250">
        <f t="shared" si="1"/>
        <v>0</v>
      </c>
      <c r="E48" s="181"/>
      <c r="F48" s="327">
        <f t="shared" si="2"/>
        <v>0</v>
      </c>
      <c r="G48" s="326">
        <f t="shared" si="0"/>
        <v>0</v>
      </c>
    </row>
    <row r="49" spans="1:7">
      <c r="A49" s="1248"/>
      <c r="B49" s="1249"/>
      <c r="C49" s="1249"/>
      <c r="D49" s="1250">
        <f t="shared" si="1"/>
        <v>0</v>
      </c>
      <c r="E49" s="181"/>
      <c r="F49" s="327">
        <f t="shared" si="2"/>
        <v>0</v>
      </c>
      <c r="G49" s="326">
        <f t="shared" si="0"/>
        <v>0</v>
      </c>
    </row>
    <row r="50" spans="1:7">
      <c r="A50" s="1248"/>
      <c r="B50" s="1249"/>
      <c r="C50" s="1249"/>
      <c r="D50" s="1250">
        <f t="shared" si="1"/>
        <v>0</v>
      </c>
      <c r="E50" s="181"/>
      <c r="F50" s="327">
        <f t="shared" si="2"/>
        <v>0</v>
      </c>
      <c r="G50" s="326">
        <f t="shared" si="0"/>
        <v>0</v>
      </c>
    </row>
    <row r="51" spans="1:7">
      <c r="A51" s="1248"/>
      <c r="B51" s="1249"/>
      <c r="C51" s="1249"/>
      <c r="D51" s="1250">
        <f t="shared" si="1"/>
        <v>0</v>
      </c>
      <c r="E51" s="181"/>
      <c r="F51" s="327">
        <f t="shared" si="2"/>
        <v>0</v>
      </c>
      <c r="G51" s="326">
        <f t="shared" si="0"/>
        <v>0</v>
      </c>
    </row>
    <row r="52" spans="1:7">
      <c r="A52" s="1248"/>
      <c r="B52" s="1249"/>
      <c r="C52" s="1249"/>
      <c r="D52" s="1250">
        <f t="shared" si="1"/>
        <v>0</v>
      </c>
      <c r="E52" s="181"/>
      <c r="F52" s="327">
        <f t="shared" si="2"/>
        <v>0</v>
      </c>
      <c r="G52" s="326">
        <f t="shared" si="0"/>
        <v>0</v>
      </c>
    </row>
    <row r="53" spans="1:7">
      <c r="A53" s="1248"/>
      <c r="B53" s="1249"/>
      <c r="C53" s="1249"/>
      <c r="D53" s="1250">
        <f t="shared" si="1"/>
        <v>0</v>
      </c>
      <c r="E53" s="181"/>
      <c r="F53" s="327">
        <f t="shared" si="2"/>
        <v>0</v>
      </c>
      <c r="G53" s="326">
        <f t="shared" si="0"/>
        <v>0</v>
      </c>
    </row>
    <row r="54" spans="1:7">
      <c r="A54" s="1248"/>
      <c r="B54" s="1249"/>
      <c r="C54" s="1249"/>
      <c r="D54" s="1250">
        <f t="shared" si="1"/>
        <v>0</v>
      </c>
      <c r="E54" s="181"/>
      <c r="F54" s="327">
        <f t="shared" si="2"/>
        <v>0</v>
      </c>
      <c r="G54" s="326">
        <f t="shared" si="0"/>
        <v>0</v>
      </c>
    </row>
    <row r="55" spans="1:7">
      <c r="A55" s="1248"/>
      <c r="B55" s="1249"/>
      <c r="C55" s="1249"/>
      <c r="D55" s="1250">
        <f t="shared" si="1"/>
        <v>0</v>
      </c>
      <c r="E55" s="181"/>
      <c r="F55" s="327">
        <f t="shared" si="2"/>
        <v>0</v>
      </c>
      <c r="G55" s="326">
        <f t="shared" si="0"/>
        <v>0</v>
      </c>
    </row>
    <row r="56" spans="1:7">
      <c r="A56" s="1248"/>
      <c r="B56" s="1249"/>
      <c r="C56" s="1249"/>
      <c r="D56" s="1250">
        <f t="shared" si="1"/>
        <v>0</v>
      </c>
      <c r="E56" s="181"/>
      <c r="F56" s="327">
        <f t="shared" si="2"/>
        <v>0</v>
      </c>
      <c r="G56" s="326">
        <f t="shared" si="0"/>
        <v>0</v>
      </c>
    </row>
    <row r="57" spans="1:7">
      <c r="A57" s="1248"/>
      <c r="B57" s="1249"/>
      <c r="C57" s="1249"/>
      <c r="D57" s="1250">
        <f t="shared" si="1"/>
        <v>0</v>
      </c>
      <c r="E57" s="181"/>
      <c r="F57" s="327">
        <f t="shared" si="2"/>
        <v>0</v>
      </c>
      <c r="G57" s="326">
        <f t="shared" si="0"/>
        <v>0</v>
      </c>
    </row>
    <row r="58" spans="1:7">
      <c r="A58" s="1248"/>
      <c r="B58" s="1249"/>
      <c r="C58" s="1249"/>
      <c r="D58" s="1250">
        <f t="shared" si="1"/>
        <v>0</v>
      </c>
      <c r="E58" s="181"/>
      <c r="F58" s="327">
        <f t="shared" si="2"/>
        <v>0</v>
      </c>
      <c r="G58" s="326">
        <f t="shared" si="0"/>
        <v>0</v>
      </c>
    </row>
    <row r="59" spans="1:7">
      <c r="A59" s="1248"/>
      <c r="B59" s="1249"/>
      <c r="C59" s="1249"/>
      <c r="D59" s="1250">
        <f t="shared" si="1"/>
        <v>0</v>
      </c>
      <c r="E59" s="181"/>
      <c r="F59" s="327">
        <f t="shared" si="2"/>
        <v>0</v>
      </c>
      <c r="G59" s="326">
        <f t="shared" si="0"/>
        <v>0</v>
      </c>
    </row>
    <row r="60" spans="1:7">
      <c r="A60" s="1248"/>
      <c r="B60" s="1249"/>
      <c r="C60" s="1249"/>
      <c r="D60" s="1250">
        <f t="shared" si="1"/>
        <v>0</v>
      </c>
      <c r="E60" s="181"/>
      <c r="F60" s="327">
        <f t="shared" si="2"/>
        <v>0</v>
      </c>
      <c r="G60" s="326">
        <f t="shared" si="0"/>
        <v>0</v>
      </c>
    </row>
    <row r="61" spans="1:7">
      <c r="A61" s="1248"/>
      <c r="B61" s="1249"/>
      <c r="C61" s="1249"/>
      <c r="D61" s="1250">
        <f t="shared" si="1"/>
        <v>0</v>
      </c>
      <c r="E61" s="181"/>
      <c r="F61" s="327">
        <f t="shared" si="2"/>
        <v>0</v>
      </c>
      <c r="G61" s="326">
        <f t="shared" si="0"/>
        <v>0</v>
      </c>
    </row>
    <row r="62" spans="1:7">
      <c r="A62" s="1248"/>
      <c r="B62" s="1249"/>
      <c r="C62" s="1249"/>
      <c r="D62" s="1250">
        <f t="shared" si="1"/>
        <v>0</v>
      </c>
      <c r="E62" s="181"/>
      <c r="F62" s="327">
        <f t="shared" si="2"/>
        <v>0</v>
      </c>
      <c r="G62" s="326">
        <f t="shared" si="0"/>
        <v>0</v>
      </c>
    </row>
    <row r="63" spans="1:7">
      <c r="A63" s="1248"/>
      <c r="B63" s="1249"/>
      <c r="C63" s="1249"/>
      <c r="D63" s="1250">
        <f t="shared" si="1"/>
        <v>0</v>
      </c>
      <c r="E63" s="181"/>
      <c r="F63" s="327">
        <f t="shared" si="2"/>
        <v>0</v>
      </c>
      <c r="G63" s="326">
        <f t="shared" si="0"/>
        <v>0</v>
      </c>
    </row>
    <row r="64" spans="1:7">
      <c r="A64" s="1248"/>
      <c r="B64" s="1249"/>
      <c r="C64" s="1249"/>
      <c r="D64" s="1250">
        <f t="shared" si="1"/>
        <v>0</v>
      </c>
      <c r="E64" s="181"/>
      <c r="F64" s="327">
        <f t="shared" si="2"/>
        <v>0</v>
      </c>
      <c r="G64" s="326">
        <f t="shared" si="0"/>
        <v>0</v>
      </c>
    </row>
    <row r="65" spans="1:7">
      <c r="A65" s="1248"/>
      <c r="B65" s="1249"/>
      <c r="C65" s="1249"/>
      <c r="D65" s="1250">
        <f t="shared" si="1"/>
        <v>0</v>
      </c>
      <c r="E65" s="181"/>
      <c r="F65" s="327">
        <f t="shared" si="2"/>
        <v>0</v>
      </c>
      <c r="G65" s="326">
        <f t="shared" si="0"/>
        <v>0</v>
      </c>
    </row>
    <row r="66" spans="1:7">
      <c r="A66" s="1248"/>
      <c r="B66" s="1249"/>
      <c r="C66" s="1249"/>
      <c r="D66" s="1250">
        <f t="shared" si="1"/>
        <v>0</v>
      </c>
      <c r="E66" s="181"/>
      <c r="F66" s="327">
        <f t="shared" si="2"/>
        <v>0</v>
      </c>
      <c r="G66" s="326">
        <f t="shared" si="0"/>
        <v>0</v>
      </c>
    </row>
    <row r="67" spans="1:7">
      <c r="A67" s="1248"/>
      <c r="B67" s="1249"/>
      <c r="C67" s="1249"/>
      <c r="D67" s="1250">
        <f t="shared" si="1"/>
        <v>0</v>
      </c>
      <c r="E67" s="181"/>
      <c r="F67" s="327">
        <f t="shared" si="2"/>
        <v>0</v>
      </c>
      <c r="G67" s="326">
        <f t="shared" si="0"/>
        <v>0</v>
      </c>
    </row>
    <row r="68" spans="1:7">
      <c r="A68" s="1248"/>
      <c r="B68" s="1249"/>
      <c r="C68" s="1249"/>
      <c r="D68" s="1250">
        <f t="shared" si="1"/>
        <v>0</v>
      </c>
      <c r="E68" s="181"/>
      <c r="F68" s="327">
        <f t="shared" si="2"/>
        <v>0</v>
      </c>
      <c r="G68" s="326">
        <f t="shared" si="0"/>
        <v>0</v>
      </c>
    </row>
    <row r="69" spans="1:7">
      <c r="A69" s="1248"/>
      <c r="B69" s="1249"/>
      <c r="C69" s="1249"/>
      <c r="D69" s="1250">
        <f t="shared" si="1"/>
        <v>0</v>
      </c>
      <c r="E69" s="181"/>
      <c r="F69" s="327">
        <f t="shared" si="2"/>
        <v>0</v>
      </c>
      <c r="G69" s="326">
        <f t="shared" si="0"/>
        <v>0</v>
      </c>
    </row>
    <row r="70" spans="1:7">
      <c r="A70" s="1248"/>
      <c r="B70" s="1249"/>
      <c r="C70" s="1249"/>
      <c r="D70" s="1250">
        <f t="shared" si="1"/>
        <v>0</v>
      </c>
      <c r="E70" s="181"/>
      <c r="F70" s="327">
        <f t="shared" si="2"/>
        <v>0</v>
      </c>
      <c r="G70" s="326">
        <f t="shared" si="0"/>
        <v>0</v>
      </c>
    </row>
    <row r="71" spans="1:7">
      <c r="A71" s="1248"/>
      <c r="B71" s="1249"/>
      <c r="C71" s="1249"/>
      <c r="D71" s="1250">
        <f t="shared" si="1"/>
        <v>0</v>
      </c>
      <c r="E71" s="181"/>
      <c r="F71" s="327">
        <f t="shared" si="2"/>
        <v>0</v>
      </c>
      <c r="G71" s="326">
        <f t="shared" si="0"/>
        <v>0</v>
      </c>
    </row>
    <row r="72" spans="1:7">
      <c r="A72" s="1248"/>
      <c r="B72" s="1249"/>
      <c r="C72" s="1249"/>
      <c r="D72" s="1250">
        <f t="shared" si="1"/>
        <v>0</v>
      </c>
      <c r="E72" s="181"/>
      <c r="F72" s="327">
        <f t="shared" si="2"/>
        <v>0</v>
      </c>
      <c r="G72" s="326">
        <f t="shared" si="0"/>
        <v>0</v>
      </c>
    </row>
    <row r="73" spans="1:7">
      <c r="A73" s="1248"/>
      <c r="B73" s="1249"/>
      <c r="C73" s="1249"/>
      <c r="D73" s="1250">
        <f t="shared" si="1"/>
        <v>0</v>
      </c>
      <c r="E73" s="181"/>
      <c r="F73" s="327">
        <f t="shared" si="2"/>
        <v>0</v>
      </c>
      <c r="G73" s="326">
        <f t="shared" si="0"/>
        <v>0</v>
      </c>
    </row>
    <row r="74" spans="1:7">
      <c r="A74" s="1248"/>
      <c r="B74" s="1249"/>
      <c r="C74" s="1249"/>
      <c r="D74" s="1250">
        <f t="shared" si="1"/>
        <v>0</v>
      </c>
      <c r="E74" s="181"/>
      <c r="F74" s="327">
        <f t="shared" si="2"/>
        <v>0</v>
      </c>
      <c r="G74" s="326">
        <f t="shared" si="0"/>
        <v>0</v>
      </c>
    </row>
    <row r="75" spans="1:7">
      <c r="A75" s="1248"/>
      <c r="B75" s="1249"/>
      <c r="C75" s="1249"/>
      <c r="D75" s="1250">
        <f t="shared" si="1"/>
        <v>0</v>
      </c>
      <c r="E75" s="181"/>
      <c r="F75" s="327">
        <f t="shared" si="2"/>
        <v>0</v>
      </c>
      <c r="G75" s="326">
        <f t="shared" si="0"/>
        <v>0</v>
      </c>
    </row>
    <row r="76" spans="1:7">
      <c r="A76" s="1248"/>
      <c r="B76" s="1249"/>
      <c r="C76" s="1249"/>
      <c r="D76" s="1250">
        <f t="shared" si="1"/>
        <v>0</v>
      </c>
      <c r="E76" s="181"/>
      <c r="F76" s="327">
        <f t="shared" si="2"/>
        <v>0</v>
      </c>
      <c r="G76" s="326">
        <f t="shared" si="0"/>
        <v>0</v>
      </c>
    </row>
    <row r="77" spans="1:7">
      <c r="A77" s="1248"/>
      <c r="B77" s="1249"/>
      <c r="C77" s="1249"/>
      <c r="D77" s="1250">
        <f t="shared" si="1"/>
        <v>0</v>
      </c>
      <c r="E77" s="181"/>
      <c r="F77" s="327">
        <f t="shared" si="2"/>
        <v>0</v>
      </c>
      <c r="G77" s="326">
        <f t="shared" si="0"/>
        <v>0</v>
      </c>
    </row>
    <row r="78" spans="1:7">
      <c r="A78" s="1248"/>
      <c r="B78" s="1249"/>
      <c r="C78" s="1249"/>
      <c r="D78" s="1250">
        <f t="shared" si="1"/>
        <v>0</v>
      </c>
      <c r="E78" s="181"/>
      <c r="F78" s="327">
        <f t="shared" si="2"/>
        <v>0</v>
      </c>
      <c r="G78" s="326">
        <f t="shared" si="0"/>
        <v>0</v>
      </c>
    </row>
    <row r="79" spans="1:7">
      <c r="A79" s="1248"/>
      <c r="B79" s="1249"/>
      <c r="C79" s="1249"/>
      <c r="D79" s="1250">
        <f t="shared" si="1"/>
        <v>0</v>
      </c>
      <c r="E79" s="181"/>
      <c r="F79" s="327">
        <f t="shared" si="2"/>
        <v>0</v>
      </c>
      <c r="G79" s="326">
        <f t="shared" si="0"/>
        <v>0</v>
      </c>
    </row>
    <row r="80" spans="1:7">
      <c r="A80" s="1248"/>
      <c r="B80" s="1249"/>
      <c r="C80" s="1249"/>
      <c r="D80" s="1250">
        <f t="shared" si="1"/>
        <v>0</v>
      </c>
      <c r="E80" s="181"/>
      <c r="F80" s="327">
        <f t="shared" si="2"/>
        <v>0</v>
      </c>
      <c r="G80" s="326">
        <f t="shared" si="0"/>
        <v>0</v>
      </c>
    </row>
    <row r="81" spans="1:7">
      <c r="A81" s="1248"/>
      <c r="B81" s="1249"/>
      <c r="C81" s="1249"/>
      <c r="D81" s="1250">
        <f t="shared" si="1"/>
        <v>0</v>
      </c>
      <c r="E81" s="181"/>
      <c r="F81" s="327">
        <f t="shared" si="2"/>
        <v>0</v>
      </c>
      <c r="G81" s="326">
        <f t="shared" si="0"/>
        <v>0</v>
      </c>
    </row>
    <row r="82" spans="1:7">
      <c r="A82" s="1248"/>
      <c r="B82" s="1249"/>
      <c r="C82" s="1249"/>
      <c r="D82" s="1250">
        <f t="shared" si="1"/>
        <v>0</v>
      </c>
      <c r="E82" s="181"/>
      <c r="F82" s="327">
        <f t="shared" si="2"/>
        <v>0</v>
      </c>
      <c r="G82" s="326">
        <f t="shared" si="0"/>
        <v>0</v>
      </c>
    </row>
    <row r="83" spans="1:7">
      <c r="A83" s="1248"/>
      <c r="B83" s="1249"/>
      <c r="C83" s="1249"/>
      <c r="D83" s="1250">
        <f t="shared" si="1"/>
        <v>0</v>
      </c>
      <c r="E83" s="181"/>
      <c r="F83" s="327">
        <f t="shared" si="2"/>
        <v>0</v>
      </c>
      <c r="G83" s="326">
        <f t="shared" si="0"/>
        <v>0</v>
      </c>
    </row>
    <row r="84" spans="1:7">
      <c r="A84" s="1248"/>
      <c r="B84" s="1249"/>
      <c r="C84" s="1249"/>
      <c r="D84" s="1250">
        <f t="shared" si="1"/>
        <v>0</v>
      </c>
      <c r="E84" s="181"/>
      <c r="F84" s="327">
        <f t="shared" si="2"/>
        <v>0</v>
      </c>
      <c r="G84" s="326">
        <f t="shared" si="0"/>
        <v>0</v>
      </c>
    </row>
    <row r="85" spans="1:7">
      <c r="A85" s="1248"/>
      <c r="B85" s="1249"/>
      <c r="C85" s="1249"/>
      <c r="D85" s="1250">
        <f t="shared" si="1"/>
        <v>0</v>
      </c>
      <c r="E85" s="181"/>
      <c r="F85" s="327">
        <f t="shared" si="2"/>
        <v>0</v>
      </c>
      <c r="G85" s="326">
        <f t="shared" si="0"/>
        <v>0</v>
      </c>
    </row>
    <row r="86" spans="1:7">
      <c r="A86" s="1248"/>
      <c r="B86" s="1249"/>
      <c r="C86" s="1249"/>
      <c r="D86" s="1250">
        <f t="shared" si="1"/>
        <v>0</v>
      </c>
      <c r="E86" s="181"/>
      <c r="F86" s="327">
        <f t="shared" si="2"/>
        <v>0</v>
      </c>
      <c r="G86" s="326">
        <f t="shared" si="0"/>
        <v>0</v>
      </c>
    </row>
    <row r="87" spans="1:7">
      <c r="A87" s="1248"/>
      <c r="B87" s="1249"/>
      <c r="C87" s="1249"/>
      <c r="D87" s="1250">
        <f t="shared" si="1"/>
        <v>0</v>
      </c>
      <c r="E87" s="181"/>
      <c r="F87" s="327">
        <f t="shared" si="2"/>
        <v>0</v>
      </c>
      <c r="G87" s="326">
        <f t="shared" si="0"/>
        <v>0</v>
      </c>
    </row>
    <row r="88" spans="1:7">
      <c r="A88" s="1248"/>
      <c r="B88" s="1249"/>
      <c r="C88" s="1249"/>
      <c r="D88" s="1250">
        <f t="shared" si="1"/>
        <v>0</v>
      </c>
      <c r="E88" s="181"/>
      <c r="F88" s="327">
        <f t="shared" si="2"/>
        <v>0</v>
      </c>
      <c r="G88" s="326">
        <f t="shared" si="0"/>
        <v>0</v>
      </c>
    </row>
    <row r="89" spans="1:7">
      <c r="A89" s="1248"/>
      <c r="B89" s="1249"/>
      <c r="C89" s="1249"/>
      <c r="D89" s="1250">
        <f t="shared" si="1"/>
        <v>0</v>
      </c>
      <c r="E89" s="181"/>
      <c r="F89" s="327">
        <f t="shared" si="2"/>
        <v>0</v>
      </c>
      <c r="G89" s="326">
        <f t="shared" si="0"/>
        <v>0</v>
      </c>
    </row>
    <row r="90" spans="1:7">
      <c r="A90" s="1248"/>
      <c r="B90" s="1249"/>
      <c r="C90" s="1249"/>
      <c r="D90" s="1250">
        <f t="shared" si="1"/>
        <v>0</v>
      </c>
      <c r="E90" s="181"/>
      <c r="F90" s="327">
        <f t="shared" si="2"/>
        <v>0</v>
      </c>
      <c r="G90" s="326">
        <f t="shared" si="0"/>
        <v>0</v>
      </c>
    </row>
    <row r="91" spans="1:7">
      <c r="A91" s="1248"/>
      <c r="B91" s="1249"/>
      <c r="C91" s="1249"/>
      <c r="D91" s="1250">
        <f t="shared" si="1"/>
        <v>0</v>
      </c>
      <c r="E91" s="181"/>
      <c r="F91" s="327">
        <f t="shared" si="2"/>
        <v>0</v>
      </c>
      <c r="G91" s="326">
        <f t="shared" si="0"/>
        <v>0</v>
      </c>
    </row>
    <row r="92" spans="1:7">
      <c r="A92" s="1248"/>
      <c r="B92" s="1249"/>
      <c r="C92" s="1249"/>
      <c r="D92" s="1250">
        <f t="shared" si="1"/>
        <v>0</v>
      </c>
      <c r="E92" s="181"/>
      <c r="F92" s="327">
        <f t="shared" si="2"/>
        <v>0</v>
      </c>
      <c r="G92" s="326">
        <f t="shared" si="0"/>
        <v>0</v>
      </c>
    </row>
    <row r="93" spans="1:7">
      <c r="A93" s="1248"/>
      <c r="B93" s="1249"/>
      <c r="C93" s="1249"/>
      <c r="D93" s="1250">
        <f t="shared" si="1"/>
        <v>0</v>
      </c>
      <c r="E93" s="181"/>
      <c r="F93" s="327">
        <f t="shared" si="2"/>
        <v>0</v>
      </c>
      <c r="G93" s="326">
        <f t="shared" si="0"/>
        <v>0</v>
      </c>
    </row>
    <row r="94" spans="1:7">
      <c r="A94" s="1248"/>
      <c r="B94" s="1249"/>
      <c r="C94" s="1249"/>
      <c r="D94" s="1250">
        <f t="shared" si="1"/>
        <v>0</v>
      </c>
      <c r="E94" s="181"/>
      <c r="F94" s="327">
        <f t="shared" si="2"/>
        <v>0</v>
      </c>
      <c r="G94" s="326">
        <f t="shared" si="0"/>
        <v>0</v>
      </c>
    </row>
    <row r="95" spans="1:7">
      <c r="A95" s="1248"/>
      <c r="B95" s="1249"/>
      <c r="C95" s="1249"/>
      <c r="D95" s="1250">
        <f t="shared" si="1"/>
        <v>0</v>
      </c>
      <c r="E95" s="181"/>
      <c r="F95" s="327">
        <f t="shared" si="2"/>
        <v>0</v>
      </c>
      <c r="G95" s="326">
        <f t="shared" si="0"/>
        <v>0</v>
      </c>
    </row>
    <row r="96" spans="1:7">
      <c r="A96" s="1248"/>
      <c r="B96" s="1249"/>
      <c r="C96" s="1249"/>
      <c r="D96" s="1250">
        <f t="shared" si="1"/>
        <v>0</v>
      </c>
      <c r="E96" s="181"/>
      <c r="F96" s="327">
        <f t="shared" si="2"/>
        <v>0</v>
      </c>
      <c r="G96" s="326">
        <f t="shared" si="0"/>
        <v>0</v>
      </c>
    </row>
    <row r="97" spans="1:7">
      <c r="A97" s="1248"/>
      <c r="B97" s="1249"/>
      <c r="C97" s="1249"/>
      <c r="D97" s="1250">
        <f t="shared" si="1"/>
        <v>0</v>
      </c>
      <c r="E97" s="181"/>
      <c r="F97" s="327">
        <f t="shared" si="2"/>
        <v>0</v>
      </c>
      <c r="G97" s="326">
        <f t="shared" si="0"/>
        <v>0</v>
      </c>
    </row>
    <row r="98" spans="1:7">
      <c r="A98" s="1248"/>
      <c r="B98" s="1249"/>
      <c r="C98" s="1249"/>
      <c r="D98" s="1250">
        <f t="shared" si="1"/>
        <v>0</v>
      </c>
      <c r="E98" s="181"/>
      <c r="F98" s="327">
        <f t="shared" si="2"/>
        <v>0</v>
      </c>
      <c r="G98" s="326">
        <f t="shared" si="0"/>
        <v>0</v>
      </c>
    </row>
    <row r="99" spans="1:7">
      <c r="A99" s="1248"/>
      <c r="B99" s="1249"/>
      <c r="C99" s="1249"/>
      <c r="D99" s="1250">
        <f t="shared" si="1"/>
        <v>0</v>
      </c>
      <c r="E99" s="181"/>
      <c r="F99" s="327">
        <f t="shared" si="2"/>
        <v>0</v>
      </c>
      <c r="G99" s="326">
        <f t="shared" si="0"/>
        <v>0</v>
      </c>
    </row>
    <row r="100" spans="1:7">
      <c r="A100" s="1248"/>
      <c r="B100" s="1249"/>
      <c r="C100" s="1249"/>
      <c r="D100" s="1250">
        <f t="shared" si="1"/>
        <v>0</v>
      </c>
      <c r="E100" s="181"/>
      <c r="F100" s="327">
        <f t="shared" si="2"/>
        <v>0</v>
      </c>
      <c r="G100" s="326">
        <f t="shared" si="0"/>
        <v>0</v>
      </c>
    </row>
    <row r="101" spans="1:7">
      <c r="A101" s="1248"/>
      <c r="B101" s="1249"/>
      <c r="C101" s="1249"/>
      <c r="D101" s="1250">
        <f t="shared" si="1"/>
        <v>0</v>
      </c>
      <c r="E101" s="181"/>
      <c r="F101" s="327">
        <f>IF(A101&gt;0,A101-A80,0)</f>
        <v>0</v>
      </c>
      <c r="G101" s="326">
        <f t="shared" si="0"/>
        <v>0</v>
      </c>
    </row>
    <row r="102" spans="1:7">
      <c r="A102" s="1248"/>
      <c r="B102" s="1249"/>
      <c r="C102" s="1249"/>
      <c r="D102" s="1250">
        <f t="shared" si="1"/>
        <v>0</v>
      </c>
      <c r="E102" s="181"/>
      <c r="F102" s="327">
        <f>IF(A102&gt;0,A102-A101,0)</f>
        <v>0</v>
      </c>
      <c r="G102" s="326">
        <f t="shared" si="0"/>
        <v>0</v>
      </c>
    </row>
    <row r="103" spans="1:7">
      <c r="A103" s="1248"/>
      <c r="B103" s="1249"/>
      <c r="C103" s="1249"/>
      <c r="D103" s="1250">
        <f t="shared" si="1"/>
        <v>0</v>
      </c>
      <c r="E103" s="181"/>
      <c r="F103" s="327">
        <f>IF(A103&gt;0,A103-A102,0)</f>
        <v>0</v>
      </c>
      <c r="G103" s="326">
        <f t="shared" si="0"/>
        <v>0</v>
      </c>
    </row>
    <row r="104" spans="1:7">
      <c r="A104" s="1251"/>
      <c r="B104" s="1252"/>
      <c r="C104" s="1252"/>
      <c r="D104" s="1253"/>
      <c r="E104" s="181"/>
      <c r="F104" s="327">
        <f>IF(A104&gt;0,A104-A103,0)</f>
        <v>0</v>
      </c>
      <c r="G104" s="329"/>
    </row>
    <row r="105" spans="1:7">
      <c r="A105" s="1245">
        <f>IF(AND(D7&gt;39141,D7&lt;39508),$D$7+365,$D$7+364)</f>
        <v>364</v>
      </c>
      <c r="B105" s="1246">
        <f>SUM(B10:B103)</f>
        <v>0</v>
      </c>
      <c r="C105" s="1246">
        <f>SUM(C10:C103)</f>
        <v>0</v>
      </c>
      <c r="D105" s="1250">
        <f>$D$9+SUM(B$10:B103)-SUM(C$10:C103)</f>
        <v>0</v>
      </c>
      <c r="E105" s="181"/>
      <c r="F105" s="327">
        <f>(A105-A9)-SUM(F10:F104)</f>
        <v>364</v>
      </c>
      <c r="G105" s="326">
        <f>D105*F105</f>
        <v>0</v>
      </c>
    </row>
    <row r="106" spans="1:7">
      <c r="A106" s="181"/>
      <c r="B106" s="181"/>
      <c r="C106" s="181"/>
      <c r="D106" s="181"/>
      <c r="E106" s="181"/>
      <c r="F106" s="330">
        <f>SUM(F9:F105)</f>
        <v>364</v>
      </c>
      <c r="G106" s="331">
        <f>SUM(G9:G105)</f>
        <v>0</v>
      </c>
    </row>
  </sheetData>
  <sheetProtection password="CAEF" sheet="1" formatCells="0" formatRows="0"/>
  <mergeCells count="6">
    <mergeCell ref="I18:N19"/>
    <mergeCell ref="B9:C9"/>
    <mergeCell ref="K1:L1"/>
    <mergeCell ref="A3:C3"/>
    <mergeCell ref="A4:D4"/>
    <mergeCell ref="A5:C5"/>
  </mergeCells>
  <phoneticPr fontId="38" type="noConversion"/>
  <conditionalFormatting sqref="A5:C5">
    <cfRule type="expression" dxfId="60" priority="10">
      <formula>$A$5=""</formula>
    </cfRule>
  </conditionalFormatting>
  <conditionalFormatting sqref="D7">
    <cfRule type="expression" dxfId="59" priority="9">
      <formula>AND($A$5&lt;&gt;"",$D$7="")</formula>
    </cfRule>
  </conditionalFormatting>
  <conditionalFormatting sqref="D9">
    <cfRule type="expression" dxfId="58" priority="8">
      <formula>AND($A$5&lt;&gt;"",$D$7&lt;&gt;"",$D$9="")</formula>
    </cfRule>
  </conditionalFormatting>
  <conditionalFormatting sqref="A10">
    <cfRule type="expression" dxfId="57" priority="7">
      <formula>AND($D$9&lt;&gt;"",$D$7&lt;&gt;"",$A$10="")</formula>
    </cfRule>
  </conditionalFormatting>
  <conditionalFormatting sqref="B10">
    <cfRule type="expression" dxfId="56" priority="6">
      <formula>AND($A$10&lt;&gt;"",$C$10="",$B$10="")</formula>
    </cfRule>
  </conditionalFormatting>
  <conditionalFormatting sqref="C10">
    <cfRule type="expression" dxfId="55" priority="5">
      <formula>AND($A$10&lt;&gt;"",$B$10="",$C$10="")</formula>
    </cfRule>
  </conditionalFormatting>
  <conditionalFormatting sqref="A11:A103">
    <cfRule type="expression" dxfId="54" priority="3">
      <formula>AND($A11="",$B11="",$C11="",$A10&lt;&gt;"",OR($B10&lt;&gt;"",$C10&lt;&gt;""))</formula>
    </cfRule>
  </conditionalFormatting>
  <conditionalFormatting sqref="B11:B103">
    <cfRule type="expression" dxfId="53" priority="2">
      <formula>AND($A11&lt;&gt;"",$B11="",$C11="")</formula>
    </cfRule>
  </conditionalFormatting>
  <conditionalFormatting sqref="C11:C103">
    <cfRule type="expression" dxfId="52" priority="1">
      <formula>AND($A11&lt;&gt;"",$B11="",$C11="")</formula>
    </cfRule>
  </conditionalFormatting>
  <dataValidations count="1">
    <dataValidation type="list" operator="equal" allowBlank="1" showErrorMessage="1" sqref="A5:C5">
      <formula1>$F$1:$F$5</formula1>
      <formula2>0</formula2>
    </dataValidation>
  </dataValidations>
  <hyperlinks>
    <hyperlink ref="I1" location="Weideblatt!A1" display="◄"/>
    <hyperlink ref="K1" location="Tiere!A1" display="zur Tierliste"/>
    <hyperlink ref="J1" location="Bodennah!A1" display="  ►"/>
    <hyperlink ref="I20" r:id="rId1"/>
  </hyperlinks>
  <printOptions horizontalCentered="1" verticalCentered="1"/>
  <pageMargins left="0.70866141732283472" right="0.70866141732283472" top="0.55000000000000004" bottom="0.4" header="0.51181102362204722" footer="0.27"/>
  <pageSetup paperSize="9" firstPageNumber="0" orientation="portrait" blackAndWhite="1" horizontalDpi="300" verticalDpi="300" r:id="rId2"/>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0">
    <tabColor rgb="FFFFFF00"/>
  </sheetPr>
  <dimension ref="A1:P81"/>
  <sheetViews>
    <sheetView showZeros="0" zoomScaleNormal="100" workbookViewId="0">
      <selection activeCell="A4" sqref="A4"/>
    </sheetView>
  </sheetViews>
  <sheetFormatPr baseColWidth="10" defaultColWidth="12.33203125" defaultRowHeight="13.2"/>
  <cols>
    <col min="1" max="1" width="11.6640625" style="2170" customWidth="1"/>
    <col min="2" max="2" width="17.109375" style="2170" customWidth="1"/>
    <col min="3" max="3" width="19.33203125" style="2170" customWidth="1"/>
    <col min="4" max="4" width="7" style="2170" customWidth="1"/>
    <col min="5" max="5" width="24.109375" style="2170" customWidth="1"/>
    <col min="6" max="6" width="16" style="2170" customWidth="1"/>
    <col min="7" max="7" width="19.6640625" style="2170" customWidth="1"/>
    <col min="8" max="8" width="20.33203125" style="2170" hidden="1" customWidth="1"/>
    <col min="9" max="10" width="17.88671875" style="2170" customWidth="1"/>
    <col min="11" max="16384" width="12.33203125" style="2170"/>
  </cols>
  <sheetData>
    <row r="1" spans="1:16" ht="33" customHeight="1">
      <c r="A1" s="3044" t="s">
        <v>2223</v>
      </c>
      <c r="B1" s="3044"/>
      <c r="C1" s="3044"/>
      <c r="D1" s="3044"/>
      <c r="E1" s="3044"/>
      <c r="F1" s="3044"/>
      <c r="G1" s="2178"/>
      <c r="I1" s="2179" t="s">
        <v>1383</v>
      </c>
      <c r="J1" s="2179" t="s">
        <v>1355</v>
      </c>
    </row>
    <row r="2" spans="1:16" ht="25.65" customHeight="1">
      <c r="A2" s="2215"/>
      <c r="B2" s="2216" t="s">
        <v>874</v>
      </c>
      <c r="C2" s="2217">
        <f>Betrieb!B3</f>
        <v>0</v>
      </c>
      <c r="D2" s="1018"/>
      <c r="E2" s="2218"/>
      <c r="F2" s="2219" t="str">
        <f>"Jahr "&amp;Betrieb!D4</f>
        <v>Jahr 2022</v>
      </c>
      <c r="G2" s="2218"/>
      <c r="I2" s="3045" t="s">
        <v>2224</v>
      </c>
      <c r="J2" s="3046"/>
      <c r="K2" s="3046"/>
      <c r="L2" s="3046"/>
      <c r="M2" s="3046"/>
      <c r="N2" s="3047" t="s">
        <v>2211</v>
      </c>
      <c r="O2" s="3047"/>
      <c r="P2" s="3048"/>
    </row>
    <row r="3" spans="1:16" ht="39.75" customHeight="1">
      <c r="A3" s="2171" t="s">
        <v>1850</v>
      </c>
      <c r="B3" s="2171" t="s">
        <v>853</v>
      </c>
      <c r="C3" s="2171" t="s">
        <v>852</v>
      </c>
      <c r="D3" s="2171" t="s">
        <v>1388</v>
      </c>
      <c r="E3" s="2171" t="s">
        <v>851</v>
      </c>
      <c r="F3" s="2172" t="s">
        <v>850</v>
      </c>
      <c r="G3" s="2173" t="s">
        <v>849</v>
      </c>
      <c r="H3" s="2180" t="s">
        <v>2212</v>
      </c>
      <c r="I3" s="3049" t="s">
        <v>2225</v>
      </c>
      <c r="J3" s="3050"/>
      <c r="K3" s="3050"/>
      <c r="L3" s="3050"/>
      <c r="M3" s="3050"/>
      <c r="N3" s="3050"/>
      <c r="O3" s="3050"/>
      <c r="P3" s="3051"/>
    </row>
    <row r="4" spans="1:16" ht="19.5" customHeight="1">
      <c r="A4" s="2181"/>
      <c r="B4" s="2182"/>
      <c r="C4" s="2182"/>
      <c r="D4" s="2182"/>
      <c r="E4" s="2220"/>
      <c r="F4" s="2182"/>
      <c r="G4" s="2182"/>
      <c r="H4" s="2183">
        <f>F4*D4</f>
        <v>0</v>
      </c>
      <c r="I4" s="3052"/>
      <c r="J4" s="3053"/>
      <c r="K4" s="3053"/>
      <c r="L4" s="3053"/>
      <c r="M4" s="3053"/>
      <c r="N4" s="3053"/>
      <c r="O4" s="3053"/>
      <c r="P4" s="3054"/>
    </row>
    <row r="5" spans="1:16" ht="19.5" customHeight="1">
      <c r="A5" s="2181"/>
      <c r="B5" s="2182"/>
      <c r="C5" s="2182"/>
      <c r="D5" s="2182"/>
      <c r="E5" s="2220"/>
      <c r="F5" s="2182"/>
      <c r="G5" s="2182"/>
      <c r="H5" s="2183">
        <f>F5*D5</f>
        <v>0</v>
      </c>
      <c r="I5" s="3041"/>
      <c r="J5" s="3042"/>
      <c r="K5" s="3042"/>
      <c r="L5" s="3042"/>
      <c r="M5" s="3042"/>
      <c r="N5" s="3042"/>
      <c r="O5" s="3042"/>
      <c r="P5" s="3043"/>
    </row>
    <row r="6" spans="1:16" ht="19.5" customHeight="1">
      <c r="A6" s="2181"/>
      <c r="B6" s="2182"/>
      <c r="C6" s="2182"/>
      <c r="D6" s="2182"/>
      <c r="E6" s="2220"/>
      <c r="F6" s="2182"/>
      <c r="G6" s="2182"/>
      <c r="H6" s="2183">
        <f t="shared" ref="H6:H69" si="0">F6*D6</f>
        <v>0</v>
      </c>
      <c r="I6" s="3052"/>
      <c r="J6" s="3053"/>
      <c r="K6" s="3053"/>
      <c r="L6" s="3053"/>
      <c r="M6" s="3053"/>
      <c r="N6" s="3053"/>
      <c r="O6" s="3053"/>
      <c r="P6" s="3054"/>
    </row>
    <row r="7" spans="1:16" ht="19.5" customHeight="1">
      <c r="A7" s="2181"/>
      <c r="B7" s="2182"/>
      <c r="C7" s="2182"/>
      <c r="D7" s="2182"/>
      <c r="E7" s="2182"/>
      <c r="F7" s="2182"/>
      <c r="G7" s="2182"/>
      <c r="H7" s="2183">
        <f t="shared" si="0"/>
        <v>0</v>
      </c>
      <c r="I7" s="3041"/>
      <c r="J7" s="3042"/>
      <c r="K7" s="3042"/>
      <c r="L7" s="3042"/>
      <c r="M7" s="3042"/>
      <c r="N7" s="3042"/>
      <c r="O7" s="3042"/>
      <c r="P7" s="3043"/>
    </row>
    <row r="8" spans="1:16" ht="19.5" customHeight="1">
      <c r="A8" s="2181"/>
      <c r="B8" s="2182"/>
      <c r="C8" s="2182"/>
      <c r="D8" s="2182"/>
      <c r="E8" s="2182"/>
      <c r="F8" s="2182"/>
      <c r="G8" s="2182"/>
      <c r="H8" s="2183">
        <f t="shared" si="0"/>
        <v>0</v>
      </c>
      <c r="I8" s="3052"/>
      <c r="J8" s="3053"/>
      <c r="K8" s="3053"/>
      <c r="L8" s="3053"/>
      <c r="M8" s="3053"/>
      <c r="N8" s="3053"/>
      <c r="O8" s="3053"/>
      <c r="P8" s="3054"/>
    </row>
    <row r="9" spans="1:16" ht="19.5" customHeight="1">
      <c r="A9" s="2181"/>
      <c r="B9" s="2182"/>
      <c r="C9" s="2182"/>
      <c r="D9" s="2182"/>
      <c r="E9" s="2182"/>
      <c r="F9" s="2182"/>
      <c r="G9" s="2182"/>
      <c r="H9" s="2183">
        <f t="shared" si="0"/>
        <v>0</v>
      </c>
      <c r="I9" s="3041"/>
      <c r="J9" s="3042"/>
      <c r="K9" s="3042"/>
      <c r="L9" s="3042"/>
      <c r="M9" s="3042"/>
      <c r="N9" s="3042"/>
      <c r="O9" s="3042"/>
      <c r="P9" s="3043"/>
    </row>
    <row r="10" spans="1:16" ht="19.5" customHeight="1">
      <c r="A10" s="2181"/>
      <c r="B10" s="2182"/>
      <c r="C10" s="2182"/>
      <c r="D10" s="2182"/>
      <c r="E10" s="2182"/>
      <c r="F10" s="2182"/>
      <c r="G10" s="2182"/>
      <c r="H10" s="2183">
        <f t="shared" si="0"/>
        <v>0</v>
      </c>
      <c r="I10" s="3052"/>
      <c r="J10" s="3053"/>
      <c r="K10" s="3053"/>
      <c r="L10" s="3053"/>
      <c r="M10" s="3053"/>
      <c r="N10" s="3053"/>
      <c r="O10" s="3053"/>
      <c r="P10" s="3054"/>
    </row>
    <row r="11" spans="1:16" ht="19.5" customHeight="1">
      <c r="A11" s="2181"/>
      <c r="B11" s="2182"/>
      <c r="C11" s="2182"/>
      <c r="D11" s="2182"/>
      <c r="E11" s="2182"/>
      <c r="F11" s="2182"/>
      <c r="G11" s="2182"/>
      <c r="H11" s="2183">
        <f t="shared" si="0"/>
        <v>0</v>
      </c>
      <c r="I11" s="3041"/>
      <c r="J11" s="3042"/>
      <c r="K11" s="3042"/>
      <c r="L11" s="3042"/>
      <c r="M11" s="3042"/>
      <c r="N11" s="3042"/>
      <c r="O11" s="3042"/>
      <c r="P11" s="3043"/>
    </row>
    <row r="12" spans="1:16" ht="19.5" customHeight="1">
      <c r="A12" s="2181"/>
      <c r="B12" s="2182"/>
      <c r="C12" s="2182"/>
      <c r="D12" s="2182"/>
      <c r="E12" s="2182"/>
      <c r="F12" s="2182"/>
      <c r="G12" s="2182"/>
      <c r="H12" s="2183">
        <f t="shared" si="0"/>
        <v>0</v>
      </c>
      <c r="I12" s="3052"/>
      <c r="J12" s="3053"/>
      <c r="K12" s="3053"/>
      <c r="L12" s="3053"/>
      <c r="M12" s="3053"/>
      <c r="N12" s="3053"/>
      <c r="O12" s="3053"/>
      <c r="P12" s="3054"/>
    </row>
    <row r="13" spans="1:16" ht="19.5" customHeight="1">
      <c r="A13" s="2181"/>
      <c r="B13" s="2182"/>
      <c r="C13" s="2182"/>
      <c r="D13" s="2182"/>
      <c r="E13" s="2182"/>
      <c r="F13" s="2182"/>
      <c r="G13" s="2182"/>
      <c r="H13" s="2183">
        <f t="shared" si="0"/>
        <v>0</v>
      </c>
      <c r="I13" s="3041"/>
      <c r="J13" s="3042"/>
      <c r="K13" s="3042"/>
      <c r="L13" s="3042"/>
      <c r="M13" s="3042"/>
      <c r="N13" s="3042"/>
      <c r="O13" s="3042"/>
      <c r="P13" s="3043"/>
    </row>
    <row r="14" spans="1:16" ht="19.5" customHeight="1">
      <c r="A14" s="2181"/>
      <c r="B14" s="2182"/>
      <c r="C14" s="2182"/>
      <c r="D14" s="2182"/>
      <c r="E14" s="2182"/>
      <c r="F14" s="2182"/>
      <c r="G14" s="2182"/>
      <c r="H14" s="2183">
        <f t="shared" si="0"/>
        <v>0</v>
      </c>
      <c r="I14" s="3052"/>
      <c r="J14" s="3053"/>
      <c r="K14" s="3053"/>
      <c r="L14" s="3053"/>
      <c r="M14" s="3053"/>
      <c r="N14" s="3053"/>
      <c r="O14" s="3053"/>
      <c r="P14" s="3054"/>
    </row>
    <row r="15" spans="1:16" ht="19.5" customHeight="1">
      <c r="A15" s="2181"/>
      <c r="B15" s="2182"/>
      <c r="C15" s="2182"/>
      <c r="D15" s="2182"/>
      <c r="E15" s="2182"/>
      <c r="F15" s="2182"/>
      <c r="G15" s="2182"/>
      <c r="H15" s="2183">
        <f t="shared" si="0"/>
        <v>0</v>
      </c>
      <c r="I15" s="3041"/>
      <c r="J15" s="3042"/>
      <c r="K15" s="3042"/>
      <c r="L15" s="3042"/>
      <c r="M15" s="3042"/>
      <c r="N15" s="3042"/>
      <c r="O15" s="3042"/>
      <c r="P15" s="3043"/>
    </row>
    <row r="16" spans="1:16" ht="19.5" customHeight="1">
      <c r="A16" s="2181"/>
      <c r="B16" s="2182"/>
      <c r="C16" s="2182"/>
      <c r="D16" s="2182"/>
      <c r="E16" s="2182"/>
      <c r="F16" s="2182"/>
      <c r="G16" s="2182"/>
      <c r="H16" s="2183">
        <f t="shared" si="0"/>
        <v>0</v>
      </c>
      <c r="I16" s="3052"/>
      <c r="J16" s="3053"/>
      <c r="K16" s="3053"/>
      <c r="L16" s="3053"/>
      <c r="M16" s="3053"/>
      <c r="N16" s="3053"/>
      <c r="O16" s="3053"/>
      <c r="P16" s="3054"/>
    </row>
    <row r="17" spans="1:16" ht="19.5" customHeight="1">
      <c r="A17" s="2181"/>
      <c r="B17" s="2182"/>
      <c r="C17" s="2182"/>
      <c r="D17" s="2182"/>
      <c r="E17" s="2182"/>
      <c r="F17" s="2182"/>
      <c r="G17" s="2182"/>
      <c r="H17" s="2183">
        <f t="shared" si="0"/>
        <v>0</v>
      </c>
      <c r="I17" s="3052"/>
      <c r="J17" s="3053"/>
      <c r="K17" s="3053"/>
      <c r="L17" s="3053"/>
      <c r="M17" s="3053"/>
      <c r="N17" s="3053"/>
      <c r="O17" s="3053"/>
      <c r="P17" s="3054"/>
    </row>
    <row r="18" spans="1:16" ht="19.5" customHeight="1">
      <c r="A18" s="2181"/>
      <c r="B18" s="2182"/>
      <c r="C18" s="2182"/>
      <c r="D18" s="2182"/>
      <c r="E18" s="2182"/>
      <c r="F18" s="2182"/>
      <c r="G18" s="2182"/>
      <c r="H18" s="2183">
        <f t="shared" si="0"/>
        <v>0</v>
      </c>
      <c r="I18" s="3041"/>
      <c r="J18" s="3042"/>
      <c r="K18" s="3042"/>
      <c r="L18" s="3042"/>
      <c r="M18" s="3042"/>
      <c r="N18" s="3042"/>
      <c r="O18" s="3042"/>
      <c r="P18" s="3043"/>
    </row>
    <row r="19" spans="1:16" ht="19.5" customHeight="1">
      <c r="A19" s="2181"/>
      <c r="B19" s="2182"/>
      <c r="C19" s="2184"/>
      <c r="D19" s="2182"/>
      <c r="E19" s="2182"/>
      <c r="F19" s="2182"/>
      <c r="G19" s="2182"/>
      <c r="H19" s="2183">
        <f t="shared" si="0"/>
        <v>0</v>
      </c>
      <c r="I19" s="3052"/>
      <c r="J19" s="3053"/>
      <c r="K19" s="3053"/>
      <c r="L19" s="3053"/>
      <c r="M19" s="3053"/>
      <c r="N19" s="3053"/>
      <c r="O19" s="3053"/>
      <c r="P19" s="3054"/>
    </row>
    <row r="20" spans="1:16" ht="19.5" customHeight="1">
      <c r="A20" s="2181"/>
      <c r="B20" s="2182"/>
      <c r="C20" s="2184"/>
      <c r="D20" s="2182"/>
      <c r="E20" s="2182"/>
      <c r="F20" s="2182"/>
      <c r="G20" s="2182"/>
      <c r="H20" s="2183">
        <f t="shared" si="0"/>
        <v>0</v>
      </c>
      <c r="I20" s="3041"/>
      <c r="J20" s="3042"/>
      <c r="K20" s="3042"/>
      <c r="L20" s="3042"/>
      <c r="M20" s="3042"/>
      <c r="N20" s="3042"/>
      <c r="O20" s="3042"/>
      <c r="P20" s="3043"/>
    </row>
    <row r="21" spans="1:16" ht="19.5" customHeight="1">
      <c r="A21" s="2181"/>
      <c r="B21" s="2182"/>
      <c r="C21" s="2184"/>
      <c r="D21" s="2182"/>
      <c r="E21" s="2182"/>
      <c r="F21" s="2182"/>
      <c r="G21" s="2182"/>
      <c r="H21" s="2183">
        <f t="shared" si="0"/>
        <v>0</v>
      </c>
      <c r="I21" s="3052"/>
      <c r="J21" s="3053"/>
      <c r="K21" s="3053"/>
      <c r="L21" s="3053"/>
      <c r="M21" s="3053"/>
      <c r="N21" s="3053"/>
      <c r="O21" s="3053"/>
      <c r="P21" s="3054"/>
    </row>
    <row r="22" spans="1:16" ht="19.5" customHeight="1">
      <c r="A22" s="2181"/>
      <c r="B22" s="2182"/>
      <c r="C22" s="2185"/>
      <c r="D22" s="2182"/>
      <c r="E22" s="2182"/>
      <c r="F22" s="2182"/>
      <c r="G22" s="2182"/>
      <c r="H22" s="2183">
        <f t="shared" si="0"/>
        <v>0</v>
      </c>
      <c r="I22" s="3041"/>
      <c r="J22" s="3042"/>
      <c r="K22" s="3042"/>
      <c r="L22" s="3042"/>
      <c r="M22" s="3042"/>
      <c r="N22" s="3042"/>
      <c r="O22" s="3042"/>
      <c r="P22" s="3043"/>
    </row>
    <row r="23" spans="1:16" ht="19.5" customHeight="1">
      <c r="A23" s="2181"/>
      <c r="B23" s="2182"/>
      <c r="C23" s="2182"/>
      <c r="D23" s="2182"/>
      <c r="E23" s="2182"/>
      <c r="F23" s="2182"/>
      <c r="G23" s="2182"/>
      <c r="H23" s="2183">
        <f t="shared" si="0"/>
        <v>0</v>
      </c>
      <c r="I23" s="3052"/>
      <c r="J23" s="3053"/>
      <c r="K23" s="3053"/>
      <c r="L23" s="3053"/>
      <c r="M23" s="3053"/>
      <c r="N23" s="3053"/>
      <c r="O23" s="3053"/>
      <c r="P23" s="3054"/>
    </row>
    <row r="24" spans="1:16" ht="19.5" customHeight="1">
      <c r="A24" s="2181"/>
      <c r="B24" s="2182"/>
      <c r="C24" s="2182"/>
      <c r="D24" s="2182"/>
      <c r="E24" s="2182"/>
      <c r="F24" s="2182"/>
      <c r="G24" s="2182"/>
      <c r="H24" s="2183">
        <f t="shared" si="0"/>
        <v>0</v>
      </c>
      <c r="I24" s="3041"/>
      <c r="J24" s="3042"/>
      <c r="K24" s="3042"/>
      <c r="L24" s="3042"/>
      <c r="M24" s="3042"/>
      <c r="N24" s="3042"/>
      <c r="O24" s="3042"/>
      <c r="P24" s="3043"/>
    </row>
    <row r="25" spans="1:16" ht="19.5" customHeight="1">
      <c r="A25" s="2181"/>
      <c r="B25" s="2182"/>
      <c r="C25" s="2182"/>
      <c r="D25" s="2182"/>
      <c r="E25" s="2182"/>
      <c r="F25" s="2182"/>
      <c r="G25" s="2182"/>
      <c r="H25" s="2183">
        <f t="shared" si="0"/>
        <v>0</v>
      </c>
      <c r="I25" s="3052"/>
      <c r="J25" s="3053"/>
      <c r="K25" s="3053"/>
      <c r="L25" s="3053"/>
      <c r="M25" s="3053"/>
      <c r="N25" s="3053"/>
      <c r="O25" s="3053"/>
      <c r="P25" s="3054"/>
    </row>
    <row r="26" spans="1:16" ht="19.5" customHeight="1">
      <c r="A26" s="2181"/>
      <c r="B26" s="2182"/>
      <c r="C26" s="2182"/>
      <c r="D26" s="2182"/>
      <c r="E26" s="2182"/>
      <c r="F26" s="2182"/>
      <c r="G26" s="2182"/>
      <c r="H26" s="2183">
        <f t="shared" si="0"/>
        <v>0</v>
      </c>
      <c r="I26" s="3041"/>
      <c r="J26" s="3042"/>
      <c r="K26" s="3042"/>
      <c r="L26" s="3042"/>
      <c r="M26" s="3042"/>
      <c r="N26" s="3042"/>
      <c r="O26" s="3042"/>
      <c r="P26" s="3043"/>
    </row>
    <row r="27" spans="1:16" ht="19.5" customHeight="1">
      <c r="A27" s="2181"/>
      <c r="B27" s="2182"/>
      <c r="C27" s="2182"/>
      <c r="D27" s="2182"/>
      <c r="E27" s="2182"/>
      <c r="F27" s="2182"/>
      <c r="G27" s="2182"/>
      <c r="H27" s="2183">
        <f t="shared" si="0"/>
        <v>0</v>
      </c>
      <c r="I27" s="3052"/>
      <c r="J27" s="3053"/>
      <c r="K27" s="3053"/>
      <c r="L27" s="3053"/>
      <c r="M27" s="3053"/>
      <c r="N27" s="3053"/>
      <c r="O27" s="3053"/>
      <c r="P27" s="3054"/>
    </row>
    <row r="28" spans="1:16" ht="19.5" customHeight="1">
      <c r="A28" s="2181"/>
      <c r="B28" s="2182"/>
      <c r="C28" s="2182"/>
      <c r="D28" s="2182"/>
      <c r="E28" s="2182"/>
      <c r="F28" s="2182"/>
      <c r="G28" s="2182"/>
      <c r="H28" s="2183">
        <f t="shared" si="0"/>
        <v>0</v>
      </c>
      <c r="I28" s="3041"/>
      <c r="J28" s="3042"/>
      <c r="K28" s="3042"/>
      <c r="L28" s="3042"/>
      <c r="M28" s="3042"/>
      <c r="N28" s="3042"/>
      <c r="O28" s="3042"/>
      <c r="P28" s="3043"/>
    </row>
    <row r="29" spans="1:16" ht="19.5" customHeight="1">
      <c r="A29" s="2181"/>
      <c r="B29" s="2182"/>
      <c r="C29" s="2182"/>
      <c r="D29" s="2182"/>
      <c r="E29" s="2182"/>
      <c r="F29" s="2182"/>
      <c r="G29" s="2182"/>
      <c r="H29" s="2183">
        <f t="shared" si="0"/>
        <v>0</v>
      </c>
      <c r="I29" s="3052"/>
      <c r="J29" s="3053"/>
      <c r="K29" s="3053"/>
      <c r="L29" s="3053"/>
      <c r="M29" s="3053"/>
      <c r="N29" s="3053"/>
      <c r="O29" s="3053"/>
      <c r="P29" s="3054"/>
    </row>
    <row r="30" spans="1:16" ht="19.5" customHeight="1">
      <c r="A30" s="2181"/>
      <c r="B30" s="2182"/>
      <c r="C30" s="2182"/>
      <c r="D30" s="2182"/>
      <c r="E30" s="2182"/>
      <c r="F30" s="2182"/>
      <c r="G30" s="2182"/>
      <c r="H30" s="2183">
        <f t="shared" si="0"/>
        <v>0</v>
      </c>
      <c r="I30" s="3052"/>
      <c r="J30" s="3053"/>
      <c r="K30" s="3053"/>
      <c r="L30" s="3053"/>
      <c r="M30" s="3053"/>
      <c r="N30" s="3053"/>
      <c r="O30" s="3053"/>
      <c r="P30" s="3054"/>
    </row>
    <row r="31" spans="1:16" ht="19.5" customHeight="1">
      <c r="A31" s="2181"/>
      <c r="B31" s="2182"/>
      <c r="C31" s="2182"/>
      <c r="D31" s="2182"/>
      <c r="E31" s="2182"/>
      <c r="F31" s="2182"/>
      <c r="G31" s="2182"/>
      <c r="H31" s="2183">
        <f t="shared" si="0"/>
        <v>0</v>
      </c>
      <c r="I31" s="3041"/>
      <c r="J31" s="3042"/>
      <c r="K31" s="3042"/>
      <c r="L31" s="3042"/>
      <c r="M31" s="3042"/>
      <c r="N31" s="3042"/>
      <c r="O31" s="3042"/>
      <c r="P31" s="3043"/>
    </row>
    <row r="32" spans="1:16" ht="19.5" customHeight="1">
      <c r="A32" s="2181"/>
      <c r="B32" s="2182"/>
      <c r="C32" s="2182"/>
      <c r="D32" s="2182"/>
      <c r="E32" s="2182"/>
      <c r="F32" s="2182"/>
      <c r="G32" s="2182"/>
      <c r="H32" s="2183">
        <f t="shared" si="0"/>
        <v>0</v>
      </c>
      <c r="I32" s="3052"/>
      <c r="J32" s="3053"/>
      <c r="K32" s="3053"/>
      <c r="L32" s="3053"/>
      <c r="M32" s="3053"/>
      <c r="N32" s="3053"/>
      <c r="O32" s="3053"/>
      <c r="P32" s="3054"/>
    </row>
    <row r="33" spans="1:16" ht="19.5" customHeight="1">
      <c r="A33" s="2181"/>
      <c r="B33" s="2182"/>
      <c r="C33" s="2182"/>
      <c r="D33" s="2182"/>
      <c r="E33" s="2182"/>
      <c r="F33" s="2182"/>
      <c r="G33" s="2182"/>
      <c r="H33" s="2183">
        <f t="shared" si="0"/>
        <v>0</v>
      </c>
      <c r="I33" s="3041"/>
      <c r="J33" s="3042"/>
      <c r="K33" s="3042"/>
      <c r="L33" s="3042"/>
      <c r="M33" s="3042"/>
      <c r="N33" s="3042"/>
      <c r="O33" s="3042"/>
      <c r="P33" s="3043"/>
    </row>
    <row r="34" spans="1:16" ht="19.5" customHeight="1">
      <c r="A34" s="2181"/>
      <c r="B34" s="2182"/>
      <c r="C34" s="2182"/>
      <c r="D34" s="2182"/>
      <c r="E34" s="2182"/>
      <c r="F34" s="2182"/>
      <c r="G34" s="2182"/>
      <c r="H34" s="2183">
        <f t="shared" si="0"/>
        <v>0</v>
      </c>
      <c r="I34" s="3052"/>
      <c r="J34" s="3053"/>
      <c r="K34" s="3053"/>
      <c r="L34" s="3053"/>
      <c r="M34" s="3053"/>
      <c r="N34" s="3053"/>
      <c r="O34" s="3053"/>
      <c r="P34" s="3054"/>
    </row>
    <row r="35" spans="1:16" ht="19.5" customHeight="1">
      <c r="A35" s="2181"/>
      <c r="B35" s="2182"/>
      <c r="C35" s="2182"/>
      <c r="D35" s="2182"/>
      <c r="E35" s="2182"/>
      <c r="F35" s="2182"/>
      <c r="G35" s="2182"/>
      <c r="H35" s="2183">
        <f t="shared" si="0"/>
        <v>0</v>
      </c>
      <c r="I35" s="3041"/>
      <c r="J35" s="3042"/>
      <c r="K35" s="3042"/>
      <c r="L35" s="3042"/>
      <c r="M35" s="3042"/>
      <c r="N35" s="3042"/>
      <c r="O35" s="3042"/>
      <c r="P35" s="3043"/>
    </row>
    <row r="36" spans="1:16" ht="19.5" customHeight="1">
      <c r="A36" s="2181"/>
      <c r="B36" s="2182"/>
      <c r="C36" s="2182"/>
      <c r="D36" s="2182"/>
      <c r="E36" s="2182"/>
      <c r="F36" s="2182"/>
      <c r="G36" s="2182"/>
      <c r="H36" s="2183">
        <f t="shared" si="0"/>
        <v>0</v>
      </c>
      <c r="I36" s="3052"/>
      <c r="J36" s="3053"/>
      <c r="K36" s="3053"/>
      <c r="L36" s="3053"/>
      <c r="M36" s="3053"/>
      <c r="N36" s="3053"/>
      <c r="O36" s="3053"/>
      <c r="P36" s="3054"/>
    </row>
    <row r="37" spans="1:16" ht="19.5" customHeight="1">
      <c r="A37" s="2182"/>
      <c r="B37" s="2182"/>
      <c r="C37" s="2182"/>
      <c r="D37" s="2182"/>
      <c r="E37" s="2182"/>
      <c r="F37" s="2182"/>
      <c r="G37" s="2182"/>
      <c r="H37" s="2183">
        <f t="shared" si="0"/>
        <v>0</v>
      </c>
      <c r="I37" s="3041"/>
      <c r="J37" s="3042"/>
      <c r="K37" s="3042"/>
      <c r="L37" s="3042"/>
      <c r="M37" s="3042"/>
      <c r="N37" s="3042"/>
      <c r="O37" s="3042"/>
      <c r="P37" s="3043"/>
    </row>
    <row r="38" spans="1:16" ht="19.5" customHeight="1">
      <c r="A38" s="2182"/>
      <c r="B38" s="2182"/>
      <c r="C38" s="2182"/>
      <c r="D38" s="2182"/>
      <c r="E38" s="2182"/>
      <c r="F38" s="2182"/>
      <c r="G38" s="2182"/>
      <c r="H38" s="2183">
        <f t="shared" si="0"/>
        <v>0</v>
      </c>
      <c r="I38" s="3052"/>
      <c r="J38" s="3053"/>
      <c r="K38" s="3053"/>
      <c r="L38" s="3053"/>
      <c r="M38" s="3053"/>
      <c r="N38" s="3053"/>
      <c r="O38" s="3053"/>
      <c r="P38" s="3054"/>
    </row>
    <row r="39" spans="1:16" ht="19.5" customHeight="1">
      <c r="A39" s="2182"/>
      <c r="B39" s="2182"/>
      <c r="C39" s="2182"/>
      <c r="D39" s="2182"/>
      <c r="E39" s="2182"/>
      <c r="F39" s="2182"/>
      <c r="G39" s="2182"/>
      <c r="H39" s="2183">
        <f t="shared" si="0"/>
        <v>0</v>
      </c>
      <c r="I39" s="3041"/>
      <c r="J39" s="3042"/>
      <c r="K39" s="3042"/>
      <c r="L39" s="3042"/>
      <c r="M39" s="3042"/>
      <c r="N39" s="3042"/>
      <c r="O39" s="3042"/>
      <c r="P39" s="3043"/>
    </row>
    <row r="40" spans="1:16" ht="19.5" customHeight="1">
      <c r="A40" s="2182"/>
      <c r="B40" s="2182"/>
      <c r="C40" s="2182"/>
      <c r="D40" s="2182"/>
      <c r="E40" s="2182"/>
      <c r="F40" s="2182"/>
      <c r="G40" s="2182"/>
      <c r="H40" s="2183">
        <f t="shared" si="0"/>
        <v>0</v>
      </c>
      <c r="I40" s="3052"/>
      <c r="J40" s="3053"/>
      <c r="K40" s="3053"/>
      <c r="L40" s="3053"/>
      <c r="M40" s="3053"/>
      <c r="N40" s="3053"/>
      <c r="O40" s="3053"/>
      <c r="P40" s="3054"/>
    </row>
    <row r="41" spans="1:16" ht="19.5" customHeight="1">
      <c r="A41" s="2182"/>
      <c r="B41" s="2182"/>
      <c r="C41" s="2182"/>
      <c r="D41" s="2182"/>
      <c r="E41" s="2182"/>
      <c r="F41" s="2182"/>
      <c r="G41" s="2182"/>
      <c r="H41" s="2183">
        <f t="shared" si="0"/>
        <v>0</v>
      </c>
      <c r="I41" s="3041"/>
      <c r="J41" s="3042"/>
      <c r="K41" s="3042"/>
      <c r="L41" s="3042"/>
      <c r="M41" s="3042"/>
      <c r="N41" s="3042"/>
      <c r="O41" s="3042"/>
      <c r="P41" s="3043"/>
    </row>
    <row r="42" spans="1:16" ht="19.5" customHeight="1">
      <c r="A42" s="2182"/>
      <c r="B42" s="2182"/>
      <c r="C42" s="2182"/>
      <c r="D42" s="2182"/>
      <c r="E42" s="2182"/>
      <c r="F42" s="2182"/>
      <c r="G42" s="2182"/>
      <c r="H42" s="2183">
        <f t="shared" si="0"/>
        <v>0</v>
      </c>
      <c r="I42" s="3052"/>
      <c r="J42" s="3053"/>
      <c r="K42" s="3053"/>
      <c r="L42" s="3053"/>
      <c r="M42" s="3053"/>
      <c r="N42" s="3053"/>
      <c r="O42" s="3053"/>
      <c r="P42" s="3054"/>
    </row>
    <row r="43" spans="1:16" ht="19.5" customHeight="1">
      <c r="A43" s="2182"/>
      <c r="B43" s="2182"/>
      <c r="C43" s="2182"/>
      <c r="D43" s="2182"/>
      <c r="E43" s="2182"/>
      <c r="F43" s="2182"/>
      <c r="G43" s="2182"/>
      <c r="H43" s="2183">
        <f t="shared" si="0"/>
        <v>0</v>
      </c>
      <c r="I43" s="3052"/>
      <c r="J43" s="3053"/>
      <c r="K43" s="3053"/>
      <c r="L43" s="3053"/>
      <c r="M43" s="3053"/>
      <c r="N43" s="3053"/>
      <c r="O43" s="3053"/>
      <c r="P43" s="3054"/>
    </row>
    <row r="44" spans="1:16" ht="19.5" customHeight="1">
      <c r="A44" s="2182"/>
      <c r="B44" s="2182"/>
      <c r="C44" s="2182"/>
      <c r="D44" s="2182"/>
      <c r="E44" s="2182"/>
      <c r="F44" s="2182"/>
      <c r="G44" s="2182"/>
      <c r="H44" s="2183">
        <f t="shared" si="0"/>
        <v>0</v>
      </c>
      <c r="I44" s="3041"/>
      <c r="J44" s="3042"/>
      <c r="K44" s="3042"/>
      <c r="L44" s="3042"/>
      <c r="M44" s="3042"/>
      <c r="N44" s="3042"/>
      <c r="O44" s="3042"/>
      <c r="P44" s="3043"/>
    </row>
    <row r="45" spans="1:16" ht="19.5" customHeight="1">
      <c r="A45" s="2182"/>
      <c r="B45" s="2182"/>
      <c r="C45" s="2182"/>
      <c r="D45" s="2182"/>
      <c r="E45" s="2182"/>
      <c r="F45" s="2182"/>
      <c r="G45" s="2182"/>
      <c r="H45" s="2183">
        <f t="shared" si="0"/>
        <v>0</v>
      </c>
      <c r="I45" s="3052"/>
      <c r="J45" s="3053"/>
      <c r="K45" s="3053"/>
      <c r="L45" s="3053"/>
      <c r="M45" s="3053"/>
      <c r="N45" s="3053"/>
      <c r="O45" s="3053"/>
      <c r="P45" s="3054"/>
    </row>
    <row r="46" spans="1:16" ht="19.5" customHeight="1">
      <c r="A46" s="2182"/>
      <c r="B46" s="2182"/>
      <c r="C46" s="2182"/>
      <c r="D46" s="2182"/>
      <c r="E46" s="2182"/>
      <c r="F46" s="2182"/>
      <c r="G46" s="2182"/>
      <c r="H46" s="2183">
        <f t="shared" si="0"/>
        <v>0</v>
      </c>
      <c r="I46" s="3041"/>
      <c r="J46" s="3042"/>
      <c r="K46" s="3042"/>
      <c r="L46" s="3042"/>
      <c r="M46" s="3042"/>
      <c r="N46" s="3042"/>
      <c r="O46" s="3042"/>
      <c r="P46" s="3043"/>
    </row>
    <row r="47" spans="1:16" ht="19.5" customHeight="1">
      <c r="A47" s="2182"/>
      <c r="B47" s="2182"/>
      <c r="C47" s="2182"/>
      <c r="D47" s="2182"/>
      <c r="E47" s="2182"/>
      <c r="F47" s="2182"/>
      <c r="G47" s="2182"/>
      <c r="H47" s="2183">
        <f t="shared" si="0"/>
        <v>0</v>
      </c>
      <c r="I47" s="3052"/>
      <c r="J47" s="3053"/>
      <c r="K47" s="3053"/>
      <c r="L47" s="3053"/>
      <c r="M47" s="3053"/>
      <c r="N47" s="3053"/>
      <c r="O47" s="3053"/>
      <c r="P47" s="3054"/>
    </row>
    <row r="48" spans="1:16" ht="19.5" customHeight="1">
      <c r="A48" s="2182"/>
      <c r="B48" s="2182"/>
      <c r="C48" s="2182"/>
      <c r="D48" s="2182"/>
      <c r="E48" s="2182"/>
      <c r="F48" s="2182"/>
      <c r="G48" s="2182"/>
      <c r="H48" s="2183">
        <f t="shared" si="0"/>
        <v>0</v>
      </c>
      <c r="I48" s="3041"/>
      <c r="J48" s="3042"/>
      <c r="K48" s="3042"/>
      <c r="L48" s="3042"/>
      <c r="M48" s="3042"/>
      <c r="N48" s="3042"/>
      <c r="O48" s="3042"/>
      <c r="P48" s="3043"/>
    </row>
    <row r="49" spans="1:16" ht="19.5" customHeight="1">
      <c r="A49" s="2182"/>
      <c r="B49" s="2182"/>
      <c r="C49" s="2182"/>
      <c r="D49" s="2182"/>
      <c r="E49" s="2182"/>
      <c r="F49" s="2182"/>
      <c r="G49" s="2182"/>
      <c r="H49" s="2183">
        <f t="shared" si="0"/>
        <v>0</v>
      </c>
      <c r="I49" s="3052"/>
      <c r="J49" s="3053"/>
      <c r="K49" s="3053"/>
      <c r="L49" s="3053"/>
      <c r="M49" s="3053"/>
      <c r="N49" s="3053"/>
      <c r="O49" s="3053"/>
      <c r="P49" s="3054"/>
    </row>
    <row r="50" spans="1:16" ht="19.5" customHeight="1">
      <c r="A50" s="2182"/>
      <c r="B50" s="2182"/>
      <c r="C50" s="2182"/>
      <c r="D50" s="2182"/>
      <c r="E50" s="2182"/>
      <c r="F50" s="2182"/>
      <c r="G50" s="2182"/>
      <c r="H50" s="2183">
        <f t="shared" si="0"/>
        <v>0</v>
      </c>
      <c r="I50" s="3041"/>
      <c r="J50" s="3042"/>
      <c r="K50" s="3042"/>
      <c r="L50" s="3042"/>
      <c r="M50" s="3042"/>
      <c r="N50" s="3042"/>
      <c r="O50" s="3042"/>
      <c r="P50" s="3043"/>
    </row>
    <row r="51" spans="1:16" ht="19.5" customHeight="1">
      <c r="A51" s="2182"/>
      <c r="B51" s="2182"/>
      <c r="C51" s="2182"/>
      <c r="D51" s="2182"/>
      <c r="E51" s="2182"/>
      <c r="F51" s="2182"/>
      <c r="G51" s="2182"/>
      <c r="H51" s="2183">
        <f t="shared" si="0"/>
        <v>0</v>
      </c>
      <c r="I51" s="3052"/>
      <c r="J51" s="3053"/>
      <c r="K51" s="3053"/>
      <c r="L51" s="3053"/>
      <c r="M51" s="3053"/>
      <c r="N51" s="3053"/>
      <c r="O51" s="3053"/>
      <c r="P51" s="3054"/>
    </row>
    <row r="52" spans="1:16" ht="19.5" customHeight="1">
      <c r="A52" s="2182"/>
      <c r="B52" s="2182"/>
      <c r="C52" s="2182"/>
      <c r="D52" s="2182"/>
      <c r="E52" s="2182"/>
      <c r="F52" s="2182"/>
      <c r="G52" s="2182"/>
      <c r="H52" s="2183">
        <f t="shared" si="0"/>
        <v>0</v>
      </c>
      <c r="I52" s="3041"/>
      <c r="J52" s="3042"/>
      <c r="K52" s="3042"/>
      <c r="L52" s="3042"/>
      <c r="M52" s="3042"/>
      <c r="N52" s="3042"/>
      <c r="O52" s="3042"/>
      <c r="P52" s="3043"/>
    </row>
    <row r="53" spans="1:16" ht="19.5" customHeight="1">
      <c r="A53" s="2182"/>
      <c r="B53" s="2182"/>
      <c r="C53" s="2182"/>
      <c r="D53" s="2182"/>
      <c r="E53" s="2182"/>
      <c r="F53" s="2182"/>
      <c r="G53" s="2182"/>
      <c r="H53" s="2183">
        <f t="shared" si="0"/>
        <v>0</v>
      </c>
      <c r="I53" s="3052"/>
      <c r="J53" s="3053"/>
      <c r="K53" s="3053"/>
      <c r="L53" s="3053"/>
      <c r="M53" s="3053"/>
      <c r="N53" s="3053"/>
      <c r="O53" s="3053"/>
      <c r="P53" s="3054"/>
    </row>
    <row r="54" spans="1:16" ht="19.5" customHeight="1">
      <c r="A54" s="2182"/>
      <c r="B54" s="2182"/>
      <c r="C54" s="2182"/>
      <c r="D54" s="2182"/>
      <c r="E54" s="2182"/>
      <c r="F54" s="2182"/>
      <c r="G54" s="2182"/>
      <c r="H54" s="2183">
        <f t="shared" si="0"/>
        <v>0</v>
      </c>
      <c r="I54" s="3041"/>
      <c r="J54" s="3042"/>
      <c r="K54" s="3042"/>
      <c r="L54" s="3042"/>
      <c r="M54" s="3042"/>
      <c r="N54" s="3042"/>
      <c r="O54" s="3042"/>
      <c r="P54" s="3043"/>
    </row>
    <row r="55" spans="1:16" ht="19.5" customHeight="1">
      <c r="A55" s="2182"/>
      <c r="B55" s="2182"/>
      <c r="C55" s="2182"/>
      <c r="D55" s="2182"/>
      <c r="E55" s="2182"/>
      <c r="F55" s="2182"/>
      <c r="G55" s="2182"/>
      <c r="H55" s="2183">
        <f t="shared" si="0"/>
        <v>0</v>
      </c>
      <c r="I55" s="3052"/>
      <c r="J55" s="3053"/>
      <c r="K55" s="3053"/>
      <c r="L55" s="3053"/>
      <c r="M55" s="3053"/>
      <c r="N55" s="3053"/>
      <c r="O55" s="3053"/>
      <c r="P55" s="3054"/>
    </row>
    <row r="56" spans="1:16" ht="19.5" customHeight="1">
      <c r="A56" s="2182"/>
      <c r="B56" s="2182"/>
      <c r="C56" s="2182"/>
      <c r="D56" s="2182"/>
      <c r="E56" s="2182"/>
      <c r="F56" s="2182"/>
      <c r="G56" s="2182"/>
      <c r="H56" s="2183">
        <f t="shared" si="0"/>
        <v>0</v>
      </c>
      <c r="I56" s="3052"/>
      <c r="J56" s="3053"/>
      <c r="K56" s="3053"/>
      <c r="L56" s="3053"/>
      <c r="M56" s="3053"/>
      <c r="N56" s="3053"/>
      <c r="O56" s="3053"/>
      <c r="P56" s="3054"/>
    </row>
    <row r="57" spans="1:16" ht="19.5" customHeight="1">
      <c r="A57" s="2182"/>
      <c r="B57" s="2182"/>
      <c r="C57" s="2182"/>
      <c r="D57" s="2182"/>
      <c r="E57" s="2182"/>
      <c r="F57" s="2182"/>
      <c r="G57" s="2182"/>
      <c r="H57" s="2183">
        <f t="shared" si="0"/>
        <v>0</v>
      </c>
      <c r="I57" s="3041"/>
      <c r="J57" s="3042"/>
      <c r="K57" s="3042"/>
      <c r="L57" s="3042"/>
      <c r="M57" s="3042"/>
      <c r="N57" s="3042"/>
      <c r="O57" s="3042"/>
      <c r="P57" s="3043"/>
    </row>
    <row r="58" spans="1:16" ht="19.5" customHeight="1">
      <c r="A58" s="2182"/>
      <c r="B58" s="2182"/>
      <c r="C58" s="2182"/>
      <c r="D58" s="2182"/>
      <c r="E58" s="2182"/>
      <c r="F58" s="2182"/>
      <c r="G58" s="2182"/>
      <c r="H58" s="2183">
        <f t="shared" si="0"/>
        <v>0</v>
      </c>
      <c r="I58" s="3052"/>
      <c r="J58" s="3053"/>
      <c r="K58" s="3053"/>
      <c r="L58" s="3053"/>
      <c r="M58" s="3053"/>
      <c r="N58" s="3053"/>
      <c r="O58" s="3053"/>
      <c r="P58" s="3054"/>
    </row>
    <row r="59" spans="1:16" ht="19.5" customHeight="1">
      <c r="A59" s="2182"/>
      <c r="B59" s="2182"/>
      <c r="C59" s="2182"/>
      <c r="D59" s="2182"/>
      <c r="E59" s="2182"/>
      <c r="F59" s="2182"/>
      <c r="G59" s="2182"/>
      <c r="H59" s="2183">
        <f t="shared" si="0"/>
        <v>0</v>
      </c>
      <c r="I59" s="3041"/>
      <c r="J59" s="3042"/>
      <c r="K59" s="3042"/>
      <c r="L59" s="3042"/>
      <c r="M59" s="3042"/>
      <c r="N59" s="3042"/>
      <c r="O59" s="3042"/>
      <c r="P59" s="3043"/>
    </row>
    <row r="60" spans="1:16" ht="19.5" customHeight="1">
      <c r="A60" s="2182"/>
      <c r="B60" s="2182"/>
      <c r="C60" s="2182"/>
      <c r="D60" s="2182"/>
      <c r="E60" s="2182"/>
      <c r="F60" s="2182"/>
      <c r="G60" s="2182"/>
      <c r="H60" s="2183">
        <f t="shared" si="0"/>
        <v>0</v>
      </c>
      <c r="I60" s="3052"/>
      <c r="J60" s="3053"/>
      <c r="K60" s="3053"/>
      <c r="L60" s="3053"/>
      <c r="M60" s="3053"/>
      <c r="N60" s="3053"/>
      <c r="O60" s="3053"/>
      <c r="P60" s="3054"/>
    </row>
    <row r="61" spans="1:16" ht="19.5" customHeight="1">
      <c r="A61" s="2182"/>
      <c r="B61" s="2182"/>
      <c r="C61" s="2182"/>
      <c r="D61" s="2182"/>
      <c r="E61" s="2182"/>
      <c r="F61" s="2182"/>
      <c r="G61" s="2182"/>
      <c r="H61" s="2183">
        <f t="shared" si="0"/>
        <v>0</v>
      </c>
      <c r="I61" s="3041"/>
      <c r="J61" s="3042"/>
      <c r="K61" s="3042"/>
      <c r="L61" s="3042"/>
      <c r="M61" s="3042"/>
      <c r="N61" s="3042"/>
      <c r="O61" s="3042"/>
      <c r="P61" s="3043"/>
    </row>
    <row r="62" spans="1:16" ht="19.5" customHeight="1">
      <c r="A62" s="2182"/>
      <c r="B62" s="2182"/>
      <c r="C62" s="2182"/>
      <c r="D62" s="2182"/>
      <c r="E62" s="2182"/>
      <c r="F62" s="2182"/>
      <c r="G62" s="2182"/>
      <c r="H62" s="2183">
        <f t="shared" si="0"/>
        <v>0</v>
      </c>
      <c r="I62" s="3052"/>
      <c r="J62" s="3053"/>
      <c r="K62" s="3053"/>
      <c r="L62" s="3053"/>
      <c r="M62" s="3053"/>
      <c r="N62" s="3053"/>
      <c r="O62" s="3053"/>
      <c r="P62" s="3054"/>
    </row>
    <row r="63" spans="1:16" ht="19.5" customHeight="1">
      <c r="A63" s="2182"/>
      <c r="B63" s="2182"/>
      <c r="C63" s="2182"/>
      <c r="D63" s="2182"/>
      <c r="E63" s="2182"/>
      <c r="F63" s="2182"/>
      <c r="G63" s="2182"/>
      <c r="H63" s="2183">
        <f t="shared" si="0"/>
        <v>0</v>
      </c>
      <c r="I63" s="3041"/>
      <c r="J63" s="3042"/>
      <c r="K63" s="3042"/>
      <c r="L63" s="3042"/>
      <c r="M63" s="3042"/>
      <c r="N63" s="3042"/>
      <c r="O63" s="3042"/>
      <c r="P63" s="3043"/>
    </row>
    <row r="64" spans="1:16" ht="19.5" customHeight="1">
      <c r="A64" s="2182"/>
      <c r="B64" s="2182"/>
      <c r="C64" s="2182"/>
      <c r="D64" s="2182"/>
      <c r="E64" s="2182"/>
      <c r="F64" s="2182"/>
      <c r="G64" s="2182"/>
      <c r="H64" s="2183">
        <f t="shared" si="0"/>
        <v>0</v>
      </c>
      <c r="I64" s="3052"/>
      <c r="J64" s="3053"/>
      <c r="K64" s="3053"/>
      <c r="L64" s="3053"/>
      <c r="M64" s="3053"/>
      <c r="N64" s="3053"/>
      <c r="O64" s="3053"/>
      <c r="P64" s="3054"/>
    </row>
    <row r="65" spans="1:16" ht="19.5" customHeight="1">
      <c r="A65" s="2182"/>
      <c r="B65" s="2182"/>
      <c r="C65" s="2182"/>
      <c r="D65" s="2182"/>
      <c r="E65" s="2182"/>
      <c r="F65" s="2182"/>
      <c r="G65" s="2182"/>
      <c r="H65" s="2183">
        <f t="shared" si="0"/>
        <v>0</v>
      </c>
      <c r="I65" s="3041"/>
      <c r="J65" s="3042"/>
      <c r="K65" s="3042"/>
      <c r="L65" s="3042"/>
      <c r="M65" s="3042"/>
      <c r="N65" s="3042"/>
      <c r="O65" s="3042"/>
      <c r="P65" s="3043"/>
    </row>
    <row r="66" spans="1:16" ht="19.5" customHeight="1">
      <c r="A66" s="2182"/>
      <c r="B66" s="2182"/>
      <c r="C66" s="2182"/>
      <c r="D66" s="2182"/>
      <c r="E66" s="2182"/>
      <c r="F66" s="2182"/>
      <c r="G66" s="2182"/>
      <c r="H66" s="2183">
        <f t="shared" si="0"/>
        <v>0</v>
      </c>
      <c r="I66" s="3052"/>
      <c r="J66" s="3053"/>
      <c r="K66" s="3053"/>
      <c r="L66" s="3053"/>
      <c r="M66" s="3053"/>
      <c r="N66" s="3053"/>
      <c r="O66" s="3053"/>
      <c r="P66" s="3054"/>
    </row>
    <row r="67" spans="1:16" ht="19.5" customHeight="1">
      <c r="A67" s="2182"/>
      <c r="B67" s="2182"/>
      <c r="C67" s="2182"/>
      <c r="D67" s="2182"/>
      <c r="E67" s="2182"/>
      <c r="F67" s="2182"/>
      <c r="G67" s="2182"/>
      <c r="H67" s="2183">
        <f t="shared" si="0"/>
        <v>0</v>
      </c>
      <c r="I67" s="3041"/>
      <c r="J67" s="3042"/>
      <c r="K67" s="3042"/>
      <c r="L67" s="3042"/>
      <c r="M67" s="3042"/>
      <c r="N67" s="3042"/>
      <c r="O67" s="3042"/>
      <c r="P67" s="3043"/>
    </row>
    <row r="68" spans="1:16" ht="19.5" customHeight="1">
      <c r="A68" s="2182"/>
      <c r="B68" s="2182"/>
      <c r="C68" s="2182"/>
      <c r="D68" s="2182"/>
      <c r="E68" s="2182"/>
      <c r="F68" s="2182"/>
      <c r="G68" s="2182"/>
      <c r="H68" s="2183">
        <f t="shared" si="0"/>
        <v>0</v>
      </c>
      <c r="I68" s="3052"/>
      <c r="J68" s="3053"/>
      <c r="K68" s="3053"/>
      <c r="L68" s="3053"/>
      <c r="M68" s="3053"/>
      <c r="N68" s="3053"/>
      <c r="O68" s="3053"/>
      <c r="P68" s="3054"/>
    </row>
    <row r="69" spans="1:16" ht="19.5" customHeight="1">
      <c r="A69" s="2182"/>
      <c r="B69" s="2182"/>
      <c r="C69" s="2182"/>
      <c r="D69" s="2182"/>
      <c r="E69" s="2182"/>
      <c r="F69" s="2182"/>
      <c r="G69" s="2182"/>
      <c r="H69" s="2183">
        <f t="shared" si="0"/>
        <v>0</v>
      </c>
      <c r="I69" s="3052"/>
      <c r="J69" s="3053"/>
      <c r="K69" s="3053"/>
      <c r="L69" s="3053"/>
      <c r="M69" s="3053"/>
      <c r="N69" s="3053"/>
      <c r="O69" s="3053"/>
      <c r="P69" s="3054"/>
    </row>
    <row r="70" spans="1:16" ht="19.5" customHeight="1">
      <c r="A70" s="2182"/>
      <c r="B70" s="2182"/>
      <c r="C70" s="2182"/>
      <c r="D70" s="2182"/>
      <c r="E70" s="2182"/>
      <c r="F70" s="2182"/>
      <c r="G70" s="2182"/>
      <c r="H70" s="2183">
        <f t="shared" ref="H70:H77" si="1">F70*D70</f>
        <v>0</v>
      </c>
      <c r="I70" s="3041"/>
      <c r="J70" s="3042"/>
      <c r="K70" s="3042"/>
      <c r="L70" s="3042"/>
      <c r="M70" s="3042"/>
      <c r="N70" s="3042"/>
      <c r="O70" s="3042"/>
      <c r="P70" s="3043"/>
    </row>
    <row r="71" spans="1:16" ht="19.5" customHeight="1">
      <c r="A71" s="2182"/>
      <c r="B71" s="2182"/>
      <c r="C71" s="2182"/>
      <c r="D71" s="2182"/>
      <c r="E71" s="2182"/>
      <c r="F71" s="2182"/>
      <c r="G71" s="2182"/>
      <c r="H71" s="2183">
        <f t="shared" si="1"/>
        <v>0</v>
      </c>
      <c r="I71" s="3052"/>
      <c r="J71" s="3053"/>
      <c r="K71" s="3053"/>
      <c r="L71" s="3053"/>
      <c r="M71" s="3053"/>
      <c r="N71" s="3053"/>
      <c r="O71" s="3053"/>
      <c r="P71" s="3054"/>
    </row>
    <row r="72" spans="1:16" ht="19.5" customHeight="1">
      <c r="A72" s="2182"/>
      <c r="B72" s="2182"/>
      <c r="C72" s="2182"/>
      <c r="D72" s="2182"/>
      <c r="E72" s="2182"/>
      <c r="F72" s="2182"/>
      <c r="G72" s="2182"/>
      <c r="H72" s="2183">
        <f t="shared" si="1"/>
        <v>0</v>
      </c>
      <c r="I72" s="3041"/>
      <c r="J72" s="3042"/>
      <c r="K72" s="3042"/>
      <c r="L72" s="3042"/>
      <c r="M72" s="3042"/>
      <c r="N72" s="3042"/>
      <c r="O72" s="3042"/>
      <c r="P72" s="3043"/>
    </row>
    <row r="73" spans="1:16" ht="19.5" customHeight="1">
      <c r="A73" s="2182"/>
      <c r="B73" s="2182"/>
      <c r="C73" s="2182"/>
      <c r="D73" s="2182"/>
      <c r="E73" s="2182"/>
      <c r="F73" s="2182"/>
      <c r="G73" s="2182"/>
      <c r="H73" s="2183">
        <f t="shared" si="1"/>
        <v>0</v>
      </c>
      <c r="I73" s="3052"/>
      <c r="J73" s="3053"/>
      <c r="K73" s="3053"/>
      <c r="L73" s="3053"/>
      <c r="M73" s="3053"/>
      <c r="N73" s="3053"/>
      <c r="O73" s="3053"/>
      <c r="P73" s="3054"/>
    </row>
    <row r="74" spans="1:16" ht="19.5" customHeight="1">
      <c r="A74" s="2182"/>
      <c r="B74" s="2182"/>
      <c r="C74" s="2182"/>
      <c r="D74" s="2182"/>
      <c r="E74" s="2182"/>
      <c r="F74" s="2182"/>
      <c r="G74" s="2182"/>
      <c r="H74" s="2183">
        <f t="shared" si="1"/>
        <v>0</v>
      </c>
      <c r="I74" s="3041"/>
      <c r="J74" s="3042"/>
      <c r="K74" s="3042"/>
      <c r="L74" s="3042"/>
      <c r="M74" s="3042"/>
      <c r="N74" s="3042"/>
      <c r="O74" s="3042"/>
      <c r="P74" s="3043"/>
    </row>
    <row r="75" spans="1:16" ht="19.5" customHeight="1">
      <c r="A75" s="2182"/>
      <c r="B75" s="2182"/>
      <c r="C75" s="2182"/>
      <c r="D75" s="2182"/>
      <c r="E75" s="2182"/>
      <c r="F75" s="2182"/>
      <c r="G75" s="2182"/>
      <c r="H75" s="2183">
        <f t="shared" si="1"/>
        <v>0</v>
      </c>
      <c r="I75" s="3052"/>
      <c r="J75" s="3053"/>
      <c r="K75" s="3053"/>
      <c r="L75" s="3053"/>
      <c r="M75" s="3053"/>
      <c r="N75" s="3053"/>
      <c r="O75" s="3053"/>
      <c r="P75" s="3054"/>
    </row>
    <row r="76" spans="1:16" ht="19.5" customHeight="1">
      <c r="A76" s="2182"/>
      <c r="B76" s="2182"/>
      <c r="C76" s="2182"/>
      <c r="D76" s="2182"/>
      <c r="E76" s="2182"/>
      <c r="F76" s="2182"/>
      <c r="G76" s="2182"/>
      <c r="H76" s="2183">
        <f t="shared" si="1"/>
        <v>0</v>
      </c>
      <c r="I76" s="3041"/>
      <c r="J76" s="3042"/>
      <c r="K76" s="3042"/>
      <c r="L76" s="3042"/>
      <c r="M76" s="3042"/>
      <c r="N76" s="3042"/>
      <c r="O76" s="3042"/>
      <c r="P76" s="3043"/>
    </row>
    <row r="77" spans="1:16" ht="19.5" customHeight="1">
      <c r="A77" s="2182"/>
      <c r="B77" s="2182"/>
      <c r="C77" s="2182"/>
      <c r="D77" s="2182"/>
      <c r="E77" s="2182"/>
      <c r="F77" s="2182"/>
      <c r="G77" s="2182"/>
      <c r="H77" s="2183">
        <f t="shared" si="1"/>
        <v>0</v>
      </c>
      <c r="I77" s="3052"/>
      <c r="J77" s="3053"/>
      <c r="K77" s="3053"/>
      <c r="L77" s="3053"/>
      <c r="M77" s="3053"/>
      <c r="N77" s="3053"/>
      <c r="O77" s="3053"/>
      <c r="P77" s="3054"/>
    </row>
    <row r="78" spans="1:16" ht="19.5" customHeight="1">
      <c r="A78" s="3055" t="s">
        <v>2222</v>
      </c>
      <c r="B78" s="3055"/>
      <c r="C78" s="3055"/>
      <c r="D78" s="3055"/>
      <c r="E78" s="3055"/>
      <c r="F78" s="3055"/>
      <c r="G78" s="3055"/>
      <c r="H78" s="3055"/>
      <c r="I78" s="2177"/>
    </row>
    <row r="79" spans="1:16" ht="12.75" customHeight="1">
      <c r="A79" s="3056"/>
      <c r="B79" s="3056"/>
      <c r="C79" s="3056"/>
      <c r="D79" s="3056"/>
      <c r="E79" s="3056"/>
      <c r="F79" s="3056"/>
      <c r="G79" s="3056"/>
      <c r="H79" s="3056"/>
      <c r="I79" s="2177"/>
    </row>
    <row r="80" spans="1:16" ht="12.75" customHeight="1">
      <c r="A80" s="3056"/>
      <c r="B80" s="3056"/>
      <c r="C80" s="3056"/>
      <c r="D80" s="3056"/>
      <c r="E80" s="3056"/>
      <c r="F80" s="3056"/>
      <c r="G80" s="3056"/>
      <c r="H80" s="3056"/>
      <c r="I80" s="2177"/>
    </row>
    <row r="81" ht="12.75" customHeight="1"/>
  </sheetData>
  <sheetProtection password="CAEF" sheet="1" formatCells="0" formatColumns="0" formatRows="0" insertColumns="0" insertRows="0"/>
  <mergeCells count="79">
    <mergeCell ref="A78:H80"/>
    <mergeCell ref="I72:P72"/>
    <mergeCell ref="I73:P73"/>
    <mergeCell ref="I74:P74"/>
    <mergeCell ref="I75:P75"/>
    <mergeCell ref="I76:P76"/>
    <mergeCell ref="I77:P77"/>
    <mergeCell ref="I71:P71"/>
    <mergeCell ref="I60:P60"/>
    <mergeCell ref="I61:P61"/>
    <mergeCell ref="I62:P62"/>
    <mergeCell ref="I63:P63"/>
    <mergeCell ref="I64:P64"/>
    <mergeCell ref="I65:P65"/>
    <mergeCell ref="I66:P66"/>
    <mergeCell ref="I67:P67"/>
    <mergeCell ref="I68:P68"/>
    <mergeCell ref="I69:P69"/>
    <mergeCell ref="I70:P70"/>
    <mergeCell ref="I59:P59"/>
    <mergeCell ref="I48:P48"/>
    <mergeCell ref="I49:P49"/>
    <mergeCell ref="I50:P50"/>
    <mergeCell ref="I51:P51"/>
    <mergeCell ref="I52:P52"/>
    <mergeCell ref="I53:P53"/>
    <mergeCell ref="I54:P54"/>
    <mergeCell ref="I55:P55"/>
    <mergeCell ref="I56:P56"/>
    <mergeCell ref="I57:P57"/>
    <mergeCell ref="I58:P58"/>
    <mergeCell ref="I47:P47"/>
    <mergeCell ref="I36:P36"/>
    <mergeCell ref="I37:P37"/>
    <mergeCell ref="I38:P38"/>
    <mergeCell ref="I39:P39"/>
    <mergeCell ref="I40:P40"/>
    <mergeCell ref="I41:P41"/>
    <mergeCell ref="I42:P42"/>
    <mergeCell ref="I43:P43"/>
    <mergeCell ref="I44:P44"/>
    <mergeCell ref="I45:P45"/>
    <mergeCell ref="I46:P46"/>
    <mergeCell ref="I35:P35"/>
    <mergeCell ref="I24:P24"/>
    <mergeCell ref="I25:P25"/>
    <mergeCell ref="I26:P26"/>
    <mergeCell ref="I27:P27"/>
    <mergeCell ref="I28:P28"/>
    <mergeCell ref="I29:P29"/>
    <mergeCell ref="I30:P30"/>
    <mergeCell ref="I31:P31"/>
    <mergeCell ref="I32:P32"/>
    <mergeCell ref="I33:P33"/>
    <mergeCell ref="I34:P34"/>
    <mergeCell ref="I23:P23"/>
    <mergeCell ref="I12:P12"/>
    <mergeCell ref="I13:P13"/>
    <mergeCell ref="I14:P14"/>
    <mergeCell ref="I15:P15"/>
    <mergeCell ref="I16:P16"/>
    <mergeCell ref="I17:P17"/>
    <mergeCell ref="I18:P18"/>
    <mergeCell ref="I19:P19"/>
    <mergeCell ref="I20:P20"/>
    <mergeCell ref="I21:P21"/>
    <mergeCell ref="I22:P22"/>
    <mergeCell ref="I11:P11"/>
    <mergeCell ref="A1:F1"/>
    <mergeCell ref="I2:M2"/>
    <mergeCell ref="N2:P2"/>
    <mergeCell ref="I3:P3"/>
    <mergeCell ref="I4:P4"/>
    <mergeCell ref="I5:P5"/>
    <mergeCell ref="I6:P6"/>
    <mergeCell ref="I7:P7"/>
    <mergeCell ref="I8:P8"/>
    <mergeCell ref="I9:P9"/>
    <mergeCell ref="I10:P10"/>
  </mergeCells>
  <hyperlinks>
    <hyperlink ref="I1" location="Bodennah!A1" display="◄"/>
    <hyperlink ref="N2" r:id="rId1"/>
    <hyperlink ref="J1" location="PSM_Bestände!A1" display="  ►"/>
  </hyperlinks>
  <pageMargins left="0.59055118110236227" right="0.55118110236220474" top="0.70866141732283472" bottom="0.78740157480314965" header="0.51181102362204722" footer="0.51181102362204722"/>
  <pageSetup paperSize="9" scale="95" firstPageNumber="0" orientation="portrait" blackAndWhite="1" horizontalDpi="300" verticalDpi="300" r:id="rId2"/>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211">
    <tabColor rgb="FFFFFF00"/>
    <pageSetUpPr fitToPage="1"/>
  </sheetPr>
  <dimension ref="A1:AZ81"/>
  <sheetViews>
    <sheetView showZeros="0" zoomScale="80" zoomScaleNormal="80" workbookViewId="0">
      <selection activeCell="A17" sqref="A17:A18"/>
    </sheetView>
  </sheetViews>
  <sheetFormatPr baseColWidth="10" defaultColWidth="12.33203125" defaultRowHeight="13.2"/>
  <cols>
    <col min="1" max="1" width="37.5546875" style="2170" customWidth="1"/>
    <col min="2" max="2" width="24" style="2170" customWidth="1"/>
    <col min="3" max="3" width="19.33203125" style="2170" customWidth="1"/>
    <col min="4" max="4" width="20.33203125" style="2170" customWidth="1"/>
    <col min="5" max="5" width="64.109375" style="2170" customWidth="1"/>
    <col min="6" max="8" width="17.88671875" style="2170" customWidth="1"/>
    <col min="9" max="16" width="12.33203125" style="2170"/>
    <col min="17" max="17" width="12.33203125" style="2170" hidden="1" customWidth="1"/>
    <col min="18" max="18" width="16.5546875" style="2170" hidden="1" customWidth="1"/>
    <col min="19" max="19" width="12.33203125" style="2170" hidden="1" customWidth="1"/>
    <col min="20" max="22" width="28.6640625" style="2187" hidden="1" customWidth="1"/>
    <col min="23" max="23" width="18.44140625" style="2170" hidden="1" customWidth="1"/>
    <col min="24" max="52" width="12.33203125" style="2170" hidden="1" customWidth="1"/>
    <col min="53" max="53" width="0" style="2170" hidden="1" customWidth="1"/>
    <col min="54" max="16384" width="12.33203125" style="2170"/>
  </cols>
  <sheetData>
    <row r="1" spans="1:52" ht="33" customHeight="1" thickBot="1">
      <c r="A1" s="3057" t="s">
        <v>2218</v>
      </c>
      <c r="B1" s="3058"/>
      <c r="C1" s="3058"/>
      <c r="D1" s="3058"/>
      <c r="E1" s="3059"/>
      <c r="F1" s="2186" t="s">
        <v>1383</v>
      </c>
      <c r="G1" s="2186" t="s">
        <v>1355</v>
      </c>
    </row>
    <row r="2" spans="1:52" ht="51.75" customHeight="1" thickBot="1">
      <c r="A2" s="3060" t="s">
        <v>2210</v>
      </c>
      <c r="B2" s="3061"/>
      <c r="C2" s="3061"/>
      <c r="D2" s="3061"/>
      <c r="E2" s="2188" t="s">
        <v>2211</v>
      </c>
      <c r="F2" s="2189"/>
      <c r="W2" s="3062" t="s">
        <v>2226</v>
      </c>
      <c r="X2" s="3063"/>
      <c r="Y2" s="3063"/>
      <c r="Z2" s="3063"/>
      <c r="AA2" s="3063"/>
      <c r="AB2" s="3063"/>
      <c r="AC2" s="3063"/>
      <c r="AD2" s="3063"/>
      <c r="AE2" s="3063"/>
      <c r="AF2" s="3063"/>
      <c r="AG2" s="3063"/>
      <c r="AH2" s="3063"/>
      <c r="AI2" s="3063"/>
      <c r="AJ2" s="3063"/>
      <c r="AK2" s="3063"/>
      <c r="AL2" s="3063"/>
      <c r="AM2" s="3063"/>
      <c r="AN2" s="3063"/>
      <c r="AO2" s="3063"/>
      <c r="AP2" s="3063"/>
      <c r="AQ2" s="3063"/>
      <c r="AR2" s="3063"/>
      <c r="AS2" s="3063"/>
      <c r="AT2" s="3063"/>
      <c r="AU2" s="3063"/>
      <c r="AV2" s="3063"/>
      <c r="AW2" s="3063"/>
      <c r="AX2" s="3063"/>
      <c r="AY2" s="3063"/>
      <c r="AZ2" s="3064"/>
    </row>
    <row r="3" spans="1:52" ht="42" customHeight="1" thickBot="1">
      <c r="A3" s="3065" t="s">
        <v>2227</v>
      </c>
      <c r="B3" s="3066"/>
      <c r="C3" s="3066"/>
      <c r="D3" s="3066"/>
      <c r="E3" s="2221" t="str">
        <f>"Betriebs-Nr.:"&amp;Betrieb!B3&amp;"
Jahr "&amp;Betrieb!D4&amp;" "</f>
        <v xml:space="preserve">Betriebs-Nr.:
Jahr 2022 </v>
      </c>
      <c r="F3" s="2190"/>
      <c r="R3" s="2170" t="s">
        <v>2228</v>
      </c>
      <c r="S3" s="2191" t="s">
        <v>2229</v>
      </c>
      <c r="T3" s="2192" t="s">
        <v>2230</v>
      </c>
      <c r="U3" s="2192" t="s">
        <v>2231</v>
      </c>
      <c r="V3" s="2192" t="s">
        <v>2232</v>
      </c>
      <c r="W3" s="2193" t="s">
        <v>2233</v>
      </c>
      <c r="X3" s="2193" t="s">
        <v>2234</v>
      </c>
      <c r="Y3" s="2193" t="s">
        <v>2235</v>
      </c>
      <c r="Z3" s="2193" t="s">
        <v>2236</v>
      </c>
      <c r="AA3" s="2193" t="s">
        <v>2237</v>
      </c>
      <c r="AB3" s="2193" t="s">
        <v>2238</v>
      </c>
      <c r="AC3" s="2193" t="s">
        <v>2239</v>
      </c>
      <c r="AD3" s="2193" t="s">
        <v>2240</v>
      </c>
      <c r="AE3" s="2193" t="s">
        <v>2241</v>
      </c>
      <c r="AF3" s="2193" t="s">
        <v>2242</v>
      </c>
      <c r="AG3" s="2193" t="s">
        <v>2243</v>
      </c>
      <c r="AH3" s="2193" t="s">
        <v>2244</v>
      </c>
      <c r="AI3" s="2193" t="s">
        <v>2245</v>
      </c>
      <c r="AJ3" s="2193" t="s">
        <v>2246</v>
      </c>
      <c r="AK3" s="2193" t="s">
        <v>2247</v>
      </c>
      <c r="AL3" s="2193" t="s">
        <v>2248</v>
      </c>
      <c r="AM3" s="2193" t="s">
        <v>2249</v>
      </c>
      <c r="AN3" s="2193" t="s">
        <v>2250</v>
      </c>
      <c r="AO3" s="2193" t="s">
        <v>2251</v>
      </c>
      <c r="AP3" s="2193" t="s">
        <v>2252</v>
      </c>
      <c r="AQ3" s="2193" t="s">
        <v>2253</v>
      </c>
      <c r="AR3" s="2193" t="s">
        <v>2254</v>
      </c>
      <c r="AS3" s="2193" t="s">
        <v>2255</v>
      </c>
      <c r="AT3" s="2193" t="s">
        <v>2256</v>
      </c>
      <c r="AU3" s="2193" t="s">
        <v>2257</v>
      </c>
      <c r="AV3" s="2193" t="s">
        <v>2258</v>
      </c>
      <c r="AW3" s="2193" t="s">
        <v>2259</v>
      </c>
      <c r="AX3" s="2193" t="s">
        <v>2260</v>
      </c>
      <c r="AY3" s="2193" t="s">
        <v>2261</v>
      </c>
      <c r="AZ3" s="2193" t="s">
        <v>2262</v>
      </c>
    </row>
    <row r="4" spans="1:52" ht="24" customHeight="1">
      <c r="A4" s="3067" t="s">
        <v>2213</v>
      </c>
      <c r="B4" s="3067"/>
      <c r="C4" s="3067"/>
      <c r="D4" s="3067"/>
      <c r="E4" s="3067"/>
      <c r="F4" s="2194"/>
      <c r="R4" s="2195">
        <f>Pfl_Schutz!E4</f>
        <v>0</v>
      </c>
      <c r="S4" s="2196">
        <f>COUNTIF($R$4:PFL_Schutz_Drop_Down56[[#This Row],[Produktname]],PFL_Schutz_Drop_Down56[[#This Row],[Produktname]])</f>
        <v>1</v>
      </c>
      <c r="T4" s="2197">
        <f>IFERROR(INDEX(R:R,_xlfn.AGGREGATE(15,6,ROW(PFL_Schutz_Drop_Down56[Produktname])/(PFL_Schutz_Drop_Down56[Auftretend]=1),ROW()-3)),"")</f>
        <v>0</v>
      </c>
      <c r="U4" s="2198">
        <f>IF(COUNTIF($A$17:$A$76,PFL_Schutz_Drop_Down56[[#This Row],[Produktname eindeutig]])&gt;=1,"",ROW())</f>
        <v>4</v>
      </c>
      <c r="V4" s="2198">
        <f t="shared" ref="V4:V67" si="0">IF(ROW(T4)-ROW(T$4)+1&gt;COUNT($U$4:$U$77),"",INDEX(T:T,SMALL($U$4:$U$77,1+ROW(T4)-ROW($T$4))))</f>
        <v>0</v>
      </c>
      <c r="W4" s="2199">
        <f>IFERROR(INDEX(PFL_Schutz_Drop_Down56[noch nicht gewählt],_xlfn.AGGREGATE(15,6,ROW(PFL_Schutz_Drop_Down56[noch nicht gewählt])-3/(--(SEARCH($A$17,PFL_Schutz_Drop_Down56[noch nicht gewählt])&gt;0)),ROW()-3)),"")</f>
        <v>0</v>
      </c>
      <c r="X4" s="2175">
        <f>IFERROR(INDEX(PFL_Schutz_Drop_Down56[noch nicht gewählt],_xlfn.AGGREGATE(15,6,ROW(PFL_Schutz_Drop_Down56[noch nicht gewählt])-3/(--(SEARCH($A$19,PFL_Schutz_Drop_Down56[noch nicht gewählt])&gt;0)),ROW()-3)),"")</f>
        <v>0</v>
      </c>
      <c r="Y4" s="2175">
        <f>IFERROR(INDEX(PFL_Schutz_Drop_Down56[noch nicht gewählt],_xlfn.AGGREGATE(15,6,ROW(PFL_Schutz_Drop_Down56[noch nicht gewählt])-3/(--(SEARCH($A$21,PFL_Schutz_Drop_Down56[noch nicht gewählt])&gt;0)),ROW()-3)),"")</f>
        <v>0</v>
      </c>
      <c r="Z4" s="2200">
        <f>IFERROR(INDEX(PFL_Schutz_Drop_Down56[noch nicht gewählt],_xlfn.AGGREGATE(15,6,ROW(PFL_Schutz_Drop_Down56[noch nicht gewählt])-3/(--(SEARCH($A$23,PFL_Schutz_Drop_Down56[noch nicht gewählt])&gt;0)),ROW()-3)),"")</f>
        <v>0</v>
      </c>
      <c r="AA4" s="2200">
        <f>IFERROR(INDEX(PFL_Schutz_Drop_Down56[noch nicht gewählt],_xlfn.AGGREGATE(15,6,ROW(PFL_Schutz_Drop_Down56[noch nicht gewählt])-3/(--(SEARCH($A$25,PFL_Schutz_Drop_Down56[noch nicht gewählt])&gt;0)),ROW()-3)),"")</f>
        <v>0</v>
      </c>
      <c r="AB4" s="2200">
        <f>IFERROR(INDEX(PFL_Schutz_Drop_Down56[noch nicht gewählt],_xlfn.AGGREGATE(15,6,ROW(PFL_Schutz_Drop_Down56[noch nicht gewählt])-3/(--(SEARCH($A$27,PFL_Schutz_Drop_Down56[noch nicht gewählt])&gt;0)),ROW()-3)),"")</f>
        <v>0</v>
      </c>
      <c r="AC4" s="2200">
        <f>IFERROR(INDEX(PFL_Schutz_Drop_Down56[noch nicht gewählt],_xlfn.AGGREGATE(15,6,ROW(PFL_Schutz_Drop_Down56[noch nicht gewählt])-3/(--(SEARCH($A$29,PFL_Schutz_Drop_Down56[noch nicht gewählt])&gt;0)),ROW()-3)),"")</f>
        <v>0</v>
      </c>
      <c r="AD4" s="2200">
        <f>IFERROR(INDEX(PFL_Schutz_Drop_Down56[noch nicht gewählt],_xlfn.AGGREGATE(15,6,ROW(PFL_Schutz_Drop_Down56[noch nicht gewählt])-3/(--(SEARCH($A$31,PFL_Schutz_Drop_Down56[noch nicht gewählt])&gt;0)),ROW()-3)),"")</f>
        <v>0</v>
      </c>
      <c r="AE4" s="2200">
        <f>IFERROR(INDEX(PFL_Schutz_Drop_Down56[noch nicht gewählt],_xlfn.AGGREGATE(15,6,ROW(PFL_Schutz_Drop_Down56[noch nicht gewählt])-3/(--(SEARCH($A$33,PFL_Schutz_Drop_Down56[noch nicht gewählt])&gt;0)),ROW()-3)),"")</f>
        <v>0</v>
      </c>
      <c r="AF4" s="2200">
        <f>IFERROR(INDEX(PFL_Schutz_Drop_Down56[noch nicht gewählt],_xlfn.AGGREGATE(15,6,ROW(PFL_Schutz_Drop_Down56[noch nicht gewählt])-3/(--(SEARCH($A$35,PFL_Schutz_Drop_Down56[noch nicht gewählt])&gt;0)),ROW()-3)),"")</f>
        <v>0</v>
      </c>
      <c r="AG4" s="2200">
        <f>IFERROR(INDEX(PFL_Schutz_Drop_Down56[noch nicht gewählt],_xlfn.AGGREGATE(15,6,ROW(PFL_Schutz_Drop_Down56[noch nicht gewählt])-3/(--(SEARCH($A$37,PFL_Schutz_Drop_Down56[noch nicht gewählt])&gt;0)),ROW()-3)),"")</f>
        <v>0</v>
      </c>
      <c r="AH4" s="2200">
        <f>IFERROR(INDEX(PFL_Schutz_Drop_Down56[noch nicht gewählt],_xlfn.AGGREGATE(15,6,ROW(PFL_Schutz_Drop_Down56[noch nicht gewählt])-3/(--(SEARCH($A$39,PFL_Schutz_Drop_Down56[noch nicht gewählt])&gt;0)),ROW()-3)),"")</f>
        <v>0</v>
      </c>
      <c r="AI4" s="2200">
        <f>IFERROR(INDEX(PFL_Schutz_Drop_Down56[noch nicht gewählt],_xlfn.AGGREGATE(15,6,ROW(PFL_Schutz_Drop_Down56[noch nicht gewählt])-3/(--(SEARCH($A$41,PFL_Schutz_Drop_Down56[noch nicht gewählt])&gt;0)),ROW()-3)),"")</f>
        <v>0</v>
      </c>
      <c r="AJ4" s="2200">
        <f>IFERROR(INDEX(PFL_Schutz_Drop_Down56[noch nicht gewählt],_xlfn.AGGREGATE(15,6,ROW(PFL_Schutz_Drop_Down56[noch nicht gewählt])-3/(--(SEARCH($A$43,PFL_Schutz_Drop_Down56[noch nicht gewählt])&gt;0)),ROW()-3)),"")</f>
        <v>0</v>
      </c>
      <c r="AK4" s="2200">
        <f>IFERROR(INDEX(PFL_Schutz_Drop_Down56[noch nicht gewählt],_xlfn.AGGREGATE(15,6,ROW(PFL_Schutz_Drop_Down56[noch nicht gewählt])-3/(--(SEARCH($A$45,PFL_Schutz_Drop_Down56[noch nicht gewählt])&gt;0)),ROW()-3)),"")</f>
        <v>0</v>
      </c>
      <c r="AL4" s="2200">
        <f>IFERROR(INDEX(PFL_Schutz_Drop_Down56[noch nicht gewählt],_xlfn.AGGREGATE(15,6,ROW(PFL_Schutz_Drop_Down56[noch nicht gewählt])-3/(--(SEARCH($A$47,PFL_Schutz_Drop_Down56[noch nicht gewählt])&gt;0)),ROW()-3)),"")</f>
        <v>0</v>
      </c>
      <c r="AM4" s="2200">
        <f>IFERROR(INDEX(PFL_Schutz_Drop_Down56[noch nicht gewählt],_xlfn.AGGREGATE(15,6,ROW(PFL_Schutz_Drop_Down56[noch nicht gewählt])-3/(--(SEARCH($A$49,PFL_Schutz_Drop_Down56[noch nicht gewählt])&gt;0)),ROW()-3)),"")</f>
        <v>0</v>
      </c>
      <c r="AN4" s="2200">
        <f>IFERROR(INDEX(PFL_Schutz_Drop_Down56[noch nicht gewählt],_xlfn.AGGREGATE(15,6,ROW(PFL_Schutz_Drop_Down56[noch nicht gewählt])-3/(--(SEARCH($A$51,PFL_Schutz_Drop_Down56[noch nicht gewählt])&gt;0)),ROW()-3)),"")</f>
        <v>0</v>
      </c>
      <c r="AO4" s="2200">
        <f>IFERROR(INDEX(PFL_Schutz_Drop_Down56[noch nicht gewählt],_xlfn.AGGREGATE(15,6,ROW(PFL_Schutz_Drop_Down56[noch nicht gewählt])-3/(--(SEARCH($A$53,PFL_Schutz_Drop_Down56[noch nicht gewählt])&gt;0)),ROW()-3)),"")</f>
        <v>0</v>
      </c>
      <c r="AP4" s="2200">
        <f>IFERROR(INDEX(PFL_Schutz_Drop_Down56[noch nicht gewählt],_xlfn.AGGREGATE(15,6,ROW(PFL_Schutz_Drop_Down56[noch nicht gewählt])-3/(--(SEARCH($A$55,PFL_Schutz_Drop_Down56[noch nicht gewählt])&gt;0)),ROW()-3)),"")</f>
        <v>0</v>
      </c>
      <c r="AQ4" s="2200">
        <f>IFERROR(INDEX(PFL_Schutz_Drop_Down56[noch nicht gewählt],_xlfn.AGGREGATE(15,6,ROW(PFL_Schutz_Drop_Down56[noch nicht gewählt])-3/(--(SEARCH($A$57,PFL_Schutz_Drop_Down56[noch nicht gewählt])&gt;0)),ROW()-3)),"")</f>
        <v>0</v>
      </c>
      <c r="AR4" s="2200">
        <f>IFERROR(INDEX(PFL_Schutz_Drop_Down56[noch nicht gewählt],_xlfn.AGGREGATE(15,6,ROW(PFL_Schutz_Drop_Down56[noch nicht gewählt])-3/(--(SEARCH($A$59,PFL_Schutz_Drop_Down56[noch nicht gewählt])&gt;0)),ROW()-3)),"")</f>
        <v>0</v>
      </c>
      <c r="AS4" s="2200">
        <f>IFERROR(INDEX(PFL_Schutz_Drop_Down56[noch nicht gewählt],_xlfn.AGGREGATE(15,6,ROW(PFL_Schutz_Drop_Down56[noch nicht gewählt])-3/(--(SEARCH($A$61,PFL_Schutz_Drop_Down56[noch nicht gewählt])&gt;0)),ROW()-3)),"")</f>
        <v>0</v>
      </c>
      <c r="AT4" s="2200">
        <f>IFERROR(INDEX(PFL_Schutz_Drop_Down56[noch nicht gewählt],_xlfn.AGGREGATE(15,6,ROW(PFL_Schutz_Drop_Down56[noch nicht gewählt])-3/(--(SEARCH($A$63,PFL_Schutz_Drop_Down56[noch nicht gewählt])&gt;0)),ROW()-3)),"")</f>
        <v>0</v>
      </c>
      <c r="AU4" s="2200">
        <f>IFERROR(INDEX(PFL_Schutz_Drop_Down56[noch nicht gewählt],_xlfn.AGGREGATE(15,6,ROW(PFL_Schutz_Drop_Down56[noch nicht gewählt])-3/(--(SEARCH($A$65,PFL_Schutz_Drop_Down56[noch nicht gewählt])&gt;0)),ROW()-3)),"")</f>
        <v>0</v>
      </c>
      <c r="AV4" s="2200">
        <f>IFERROR(INDEX(PFL_Schutz_Drop_Down56[noch nicht gewählt],_xlfn.AGGREGATE(15,6,ROW(PFL_Schutz_Drop_Down56[noch nicht gewählt])-3/(--(SEARCH($A$67,PFL_Schutz_Drop_Down56[noch nicht gewählt])&gt;0)),ROW()-3)),"")</f>
        <v>0</v>
      </c>
      <c r="AW4" s="2200">
        <f>IFERROR(INDEX(PFL_Schutz_Drop_Down56[noch nicht gewählt],_xlfn.AGGREGATE(15,6,ROW(PFL_Schutz_Drop_Down56[noch nicht gewählt])-3/(--(SEARCH($A$69,PFL_Schutz_Drop_Down56[noch nicht gewählt])&gt;0)),ROW()-3)),"")</f>
        <v>0</v>
      </c>
      <c r="AX4" s="2200">
        <f>IFERROR(INDEX(PFL_Schutz_Drop_Down56[noch nicht gewählt],_xlfn.AGGREGATE(15,6,ROW(PFL_Schutz_Drop_Down56[noch nicht gewählt])-3/(--(SEARCH($A$71,PFL_Schutz_Drop_Down56[noch nicht gewählt])&gt;0)),ROW()-3)),"")</f>
        <v>0</v>
      </c>
      <c r="AY4" s="2200">
        <f>IFERROR(INDEX(PFL_Schutz_Drop_Down56[noch nicht gewählt],_xlfn.AGGREGATE(15,6,ROW(PFL_Schutz_Drop_Down56[noch nicht gewählt])-3/(--(SEARCH($A$73,PFL_Schutz_Drop_Down56[noch nicht gewählt])&gt;0)),ROW()-3)),"")</f>
        <v>0</v>
      </c>
      <c r="AZ4" s="2201">
        <f>IFERROR(INDEX(PFL_Schutz_Drop_Down56[noch nicht gewählt],_xlfn.AGGREGATE(15,6,ROW(PFL_Schutz_Drop_Down56[noch nicht gewählt])-3/(--(SEARCH($A$75,PFL_Schutz_Drop_Down56[noch nicht gewählt])&gt;0)),ROW()-3)),"")</f>
        <v>0</v>
      </c>
    </row>
    <row r="5" spans="1:52" ht="24" customHeight="1">
      <c r="A5" s="3068"/>
      <c r="B5" s="3068"/>
      <c r="C5" s="3068"/>
      <c r="D5" s="3068"/>
      <c r="E5" s="3068"/>
      <c r="F5" s="2194"/>
      <c r="R5" s="2195">
        <f>Pfl_Schutz!E5</f>
        <v>0</v>
      </c>
      <c r="S5" s="2202">
        <f>COUNTIF($R$4:PFL_Schutz_Drop_Down56[[#This Row],[Produktname]],PFL_Schutz_Drop_Down56[[#This Row],[Produktname]])</f>
        <v>2</v>
      </c>
      <c r="T5" s="2203" t="str">
        <f>IFERROR(INDEX(R:R,_xlfn.AGGREGATE(15,6,ROW(PFL_Schutz_Drop_Down56[Produktname])/(PFL_Schutz_Drop_Down56[Auftretend]=1),ROW()-3)),"")</f>
        <v/>
      </c>
      <c r="U5" s="2198" t="str">
        <f>IF(COUNTIF($A$17:$A$76,PFL_Schutz_Drop_Down56[[#This Row],[Produktname eindeutig]])&gt;=1,"",ROW())</f>
        <v/>
      </c>
      <c r="V5" s="2198" t="str">
        <f t="shared" si="0"/>
        <v/>
      </c>
      <c r="W5" s="2199" t="str">
        <f>IFERROR(INDEX(PFL_Schutz_Drop_Down56[noch nicht gewählt],_xlfn.AGGREGATE(15,6,ROW(PFL_Schutz_Drop_Down56[noch nicht gewählt])-3/(--(SEARCH($A$17,PFL_Schutz_Drop_Down56[noch nicht gewählt])&gt;0)),ROW()-3)),"")</f>
        <v/>
      </c>
      <c r="X5" s="2175" t="str">
        <f>IFERROR(INDEX(PFL_Schutz_Drop_Down56[noch nicht gewählt],_xlfn.AGGREGATE(15,6,ROW(PFL_Schutz_Drop_Down56[noch nicht gewählt])-3/(--(SEARCH($A$19,PFL_Schutz_Drop_Down56[noch nicht gewählt])&gt;0)),ROW()-3)),"")</f>
        <v/>
      </c>
      <c r="Y5" s="2175" t="str">
        <f>IFERROR(INDEX(PFL_Schutz_Drop_Down56[noch nicht gewählt],_xlfn.AGGREGATE(15,6,ROW(PFL_Schutz_Drop_Down56[noch nicht gewählt])-3/(--(SEARCH($A$21,PFL_Schutz_Drop_Down56[noch nicht gewählt])&gt;0)),ROW()-3)),"")</f>
        <v/>
      </c>
      <c r="Z5" s="2200" t="str">
        <f>IFERROR(INDEX(PFL_Schutz_Drop_Down56[noch nicht gewählt],_xlfn.AGGREGATE(15,6,ROW(PFL_Schutz_Drop_Down56[noch nicht gewählt])-3/(--(SEARCH($A$23,PFL_Schutz_Drop_Down56[noch nicht gewählt])&gt;0)),ROW()-3)),"")</f>
        <v/>
      </c>
      <c r="AA5" s="2200" t="str">
        <f>IFERROR(INDEX(PFL_Schutz_Drop_Down56[noch nicht gewählt],_xlfn.AGGREGATE(15,6,ROW(PFL_Schutz_Drop_Down56[noch nicht gewählt])-3/(--(SEARCH($A$25,PFL_Schutz_Drop_Down56[noch nicht gewählt])&gt;0)),ROW()-3)),"")</f>
        <v/>
      </c>
      <c r="AB5" s="2200" t="str">
        <f>IFERROR(INDEX(PFL_Schutz_Drop_Down56[noch nicht gewählt],_xlfn.AGGREGATE(15,6,ROW(PFL_Schutz_Drop_Down56[noch nicht gewählt])-3/(--(SEARCH($A$27,PFL_Schutz_Drop_Down56[noch nicht gewählt])&gt;0)),ROW()-3)),"")</f>
        <v/>
      </c>
      <c r="AC5" s="2200" t="str">
        <f>IFERROR(INDEX(PFL_Schutz_Drop_Down56[noch nicht gewählt],_xlfn.AGGREGATE(15,6,ROW(PFL_Schutz_Drop_Down56[noch nicht gewählt])-3/(--(SEARCH($A$29,PFL_Schutz_Drop_Down56[noch nicht gewählt])&gt;0)),ROW()-3)),"")</f>
        <v/>
      </c>
      <c r="AD5" s="2200" t="str">
        <f>IFERROR(INDEX(PFL_Schutz_Drop_Down56[noch nicht gewählt],_xlfn.AGGREGATE(15,6,ROW(PFL_Schutz_Drop_Down56[noch nicht gewählt])-3/(--(SEARCH($A$31,PFL_Schutz_Drop_Down56[noch nicht gewählt])&gt;0)),ROW()-3)),"")</f>
        <v/>
      </c>
      <c r="AE5" s="2200" t="str">
        <f>IFERROR(INDEX(PFL_Schutz_Drop_Down56[noch nicht gewählt],_xlfn.AGGREGATE(15,6,ROW(PFL_Schutz_Drop_Down56[noch nicht gewählt])-3/(--(SEARCH($A$33,PFL_Schutz_Drop_Down56[noch nicht gewählt])&gt;0)),ROW()-3)),"")</f>
        <v/>
      </c>
      <c r="AF5" s="2200" t="str">
        <f>IFERROR(INDEX(PFL_Schutz_Drop_Down56[noch nicht gewählt],_xlfn.AGGREGATE(15,6,ROW(PFL_Schutz_Drop_Down56[noch nicht gewählt])-3/(--(SEARCH($A$35,PFL_Schutz_Drop_Down56[noch nicht gewählt])&gt;0)),ROW()-3)),"")</f>
        <v/>
      </c>
      <c r="AG5" s="2200" t="str">
        <f>IFERROR(INDEX(PFL_Schutz_Drop_Down56[noch nicht gewählt],_xlfn.AGGREGATE(15,6,ROW(PFL_Schutz_Drop_Down56[noch nicht gewählt])-3/(--(SEARCH($A$37,PFL_Schutz_Drop_Down56[noch nicht gewählt])&gt;0)),ROW()-3)),"")</f>
        <v/>
      </c>
      <c r="AH5" s="2200" t="str">
        <f>IFERROR(INDEX(PFL_Schutz_Drop_Down56[noch nicht gewählt],_xlfn.AGGREGATE(15,6,ROW(PFL_Schutz_Drop_Down56[noch nicht gewählt])-3/(--(SEARCH($A$39,PFL_Schutz_Drop_Down56[noch nicht gewählt])&gt;0)),ROW()-3)),"")</f>
        <v/>
      </c>
      <c r="AI5" s="2200" t="str">
        <f>IFERROR(INDEX(PFL_Schutz_Drop_Down56[noch nicht gewählt],_xlfn.AGGREGATE(15,6,ROW(PFL_Schutz_Drop_Down56[noch nicht gewählt])-3/(--(SEARCH($A$41,PFL_Schutz_Drop_Down56[noch nicht gewählt])&gt;0)),ROW()-3)),"")</f>
        <v/>
      </c>
      <c r="AJ5" s="2200" t="str">
        <f>IFERROR(INDEX(PFL_Schutz_Drop_Down56[noch nicht gewählt],_xlfn.AGGREGATE(15,6,ROW(PFL_Schutz_Drop_Down56[noch nicht gewählt])-3/(--(SEARCH($A$43,PFL_Schutz_Drop_Down56[noch nicht gewählt])&gt;0)),ROW()-3)),"")</f>
        <v/>
      </c>
      <c r="AK5" s="2200" t="str">
        <f>IFERROR(INDEX(PFL_Schutz_Drop_Down56[noch nicht gewählt],_xlfn.AGGREGATE(15,6,ROW(PFL_Schutz_Drop_Down56[noch nicht gewählt])-3/(--(SEARCH($A$45,PFL_Schutz_Drop_Down56[noch nicht gewählt])&gt;0)),ROW()-3)),"")</f>
        <v/>
      </c>
      <c r="AL5" s="2200" t="str">
        <f>IFERROR(INDEX(PFL_Schutz_Drop_Down56[noch nicht gewählt],_xlfn.AGGREGATE(15,6,ROW(PFL_Schutz_Drop_Down56[noch nicht gewählt])-3/(--(SEARCH($A$47,PFL_Schutz_Drop_Down56[noch nicht gewählt])&gt;0)),ROW()-3)),"")</f>
        <v/>
      </c>
      <c r="AM5" s="2200" t="str">
        <f>IFERROR(INDEX(PFL_Schutz_Drop_Down56[noch nicht gewählt],_xlfn.AGGREGATE(15,6,ROW(PFL_Schutz_Drop_Down56[noch nicht gewählt])-3/(--(SEARCH($A$49,PFL_Schutz_Drop_Down56[noch nicht gewählt])&gt;0)),ROW()-3)),"")</f>
        <v/>
      </c>
      <c r="AN5" s="2200" t="str">
        <f>IFERROR(INDEX(PFL_Schutz_Drop_Down56[noch nicht gewählt],_xlfn.AGGREGATE(15,6,ROW(PFL_Schutz_Drop_Down56[noch nicht gewählt])-3/(--(SEARCH($A$51,PFL_Schutz_Drop_Down56[noch nicht gewählt])&gt;0)),ROW()-3)),"")</f>
        <v/>
      </c>
      <c r="AO5" s="2200" t="str">
        <f>IFERROR(INDEX(PFL_Schutz_Drop_Down56[noch nicht gewählt],_xlfn.AGGREGATE(15,6,ROW(PFL_Schutz_Drop_Down56[noch nicht gewählt])-3/(--(SEARCH($A$53,PFL_Schutz_Drop_Down56[noch nicht gewählt])&gt;0)),ROW()-3)),"")</f>
        <v/>
      </c>
      <c r="AP5" s="2200" t="str">
        <f>IFERROR(INDEX(PFL_Schutz_Drop_Down56[noch nicht gewählt],_xlfn.AGGREGATE(15,6,ROW(PFL_Schutz_Drop_Down56[noch nicht gewählt])-3/(--(SEARCH($A$55,PFL_Schutz_Drop_Down56[noch nicht gewählt])&gt;0)),ROW()-3)),"")</f>
        <v/>
      </c>
      <c r="AQ5" s="2200" t="str">
        <f>IFERROR(INDEX(PFL_Schutz_Drop_Down56[noch nicht gewählt],_xlfn.AGGREGATE(15,6,ROW(PFL_Schutz_Drop_Down56[noch nicht gewählt])-3/(--(SEARCH($A$57,PFL_Schutz_Drop_Down56[noch nicht gewählt])&gt;0)),ROW()-3)),"")</f>
        <v/>
      </c>
      <c r="AR5" s="2200" t="str">
        <f>IFERROR(INDEX(PFL_Schutz_Drop_Down56[noch nicht gewählt],_xlfn.AGGREGATE(15,6,ROW(PFL_Schutz_Drop_Down56[noch nicht gewählt])-3/(--(SEARCH($A$59,PFL_Schutz_Drop_Down56[noch nicht gewählt])&gt;0)),ROW()-3)),"")</f>
        <v/>
      </c>
      <c r="AS5" s="2200" t="str">
        <f>IFERROR(INDEX(PFL_Schutz_Drop_Down56[noch nicht gewählt],_xlfn.AGGREGATE(15,6,ROW(PFL_Schutz_Drop_Down56[noch nicht gewählt])-3/(--(SEARCH($A$61,PFL_Schutz_Drop_Down56[noch nicht gewählt])&gt;0)),ROW()-3)),"")</f>
        <v/>
      </c>
      <c r="AT5" s="2200" t="str">
        <f>IFERROR(INDEX(PFL_Schutz_Drop_Down56[noch nicht gewählt],_xlfn.AGGREGATE(15,6,ROW(PFL_Schutz_Drop_Down56[noch nicht gewählt])-3/(--(SEARCH($A$63,PFL_Schutz_Drop_Down56[noch nicht gewählt])&gt;0)),ROW()-3)),"")</f>
        <v/>
      </c>
      <c r="AU5" s="2200" t="str">
        <f>IFERROR(INDEX(PFL_Schutz_Drop_Down56[noch nicht gewählt],_xlfn.AGGREGATE(15,6,ROW(PFL_Schutz_Drop_Down56[noch nicht gewählt])-3/(--(SEARCH($A$65,PFL_Schutz_Drop_Down56[noch nicht gewählt])&gt;0)),ROW()-3)),"")</f>
        <v/>
      </c>
      <c r="AV5" s="2200" t="str">
        <f>IFERROR(INDEX(PFL_Schutz_Drop_Down56[noch nicht gewählt],_xlfn.AGGREGATE(15,6,ROW(PFL_Schutz_Drop_Down56[noch nicht gewählt])-3/(--(SEARCH($A$67,PFL_Schutz_Drop_Down56[noch nicht gewählt])&gt;0)),ROW()-3)),"")</f>
        <v/>
      </c>
      <c r="AW5" s="2200" t="str">
        <f>IFERROR(INDEX(PFL_Schutz_Drop_Down56[noch nicht gewählt],_xlfn.AGGREGATE(15,6,ROW(PFL_Schutz_Drop_Down56[noch nicht gewählt])-3/(--(SEARCH($A$69,PFL_Schutz_Drop_Down56[noch nicht gewählt])&gt;0)),ROW()-3)),"")</f>
        <v/>
      </c>
      <c r="AX5" s="2200" t="str">
        <f>IFERROR(INDEX(PFL_Schutz_Drop_Down56[noch nicht gewählt],_xlfn.AGGREGATE(15,6,ROW(PFL_Schutz_Drop_Down56[noch nicht gewählt])-3/(--(SEARCH($A$71,PFL_Schutz_Drop_Down56[noch nicht gewählt])&gt;0)),ROW()-3)),"")</f>
        <v/>
      </c>
      <c r="AY5" s="2200" t="str">
        <f>IFERROR(INDEX(PFL_Schutz_Drop_Down56[noch nicht gewählt],_xlfn.AGGREGATE(15,6,ROW(PFL_Schutz_Drop_Down56[noch nicht gewählt])-3/(--(SEARCH($A$73,PFL_Schutz_Drop_Down56[noch nicht gewählt])&gt;0)),ROW()-3)),"")</f>
        <v/>
      </c>
      <c r="AZ5" s="2201" t="str">
        <f>IFERROR(INDEX(PFL_Schutz_Drop_Down56[noch nicht gewählt],_xlfn.AGGREGATE(15,6,ROW(PFL_Schutz_Drop_Down56[noch nicht gewählt])-3/(--(SEARCH($A$75,PFL_Schutz_Drop_Down56[noch nicht gewählt])&gt;0)),ROW()-3)),"")</f>
        <v/>
      </c>
    </row>
    <row r="6" spans="1:52" ht="19.5" customHeight="1">
      <c r="A6" s="3069" t="s">
        <v>2265</v>
      </c>
      <c r="B6" s="3069"/>
      <c r="C6" s="3069"/>
      <c r="D6" s="3069"/>
      <c r="E6" s="3069"/>
      <c r="F6" s="2204"/>
      <c r="G6" s="2174"/>
      <c r="R6" s="2195">
        <f>Pfl_Schutz!E6</f>
        <v>0</v>
      </c>
      <c r="S6" s="2202">
        <f>COUNTIF($R$4:PFL_Schutz_Drop_Down56[[#This Row],[Produktname]],PFL_Schutz_Drop_Down56[[#This Row],[Produktname]])</f>
        <v>3</v>
      </c>
      <c r="T6" s="2203" t="str">
        <f>IFERROR(INDEX(R:R,_xlfn.AGGREGATE(15,6,ROW(PFL_Schutz_Drop_Down56[Produktname])/(PFL_Schutz_Drop_Down56[Auftretend]=1),ROW()-3)),"")</f>
        <v/>
      </c>
      <c r="U6" s="2198" t="str">
        <f>IF(COUNTIF($A$17:$A$76,PFL_Schutz_Drop_Down56[[#This Row],[Produktname eindeutig]])&gt;=1,"",ROW())</f>
        <v/>
      </c>
      <c r="V6" s="2198" t="str">
        <f t="shared" si="0"/>
        <v/>
      </c>
      <c r="W6" s="2199" t="str">
        <f>IFERROR(INDEX(PFL_Schutz_Drop_Down56[noch nicht gewählt],_xlfn.AGGREGATE(15,6,ROW(PFL_Schutz_Drop_Down56[noch nicht gewählt])-3/(--(SEARCH($A$17,PFL_Schutz_Drop_Down56[noch nicht gewählt])&gt;0)),ROW()-3)),"")</f>
        <v/>
      </c>
      <c r="X6" s="2175" t="str">
        <f>IFERROR(INDEX(PFL_Schutz_Drop_Down56[noch nicht gewählt],_xlfn.AGGREGATE(15,6,ROW(PFL_Schutz_Drop_Down56[noch nicht gewählt])-3/(--(SEARCH($A$19,PFL_Schutz_Drop_Down56[noch nicht gewählt])&gt;0)),ROW()-3)),"")</f>
        <v/>
      </c>
      <c r="Y6" s="2175" t="str">
        <f>IFERROR(INDEX(PFL_Schutz_Drop_Down56[noch nicht gewählt],_xlfn.AGGREGATE(15,6,ROW(PFL_Schutz_Drop_Down56[noch nicht gewählt])-3/(--(SEARCH($A$21,PFL_Schutz_Drop_Down56[noch nicht gewählt])&gt;0)),ROW()-3)),"")</f>
        <v/>
      </c>
      <c r="Z6" s="2200" t="str">
        <f>IFERROR(INDEX(PFL_Schutz_Drop_Down56[noch nicht gewählt],_xlfn.AGGREGATE(15,6,ROW(PFL_Schutz_Drop_Down56[noch nicht gewählt])-3/(--(SEARCH($A$23,PFL_Schutz_Drop_Down56[noch nicht gewählt])&gt;0)),ROW()-3)),"")</f>
        <v/>
      </c>
      <c r="AA6" s="2200" t="str">
        <f>IFERROR(INDEX(PFL_Schutz_Drop_Down56[noch nicht gewählt],_xlfn.AGGREGATE(15,6,ROW(PFL_Schutz_Drop_Down56[noch nicht gewählt])-3/(--(SEARCH($A$25,PFL_Schutz_Drop_Down56[noch nicht gewählt])&gt;0)),ROW()-3)),"")</f>
        <v/>
      </c>
      <c r="AB6" s="2200" t="str">
        <f>IFERROR(INDEX(PFL_Schutz_Drop_Down56[noch nicht gewählt],_xlfn.AGGREGATE(15,6,ROW(PFL_Schutz_Drop_Down56[noch nicht gewählt])-3/(--(SEARCH($A$27,PFL_Schutz_Drop_Down56[noch nicht gewählt])&gt;0)),ROW()-3)),"")</f>
        <v/>
      </c>
      <c r="AC6" s="2200" t="str">
        <f>IFERROR(INDEX(PFL_Schutz_Drop_Down56[noch nicht gewählt],_xlfn.AGGREGATE(15,6,ROW(PFL_Schutz_Drop_Down56[noch nicht gewählt])-3/(--(SEARCH($A$29,PFL_Schutz_Drop_Down56[noch nicht gewählt])&gt;0)),ROW()-3)),"")</f>
        <v/>
      </c>
      <c r="AD6" s="2200" t="str">
        <f>IFERROR(INDEX(PFL_Schutz_Drop_Down56[noch nicht gewählt],_xlfn.AGGREGATE(15,6,ROW(PFL_Schutz_Drop_Down56[noch nicht gewählt])-3/(--(SEARCH($A$31,PFL_Schutz_Drop_Down56[noch nicht gewählt])&gt;0)),ROW()-3)),"")</f>
        <v/>
      </c>
      <c r="AE6" s="2200" t="str">
        <f>IFERROR(INDEX(PFL_Schutz_Drop_Down56[noch nicht gewählt],_xlfn.AGGREGATE(15,6,ROW(PFL_Schutz_Drop_Down56[noch nicht gewählt])-3/(--(SEARCH($A$33,PFL_Schutz_Drop_Down56[noch nicht gewählt])&gt;0)),ROW()-3)),"")</f>
        <v/>
      </c>
      <c r="AF6" s="2200" t="str">
        <f>IFERROR(INDEX(PFL_Schutz_Drop_Down56[noch nicht gewählt],_xlfn.AGGREGATE(15,6,ROW(PFL_Schutz_Drop_Down56[noch nicht gewählt])-3/(--(SEARCH($A$35,PFL_Schutz_Drop_Down56[noch nicht gewählt])&gt;0)),ROW()-3)),"")</f>
        <v/>
      </c>
      <c r="AG6" s="2200" t="str">
        <f>IFERROR(INDEX(PFL_Schutz_Drop_Down56[noch nicht gewählt],_xlfn.AGGREGATE(15,6,ROW(PFL_Schutz_Drop_Down56[noch nicht gewählt])-3/(--(SEARCH($A$37,PFL_Schutz_Drop_Down56[noch nicht gewählt])&gt;0)),ROW()-3)),"")</f>
        <v/>
      </c>
      <c r="AH6" s="2200" t="str">
        <f>IFERROR(INDEX(PFL_Schutz_Drop_Down56[noch nicht gewählt],_xlfn.AGGREGATE(15,6,ROW(PFL_Schutz_Drop_Down56[noch nicht gewählt])-3/(--(SEARCH($A$39,PFL_Schutz_Drop_Down56[noch nicht gewählt])&gt;0)),ROW()-3)),"")</f>
        <v/>
      </c>
      <c r="AI6" s="2200" t="str">
        <f>IFERROR(INDEX(PFL_Schutz_Drop_Down56[noch nicht gewählt],_xlfn.AGGREGATE(15,6,ROW(PFL_Schutz_Drop_Down56[noch nicht gewählt])-3/(--(SEARCH($A$41,PFL_Schutz_Drop_Down56[noch nicht gewählt])&gt;0)),ROW()-3)),"")</f>
        <v/>
      </c>
      <c r="AJ6" s="2200" t="str">
        <f>IFERROR(INDEX(PFL_Schutz_Drop_Down56[noch nicht gewählt],_xlfn.AGGREGATE(15,6,ROW(PFL_Schutz_Drop_Down56[noch nicht gewählt])-3/(--(SEARCH($A$43,PFL_Schutz_Drop_Down56[noch nicht gewählt])&gt;0)),ROW()-3)),"")</f>
        <v/>
      </c>
      <c r="AK6" s="2200" t="str">
        <f>IFERROR(INDEX(PFL_Schutz_Drop_Down56[noch nicht gewählt],_xlfn.AGGREGATE(15,6,ROW(PFL_Schutz_Drop_Down56[noch nicht gewählt])-3/(--(SEARCH($A$45,PFL_Schutz_Drop_Down56[noch nicht gewählt])&gt;0)),ROW()-3)),"")</f>
        <v/>
      </c>
      <c r="AL6" s="2200" t="str">
        <f>IFERROR(INDEX(PFL_Schutz_Drop_Down56[noch nicht gewählt],_xlfn.AGGREGATE(15,6,ROW(PFL_Schutz_Drop_Down56[noch nicht gewählt])-3/(--(SEARCH($A$47,PFL_Schutz_Drop_Down56[noch nicht gewählt])&gt;0)),ROW()-3)),"")</f>
        <v/>
      </c>
      <c r="AM6" s="2200" t="str">
        <f>IFERROR(INDEX(PFL_Schutz_Drop_Down56[noch nicht gewählt],_xlfn.AGGREGATE(15,6,ROW(PFL_Schutz_Drop_Down56[noch nicht gewählt])-3/(--(SEARCH($A$49,PFL_Schutz_Drop_Down56[noch nicht gewählt])&gt;0)),ROW()-3)),"")</f>
        <v/>
      </c>
      <c r="AN6" s="2200" t="str">
        <f>IFERROR(INDEX(PFL_Schutz_Drop_Down56[noch nicht gewählt],_xlfn.AGGREGATE(15,6,ROW(PFL_Schutz_Drop_Down56[noch nicht gewählt])-3/(--(SEARCH($A$51,PFL_Schutz_Drop_Down56[noch nicht gewählt])&gt;0)),ROW()-3)),"")</f>
        <v/>
      </c>
      <c r="AO6" s="2200" t="str">
        <f>IFERROR(INDEX(PFL_Schutz_Drop_Down56[noch nicht gewählt],_xlfn.AGGREGATE(15,6,ROW(PFL_Schutz_Drop_Down56[noch nicht gewählt])-3/(--(SEARCH($A$53,PFL_Schutz_Drop_Down56[noch nicht gewählt])&gt;0)),ROW()-3)),"")</f>
        <v/>
      </c>
      <c r="AP6" s="2200" t="str">
        <f>IFERROR(INDEX(PFL_Schutz_Drop_Down56[noch nicht gewählt],_xlfn.AGGREGATE(15,6,ROW(PFL_Schutz_Drop_Down56[noch nicht gewählt])-3/(--(SEARCH($A$55,PFL_Schutz_Drop_Down56[noch nicht gewählt])&gt;0)),ROW()-3)),"")</f>
        <v/>
      </c>
      <c r="AQ6" s="2200" t="str">
        <f>IFERROR(INDEX(PFL_Schutz_Drop_Down56[noch nicht gewählt],_xlfn.AGGREGATE(15,6,ROW(PFL_Schutz_Drop_Down56[noch nicht gewählt])-3/(--(SEARCH($A$57,PFL_Schutz_Drop_Down56[noch nicht gewählt])&gt;0)),ROW()-3)),"")</f>
        <v/>
      </c>
      <c r="AR6" s="2200" t="str">
        <f>IFERROR(INDEX(PFL_Schutz_Drop_Down56[noch nicht gewählt],_xlfn.AGGREGATE(15,6,ROW(PFL_Schutz_Drop_Down56[noch nicht gewählt])-3/(--(SEARCH($A$59,PFL_Schutz_Drop_Down56[noch nicht gewählt])&gt;0)),ROW()-3)),"")</f>
        <v/>
      </c>
      <c r="AS6" s="2200" t="str">
        <f>IFERROR(INDEX(PFL_Schutz_Drop_Down56[noch nicht gewählt],_xlfn.AGGREGATE(15,6,ROW(PFL_Schutz_Drop_Down56[noch nicht gewählt])-3/(--(SEARCH($A$61,PFL_Schutz_Drop_Down56[noch nicht gewählt])&gt;0)),ROW()-3)),"")</f>
        <v/>
      </c>
      <c r="AT6" s="2200" t="str">
        <f>IFERROR(INDEX(PFL_Schutz_Drop_Down56[noch nicht gewählt],_xlfn.AGGREGATE(15,6,ROW(PFL_Schutz_Drop_Down56[noch nicht gewählt])-3/(--(SEARCH($A$63,PFL_Schutz_Drop_Down56[noch nicht gewählt])&gt;0)),ROW()-3)),"")</f>
        <v/>
      </c>
      <c r="AU6" s="2200" t="str">
        <f>IFERROR(INDEX(PFL_Schutz_Drop_Down56[noch nicht gewählt],_xlfn.AGGREGATE(15,6,ROW(PFL_Schutz_Drop_Down56[noch nicht gewählt])-3/(--(SEARCH($A$65,PFL_Schutz_Drop_Down56[noch nicht gewählt])&gt;0)),ROW()-3)),"")</f>
        <v/>
      </c>
      <c r="AV6" s="2200" t="str">
        <f>IFERROR(INDEX(PFL_Schutz_Drop_Down56[noch nicht gewählt],_xlfn.AGGREGATE(15,6,ROW(PFL_Schutz_Drop_Down56[noch nicht gewählt])-3/(--(SEARCH($A$67,PFL_Schutz_Drop_Down56[noch nicht gewählt])&gt;0)),ROW()-3)),"")</f>
        <v/>
      </c>
      <c r="AW6" s="2200" t="str">
        <f>IFERROR(INDEX(PFL_Schutz_Drop_Down56[noch nicht gewählt],_xlfn.AGGREGATE(15,6,ROW(PFL_Schutz_Drop_Down56[noch nicht gewählt])-3/(--(SEARCH($A$69,PFL_Schutz_Drop_Down56[noch nicht gewählt])&gt;0)),ROW()-3)),"")</f>
        <v/>
      </c>
      <c r="AX6" s="2200" t="str">
        <f>IFERROR(INDEX(PFL_Schutz_Drop_Down56[noch nicht gewählt],_xlfn.AGGREGATE(15,6,ROW(PFL_Schutz_Drop_Down56[noch nicht gewählt])-3/(--(SEARCH($A$71,PFL_Schutz_Drop_Down56[noch nicht gewählt])&gt;0)),ROW()-3)),"")</f>
        <v/>
      </c>
      <c r="AY6" s="2200" t="str">
        <f>IFERROR(INDEX(PFL_Schutz_Drop_Down56[noch nicht gewählt],_xlfn.AGGREGATE(15,6,ROW(PFL_Schutz_Drop_Down56[noch nicht gewählt])-3/(--(SEARCH($A$73,PFL_Schutz_Drop_Down56[noch nicht gewählt])&gt;0)),ROW()-3)),"")</f>
        <v/>
      </c>
      <c r="AZ6" s="2201" t="str">
        <f>IFERROR(INDEX(PFL_Schutz_Drop_Down56[noch nicht gewählt],_xlfn.AGGREGATE(15,6,ROW(PFL_Schutz_Drop_Down56[noch nicht gewählt])-3/(--(SEARCH($A$75,PFL_Schutz_Drop_Down56[noch nicht gewählt])&gt;0)),ROW()-3)),"")</f>
        <v/>
      </c>
    </row>
    <row r="7" spans="1:52" ht="19.5" customHeight="1">
      <c r="A7" s="3069"/>
      <c r="B7" s="3069"/>
      <c r="C7" s="3069"/>
      <c r="D7" s="3069"/>
      <c r="E7" s="3069"/>
      <c r="F7" s="2204"/>
      <c r="G7" s="2174"/>
      <c r="R7" s="2195">
        <f>Pfl_Schutz!E7</f>
        <v>0</v>
      </c>
      <c r="S7" s="2202">
        <f>COUNTIF($R$4:PFL_Schutz_Drop_Down56[[#This Row],[Produktname]],PFL_Schutz_Drop_Down56[[#This Row],[Produktname]])</f>
        <v>4</v>
      </c>
      <c r="T7" s="2203" t="str">
        <f>IFERROR(INDEX(R:R,_xlfn.AGGREGATE(15,6,ROW(PFL_Schutz_Drop_Down56[Produktname])/(PFL_Schutz_Drop_Down56[Auftretend]=1),ROW()-3)),"")</f>
        <v/>
      </c>
      <c r="U7" s="2198" t="str">
        <f>IF(COUNTIF($A$17:$A$76,PFL_Schutz_Drop_Down56[[#This Row],[Produktname eindeutig]])&gt;=1,"",ROW())</f>
        <v/>
      </c>
      <c r="V7" s="2198" t="str">
        <f t="shared" si="0"/>
        <v/>
      </c>
      <c r="W7" s="2199" t="str">
        <f>IFERROR(INDEX(PFL_Schutz_Drop_Down56[noch nicht gewählt],_xlfn.AGGREGATE(15,6,ROW(PFL_Schutz_Drop_Down56[noch nicht gewählt])-3/(--(SEARCH($A$17,PFL_Schutz_Drop_Down56[noch nicht gewählt])&gt;0)),ROW()-3)),"")</f>
        <v/>
      </c>
      <c r="X7" s="2175" t="str">
        <f>IFERROR(INDEX(PFL_Schutz_Drop_Down56[noch nicht gewählt],_xlfn.AGGREGATE(15,6,ROW(PFL_Schutz_Drop_Down56[noch nicht gewählt])-3/(--(SEARCH($A$19,PFL_Schutz_Drop_Down56[noch nicht gewählt])&gt;0)),ROW()-3)),"")</f>
        <v/>
      </c>
      <c r="Y7" s="2175" t="str">
        <f>IFERROR(INDEX(PFL_Schutz_Drop_Down56[noch nicht gewählt],_xlfn.AGGREGATE(15,6,ROW(PFL_Schutz_Drop_Down56[noch nicht gewählt])-3/(--(SEARCH($A$21,PFL_Schutz_Drop_Down56[noch nicht gewählt])&gt;0)),ROW()-3)),"")</f>
        <v/>
      </c>
      <c r="Z7" s="2200" t="str">
        <f>IFERROR(INDEX(PFL_Schutz_Drop_Down56[noch nicht gewählt],_xlfn.AGGREGATE(15,6,ROW(PFL_Schutz_Drop_Down56[noch nicht gewählt])-3/(--(SEARCH($A$23,PFL_Schutz_Drop_Down56[noch nicht gewählt])&gt;0)),ROW()-3)),"")</f>
        <v/>
      </c>
      <c r="AA7" s="2200" t="str">
        <f>IFERROR(INDEX(PFL_Schutz_Drop_Down56[noch nicht gewählt],_xlfn.AGGREGATE(15,6,ROW(PFL_Schutz_Drop_Down56[noch nicht gewählt])-3/(--(SEARCH($A$25,PFL_Schutz_Drop_Down56[noch nicht gewählt])&gt;0)),ROW()-3)),"")</f>
        <v/>
      </c>
      <c r="AB7" s="2200" t="str">
        <f>IFERROR(INDEX(PFL_Schutz_Drop_Down56[noch nicht gewählt],_xlfn.AGGREGATE(15,6,ROW(PFL_Schutz_Drop_Down56[noch nicht gewählt])-3/(--(SEARCH($A$27,PFL_Schutz_Drop_Down56[noch nicht gewählt])&gt;0)),ROW()-3)),"")</f>
        <v/>
      </c>
      <c r="AC7" s="2200" t="str">
        <f>IFERROR(INDEX(PFL_Schutz_Drop_Down56[noch nicht gewählt],_xlfn.AGGREGATE(15,6,ROW(PFL_Schutz_Drop_Down56[noch nicht gewählt])-3/(--(SEARCH($A$29,PFL_Schutz_Drop_Down56[noch nicht gewählt])&gt;0)),ROW()-3)),"")</f>
        <v/>
      </c>
      <c r="AD7" s="2200" t="str">
        <f>IFERROR(INDEX(PFL_Schutz_Drop_Down56[noch nicht gewählt],_xlfn.AGGREGATE(15,6,ROW(PFL_Schutz_Drop_Down56[noch nicht gewählt])-3/(--(SEARCH($A$31,PFL_Schutz_Drop_Down56[noch nicht gewählt])&gt;0)),ROW()-3)),"")</f>
        <v/>
      </c>
      <c r="AE7" s="2200" t="str">
        <f>IFERROR(INDEX(PFL_Schutz_Drop_Down56[noch nicht gewählt],_xlfn.AGGREGATE(15,6,ROW(PFL_Schutz_Drop_Down56[noch nicht gewählt])-3/(--(SEARCH($A$33,PFL_Schutz_Drop_Down56[noch nicht gewählt])&gt;0)),ROW()-3)),"")</f>
        <v/>
      </c>
      <c r="AF7" s="2200" t="str">
        <f>IFERROR(INDEX(PFL_Schutz_Drop_Down56[noch nicht gewählt],_xlfn.AGGREGATE(15,6,ROW(PFL_Schutz_Drop_Down56[noch nicht gewählt])-3/(--(SEARCH($A$35,PFL_Schutz_Drop_Down56[noch nicht gewählt])&gt;0)),ROW()-3)),"")</f>
        <v/>
      </c>
      <c r="AG7" s="2200" t="str">
        <f>IFERROR(INDEX(PFL_Schutz_Drop_Down56[noch nicht gewählt],_xlfn.AGGREGATE(15,6,ROW(PFL_Schutz_Drop_Down56[noch nicht gewählt])-3/(--(SEARCH($A$37,PFL_Schutz_Drop_Down56[noch nicht gewählt])&gt;0)),ROW()-3)),"")</f>
        <v/>
      </c>
      <c r="AH7" s="2200" t="str">
        <f>IFERROR(INDEX(PFL_Schutz_Drop_Down56[noch nicht gewählt],_xlfn.AGGREGATE(15,6,ROW(PFL_Schutz_Drop_Down56[noch nicht gewählt])-3/(--(SEARCH($A$39,PFL_Schutz_Drop_Down56[noch nicht gewählt])&gt;0)),ROW()-3)),"")</f>
        <v/>
      </c>
      <c r="AI7" s="2200" t="str">
        <f>IFERROR(INDEX(PFL_Schutz_Drop_Down56[noch nicht gewählt],_xlfn.AGGREGATE(15,6,ROW(PFL_Schutz_Drop_Down56[noch nicht gewählt])-3/(--(SEARCH($A$41,PFL_Schutz_Drop_Down56[noch nicht gewählt])&gt;0)),ROW()-3)),"")</f>
        <v/>
      </c>
      <c r="AJ7" s="2200" t="str">
        <f>IFERROR(INDEX(PFL_Schutz_Drop_Down56[noch nicht gewählt],_xlfn.AGGREGATE(15,6,ROW(PFL_Schutz_Drop_Down56[noch nicht gewählt])-3/(--(SEARCH($A$43,PFL_Schutz_Drop_Down56[noch nicht gewählt])&gt;0)),ROW()-3)),"")</f>
        <v/>
      </c>
      <c r="AK7" s="2200" t="str">
        <f>IFERROR(INDEX(PFL_Schutz_Drop_Down56[noch nicht gewählt],_xlfn.AGGREGATE(15,6,ROW(PFL_Schutz_Drop_Down56[noch nicht gewählt])-3/(--(SEARCH($A$45,PFL_Schutz_Drop_Down56[noch nicht gewählt])&gt;0)),ROW()-3)),"")</f>
        <v/>
      </c>
      <c r="AL7" s="2200" t="str">
        <f>IFERROR(INDEX(PFL_Schutz_Drop_Down56[noch nicht gewählt],_xlfn.AGGREGATE(15,6,ROW(PFL_Schutz_Drop_Down56[noch nicht gewählt])-3/(--(SEARCH($A$47,PFL_Schutz_Drop_Down56[noch nicht gewählt])&gt;0)),ROW()-3)),"")</f>
        <v/>
      </c>
      <c r="AM7" s="2200" t="str">
        <f>IFERROR(INDEX(PFL_Schutz_Drop_Down56[noch nicht gewählt],_xlfn.AGGREGATE(15,6,ROW(PFL_Schutz_Drop_Down56[noch nicht gewählt])-3/(--(SEARCH($A$49,PFL_Schutz_Drop_Down56[noch nicht gewählt])&gt;0)),ROW()-3)),"")</f>
        <v/>
      </c>
      <c r="AN7" s="2200" t="str">
        <f>IFERROR(INDEX(PFL_Schutz_Drop_Down56[noch nicht gewählt],_xlfn.AGGREGATE(15,6,ROW(PFL_Schutz_Drop_Down56[noch nicht gewählt])-3/(--(SEARCH($A$51,PFL_Schutz_Drop_Down56[noch nicht gewählt])&gt;0)),ROW()-3)),"")</f>
        <v/>
      </c>
      <c r="AO7" s="2200" t="str">
        <f>IFERROR(INDEX(PFL_Schutz_Drop_Down56[noch nicht gewählt],_xlfn.AGGREGATE(15,6,ROW(PFL_Schutz_Drop_Down56[noch nicht gewählt])-3/(--(SEARCH($A$53,PFL_Schutz_Drop_Down56[noch nicht gewählt])&gt;0)),ROW()-3)),"")</f>
        <v/>
      </c>
      <c r="AP7" s="2200" t="str">
        <f>IFERROR(INDEX(PFL_Schutz_Drop_Down56[noch nicht gewählt],_xlfn.AGGREGATE(15,6,ROW(PFL_Schutz_Drop_Down56[noch nicht gewählt])-3/(--(SEARCH($A$55,PFL_Schutz_Drop_Down56[noch nicht gewählt])&gt;0)),ROW()-3)),"")</f>
        <v/>
      </c>
      <c r="AQ7" s="2200" t="str">
        <f>IFERROR(INDEX(PFL_Schutz_Drop_Down56[noch nicht gewählt],_xlfn.AGGREGATE(15,6,ROW(PFL_Schutz_Drop_Down56[noch nicht gewählt])-3/(--(SEARCH($A$57,PFL_Schutz_Drop_Down56[noch nicht gewählt])&gt;0)),ROW()-3)),"")</f>
        <v/>
      </c>
      <c r="AR7" s="2200" t="str">
        <f>IFERROR(INDEX(PFL_Schutz_Drop_Down56[noch nicht gewählt],_xlfn.AGGREGATE(15,6,ROW(PFL_Schutz_Drop_Down56[noch nicht gewählt])-3/(--(SEARCH($A$59,PFL_Schutz_Drop_Down56[noch nicht gewählt])&gt;0)),ROW()-3)),"")</f>
        <v/>
      </c>
      <c r="AS7" s="2200" t="str">
        <f>IFERROR(INDEX(PFL_Schutz_Drop_Down56[noch nicht gewählt],_xlfn.AGGREGATE(15,6,ROW(PFL_Schutz_Drop_Down56[noch nicht gewählt])-3/(--(SEARCH($A$61,PFL_Schutz_Drop_Down56[noch nicht gewählt])&gt;0)),ROW()-3)),"")</f>
        <v/>
      </c>
      <c r="AT7" s="2200" t="str">
        <f>IFERROR(INDEX(PFL_Schutz_Drop_Down56[noch nicht gewählt],_xlfn.AGGREGATE(15,6,ROW(PFL_Schutz_Drop_Down56[noch nicht gewählt])-3/(--(SEARCH($A$63,PFL_Schutz_Drop_Down56[noch nicht gewählt])&gt;0)),ROW()-3)),"")</f>
        <v/>
      </c>
      <c r="AU7" s="2200" t="str">
        <f>IFERROR(INDEX(PFL_Schutz_Drop_Down56[noch nicht gewählt],_xlfn.AGGREGATE(15,6,ROW(PFL_Schutz_Drop_Down56[noch nicht gewählt])-3/(--(SEARCH($A$65,PFL_Schutz_Drop_Down56[noch nicht gewählt])&gt;0)),ROW()-3)),"")</f>
        <v/>
      </c>
      <c r="AV7" s="2200" t="str">
        <f>IFERROR(INDEX(PFL_Schutz_Drop_Down56[noch nicht gewählt],_xlfn.AGGREGATE(15,6,ROW(PFL_Schutz_Drop_Down56[noch nicht gewählt])-3/(--(SEARCH($A$67,PFL_Schutz_Drop_Down56[noch nicht gewählt])&gt;0)),ROW()-3)),"")</f>
        <v/>
      </c>
      <c r="AW7" s="2200" t="str">
        <f>IFERROR(INDEX(PFL_Schutz_Drop_Down56[noch nicht gewählt],_xlfn.AGGREGATE(15,6,ROW(PFL_Schutz_Drop_Down56[noch nicht gewählt])-3/(--(SEARCH($A$69,PFL_Schutz_Drop_Down56[noch nicht gewählt])&gt;0)),ROW()-3)),"")</f>
        <v/>
      </c>
      <c r="AX7" s="2200" t="str">
        <f>IFERROR(INDEX(PFL_Schutz_Drop_Down56[noch nicht gewählt],_xlfn.AGGREGATE(15,6,ROW(PFL_Schutz_Drop_Down56[noch nicht gewählt])-3/(--(SEARCH($A$71,PFL_Schutz_Drop_Down56[noch nicht gewählt])&gt;0)),ROW()-3)),"")</f>
        <v/>
      </c>
      <c r="AY7" s="2200" t="str">
        <f>IFERROR(INDEX(PFL_Schutz_Drop_Down56[noch nicht gewählt],_xlfn.AGGREGATE(15,6,ROW(PFL_Schutz_Drop_Down56[noch nicht gewählt])-3/(--(SEARCH($A$73,PFL_Schutz_Drop_Down56[noch nicht gewählt])&gt;0)),ROW()-3)),"")</f>
        <v/>
      </c>
      <c r="AZ7" s="2201" t="str">
        <f>IFERROR(INDEX(PFL_Schutz_Drop_Down56[noch nicht gewählt],_xlfn.AGGREGATE(15,6,ROW(PFL_Schutz_Drop_Down56[noch nicht gewählt])-3/(--(SEARCH($A$75,PFL_Schutz_Drop_Down56[noch nicht gewählt])&gt;0)),ROW()-3)),"")</f>
        <v/>
      </c>
    </row>
    <row r="8" spans="1:52" ht="19.5" customHeight="1">
      <c r="A8" s="3069"/>
      <c r="B8" s="3069"/>
      <c r="C8" s="3069"/>
      <c r="D8" s="3069"/>
      <c r="E8" s="3069"/>
      <c r="F8" s="2204"/>
      <c r="R8" s="2195">
        <f>Pfl_Schutz!E8</f>
        <v>0</v>
      </c>
      <c r="S8" s="2202">
        <f>COUNTIF($R$4:PFL_Schutz_Drop_Down56[[#This Row],[Produktname]],PFL_Schutz_Drop_Down56[[#This Row],[Produktname]])</f>
        <v>5</v>
      </c>
      <c r="T8" s="2203" t="str">
        <f>IFERROR(INDEX(R:R,_xlfn.AGGREGATE(15,6,ROW(PFL_Schutz_Drop_Down56[Produktname])/(PFL_Schutz_Drop_Down56[Auftretend]=1),ROW()-3)),"")</f>
        <v/>
      </c>
      <c r="U8" s="2198" t="str">
        <f>IF(COUNTIF($A$17:$A$76,PFL_Schutz_Drop_Down56[[#This Row],[Produktname eindeutig]])&gt;=1,"",ROW())</f>
        <v/>
      </c>
      <c r="V8" s="2198" t="str">
        <f t="shared" si="0"/>
        <v/>
      </c>
      <c r="W8" s="2199" t="str">
        <f>IFERROR(INDEX(PFL_Schutz_Drop_Down56[noch nicht gewählt],_xlfn.AGGREGATE(15,6,ROW(PFL_Schutz_Drop_Down56[noch nicht gewählt])-3/(--(SEARCH($A$17,PFL_Schutz_Drop_Down56[noch nicht gewählt])&gt;0)),ROW()-3)),"")</f>
        <v/>
      </c>
      <c r="X8" s="2175" t="str">
        <f>IFERROR(INDEX(PFL_Schutz_Drop_Down56[noch nicht gewählt],_xlfn.AGGREGATE(15,6,ROW(PFL_Schutz_Drop_Down56[noch nicht gewählt])-3/(--(SEARCH($A$19,PFL_Schutz_Drop_Down56[noch nicht gewählt])&gt;0)),ROW()-3)),"")</f>
        <v/>
      </c>
      <c r="Y8" s="2175" t="str">
        <f>IFERROR(INDEX(PFL_Schutz_Drop_Down56[noch nicht gewählt],_xlfn.AGGREGATE(15,6,ROW(PFL_Schutz_Drop_Down56[noch nicht gewählt])-3/(--(SEARCH($A$21,PFL_Schutz_Drop_Down56[noch nicht gewählt])&gt;0)),ROW()-3)),"")</f>
        <v/>
      </c>
      <c r="Z8" s="2200" t="str">
        <f>IFERROR(INDEX(PFL_Schutz_Drop_Down56[noch nicht gewählt],_xlfn.AGGREGATE(15,6,ROW(PFL_Schutz_Drop_Down56[noch nicht gewählt])-3/(--(SEARCH($A$23,PFL_Schutz_Drop_Down56[noch nicht gewählt])&gt;0)),ROW()-3)),"")</f>
        <v/>
      </c>
      <c r="AA8" s="2200" t="str">
        <f>IFERROR(INDEX(PFL_Schutz_Drop_Down56[noch nicht gewählt],_xlfn.AGGREGATE(15,6,ROW(PFL_Schutz_Drop_Down56[noch nicht gewählt])-3/(--(SEARCH($A$25,PFL_Schutz_Drop_Down56[noch nicht gewählt])&gt;0)),ROW()-3)),"")</f>
        <v/>
      </c>
      <c r="AB8" s="2200" t="str">
        <f>IFERROR(INDEX(PFL_Schutz_Drop_Down56[noch nicht gewählt],_xlfn.AGGREGATE(15,6,ROW(PFL_Schutz_Drop_Down56[noch nicht gewählt])-3/(--(SEARCH($A$27,PFL_Schutz_Drop_Down56[noch nicht gewählt])&gt;0)),ROW()-3)),"")</f>
        <v/>
      </c>
      <c r="AC8" s="2200" t="str">
        <f>IFERROR(INDEX(PFL_Schutz_Drop_Down56[noch nicht gewählt],_xlfn.AGGREGATE(15,6,ROW(PFL_Schutz_Drop_Down56[noch nicht gewählt])-3/(--(SEARCH($A$29,PFL_Schutz_Drop_Down56[noch nicht gewählt])&gt;0)),ROW()-3)),"")</f>
        <v/>
      </c>
      <c r="AD8" s="2200" t="str">
        <f>IFERROR(INDEX(PFL_Schutz_Drop_Down56[noch nicht gewählt],_xlfn.AGGREGATE(15,6,ROW(PFL_Schutz_Drop_Down56[noch nicht gewählt])-3/(--(SEARCH($A$31,PFL_Schutz_Drop_Down56[noch nicht gewählt])&gt;0)),ROW()-3)),"")</f>
        <v/>
      </c>
      <c r="AE8" s="2200" t="str">
        <f>IFERROR(INDEX(PFL_Schutz_Drop_Down56[noch nicht gewählt],_xlfn.AGGREGATE(15,6,ROW(PFL_Schutz_Drop_Down56[noch nicht gewählt])-3/(--(SEARCH($A$33,PFL_Schutz_Drop_Down56[noch nicht gewählt])&gt;0)),ROW()-3)),"")</f>
        <v/>
      </c>
      <c r="AF8" s="2200" t="str">
        <f>IFERROR(INDEX(PFL_Schutz_Drop_Down56[noch nicht gewählt],_xlfn.AGGREGATE(15,6,ROW(PFL_Schutz_Drop_Down56[noch nicht gewählt])-3/(--(SEARCH($A$35,PFL_Schutz_Drop_Down56[noch nicht gewählt])&gt;0)),ROW()-3)),"")</f>
        <v/>
      </c>
      <c r="AG8" s="2200" t="str">
        <f>IFERROR(INDEX(PFL_Schutz_Drop_Down56[noch nicht gewählt],_xlfn.AGGREGATE(15,6,ROW(PFL_Schutz_Drop_Down56[noch nicht gewählt])-3/(--(SEARCH($A$37,PFL_Schutz_Drop_Down56[noch nicht gewählt])&gt;0)),ROW()-3)),"")</f>
        <v/>
      </c>
      <c r="AH8" s="2200" t="str">
        <f>IFERROR(INDEX(PFL_Schutz_Drop_Down56[noch nicht gewählt],_xlfn.AGGREGATE(15,6,ROW(PFL_Schutz_Drop_Down56[noch nicht gewählt])-3/(--(SEARCH($A$39,PFL_Schutz_Drop_Down56[noch nicht gewählt])&gt;0)),ROW()-3)),"")</f>
        <v/>
      </c>
      <c r="AI8" s="2200" t="str">
        <f>IFERROR(INDEX(PFL_Schutz_Drop_Down56[noch nicht gewählt],_xlfn.AGGREGATE(15,6,ROW(PFL_Schutz_Drop_Down56[noch nicht gewählt])-3/(--(SEARCH($A$41,PFL_Schutz_Drop_Down56[noch nicht gewählt])&gt;0)),ROW()-3)),"")</f>
        <v/>
      </c>
      <c r="AJ8" s="2200" t="str">
        <f>IFERROR(INDEX(PFL_Schutz_Drop_Down56[noch nicht gewählt],_xlfn.AGGREGATE(15,6,ROW(PFL_Schutz_Drop_Down56[noch nicht gewählt])-3/(--(SEARCH($A$43,PFL_Schutz_Drop_Down56[noch nicht gewählt])&gt;0)),ROW()-3)),"")</f>
        <v/>
      </c>
      <c r="AK8" s="2200" t="str">
        <f>IFERROR(INDEX(PFL_Schutz_Drop_Down56[noch nicht gewählt],_xlfn.AGGREGATE(15,6,ROW(PFL_Schutz_Drop_Down56[noch nicht gewählt])-3/(--(SEARCH($A$45,PFL_Schutz_Drop_Down56[noch nicht gewählt])&gt;0)),ROW()-3)),"")</f>
        <v/>
      </c>
      <c r="AL8" s="2200" t="str">
        <f>IFERROR(INDEX(PFL_Schutz_Drop_Down56[noch nicht gewählt],_xlfn.AGGREGATE(15,6,ROW(PFL_Schutz_Drop_Down56[noch nicht gewählt])-3/(--(SEARCH($A$47,PFL_Schutz_Drop_Down56[noch nicht gewählt])&gt;0)),ROW()-3)),"")</f>
        <v/>
      </c>
      <c r="AM8" s="2200" t="str">
        <f>IFERROR(INDEX(PFL_Schutz_Drop_Down56[noch nicht gewählt],_xlfn.AGGREGATE(15,6,ROW(PFL_Schutz_Drop_Down56[noch nicht gewählt])-3/(--(SEARCH($A$49,PFL_Schutz_Drop_Down56[noch nicht gewählt])&gt;0)),ROW()-3)),"")</f>
        <v/>
      </c>
      <c r="AN8" s="2200" t="str">
        <f>IFERROR(INDEX(PFL_Schutz_Drop_Down56[noch nicht gewählt],_xlfn.AGGREGATE(15,6,ROW(PFL_Schutz_Drop_Down56[noch nicht gewählt])-3/(--(SEARCH($A$51,PFL_Schutz_Drop_Down56[noch nicht gewählt])&gt;0)),ROW()-3)),"")</f>
        <v/>
      </c>
      <c r="AO8" s="2200" t="str">
        <f>IFERROR(INDEX(PFL_Schutz_Drop_Down56[noch nicht gewählt],_xlfn.AGGREGATE(15,6,ROW(PFL_Schutz_Drop_Down56[noch nicht gewählt])-3/(--(SEARCH($A$53,PFL_Schutz_Drop_Down56[noch nicht gewählt])&gt;0)),ROW()-3)),"")</f>
        <v/>
      </c>
      <c r="AP8" s="2200" t="str">
        <f>IFERROR(INDEX(PFL_Schutz_Drop_Down56[noch nicht gewählt],_xlfn.AGGREGATE(15,6,ROW(PFL_Schutz_Drop_Down56[noch nicht gewählt])-3/(--(SEARCH($A$55,PFL_Schutz_Drop_Down56[noch nicht gewählt])&gt;0)),ROW()-3)),"")</f>
        <v/>
      </c>
      <c r="AQ8" s="2200" t="str">
        <f>IFERROR(INDEX(PFL_Schutz_Drop_Down56[noch nicht gewählt],_xlfn.AGGREGATE(15,6,ROW(PFL_Schutz_Drop_Down56[noch nicht gewählt])-3/(--(SEARCH($A$57,PFL_Schutz_Drop_Down56[noch nicht gewählt])&gt;0)),ROW()-3)),"")</f>
        <v/>
      </c>
      <c r="AR8" s="2200" t="str">
        <f>IFERROR(INDEX(PFL_Schutz_Drop_Down56[noch nicht gewählt],_xlfn.AGGREGATE(15,6,ROW(PFL_Schutz_Drop_Down56[noch nicht gewählt])-3/(--(SEARCH($A$59,PFL_Schutz_Drop_Down56[noch nicht gewählt])&gt;0)),ROW()-3)),"")</f>
        <v/>
      </c>
      <c r="AS8" s="2200" t="str">
        <f>IFERROR(INDEX(PFL_Schutz_Drop_Down56[noch nicht gewählt],_xlfn.AGGREGATE(15,6,ROW(PFL_Schutz_Drop_Down56[noch nicht gewählt])-3/(--(SEARCH($A$61,PFL_Schutz_Drop_Down56[noch nicht gewählt])&gt;0)),ROW()-3)),"")</f>
        <v/>
      </c>
      <c r="AT8" s="2200" t="str">
        <f>IFERROR(INDEX(PFL_Schutz_Drop_Down56[noch nicht gewählt],_xlfn.AGGREGATE(15,6,ROW(PFL_Schutz_Drop_Down56[noch nicht gewählt])-3/(--(SEARCH($A$63,PFL_Schutz_Drop_Down56[noch nicht gewählt])&gt;0)),ROW()-3)),"")</f>
        <v/>
      </c>
      <c r="AU8" s="2200" t="str">
        <f>IFERROR(INDEX(PFL_Schutz_Drop_Down56[noch nicht gewählt],_xlfn.AGGREGATE(15,6,ROW(PFL_Schutz_Drop_Down56[noch nicht gewählt])-3/(--(SEARCH($A$65,PFL_Schutz_Drop_Down56[noch nicht gewählt])&gt;0)),ROW()-3)),"")</f>
        <v/>
      </c>
      <c r="AV8" s="2200" t="str">
        <f>IFERROR(INDEX(PFL_Schutz_Drop_Down56[noch nicht gewählt],_xlfn.AGGREGATE(15,6,ROW(PFL_Schutz_Drop_Down56[noch nicht gewählt])-3/(--(SEARCH($A$67,PFL_Schutz_Drop_Down56[noch nicht gewählt])&gt;0)),ROW()-3)),"")</f>
        <v/>
      </c>
      <c r="AW8" s="2200" t="str">
        <f>IFERROR(INDEX(PFL_Schutz_Drop_Down56[noch nicht gewählt],_xlfn.AGGREGATE(15,6,ROW(PFL_Schutz_Drop_Down56[noch nicht gewählt])-3/(--(SEARCH($A$69,PFL_Schutz_Drop_Down56[noch nicht gewählt])&gt;0)),ROW()-3)),"")</f>
        <v/>
      </c>
      <c r="AX8" s="2200" t="str">
        <f>IFERROR(INDEX(PFL_Schutz_Drop_Down56[noch nicht gewählt],_xlfn.AGGREGATE(15,6,ROW(PFL_Schutz_Drop_Down56[noch nicht gewählt])-3/(--(SEARCH($A$71,PFL_Schutz_Drop_Down56[noch nicht gewählt])&gt;0)),ROW()-3)),"")</f>
        <v/>
      </c>
      <c r="AY8" s="2200" t="str">
        <f>IFERROR(INDEX(PFL_Schutz_Drop_Down56[noch nicht gewählt],_xlfn.AGGREGATE(15,6,ROW(PFL_Schutz_Drop_Down56[noch nicht gewählt])-3/(--(SEARCH($A$73,PFL_Schutz_Drop_Down56[noch nicht gewählt])&gt;0)),ROW()-3)),"")</f>
        <v/>
      </c>
      <c r="AZ8" s="2201" t="str">
        <f>IFERROR(INDEX(PFL_Schutz_Drop_Down56[noch nicht gewählt],_xlfn.AGGREGATE(15,6,ROW(PFL_Schutz_Drop_Down56[noch nicht gewählt])-3/(--(SEARCH($A$75,PFL_Schutz_Drop_Down56[noch nicht gewählt])&gt;0)),ROW()-3)),"")</f>
        <v/>
      </c>
    </row>
    <row r="9" spans="1:52" ht="24.6" customHeight="1">
      <c r="A9" s="3070" t="s">
        <v>2214</v>
      </c>
      <c r="B9" s="3070"/>
      <c r="C9" s="3070"/>
      <c r="D9" s="3070"/>
      <c r="E9" s="3070"/>
      <c r="F9" s="328"/>
      <c r="R9" s="2195">
        <f>Pfl_Schutz!E9</f>
        <v>0</v>
      </c>
      <c r="S9" s="2202">
        <f>COUNTIF($R$4:PFL_Schutz_Drop_Down56[[#This Row],[Produktname]],PFL_Schutz_Drop_Down56[[#This Row],[Produktname]])</f>
        <v>6</v>
      </c>
      <c r="T9" s="2203" t="str">
        <f>IFERROR(INDEX(R:R,_xlfn.AGGREGATE(15,6,ROW(PFL_Schutz_Drop_Down56[Produktname])/(PFL_Schutz_Drop_Down56[Auftretend]=1),ROW()-3)),"")</f>
        <v/>
      </c>
      <c r="U9" s="2198" t="str">
        <f>IF(COUNTIF($A$17:$A$76,PFL_Schutz_Drop_Down56[[#This Row],[Produktname eindeutig]])&gt;=1,"",ROW())</f>
        <v/>
      </c>
      <c r="V9" s="2198" t="str">
        <f t="shared" si="0"/>
        <v/>
      </c>
      <c r="W9" s="2199" t="str">
        <f>IFERROR(INDEX(PFL_Schutz_Drop_Down56[noch nicht gewählt],_xlfn.AGGREGATE(15,6,ROW(PFL_Schutz_Drop_Down56[noch nicht gewählt])-3/(--(SEARCH($A$17,PFL_Schutz_Drop_Down56[noch nicht gewählt])&gt;0)),ROW()-3)),"")</f>
        <v/>
      </c>
      <c r="X9" s="2175" t="str">
        <f>IFERROR(INDEX(PFL_Schutz_Drop_Down56[noch nicht gewählt],_xlfn.AGGREGATE(15,6,ROW(PFL_Schutz_Drop_Down56[noch nicht gewählt])-3/(--(SEARCH($A$19,PFL_Schutz_Drop_Down56[noch nicht gewählt])&gt;0)),ROW()-3)),"")</f>
        <v/>
      </c>
      <c r="Y9" s="2175" t="str">
        <f>IFERROR(INDEX(PFL_Schutz_Drop_Down56[noch nicht gewählt],_xlfn.AGGREGATE(15,6,ROW(PFL_Schutz_Drop_Down56[noch nicht gewählt])-3/(--(SEARCH($A$21,PFL_Schutz_Drop_Down56[noch nicht gewählt])&gt;0)),ROW()-3)),"")</f>
        <v/>
      </c>
      <c r="Z9" s="2200" t="str">
        <f>IFERROR(INDEX(PFL_Schutz_Drop_Down56[noch nicht gewählt],_xlfn.AGGREGATE(15,6,ROW(PFL_Schutz_Drop_Down56[noch nicht gewählt])-3/(--(SEARCH($A$23,PFL_Schutz_Drop_Down56[noch nicht gewählt])&gt;0)),ROW()-3)),"")</f>
        <v/>
      </c>
      <c r="AA9" s="2200" t="str">
        <f>IFERROR(INDEX(PFL_Schutz_Drop_Down56[noch nicht gewählt],_xlfn.AGGREGATE(15,6,ROW(PFL_Schutz_Drop_Down56[noch nicht gewählt])-3/(--(SEARCH($A$25,PFL_Schutz_Drop_Down56[noch nicht gewählt])&gt;0)),ROW()-3)),"")</f>
        <v/>
      </c>
      <c r="AB9" s="2200" t="str">
        <f>IFERROR(INDEX(PFL_Schutz_Drop_Down56[noch nicht gewählt],_xlfn.AGGREGATE(15,6,ROW(PFL_Schutz_Drop_Down56[noch nicht gewählt])-3/(--(SEARCH($A$27,PFL_Schutz_Drop_Down56[noch nicht gewählt])&gt;0)),ROW()-3)),"")</f>
        <v/>
      </c>
      <c r="AC9" s="2200" t="str">
        <f>IFERROR(INDEX(PFL_Schutz_Drop_Down56[noch nicht gewählt],_xlfn.AGGREGATE(15,6,ROW(PFL_Schutz_Drop_Down56[noch nicht gewählt])-3/(--(SEARCH($A$29,PFL_Schutz_Drop_Down56[noch nicht gewählt])&gt;0)),ROW()-3)),"")</f>
        <v/>
      </c>
      <c r="AD9" s="2200" t="str">
        <f>IFERROR(INDEX(PFL_Schutz_Drop_Down56[noch nicht gewählt],_xlfn.AGGREGATE(15,6,ROW(PFL_Schutz_Drop_Down56[noch nicht gewählt])-3/(--(SEARCH($A$31,PFL_Schutz_Drop_Down56[noch nicht gewählt])&gt;0)),ROW()-3)),"")</f>
        <v/>
      </c>
      <c r="AE9" s="2200" t="str">
        <f>IFERROR(INDEX(PFL_Schutz_Drop_Down56[noch nicht gewählt],_xlfn.AGGREGATE(15,6,ROW(PFL_Schutz_Drop_Down56[noch nicht gewählt])-3/(--(SEARCH($A$33,PFL_Schutz_Drop_Down56[noch nicht gewählt])&gt;0)),ROW()-3)),"")</f>
        <v/>
      </c>
      <c r="AF9" s="2200" t="str">
        <f>IFERROR(INDEX(PFL_Schutz_Drop_Down56[noch nicht gewählt],_xlfn.AGGREGATE(15,6,ROW(PFL_Schutz_Drop_Down56[noch nicht gewählt])-3/(--(SEARCH($A$35,PFL_Schutz_Drop_Down56[noch nicht gewählt])&gt;0)),ROW()-3)),"")</f>
        <v/>
      </c>
      <c r="AG9" s="2200" t="str">
        <f>IFERROR(INDEX(PFL_Schutz_Drop_Down56[noch nicht gewählt],_xlfn.AGGREGATE(15,6,ROW(PFL_Schutz_Drop_Down56[noch nicht gewählt])-3/(--(SEARCH($A$37,PFL_Schutz_Drop_Down56[noch nicht gewählt])&gt;0)),ROW()-3)),"")</f>
        <v/>
      </c>
      <c r="AH9" s="2200" t="str">
        <f>IFERROR(INDEX(PFL_Schutz_Drop_Down56[noch nicht gewählt],_xlfn.AGGREGATE(15,6,ROW(PFL_Schutz_Drop_Down56[noch nicht gewählt])-3/(--(SEARCH($A$39,PFL_Schutz_Drop_Down56[noch nicht gewählt])&gt;0)),ROW()-3)),"")</f>
        <v/>
      </c>
      <c r="AI9" s="2200" t="str">
        <f>IFERROR(INDEX(PFL_Schutz_Drop_Down56[noch nicht gewählt],_xlfn.AGGREGATE(15,6,ROW(PFL_Schutz_Drop_Down56[noch nicht gewählt])-3/(--(SEARCH($A$41,PFL_Schutz_Drop_Down56[noch nicht gewählt])&gt;0)),ROW()-3)),"")</f>
        <v/>
      </c>
      <c r="AJ9" s="2200" t="str">
        <f>IFERROR(INDEX(PFL_Schutz_Drop_Down56[noch nicht gewählt],_xlfn.AGGREGATE(15,6,ROW(PFL_Schutz_Drop_Down56[noch nicht gewählt])-3/(--(SEARCH($A$43,PFL_Schutz_Drop_Down56[noch nicht gewählt])&gt;0)),ROW()-3)),"")</f>
        <v/>
      </c>
      <c r="AK9" s="2200" t="str">
        <f>IFERROR(INDEX(PFL_Schutz_Drop_Down56[noch nicht gewählt],_xlfn.AGGREGATE(15,6,ROW(PFL_Schutz_Drop_Down56[noch nicht gewählt])-3/(--(SEARCH($A$45,PFL_Schutz_Drop_Down56[noch nicht gewählt])&gt;0)),ROW()-3)),"")</f>
        <v/>
      </c>
      <c r="AL9" s="2200" t="str">
        <f>IFERROR(INDEX(PFL_Schutz_Drop_Down56[noch nicht gewählt],_xlfn.AGGREGATE(15,6,ROW(PFL_Schutz_Drop_Down56[noch nicht gewählt])-3/(--(SEARCH($A$47,PFL_Schutz_Drop_Down56[noch nicht gewählt])&gt;0)),ROW()-3)),"")</f>
        <v/>
      </c>
      <c r="AM9" s="2200" t="str">
        <f>IFERROR(INDEX(PFL_Schutz_Drop_Down56[noch nicht gewählt],_xlfn.AGGREGATE(15,6,ROW(PFL_Schutz_Drop_Down56[noch nicht gewählt])-3/(--(SEARCH($A$49,PFL_Schutz_Drop_Down56[noch nicht gewählt])&gt;0)),ROW()-3)),"")</f>
        <v/>
      </c>
      <c r="AN9" s="2200" t="str">
        <f>IFERROR(INDEX(PFL_Schutz_Drop_Down56[noch nicht gewählt],_xlfn.AGGREGATE(15,6,ROW(PFL_Schutz_Drop_Down56[noch nicht gewählt])-3/(--(SEARCH($A$51,PFL_Schutz_Drop_Down56[noch nicht gewählt])&gt;0)),ROW()-3)),"")</f>
        <v/>
      </c>
      <c r="AO9" s="2200" t="str">
        <f>IFERROR(INDEX(PFL_Schutz_Drop_Down56[noch nicht gewählt],_xlfn.AGGREGATE(15,6,ROW(PFL_Schutz_Drop_Down56[noch nicht gewählt])-3/(--(SEARCH($A$53,PFL_Schutz_Drop_Down56[noch nicht gewählt])&gt;0)),ROW()-3)),"")</f>
        <v/>
      </c>
      <c r="AP9" s="2200" t="str">
        <f>IFERROR(INDEX(PFL_Schutz_Drop_Down56[noch nicht gewählt],_xlfn.AGGREGATE(15,6,ROW(PFL_Schutz_Drop_Down56[noch nicht gewählt])-3/(--(SEARCH($A$55,PFL_Schutz_Drop_Down56[noch nicht gewählt])&gt;0)),ROW()-3)),"")</f>
        <v/>
      </c>
      <c r="AQ9" s="2200" t="str">
        <f>IFERROR(INDEX(PFL_Schutz_Drop_Down56[noch nicht gewählt],_xlfn.AGGREGATE(15,6,ROW(PFL_Schutz_Drop_Down56[noch nicht gewählt])-3/(--(SEARCH($A$57,PFL_Schutz_Drop_Down56[noch nicht gewählt])&gt;0)),ROW()-3)),"")</f>
        <v/>
      </c>
      <c r="AR9" s="2200" t="str">
        <f>IFERROR(INDEX(PFL_Schutz_Drop_Down56[noch nicht gewählt],_xlfn.AGGREGATE(15,6,ROW(PFL_Schutz_Drop_Down56[noch nicht gewählt])-3/(--(SEARCH($A$59,PFL_Schutz_Drop_Down56[noch nicht gewählt])&gt;0)),ROW()-3)),"")</f>
        <v/>
      </c>
      <c r="AS9" s="2200" t="str">
        <f>IFERROR(INDEX(PFL_Schutz_Drop_Down56[noch nicht gewählt],_xlfn.AGGREGATE(15,6,ROW(PFL_Schutz_Drop_Down56[noch nicht gewählt])-3/(--(SEARCH($A$61,PFL_Schutz_Drop_Down56[noch nicht gewählt])&gt;0)),ROW()-3)),"")</f>
        <v/>
      </c>
      <c r="AT9" s="2200" t="str">
        <f>IFERROR(INDEX(PFL_Schutz_Drop_Down56[noch nicht gewählt],_xlfn.AGGREGATE(15,6,ROW(PFL_Schutz_Drop_Down56[noch nicht gewählt])-3/(--(SEARCH($A$63,PFL_Schutz_Drop_Down56[noch nicht gewählt])&gt;0)),ROW()-3)),"")</f>
        <v/>
      </c>
      <c r="AU9" s="2200" t="str">
        <f>IFERROR(INDEX(PFL_Schutz_Drop_Down56[noch nicht gewählt],_xlfn.AGGREGATE(15,6,ROW(PFL_Schutz_Drop_Down56[noch nicht gewählt])-3/(--(SEARCH($A$65,PFL_Schutz_Drop_Down56[noch nicht gewählt])&gt;0)),ROW()-3)),"")</f>
        <v/>
      </c>
      <c r="AV9" s="2200" t="str">
        <f>IFERROR(INDEX(PFL_Schutz_Drop_Down56[noch nicht gewählt],_xlfn.AGGREGATE(15,6,ROW(PFL_Schutz_Drop_Down56[noch nicht gewählt])-3/(--(SEARCH($A$67,PFL_Schutz_Drop_Down56[noch nicht gewählt])&gt;0)),ROW()-3)),"")</f>
        <v/>
      </c>
      <c r="AW9" s="2200" t="str">
        <f>IFERROR(INDEX(PFL_Schutz_Drop_Down56[noch nicht gewählt],_xlfn.AGGREGATE(15,6,ROW(PFL_Schutz_Drop_Down56[noch nicht gewählt])-3/(--(SEARCH($A$69,PFL_Schutz_Drop_Down56[noch nicht gewählt])&gt;0)),ROW()-3)),"")</f>
        <v/>
      </c>
      <c r="AX9" s="2200" t="str">
        <f>IFERROR(INDEX(PFL_Schutz_Drop_Down56[noch nicht gewählt],_xlfn.AGGREGATE(15,6,ROW(PFL_Schutz_Drop_Down56[noch nicht gewählt])-3/(--(SEARCH($A$71,PFL_Schutz_Drop_Down56[noch nicht gewählt])&gt;0)),ROW()-3)),"")</f>
        <v/>
      </c>
      <c r="AY9" s="2200" t="str">
        <f>IFERROR(INDEX(PFL_Schutz_Drop_Down56[noch nicht gewählt],_xlfn.AGGREGATE(15,6,ROW(PFL_Schutz_Drop_Down56[noch nicht gewählt])-3/(--(SEARCH($A$73,PFL_Schutz_Drop_Down56[noch nicht gewählt])&gt;0)),ROW()-3)),"")</f>
        <v/>
      </c>
      <c r="AZ9" s="2201" t="str">
        <f>IFERROR(INDEX(PFL_Schutz_Drop_Down56[noch nicht gewählt],_xlfn.AGGREGATE(15,6,ROW(PFL_Schutz_Drop_Down56[noch nicht gewählt])-3/(--(SEARCH($A$75,PFL_Schutz_Drop_Down56[noch nicht gewählt])&gt;0)),ROW()-3)),"")</f>
        <v/>
      </c>
    </row>
    <row r="10" spans="1:52" ht="24.6" customHeight="1">
      <c r="A10" s="3070" t="s">
        <v>2215</v>
      </c>
      <c r="B10" s="3070"/>
      <c r="C10" s="3070"/>
      <c r="D10" s="3070"/>
      <c r="E10" s="3070"/>
      <c r="F10" s="328"/>
      <c r="R10" s="2195">
        <f>Pfl_Schutz!E10</f>
        <v>0</v>
      </c>
      <c r="S10" s="2202">
        <f>COUNTIF($R$4:PFL_Schutz_Drop_Down56[[#This Row],[Produktname]],PFL_Schutz_Drop_Down56[[#This Row],[Produktname]])</f>
        <v>7</v>
      </c>
      <c r="T10" s="2203" t="str">
        <f>IFERROR(INDEX(R:R,_xlfn.AGGREGATE(15,6,ROW(PFL_Schutz_Drop_Down56[Produktname])/(PFL_Schutz_Drop_Down56[Auftretend]=1),ROW()-3)),"")</f>
        <v/>
      </c>
      <c r="U10" s="2198" t="str">
        <f>IF(COUNTIF($A$17:$A$76,PFL_Schutz_Drop_Down56[[#This Row],[Produktname eindeutig]])&gt;=1,"",ROW())</f>
        <v/>
      </c>
      <c r="V10" s="2198" t="str">
        <f t="shared" si="0"/>
        <v/>
      </c>
      <c r="W10" s="2199" t="str">
        <f>IFERROR(INDEX(PFL_Schutz_Drop_Down56[noch nicht gewählt],_xlfn.AGGREGATE(15,6,ROW(PFL_Schutz_Drop_Down56[noch nicht gewählt])-3/(--(SEARCH($A$17,PFL_Schutz_Drop_Down56[noch nicht gewählt])&gt;0)),ROW()-3)),"")</f>
        <v/>
      </c>
      <c r="X10" s="2175" t="str">
        <f>IFERROR(INDEX(PFL_Schutz_Drop_Down56[noch nicht gewählt],_xlfn.AGGREGATE(15,6,ROW(PFL_Schutz_Drop_Down56[noch nicht gewählt])-3/(--(SEARCH($A$19,PFL_Schutz_Drop_Down56[noch nicht gewählt])&gt;0)),ROW()-3)),"")</f>
        <v/>
      </c>
      <c r="Y10" s="2175" t="str">
        <f>IFERROR(INDEX(PFL_Schutz_Drop_Down56[noch nicht gewählt],_xlfn.AGGREGATE(15,6,ROW(PFL_Schutz_Drop_Down56[noch nicht gewählt])-3/(--(SEARCH($A$21,PFL_Schutz_Drop_Down56[noch nicht gewählt])&gt;0)),ROW()-3)),"")</f>
        <v/>
      </c>
      <c r="Z10" s="2200" t="str">
        <f>IFERROR(INDEX(PFL_Schutz_Drop_Down56[noch nicht gewählt],_xlfn.AGGREGATE(15,6,ROW(PFL_Schutz_Drop_Down56[noch nicht gewählt])-3/(--(SEARCH($A$23,PFL_Schutz_Drop_Down56[noch nicht gewählt])&gt;0)),ROW()-3)),"")</f>
        <v/>
      </c>
      <c r="AA10" s="2200" t="str">
        <f>IFERROR(INDEX(PFL_Schutz_Drop_Down56[noch nicht gewählt],_xlfn.AGGREGATE(15,6,ROW(PFL_Schutz_Drop_Down56[noch nicht gewählt])-3/(--(SEARCH($A$25,PFL_Schutz_Drop_Down56[noch nicht gewählt])&gt;0)),ROW()-3)),"")</f>
        <v/>
      </c>
      <c r="AB10" s="2200" t="str">
        <f>IFERROR(INDEX(PFL_Schutz_Drop_Down56[noch nicht gewählt],_xlfn.AGGREGATE(15,6,ROW(PFL_Schutz_Drop_Down56[noch nicht gewählt])-3/(--(SEARCH($A$27,PFL_Schutz_Drop_Down56[noch nicht gewählt])&gt;0)),ROW()-3)),"")</f>
        <v/>
      </c>
      <c r="AC10" s="2200" t="str">
        <f>IFERROR(INDEX(PFL_Schutz_Drop_Down56[noch nicht gewählt],_xlfn.AGGREGATE(15,6,ROW(PFL_Schutz_Drop_Down56[noch nicht gewählt])-3/(--(SEARCH($A$29,PFL_Schutz_Drop_Down56[noch nicht gewählt])&gt;0)),ROW()-3)),"")</f>
        <v/>
      </c>
      <c r="AD10" s="2200" t="str">
        <f>IFERROR(INDEX(PFL_Schutz_Drop_Down56[noch nicht gewählt],_xlfn.AGGREGATE(15,6,ROW(PFL_Schutz_Drop_Down56[noch nicht gewählt])-3/(--(SEARCH($A$31,PFL_Schutz_Drop_Down56[noch nicht gewählt])&gt;0)),ROW()-3)),"")</f>
        <v/>
      </c>
      <c r="AE10" s="2200" t="str">
        <f>IFERROR(INDEX(PFL_Schutz_Drop_Down56[noch nicht gewählt],_xlfn.AGGREGATE(15,6,ROW(PFL_Schutz_Drop_Down56[noch nicht gewählt])-3/(--(SEARCH($A$33,PFL_Schutz_Drop_Down56[noch nicht gewählt])&gt;0)),ROW()-3)),"")</f>
        <v/>
      </c>
      <c r="AF10" s="2200" t="str">
        <f>IFERROR(INDEX(PFL_Schutz_Drop_Down56[noch nicht gewählt],_xlfn.AGGREGATE(15,6,ROW(PFL_Schutz_Drop_Down56[noch nicht gewählt])-3/(--(SEARCH($A$35,PFL_Schutz_Drop_Down56[noch nicht gewählt])&gt;0)),ROW()-3)),"")</f>
        <v/>
      </c>
      <c r="AG10" s="2200" t="str">
        <f>IFERROR(INDEX(PFL_Schutz_Drop_Down56[noch nicht gewählt],_xlfn.AGGREGATE(15,6,ROW(PFL_Schutz_Drop_Down56[noch nicht gewählt])-3/(--(SEARCH($A$37,PFL_Schutz_Drop_Down56[noch nicht gewählt])&gt;0)),ROW()-3)),"")</f>
        <v/>
      </c>
      <c r="AH10" s="2200" t="str">
        <f>IFERROR(INDEX(PFL_Schutz_Drop_Down56[noch nicht gewählt],_xlfn.AGGREGATE(15,6,ROW(PFL_Schutz_Drop_Down56[noch nicht gewählt])-3/(--(SEARCH($A$39,PFL_Schutz_Drop_Down56[noch nicht gewählt])&gt;0)),ROW()-3)),"")</f>
        <v/>
      </c>
      <c r="AI10" s="2200" t="str">
        <f>IFERROR(INDEX(PFL_Schutz_Drop_Down56[noch nicht gewählt],_xlfn.AGGREGATE(15,6,ROW(PFL_Schutz_Drop_Down56[noch nicht gewählt])-3/(--(SEARCH($A$41,PFL_Schutz_Drop_Down56[noch nicht gewählt])&gt;0)),ROW()-3)),"")</f>
        <v/>
      </c>
      <c r="AJ10" s="2200" t="str">
        <f>IFERROR(INDEX(PFL_Schutz_Drop_Down56[noch nicht gewählt],_xlfn.AGGREGATE(15,6,ROW(PFL_Schutz_Drop_Down56[noch nicht gewählt])-3/(--(SEARCH($A$43,PFL_Schutz_Drop_Down56[noch nicht gewählt])&gt;0)),ROW()-3)),"")</f>
        <v/>
      </c>
      <c r="AK10" s="2200" t="str">
        <f>IFERROR(INDEX(PFL_Schutz_Drop_Down56[noch nicht gewählt],_xlfn.AGGREGATE(15,6,ROW(PFL_Schutz_Drop_Down56[noch nicht gewählt])-3/(--(SEARCH($A$45,PFL_Schutz_Drop_Down56[noch nicht gewählt])&gt;0)),ROW()-3)),"")</f>
        <v/>
      </c>
      <c r="AL10" s="2200" t="str">
        <f>IFERROR(INDEX(PFL_Schutz_Drop_Down56[noch nicht gewählt],_xlfn.AGGREGATE(15,6,ROW(PFL_Schutz_Drop_Down56[noch nicht gewählt])-3/(--(SEARCH($A$47,PFL_Schutz_Drop_Down56[noch nicht gewählt])&gt;0)),ROW()-3)),"")</f>
        <v/>
      </c>
      <c r="AM10" s="2200" t="str">
        <f>IFERROR(INDEX(PFL_Schutz_Drop_Down56[noch nicht gewählt],_xlfn.AGGREGATE(15,6,ROW(PFL_Schutz_Drop_Down56[noch nicht gewählt])-3/(--(SEARCH($A$49,PFL_Schutz_Drop_Down56[noch nicht gewählt])&gt;0)),ROW()-3)),"")</f>
        <v/>
      </c>
      <c r="AN10" s="2200" t="str">
        <f>IFERROR(INDEX(PFL_Schutz_Drop_Down56[noch nicht gewählt],_xlfn.AGGREGATE(15,6,ROW(PFL_Schutz_Drop_Down56[noch nicht gewählt])-3/(--(SEARCH($A$51,PFL_Schutz_Drop_Down56[noch nicht gewählt])&gt;0)),ROW()-3)),"")</f>
        <v/>
      </c>
      <c r="AO10" s="2200" t="str">
        <f>IFERROR(INDEX(PFL_Schutz_Drop_Down56[noch nicht gewählt],_xlfn.AGGREGATE(15,6,ROW(PFL_Schutz_Drop_Down56[noch nicht gewählt])-3/(--(SEARCH($A$53,PFL_Schutz_Drop_Down56[noch nicht gewählt])&gt;0)),ROW()-3)),"")</f>
        <v/>
      </c>
      <c r="AP10" s="2200" t="str">
        <f>IFERROR(INDEX(PFL_Schutz_Drop_Down56[noch nicht gewählt],_xlfn.AGGREGATE(15,6,ROW(PFL_Schutz_Drop_Down56[noch nicht gewählt])-3/(--(SEARCH($A$55,PFL_Schutz_Drop_Down56[noch nicht gewählt])&gt;0)),ROW()-3)),"")</f>
        <v/>
      </c>
      <c r="AQ10" s="2200" t="str">
        <f>IFERROR(INDEX(PFL_Schutz_Drop_Down56[noch nicht gewählt],_xlfn.AGGREGATE(15,6,ROW(PFL_Schutz_Drop_Down56[noch nicht gewählt])-3/(--(SEARCH($A$57,PFL_Schutz_Drop_Down56[noch nicht gewählt])&gt;0)),ROW()-3)),"")</f>
        <v/>
      </c>
      <c r="AR10" s="2200" t="str">
        <f>IFERROR(INDEX(PFL_Schutz_Drop_Down56[noch nicht gewählt],_xlfn.AGGREGATE(15,6,ROW(PFL_Schutz_Drop_Down56[noch nicht gewählt])-3/(--(SEARCH($A$59,PFL_Schutz_Drop_Down56[noch nicht gewählt])&gt;0)),ROW()-3)),"")</f>
        <v/>
      </c>
      <c r="AS10" s="2200" t="str">
        <f>IFERROR(INDEX(PFL_Schutz_Drop_Down56[noch nicht gewählt],_xlfn.AGGREGATE(15,6,ROW(PFL_Schutz_Drop_Down56[noch nicht gewählt])-3/(--(SEARCH($A$61,PFL_Schutz_Drop_Down56[noch nicht gewählt])&gt;0)),ROW()-3)),"")</f>
        <v/>
      </c>
      <c r="AT10" s="2200" t="str">
        <f>IFERROR(INDEX(PFL_Schutz_Drop_Down56[noch nicht gewählt],_xlfn.AGGREGATE(15,6,ROW(PFL_Schutz_Drop_Down56[noch nicht gewählt])-3/(--(SEARCH($A$63,PFL_Schutz_Drop_Down56[noch nicht gewählt])&gt;0)),ROW()-3)),"")</f>
        <v/>
      </c>
      <c r="AU10" s="2200" t="str">
        <f>IFERROR(INDEX(PFL_Schutz_Drop_Down56[noch nicht gewählt],_xlfn.AGGREGATE(15,6,ROW(PFL_Schutz_Drop_Down56[noch nicht gewählt])-3/(--(SEARCH($A$65,PFL_Schutz_Drop_Down56[noch nicht gewählt])&gt;0)),ROW()-3)),"")</f>
        <v/>
      </c>
      <c r="AV10" s="2200" t="str">
        <f>IFERROR(INDEX(PFL_Schutz_Drop_Down56[noch nicht gewählt],_xlfn.AGGREGATE(15,6,ROW(PFL_Schutz_Drop_Down56[noch nicht gewählt])-3/(--(SEARCH($A$67,PFL_Schutz_Drop_Down56[noch nicht gewählt])&gt;0)),ROW()-3)),"")</f>
        <v/>
      </c>
      <c r="AW10" s="2200" t="str">
        <f>IFERROR(INDEX(PFL_Schutz_Drop_Down56[noch nicht gewählt],_xlfn.AGGREGATE(15,6,ROW(PFL_Schutz_Drop_Down56[noch nicht gewählt])-3/(--(SEARCH($A$69,PFL_Schutz_Drop_Down56[noch nicht gewählt])&gt;0)),ROW()-3)),"")</f>
        <v/>
      </c>
      <c r="AX10" s="2200" t="str">
        <f>IFERROR(INDEX(PFL_Schutz_Drop_Down56[noch nicht gewählt],_xlfn.AGGREGATE(15,6,ROW(PFL_Schutz_Drop_Down56[noch nicht gewählt])-3/(--(SEARCH($A$71,PFL_Schutz_Drop_Down56[noch nicht gewählt])&gt;0)),ROW()-3)),"")</f>
        <v/>
      </c>
      <c r="AY10" s="2200" t="str">
        <f>IFERROR(INDEX(PFL_Schutz_Drop_Down56[noch nicht gewählt],_xlfn.AGGREGATE(15,6,ROW(PFL_Schutz_Drop_Down56[noch nicht gewählt])-3/(--(SEARCH($A$73,PFL_Schutz_Drop_Down56[noch nicht gewählt])&gt;0)),ROW()-3)),"")</f>
        <v/>
      </c>
      <c r="AZ10" s="2201" t="str">
        <f>IFERROR(INDEX(PFL_Schutz_Drop_Down56[noch nicht gewählt],_xlfn.AGGREGATE(15,6,ROW(PFL_Schutz_Drop_Down56[noch nicht gewählt])-3/(--(SEARCH($A$75,PFL_Schutz_Drop_Down56[noch nicht gewählt])&gt;0)),ROW()-3)),"")</f>
        <v/>
      </c>
    </row>
    <row r="11" spans="1:52" ht="24.6" customHeight="1">
      <c r="A11" s="3070" t="s">
        <v>2216</v>
      </c>
      <c r="B11" s="3070"/>
      <c r="C11" s="3070"/>
      <c r="D11" s="3070"/>
      <c r="E11" s="3070"/>
      <c r="F11" s="328"/>
      <c r="R11" s="2195">
        <f>Pfl_Schutz!E11</f>
        <v>0</v>
      </c>
      <c r="S11" s="2202">
        <f>COUNTIF($R$4:PFL_Schutz_Drop_Down56[[#This Row],[Produktname]],PFL_Schutz_Drop_Down56[[#This Row],[Produktname]])</f>
        <v>8</v>
      </c>
      <c r="T11" s="2203" t="str">
        <f>IFERROR(INDEX(R:R,_xlfn.AGGREGATE(15,6,ROW(PFL_Schutz_Drop_Down56[Produktname])/(PFL_Schutz_Drop_Down56[Auftretend]=1),ROW()-3)),"")</f>
        <v/>
      </c>
      <c r="U11" s="2198" t="str">
        <f>IF(COUNTIF($A$17:$A$76,PFL_Schutz_Drop_Down56[[#This Row],[Produktname eindeutig]])&gt;=1,"",ROW())</f>
        <v/>
      </c>
      <c r="V11" s="2198" t="str">
        <f t="shared" si="0"/>
        <v/>
      </c>
      <c r="W11" s="2199" t="str">
        <f>IFERROR(INDEX(PFL_Schutz_Drop_Down56[noch nicht gewählt],_xlfn.AGGREGATE(15,6,ROW(PFL_Schutz_Drop_Down56[noch nicht gewählt])-3/(--(SEARCH($A$17,PFL_Schutz_Drop_Down56[noch nicht gewählt])&gt;0)),ROW()-3)),"")</f>
        <v/>
      </c>
      <c r="X11" s="2175" t="str">
        <f>IFERROR(INDEX(PFL_Schutz_Drop_Down56[noch nicht gewählt],_xlfn.AGGREGATE(15,6,ROW(PFL_Schutz_Drop_Down56[noch nicht gewählt])-3/(--(SEARCH($A$19,PFL_Schutz_Drop_Down56[noch nicht gewählt])&gt;0)),ROW()-3)),"")</f>
        <v/>
      </c>
      <c r="Y11" s="2175" t="str">
        <f>IFERROR(INDEX(PFL_Schutz_Drop_Down56[noch nicht gewählt],_xlfn.AGGREGATE(15,6,ROW(PFL_Schutz_Drop_Down56[noch nicht gewählt])-3/(--(SEARCH($A$21,PFL_Schutz_Drop_Down56[noch nicht gewählt])&gt;0)),ROW()-3)),"")</f>
        <v/>
      </c>
      <c r="Z11" s="2200" t="str">
        <f>IFERROR(INDEX(PFL_Schutz_Drop_Down56[noch nicht gewählt],_xlfn.AGGREGATE(15,6,ROW(PFL_Schutz_Drop_Down56[noch nicht gewählt])-3/(--(SEARCH($A$23,PFL_Schutz_Drop_Down56[noch nicht gewählt])&gt;0)),ROW()-3)),"")</f>
        <v/>
      </c>
      <c r="AA11" s="2200" t="str">
        <f>IFERROR(INDEX(PFL_Schutz_Drop_Down56[noch nicht gewählt],_xlfn.AGGREGATE(15,6,ROW(PFL_Schutz_Drop_Down56[noch nicht gewählt])-3/(--(SEARCH($A$25,PFL_Schutz_Drop_Down56[noch nicht gewählt])&gt;0)),ROW()-3)),"")</f>
        <v/>
      </c>
      <c r="AB11" s="2200" t="str">
        <f>IFERROR(INDEX(PFL_Schutz_Drop_Down56[noch nicht gewählt],_xlfn.AGGREGATE(15,6,ROW(PFL_Schutz_Drop_Down56[noch nicht gewählt])-3/(--(SEARCH($A$27,PFL_Schutz_Drop_Down56[noch nicht gewählt])&gt;0)),ROW()-3)),"")</f>
        <v/>
      </c>
      <c r="AC11" s="2200" t="str">
        <f>IFERROR(INDEX(PFL_Schutz_Drop_Down56[noch nicht gewählt],_xlfn.AGGREGATE(15,6,ROW(PFL_Schutz_Drop_Down56[noch nicht gewählt])-3/(--(SEARCH($A$29,PFL_Schutz_Drop_Down56[noch nicht gewählt])&gt;0)),ROW()-3)),"")</f>
        <v/>
      </c>
      <c r="AD11" s="2200" t="str">
        <f>IFERROR(INDEX(PFL_Schutz_Drop_Down56[noch nicht gewählt],_xlfn.AGGREGATE(15,6,ROW(PFL_Schutz_Drop_Down56[noch nicht gewählt])-3/(--(SEARCH($A$31,PFL_Schutz_Drop_Down56[noch nicht gewählt])&gt;0)),ROW()-3)),"")</f>
        <v/>
      </c>
      <c r="AE11" s="2200" t="str">
        <f>IFERROR(INDEX(PFL_Schutz_Drop_Down56[noch nicht gewählt],_xlfn.AGGREGATE(15,6,ROW(PFL_Schutz_Drop_Down56[noch nicht gewählt])-3/(--(SEARCH($A$33,PFL_Schutz_Drop_Down56[noch nicht gewählt])&gt;0)),ROW()-3)),"")</f>
        <v/>
      </c>
      <c r="AF11" s="2200" t="str">
        <f>IFERROR(INDEX(PFL_Schutz_Drop_Down56[noch nicht gewählt],_xlfn.AGGREGATE(15,6,ROW(PFL_Schutz_Drop_Down56[noch nicht gewählt])-3/(--(SEARCH($A$35,PFL_Schutz_Drop_Down56[noch nicht gewählt])&gt;0)),ROW()-3)),"")</f>
        <v/>
      </c>
      <c r="AG11" s="2200" t="str">
        <f>IFERROR(INDEX(PFL_Schutz_Drop_Down56[noch nicht gewählt],_xlfn.AGGREGATE(15,6,ROW(PFL_Schutz_Drop_Down56[noch nicht gewählt])-3/(--(SEARCH($A$37,PFL_Schutz_Drop_Down56[noch nicht gewählt])&gt;0)),ROW()-3)),"")</f>
        <v/>
      </c>
      <c r="AH11" s="2200" t="str">
        <f>IFERROR(INDEX(PFL_Schutz_Drop_Down56[noch nicht gewählt],_xlfn.AGGREGATE(15,6,ROW(PFL_Schutz_Drop_Down56[noch nicht gewählt])-3/(--(SEARCH($A$39,PFL_Schutz_Drop_Down56[noch nicht gewählt])&gt;0)),ROW()-3)),"")</f>
        <v/>
      </c>
      <c r="AI11" s="2200" t="str">
        <f>IFERROR(INDEX(PFL_Schutz_Drop_Down56[noch nicht gewählt],_xlfn.AGGREGATE(15,6,ROW(PFL_Schutz_Drop_Down56[noch nicht gewählt])-3/(--(SEARCH($A$41,PFL_Schutz_Drop_Down56[noch nicht gewählt])&gt;0)),ROW()-3)),"")</f>
        <v/>
      </c>
      <c r="AJ11" s="2200" t="str">
        <f>IFERROR(INDEX(PFL_Schutz_Drop_Down56[noch nicht gewählt],_xlfn.AGGREGATE(15,6,ROW(PFL_Schutz_Drop_Down56[noch nicht gewählt])-3/(--(SEARCH($A$43,PFL_Schutz_Drop_Down56[noch nicht gewählt])&gt;0)),ROW()-3)),"")</f>
        <v/>
      </c>
      <c r="AK11" s="2200" t="str">
        <f>IFERROR(INDEX(PFL_Schutz_Drop_Down56[noch nicht gewählt],_xlfn.AGGREGATE(15,6,ROW(PFL_Schutz_Drop_Down56[noch nicht gewählt])-3/(--(SEARCH($A$45,PFL_Schutz_Drop_Down56[noch nicht gewählt])&gt;0)),ROW()-3)),"")</f>
        <v/>
      </c>
      <c r="AL11" s="2200" t="str">
        <f>IFERROR(INDEX(PFL_Schutz_Drop_Down56[noch nicht gewählt],_xlfn.AGGREGATE(15,6,ROW(PFL_Schutz_Drop_Down56[noch nicht gewählt])-3/(--(SEARCH($A$47,PFL_Schutz_Drop_Down56[noch nicht gewählt])&gt;0)),ROW()-3)),"")</f>
        <v/>
      </c>
      <c r="AM11" s="2200" t="str">
        <f>IFERROR(INDEX(PFL_Schutz_Drop_Down56[noch nicht gewählt],_xlfn.AGGREGATE(15,6,ROW(PFL_Schutz_Drop_Down56[noch nicht gewählt])-3/(--(SEARCH($A$49,PFL_Schutz_Drop_Down56[noch nicht gewählt])&gt;0)),ROW()-3)),"")</f>
        <v/>
      </c>
      <c r="AN11" s="2200" t="str">
        <f>IFERROR(INDEX(PFL_Schutz_Drop_Down56[noch nicht gewählt],_xlfn.AGGREGATE(15,6,ROW(PFL_Schutz_Drop_Down56[noch nicht gewählt])-3/(--(SEARCH($A$51,PFL_Schutz_Drop_Down56[noch nicht gewählt])&gt;0)),ROW()-3)),"")</f>
        <v/>
      </c>
      <c r="AO11" s="2200" t="str">
        <f>IFERROR(INDEX(PFL_Schutz_Drop_Down56[noch nicht gewählt],_xlfn.AGGREGATE(15,6,ROW(PFL_Schutz_Drop_Down56[noch nicht gewählt])-3/(--(SEARCH($A$53,PFL_Schutz_Drop_Down56[noch nicht gewählt])&gt;0)),ROW()-3)),"")</f>
        <v/>
      </c>
      <c r="AP11" s="2200" t="str">
        <f>IFERROR(INDEX(PFL_Schutz_Drop_Down56[noch nicht gewählt],_xlfn.AGGREGATE(15,6,ROW(PFL_Schutz_Drop_Down56[noch nicht gewählt])-3/(--(SEARCH($A$55,PFL_Schutz_Drop_Down56[noch nicht gewählt])&gt;0)),ROW()-3)),"")</f>
        <v/>
      </c>
      <c r="AQ11" s="2200" t="str">
        <f>IFERROR(INDEX(PFL_Schutz_Drop_Down56[noch nicht gewählt],_xlfn.AGGREGATE(15,6,ROW(PFL_Schutz_Drop_Down56[noch nicht gewählt])-3/(--(SEARCH($A$57,PFL_Schutz_Drop_Down56[noch nicht gewählt])&gt;0)),ROW()-3)),"")</f>
        <v/>
      </c>
      <c r="AR11" s="2200" t="str">
        <f>IFERROR(INDEX(PFL_Schutz_Drop_Down56[noch nicht gewählt],_xlfn.AGGREGATE(15,6,ROW(PFL_Schutz_Drop_Down56[noch nicht gewählt])-3/(--(SEARCH($A$59,PFL_Schutz_Drop_Down56[noch nicht gewählt])&gt;0)),ROW()-3)),"")</f>
        <v/>
      </c>
      <c r="AS11" s="2200" t="str">
        <f>IFERROR(INDEX(PFL_Schutz_Drop_Down56[noch nicht gewählt],_xlfn.AGGREGATE(15,6,ROW(PFL_Schutz_Drop_Down56[noch nicht gewählt])-3/(--(SEARCH($A$61,PFL_Schutz_Drop_Down56[noch nicht gewählt])&gt;0)),ROW()-3)),"")</f>
        <v/>
      </c>
      <c r="AT11" s="2200" t="str">
        <f>IFERROR(INDEX(PFL_Schutz_Drop_Down56[noch nicht gewählt],_xlfn.AGGREGATE(15,6,ROW(PFL_Schutz_Drop_Down56[noch nicht gewählt])-3/(--(SEARCH($A$63,PFL_Schutz_Drop_Down56[noch nicht gewählt])&gt;0)),ROW()-3)),"")</f>
        <v/>
      </c>
      <c r="AU11" s="2200" t="str">
        <f>IFERROR(INDEX(PFL_Schutz_Drop_Down56[noch nicht gewählt],_xlfn.AGGREGATE(15,6,ROW(PFL_Schutz_Drop_Down56[noch nicht gewählt])-3/(--(SEARCH($A$65,PFL_Schutz_Drop_Down56[noch nicht gewählt])&gt;0)),ROW()-3)),"")</f>
        <v/>
      </c>
      <c r="AV11" s="2200" t="str">
        <f>IFERROR(INDEX(PFL_Schutz_Drop_Down56[noch nicht gewählt],_xlfn.AGGREGATE(15,6,ROW(PFL_Schutz_Drop_Down56[noch nicht gewählt])-3/(--(SEARCH($A$67,PFL_Schutz_Drop_Down56[noch nicht gewählt])&gt;0)),ROW()-3)),"")</f>
        <v/>
      </c>
      <c r="AW11" s="2200" t="str">
        <f>IFERROR(INDEX(PFL_Schutz_Drop_Down56[noch nicht gewählt],_xlfn.AGGREGATE(15,6,ROW(PFL_Schutz_Drop_Down56[noch nicht gewählt])-3/(--(SEARCH($A$69,PFL_Schutz_Drop_Down56[noch nicht gewählt])&gt;0)),ROW()-3)),"")</f>
        <v/>
      </c>
      <c r="AX11" s="2200" t="str">
        <f>IFERROR(INDEX(PFL_Schutz_Drop_Down56[noch nicht gewählt],_xlfn.AGGREGATE(15,6,ROW(PFL_Schutz_Drop_Down56[noch nicht gewählt])-3/(--(SEARCH($A$71,PFL_Schutz_Drop_Down56[noch nicht gewählt])&gt;0)),ROW()-3)),"")</f>
        <v/>
      </c>
      <c r="AY11" s="2200" t="str">
        <f>IFERROR(INDEX(PFL_Schutz_Drop_Down56[noch nicht gewählt],_xlfn.AGGREGATE(15,6,ROW(PFL_Schutz_Drop_Down56[noch nicht gewählt])-3/(--(SEARCH($A$73,PFL_Schutz_Drop_Down56[noch nicht gewählt])&gt;0)),ROW()-3)),"")</f>
        <v/>
      </c>
      <c r="AZ11" s="2201" t="str">
        <f>IFERROR(INDEX(PFL_Schutz_Drop_Down56[noch nicht gewählt],_xlfn.AGGREGATE(15,6,ROW(PFL_Schutz_Drop_Down56[noch nicht gewählt])-3/(--(SEARCH($A$75,PFL_Schutz_Drop_Down56[noch nicht gewählt])&gt;0)),ROW()-3)),"")</f>
        <v/>
      </c>
    </row>
    <row r="12" spans="1:52" ht="19.5" customHeight="1">
      <c r="A12" s="3069" t="s">
        <v>2217</v>
      </c>
      <c r="B12" s="3069"/>
      <c r="C12" s="3069"/>
      <c r="D12" s="3069"/>
      <c r="E12" s="3069"/>
      <c r="F12" s="328"/>
      <c r="R12" s="2195">
        <f>Pfl_Schutz!E12</f>
        <v>0</v>
      </c>
      <c r="S12" s="2202">
        <f>COUNTIF($R$4:PFL_Schutz_Drop_Down56[[#This Row],[Produktname]],PFL_Schutz_Drop_Down56[[#This Row],[Produktname]])</f>
        <v>9</v>
      </c>
      <c r="T12" s="2203" t="str">
        <f>IFERROR(INDEX(R:R,_xlfn.AGGREGATE(15,6,ROW(PFL_Schutz_Drop_Down56[Produktname])/(PFL_Schutz_Drop_Down56[Auftretend]=1),ROW()-3)),"")</f>
        <v/>
      </c>
      <c r="U12" s="2198" t="str">
        <f>IF(COUNTIF($A$17:$A$76,PFL_Schutz_Drop_Down56[[#This Row],[Produktname eindeutig]])&gt;=1,"",ROW())</f>
        <v/>
      </c>
      <c r="V12" s="2198" t="str">
        <f t="shared" si="0"/>
        <v/>
      </c>
      <c r="W12" s="2199" t="str">
        <f>IFERROR(INDEX(PFL_Schutz_Drop_Down56[noch nicht gewählt],_xlfn.AGGREGATE(15,6,ROW(PFL_Schutz_Drop_Down56[noch nicht gewählt])-3/(--(SEARCH($A$17,PFL_Schutz_Drop_Down56[noch nicht gewählt])&gt;0)),ROW()-3)),"")</f>
        <v/>
      </c>
      <c r="X12" s="2175" t="str">
        <f>IFERROR(INDEX(PFL_Schutz_Drop_Down56[noch nicht gewählt],_xlfn.AGGREGATE(15,6,ROW(PFL_Schutz_Drop_Down56[noch nicht gewählt])-3/(--(SEARCH($A$19,PFL_Schutz_Drop_Down56[noch nicht gewählt])&gt;0)),ROW()-3)),"")</f>
        <v/>
      </c>
      <c r="Y12" s="2175" t="str">
        <f>IFERROR(INDEX(PFL_Schutz_Drop_Down56[noch nicht gewählt],_xlfn.AGGREGATE(15,6,ROW(PFL_Schutz_Drop_Down56[noch nicht gewählt])-3/(--(SEARCH($A$21,PFL_Schutz_Drop_Down56[noch nicht gewählt])&gt;0)),ROW()-3)),"")</f>
        <v/>
      </c>
      <c r="Z12" s="2200" t="str">
        <f>IFERROR(INDEX(PFL_Schutz_Drop_Down56[noch nicht gewählt],_xlfn.AGGREGATE(15,6,ROW(PFL_Schutz_Drop_Down56[noch nicht gewählt])-3/(--(SEARCH($A$23,PFL_Schutz_Drop_Down56[noch nicht gewählt])&gt;0)),ROW()-3)),"")</f>
        <v/>
      </c>
      <c r="AA12" s="2200" t="str">
        <f>IFERROR(INDEX(PFL_Schutz_Drop_Down56[noch nicht gewählt],_xlfn.AGGREGATE(15,6,ROW(PFL_Schutz_Drop_Down56[noch nicht gewählt])-3/(--(SEARCH($A$25,PFL_Schutz_Drop_Down56[noch nicht gewählt])&gt;0)),ROW()-3)),"")</f>
        <v/>
      </c>
      <c r="AB12" s="2200" t="str">
        <f>IFERROR(INDEX(PFL_Schutz_Drop_Down56[noch nicht gewählt],_xlfn.AGGREGATE(15,6,ROW(PFL_Schutz_Drop_Down56[noch nicht gewählt])-3/(--(SEARCH($A$27,PFL_Schutz_Drop_Down56[noch nicht gewählt])&gt;0)),ROW()-3)),"")</f>
        <v/>
      </c>
      <c r="AC12" s="2200" t="str">
        <f>IFERROR(INDEX(PFL_Schutz_Drop_Down56[noch nicht gewählt],_xlfn.AGGREGATE(15,6,ROW(PFL_Schutz_Drop_Down56[noch nicht gewählt])-3/(--(SEARCH($A$29,PFL_Schutz_Drop_Down56[noch nicht gewählt])&gt;0)),ROW()-3)),"")</f>
        <v/>
      </c>
      <c r="AD12" s="2200" t="str">
        <f>IFERROR(INDEX(PFL_Schutz_Drop_Down56[noch nicht gewählt],_xlfn.AGGREGATE(15,6,ROW(PFL_Schutz_Drop_Down56[noch nicht gewählt])-3/(--(SEARCH($A$31,PFL_Schutz_Drop_Down56[noch nicht gewählt])&gt;0)),ROW()-3)),"")</f>
        <v/>
      </c>
      <c r="AE12" s="2200" t="str">
        <f>IFERROR(INDEX(PFL_Schutz_Drop_Down56[noch nicht gewählt],_xlfn.AGGREGATE(15,6,ROW(PFL_Schutz_Drop_Down56[noch nicht gewählt])-3/(--(SEARCH($A$33,PFL_Schutz_Drop_Down56[noch nicht gewählt])&gt;0)),ROW()-3)),"")</f>
        <v/>
      </c>
      <c r="AF12" s="2200" t="str">
        <f>IFERROR(INDEX(PFL_Schutz_Drop_Down56[noch nicht gewählt],_xlfn.AGGREGATE(15,6,ROW(PFL_Schutz_Drop_Down56[noch nicht gewählt])-3/(--(SEARCH($A$35,PFL_Schutz_Drop_Down56[noch nicht gewählt])&gt;0)),ROW()-3)),"")</f>
        <v/>
      </c>
      <c r="AG12" s="2200" t="str">
        <f>IFERROR(INDEX(PFL_Schutz_Drop_Down56[noch nicht gewählt],_xlfn.AGGREGATE(15,6,ROW(PFL_Schutz_Drop_Down56[noch nicht gewählt])-3/(--(SEARCH($A$37,PFL_Schutz_Drop_Down56[noch nicht gewählt])&gt;0)),ROW()-3)),"")</f>
        <v/>
      </c>
      <c r="AH12" s="2200" t="str">
        <f>IFERROR(INDEX(PFL_Schutz_Drop_Down56[noch nicht gewählt],_xlfn.AGGREGATE(15,6,ROW(PFL_Schutz_Drop_Down56[noch nicht gewählt])-3/(--(SEARCH($A$39,PFL_Schutz_Drop_Down56[noch nicht gewählt])&gt;0)),ROW()-3)),"")</f>
        <v/>
      </c>
      <c r="AI12" s="2200" t="str">
        <f>IFERROR(INDEX(PFL_Schutz_Drop_Down56[noch nicht gewählt],_xlfn.AGGREGATE(15,6,ROW(PFL_Schutz_Drop_Down56[noch nicht gewählt])-3/(--(SEARCH($A$41,PFL_Schutz_Drop_Down56[noch nicht gewählt])&gt;0)),ROW()-3)),"")</f>
        <v/>
      </c>
      <c r="AJ12" s="2200" t="str">
        <f>IFERROR(INDEX(PFL_Schutz_Drop_Down56[noch nicht gewählt],_xlfn.AGGREGATE(15,6,ROW(PFL_Schutz_Drop_Down56[noch nicht gewählt])-3/(--(SEARCH($A$43,PFL_Schutz_Drop_Down56[noch nicht gewählt])&gt;0)),ROW()-3)),"")</f>
        <v/>
      </c>
      <c r="AK12" s="2200" t="str">
        <f>IFERROR(INDEX(PFL_Schutz_Drop_Down56[noch nicht gewählt],_xlfn.AGGREGATE(15,6,ROW(PFL_Schutz_Drop_Down56[noch nicht gewählt])-3/(--(SEARCH($A$45,PFL_Schutz_Drop_Down56[noch nicht gewählt])&gt;0)),ROW()-3)),"")</f>
        <v/>
      </c>
      <c r="AL12" s="2200" t="str">
        <f>IFERROR(INDEX(PFL_Schutz_Drop_Down56[noch nicht gewählt],_xlfn.AGGREGATE(15,6,ROW(PFL_Schutz_Drop_Down56[noch nicht gewählt])-3/(--(SEARCH($A$47,PFL_Schutz_Drop_Down56[noch nicht gewählt])&gt;0)),ROW()-3)),"")</f>
        <v/>
      </c>
      <c r="AM12" s="2200" t="str">
        <f>IFERROR(INDEX(PFL_Schutz_Drop_Down56[noch nicht gewählt],_xlfn.AGGREGATE(15,6,ROW(PFL_Schutz_Drop_Down56[noch nicht gewählt])-3/(--(SEARCH($A$49,PFL_Schutz_Drop_Down56[noch nicht gewählt])&gt;0)),ROW()-3)),"")</f>
        <v/>
      </c>
      <c r="AN12" s="2200" t="str">
        <f>IFERROR(INDEX(PFL_Schutz_Drop_Down56[noch nicht gewählt],_xlfn.AGGREGATE(15,6,ROW(PFL_Schutz_Drop_Down56[noch nicht gewählt])-3/(--(SEARCH($A$51,PFL_Schutz_Drop_Down56[noch nicht gewählt])&gt;0)),ROW()-3)),"")</f>
        <v/>
      </c>
      <c r="AO12" s="2200" t="str">
        <f>IFERROR(INDEX(PFL_Schutz_Drop_Down56[noch nicht gewählt],_xlfn.AGGREGATE(15,6,ROW(PFL_Schutz_Drop_Down56[noch nicht gewählt])-3/(--(SEARCH($A$53,PFL_Schutz_Drop_Down56[noch nicht gewählt])&gt;0)),ROW()-3)),"")</f>
        <v/>
      </c>
      <c r="AP12" s="2200" t="str">
        <f>IFERROR(INDEX(PFL_Schutz_Drop_Down56[noch nicht gewählt],_xlfn.AGGREGATE(15,6,ROW(PFL_Schutz_Drop_Down56[noch nicht gewählt])-3/(--(SEARCH($A$55,PFL_Schutz_Drop_Down56[noch nicht gewählt])&gt;0)),ROW()-3)),"")</f>
        <v/>
      </c>
      <c r="AQ12" s="2200" t="str">
        <f>IFERROR(INDEX(PFL_Schutz_Drop_Down56[noch nicht gewählt],_xlfn.AGGREGATE(15,6,ROW(PFL_Schutz_Drop_Down56[noch nicht gewählt])-3/(--(SEARCH($A$57,PFL_Schutz_Drop_Down56[noch nicht gewählt])&gt;0)),ROW()-3)),"")</f>
        <v/>
      </c>
      <c r="AR12" s="2200" t="str">
        <f>IFERROR(INDEX(PFL_Schutz_Drop_Down56[noch nicht gewählt],_xlfn.AGGREGATE(15,6,ROW(PFL_Schutz_Drop_Down56[noch nicht gewählt])-3/(--(SEARCH($A$59,PFL_Schutz_Drop_Down56[noch nicht gewählt])&gt;0)),ROW()-3)),"")</f>
        <v/>
      </c>
      <c r="AS12" s="2200" t="str">
        <f>IFERROR(INDEX(PFL_Schutz_Drop_Down56[noch nicht gewählt],_xlfn.AGGREGATE(15,6,ROW(PFL_Schutz_Drop_Down56[noch nicht gewählt])-3/(--(SEARCH($A$61,PFL_Schutz_Drop_Down56[noch nicht gewählt])&gt;0)),ROW()-3)),"")</f>
        <v/>
      </c>
      <c r="AT12" s="2200" t="str">
        <f>IFERROR(INDEX(PFL_Schutz_Drop_Down56[noch nicht gewählt],_xlfn.AGGREGATE(15,6,ROW(PFL_Schutz_Drop_Down56[noch nicht gewählt])-3/(--(SEARCH($A$63,PFL_Schutz_Drop_Down56[noch nicht gewählt])&gt;0)),ROW()-3)),"")</f>
        <v/>
      </c>
      <c r="AU12" s="2200" t="str">
        <f>IFERROR(INDEX(PFL_Schutz_Drop_Down56[noch nicht gewählt],_xlfn.AGGREGATE(15,6,ROW(PFL_Schutz_Drop_Down56[noch nicht gewählt])-3/(--(SEARCH($A$65,PFL_Schutz_Drop_Down56[noch nicht gewählt])&gt;0)),ROW()-3)),"")</f>
        <v/>
      </c>
      <c r="AV12" s="2200" t="str">
        <f>IFERROR(INDEX(PFL_Schutz_Drop_Down56[noch nicht gewählt],_xlfn.AGGREGATE(15,6,ROW(PFL_Schutz_Drop_Down56[noch nicht gewählt])-3/(--(SEARCH($A$67,PFL_Schutz_Drop_Down56[noch nicht gewählt])&gt;0)),ROW()-3)),"")</f>
        <v/>
      </c>
      <c r="AW12" s="2200" t="str">
        <f>IFERROR(INDEX(PFL_Schutz_Drop_Down56[noch nicht gewählt],_xlfn.AGGREGATE(15,6,ROW(PFL_Schutz_Drop_Down56[noch nicht gewählt])-3/(--(SEARCH($A$69,PFL_Schutz_Drop_Down56[noch nicht gewählt])&gt;0)),ROW()-3)),"")</f>
        <v/>
      </c>
      <c r="AX12" s="2200" t="str">
        <f>IFERROR(INDEX(PFL_Schutz_Drop_Down56[noch nicht gewählt],_xlfn.AGGREGATE(15,6,ROW(PFL_Schutz_Drop_Down56[noch nicht gewählt])-3/(--(SEARCH($A$71,PFL_Schutz_Drop_Down56[noch nicht gewählt])&gt;0)),ROW()-3)),"")</f>
        <v/>
      </c>
      <c r="AY12" s="2200" t="str">
        <f>IFERROR(INDEX(PFL_Schutz_Drop_Down56[noch nicht gewählt],_xlfn.AGGREGATE(15,6,ROW(PFL_Schutz_Drop_Down56[noch nicht gewählt])-3/(--(SEARCH($A$73,PFL_Schutz_Drop_Down56[noch nicht gewählt])&gt;0)),ROW()-3)),"")</f>
        <v/>
      </c>
      <c r="AZ12" s="2201" t="str">
        <f>IFERROR(INDEX(PFL_Schutz_Drop_Down56[noch nicht gewählt],_xlfn.AGGREGATE(15,6,ROW(PFL_Schutz_Drop_Down56[noch nicht gewählt])-3/(--(SEARCH($A$75,PFL_Schutz_Drop_Down56[noch nicht gewählt])&gt;0)),ROW()-3)),"")</f>
        <v/>
      </c>
    </row>
    <row r="13" spans="1:52" ht="19.5" customHeight="1">
      <c r="A13" s="3069"/>
      <c r="B13" s="3069"/>
      <c r="C13" s="3069"/>
      <c r="D13" s="3069"/>
      <c r="E13" s="3069"/>
      <c r="R13" s="2195">
        <f>Pfl_Schutz!E13</f>
        <v>0</v>
      </c>
      <c r="S13" s="2202">
        <f>COUNTIF($R$4:PFL_Schutz_Drop_Down56[[#This Row],[Produktname]],PFL_Schutz_Drop_Down56[[#This Row],[Produktname]])</f>
        <v>10</v>
      </c>
      <c r="T13" s="2203" t="str">
        <f>IFERROR(INDEX(R:R,_xlfn.AGGREGATE(15,6,ROW(PFL_Schutz_Drop_Down56[Produktname])/(PFL_Schutz_Drop_Down56[Auftretend]=1),ROW()-3)),"")</f>
        <v/>
      </c>
      <c r="U13" s="2198" t="str">
        <f>IF(COUNTIF($A$17:$A$76,PFL_Schutz_Drop_Down56[[#This Row],[Produktname eindeutig]])&gt;=1,"",ROW())</f>
        <v/>
      </c>
      <c r="V13" s="2198" t="str">
        <f t="shared" si="0"/>
        <v/>
      </c>
      <c r="W13" s="2199" t="str">
        <f>IFERROR(INDEX(PFL_Schutz_Drop_Down56[noch nicht gewählt],_xlfn.AGGREGATE(15,6,ROW(PFL_Schutz_Drop_Down56[noch nicht gewählt])-3/(--(SEARCH($A$17,PFL_Schutz_Drop_Down56[noch nicht gewählt])&gt;0)),ROW()-3)),"")</f>
        <v/>
      </c>
      <c r="X13" s="2175" t="str">
        <f>IFERROR(INDEX(PFL_Schutz_Drop_Down56[noch nicht gewählt],_xlfn.AGGREGATE(15,6,ROW(PFL_Schutz_Drop_Down56[noch nicht gewählt])-3/(--(SEARCH($A$19,PFL_Schutz_Drop_Down56[noch nicht gewählt])&gt;0)),ROW()-3)),"")</f>
        <v/>
      </c>
      <c r="Y13" s="2175" t="str">
        <f>IFERROR(INDEX(PFL_Schutz_Drop_Down56[noch nicht gewählt],_xlfn.AGGREGATE(15,6,ROW(PFL_Schutz_Drop_Down56[noch nicht gewählt])-3/(--(SEARCH($A$21,PFL_Schutz_Drop_Down56[noch nicht gewählt])&gt;0)),ROW()-3)),"")</f>
        <v/>
      </c>
      <c r="Z13" s="2200" t="str">
        <f>IFERROR(INDEX(PFL_Schutz_Drop_Down56[noch nicht gewählt],_xlfn.AGGREGATE(15,6,ROW(PFL_Schutz_Drop_Down56[noch nicht gewählt])-3/(--(SEARCH($A$23,PFL_Schutz_Drop_Down56[noch nicht gewählt])&gt;0)),ROW()-3)),"")</f>
        <v/>
      </c>
      <c r="AA13" s="2200" t="str">
        <f>IFERROR(INDEX(PFL_Schutz_Drop_Down56[noch nicht gewählt],_xlfn.AGGREGATE(15,6,ROW(PFL_Schutz_Drop_Down56[noch nicht gewählt])-3/(--(SEARCH($A$25,PFL_Schutz_Drop_Down56[noch nicht gewählt])&gt;0)),ROW()-3)),"")</f>
        <v/>
      </c>
      <c r="AB13" s="2200" t="str">
        <f>IFERROR(INDEX(PFL_Schutz_Drop_Down56[noch nicht gewählt],_xlfn.AGGREGATE(15,6,ROW(PFL_Schutz_Drop_Down56[noch nicht gewählt])-3/(--(SEARCH($A$27,PFL_Schutz_Drop_Down56[noch nicht gewählt])&gt;0)),ROW()-3)),"")</f>
        <v/>
      </c>
      <c r="AC13" s="2200" t="str">
        <f>IFERROR(INDEX(PFL_Schutz_Drop_Down56[noch nicht gewählt],_xlfn.AGGREGATE(15,6,ROW(PFL_Schutz_Drop_Down56[noch nicht gewählt])-3/(--(SEARCH($A$29,PFL_Schutz_Drop_Down56[noch nicht gewählt])&gt;0)),ROW()-3)),"")</f>
        <v/>
      </c>
      <c r="AD13" s="2200" t="str">
        <f>IFERROR(INDEX(PFL_Schutz_Drop_Down56[noch nicht gewählt],_xlfn.AGGREGATE(15,6,ROW(PFL_Schutz_Drop_Down56[noch nicht gewählt])-3/(--(SEARCH($A$31,PFL_Schutz_Drop_Down56[noch nicht gewählt])&gt;0)),ROW()-3)),"")</f>
        <v/>
      </c>
      <c r="AE13" s="2200" t="str">
        <f>IFERROR(INDEX(PFL_Schutz_Drop_Down56[noch nicht gewählt],_xlfn.AGGREGATE(15,6,ROW(PFL_Schutz_Drop_Down56[noch nicht gewählt])-3/(--(SEARCH($A$33,PFL_Schutz_Drop_Down56[noch nicht gewählt])&gt;0)),ROW()-3)),"")</f>
        <v/>
      </c>
      <c r="AF13" s="2200" t="str">
        <f>IFERROR(INDEX(PFL_Schutz_Drop_Down56[noch nicht gewählt],_xlfn.AGGREGATE(15,6,ROW(PFL_Schutz_Drop_Down56[noch nicht gewählt])-3/(--(SEARCH($A$35,PFL_Schutz_Drop_Down56[noch nicht gewählt])&gt;0)),ROW()-3)),"")</f>
        <v/>
      </c>
      <c r="AG13" s="2200" t="str">
        <f>IFERROR(INDEX(PFL_Schutz_Drop_Down56[noch nicht gewählt],_xlfn.AGGREGATE(15,6,ROW(PFL_Schutz_Drop_Down56[noch nicht gewählt])-3/(--(SEARCH($A$37,PFL_Schutz_Drop_Down56[noch nicht gewählt])&gt;0)),ROW()-3)),"")</f>
        <v/>
      </c>
      <c r="AH13" s="2200" t="str">
        <f>IFERROR(INDEX(PFL_Schutz_Drop_Down56[noch nicht gewählt],_xlfn.AGGREGATE(15,6,ROW(PFL_Schutz_Drop_Down56[noch nicht gewählt])-3/(--(SEARCH($A$39,PFL_Schutz_Drop_Down56[noch nicht gewählt])&gt;0)),ROW()-3)),"")</f>
        <v/>
      </c>
      <c r="AI13" s="2200" t="str">
        <f>IFERROR(INDEX(PFL_Schutz_Drop_Down56[noch nicht gewählt],_xlfn.AGGREGATE(15,6,ROW(PFL_Schutz_Drop_Down56[noch nicht gewählt])-3/(--(SEARCH($A$41,PFL_Schutz_Drop_Down56[noch nicht gewählt])&gt;0)),ROW()-3)),"")</f>
        <v/>
      </c>
      <c r="AJ13" s="2200" t="str">
        <f>IFERROR(INDEX(PFL_Schutz_Drop_Down56[noch nicht gewählt],_xlfn.AGGREGATE(15,6,ROW(PFL_Schutz_Drop_Down56[noch nicht gewählt])-3/(--(SEARCH($A$43,PFL_Schutz_Drop_Down56[noch nicht gewählt])&gt;0)),ROW()-3)),"")</f>
        <v/>
      </c>
      <c r="AK13" s="2200" t="str">
        <f>IFERROR(INDEX(PFL_Schutz_Drop_Down56[noch nicht gewählt],_xlfn.AGGREGATE(15,6,ROW(PFL_Schutz_Drop_Down56[noch nicht gewählt])-3/(--(SEARCH($A$45,PFL_Schutz_Drop_Down56[noch nicht gewählt])&gt;0)),ROW()-3)),"")</f>
        <v/>
      </c>
      <c r="AL13" s="2200" t="str">
        <f>IFERROR(INDEX(PFL_Schutz_Drop_Down56[noch nicht gewählt],_xlfn.AGGREGATE(15,6,ROW(PFL_Schutz_Drop_Down56[noch nicht gewählt])-3/(--(SEARCH($A$47,PFL_Schutz_Drop_Down56[noch nicht gewählt])&gt;0)),ROW()-3)),"")</f>
        <v/>
      </c>
      <c r="AM13" s="2200" t="str">
        <f>IFERROR(INDEX(PFL_Schutz_Drop_Down56[noch nicht gewählt],_xlfn.AGGREGATE(15,6,ROW(PFL_Schutz_Drop_Down56[noch nicht gewählt])-3/(--(SEARCH($A$49,PFL_Schutz_Drop_Down56[noch nicht gewählt])&gt;0)),ROW()-3)),"")</f>
        <v/>
      </c>
      <c r="AN13" s="2200" t="str">
        <f>IFERROR(INDEX(PFL_Schutz_Drop_Down56[noch nicht gewählt],_xlfn.AGGREGATE(15,6,ROW(PFL_Schutz_Drop_Down56[noch nicht gewählt])-3/(--(SEARCH($A$51,PFL_Schutz_Drop_Down56[noch nicht gewählt])&gt;0)),ROW()-3)),"")</f>
        <v/>
      </c>
      <c r="AO13" s="2200" t="str">
        <f>IFERROR(INDEX(PFL_Schutz_Drop_Down56[noch nicht gewählt],_xlfn.AGGREGATE(15,6,ROW(PFL_Schutz_Drop_Down56[noch nicht gewählt])-3/(--(SEARCH($A$53,PFL_Schutz_Drop_Down56[noch nicht gewählt])&gt;0)),ROW()-3)),"")</f>
        <v/>
      </c>
      <c r="AP13" s="2200" t="str">
        <f>IFERROR(INDEX(PFL_Schutz_Drop_Down56[noch nicht gewählt],_xlfn.AGGREGATE(15,6,ROW(PFL_Schutz_Drop_Down56[noch nicht gewählt])-3/(--(SEARCH($A$55,PFL_Schutz_Drop_Down56[noch nicht gewählt])&gt;0)),ROW()-3)),"")</f>
        <v/>
      </c>
      <c r="AQ13" s="2200" t="str">
        <f>IFERROR(INDEX(PFL_Schutz_Drop_Down56[noch nicht gewählt],_xlfn.AGGREGATE(15,6,ROW(PFL_Schutz_Drop_Down56[noch nicht gewählt])-3/(--(SEARCH($A$57,PFL_Schutz_Drop_Down56[noch nicht gewählt])&gt;0)),ROW()-3)),"")</f>
        <v/>
      </c>
      <c r="AR13" s="2200" t="str">
        <f>IFERROR(INDEX(PFL_Schutz_Drop_Down56[noch nicht gewählt],_xlfn.AGGREGATE(15,6,ROW(PFL_Schutz_Drop_Down56[noch nicht gewählt])-3/(--(SEARCH($A$59,PFL_Schutz_Drop_Down56[noch nicht gewählt])&gt;0)),ROW()-3)),"")</f>
        <v/>
      </c>
      <c r="AS13" s="2200" t="str">
        <f>IFERROR(INDEX(PFL_Schutz_Drop_Down56[noch nicht gewählt],_xlfn.AGGREGATE(15,6,ROW(PFL_Schutz_Drop_Down56[noch nicht gewählt])-3/(--(SEARCH($A$61,PFL_Schutz_Drop_Down56[noch nicht gewählt])&gt;0)),ROW()-3)),"")</f>
        <v/>
      </c>
      <c r="AT13" s="2200" t="str">
        <f>IFERROR(INDEX(PFL_Schutz_Drop_Down56[noch nicht gewählt],_xlfn.AGGREGATE(15,6,ROW(PFL_Schutz_Drop_Down56[noch nicht gewählt])-3/(--(SEARCH($A$63,PFL_Schutz_Drop_Down56[noch nicht gewählt])&gt;0)),ROW()-3)),"")</f>
        <v/>
      </c>
      <c r="AU13" s="2200" t="str">
        <f>IFERROR(INDEX(PFL_Schutz_Drop_Down56[noch nicht gewählt],_xlfn.AGGREGATE(15,6,ROW(PFL_Schutz_Drop_Down56[noch nicht gewählt])-3/(--(SEARCH($A$65,PFL_Schutz_Drop_Down56[noch nicht gewählt])&gt;0)),ROW()-3)),"")</f>
        <v/>
      </c>
      <c r="AV13" s="2200" t="str">
        <f>IFERROR(INDEX(PFL_Schutz_Drop_Down56[noch nicht gewählt],_xlfn.AGGREGATE(15,6,ROW(PFL_Schutz_Drop_Down56[noch nicht gewählt])-3/(--(SEARCH($A$67,PFL_Schutz_Drop_Down56[noch nicht gewählt])&gt;0)),ROW()-3)),"")</f>
        <v/>
      </c>
      <c r="AW13" s="2200" t="str">
        <f>IFERROR(INDEX(PFL_Schutz_Drop_Down56[noch nicht gewählt],_xlfn.AGGREGATE(15,6,ROW(PFL_Schutz_Drop_Down56[noch nicht gewählt])-3/(--(SEARCH($A$69,PFL_Schutz_Drop_Down56[noch nicht gewählt])&gt;0)),ROW()-3)),"")</f>
        <v/>
      </c>
      <c r="AX13" s="2200" t="str">
        <f>IFERROR(INDEX(PFL_Schutz_Drop_Down56[noch nicht gewählt],_xlfn.AGGREGATE(15,6,ROW(PFL_Schutz_Drop_Down56[noch nicht gewählt])-3/(--(SEARCH($A$71,PFL_Schutz_Drop_Down56[noch nicht gewählt])&gt;0)),ROW()-3)),"")</f>
        <v/>
      </c>
      <c r="AY13" s="2200" t="str">
        <f>IFERROR(INDEX(PFL_Schutz_Drop_Down56[noch nicht gewählt],_xlfn.AGGREGATE(15,6,ROW(PFL_Schutz_Drop_Down56[noch nicht gewählt])-3/(--(SEARCH($A$73,PFL_Schutz_Drop_Down56[noch nicht gewählt])&gt;0)),ROW()-3)),"")</f>
        <v/>
      </c>
      <c r="AZ13" s="2201" t="str">
        <f>IFERROR(INDEX(PFL_Schutz_Drop_Down56[noch nicht gewählt],_xlfn.AGGREGATE(15,6,ROW(PFL_Schutz_Drop_Down56[noch nicht gewählt])-3/(--(SEARCH($A$75,PFL_Schutz_Drop_Down56[noch nicht gewählt])&gt;0)),ROW()-3)),"")</f>
        <v/>
      </c>
    </row>
    <row r="14" spans="1:52" ht="19.5" customHeight="1" thickBot="1">
      <c r="A14" s="3071"/>
      <c r="B14" s="3071"/>
      <c r="C14" s="3071"/>
      <c r="D14" s="3071"/>
      <c r="E14" s="3071"/>
      <c r="J14" s="2205"/>
      <c r="R14" s="2195">
        <f>Pfl_Schutz!E14</f>
        <v>0</v>
      </c>
      <c r="S14" s="2202">
        <f>COUNTIF($R$4:PFL_Schutz_Drop_Down56[[#This Row],[Produktname]],PFL_Schutz_Drop_Down56[[#This Row],[Produktname]])</f>
        <v>11</v>
      </c>
      <c r="T14" s="2203" t="str">
        <f>IFERROR(INDEX(R:R,_xlfn.AGGREGATE(15,6,ROW(PFL_Schutz_Drop_Down56[Produktname])/(PFL_Schutz_Drop_Down56[Auftretend]=1),ROW()-3)),"")</f>
        <v/>
      </c>
      <c r="U14" s="2198" t="str">
        <f>IF(COUNTIF($A$17:$A$76,PFL_Schutz_Drop_Down56[[#This Row],[Produktname eindeutig]])&gt;=1,"",ROW())</f>
        <v/>
      </c>
      <c r="V14" s="2198" t="str">
        <f t="shared" si="0"/>
        <v/>
      </c>
      <c r="W14" s="2199" t="str">
        <f>IFERROR(INDEX(PFL_Schutz_Drop_Down56[noch nicht gewählt],_xlfn.AGGREGATE(15,6,ROW(PFL_Schutz_Drop_Down56[noch nicht gewählt])-3/(--(SEARCH($A$17,PFL_Schutz_Drop_Down56[noch nicht gewählt])&gt;0)),ROW()-3)),"")</f>
        <v/>
      </c>
      <c r="X14" s="2175" t="str">
        <f>IFERROR(INDEX(PFL_Schutz_Drop_Down56[noch nicht gewählt],_xlfn.AGGREGATE(15,6,ROW(PFL_Schutz_Drop_Down56[noch nicht gewählt])-3/(--(SEARCH($A$19,PFL_Schutz_Drop_Down56[noch nicht gewählt])&gt;0)),ROW()-3)),"")</f>
        <v/>
      </c>
      <c r="Y14" s="2175" t="str">
        <f>IFERROR(INDEX(PFL_Schutz_Drop_Down56[noch nicht gewählt],_xlfn.AGGREGATE(15,6,ROW(PFL_Schutz_Drop_Down56[noch nicht gewählt])-3/(--(SEARCH($A$21,PFL_Schutz_Drop_Down56[noch nicht gewählt])&gt;0)),ROW()-3)),"")</f>
        <v/>
      </c>
      <c r="Z14" s="2200" t="str">
        <f>IFERROR(INDEX(PFL_Schutz_Drop_Down56[noch nicht gewählt],_xlfn.AGGREGATE(15,6,ROW(PFL_Schutz_Drop_Down56[noch nicht gewählt])-3/(--(SEARCH($A$23,PFL_Schutz_Drop_Down56[noch nicht gewählt])&gt;0)),ROW()-3)),"")</f>
        <v/>
      </c>
      <c r="AA14" s="2200" t="str">
        <f>IFERROR(INDEX(PFL_Schutz_Drop_Down56[noch nicht gewählt],_xlfn.AGGREGATE(15,6,ROW(PFL_Schutz_Drop_Down56[noch nicht gewählt])-3/(--(SEARCH($A$25,PFL_Schutz_Drop_Down56[noch nicht gewählt])&gt;0)),ROW()-3)),"")</f>
        <v/>
      </c>
      <c r="AB14" s="2200" t="str">
        <f>IFERROR(INDEX(PFL_Schutz_Drop_Down56[noch nicht gewählt],_xlfn.AGGREGATE(15,6,ROW(PFL_Schutz_Drop_Down56[noch nicht gewählt])-3/(--(SEARCH($A$27,PFL_Schutz_Drop_Down56[noch nicht gewählt])&gt;0)),ROW()-3)),"")</f>
        <v/>
      </c>
      <c r="AC14" s="2200" t="str">
        <f>IFERROR(INDEX(PFL_Schutz_Drop_Down56[noch nicht gewählt],_xlfn.AGGREGATE(15,6,ROW(PFL_Schutz_Drop_Down56[noch nicht gewählt])-3/(--(SEARCH($A$29,PFL_Schutz_Drop_Down56[noch nicht gewählt])&gt;0)),ROW()-3)),"")</f>
        <v/>
      </c>
      <c r="AD14" s="2200" t="str">
        <f>IFERROR(INDEX(PFL_Schutz_Drop_Down56[noch nicht gewählt],_xlfn.AGGREGATE(15,6,ROW(PFL_Schutz_Drop_Down56[noch nicht gewählt])-3/(--(SEARCH($A$31,PFL_Schutz_Drop_Down56[noch nicht gewählt])&gt;0)),ROW()-3)),"")</f>
        <v/>
      </c>
      <c r="AE14" s="2200" t="str">
        <f>IFERROR(INDEX(PFL_Schutz_Drop_Down56[noch nicht gewählt],_xlfn.AGGREGATE(15,6,ROW(PFL_Schutz_Drop_Down56[noch nicht gewählt])-3/(--(SEARCH($A$33,PFL_Schutz_Drop_Down56[noch nicht gewählt])&gt;0)),ROW()-3)),"")</f>
        <v/>
      </c>
      <c r="AF14" s="2200" t="str">
        <f>IFERROR(INDEX(PFL_Schutz_Drop_Down56[noch nicht gewählt],_xlfn.AGGREGATE(15,6,ROW(PFL_Schutz_Drop_Down56[noch nicht gewählt])-3/(--(SEARCH($A$35,PFL_Schutz_Drop_Down56[noch nicht gewählt])&gt;0)),ROW()-3)),"")</f>
        <v/>
      </c>
      <c r="AG14" s="2200" t="str">
        <f>IFERROR(INDEX(PFL_Schutz_Drop_Down56[noch nicht gewählt],_xlfn.AGGREGATE(15,6,ROW(PFL_Schutz_Drop_Down56[noch nicht gewählt])-3/(--(SEARCH($A$37,PFL_Schutz_Drop_Down56[noch nicht gewählt])&gt;0)),ROW()-3)),"")</f>
        <v/>
      </c>
      <c r="AH14" s="2200" t="str">
        <f>IFERROR(INDEX(PFL_Schutz_Drop_Down56[noch nicht gewählt],_xlfn.AGGREGATE(15,6,ROW(PFL_Schutz_Drop_Down56[noch nicht gewählt])-3/(--(SEARCH($A$39,PFL_Schutz_Drop_Down56[noch nicht gewählt])&gt;0)),ROW()-3)),"")</f>
        <v/>
      </c>
      <c r="AI14" s="2200" t="str">
        <f>IFERROR(INDEX(PFL_Schutz_Drop_Down56[noch nicht gewählt],_xlfn.AGGREGATE(15,6,ROW(PFL_Schutz_Drop_Down56[noch nicht gewählt])-3/(--(SEARCH($A$41,PFL_Schutz_Drop_Down56[noch nicht gewählt])&gt;0)),ROW()-3)),"")</f>
        <v/>
      </c>
      <c r="AJ14" s="2200" t="str">
        <f>IFERROR(INDEX(PFL_Schutz_Drop_Down56[noch nicht gewählt],_xlfn.AGGREGATE(15,6,ROW(PFL_Schutz_Drop_Down56[noch nicht gewählt])-3/(--(SEARCH($A$43,PFL_Schutz_Drop_Down56[noch nicht gewählt])&gt;0)),ROW()-3)),"")</f>
        <v/>
      </c>
      <c r="AK14" s="2200" t="str">
        <f>IFERROR(INDEX(PFL_Schutz_Drop_Down56[noch nicht gewählt],_xlfn.AGGREGATE(15,6,ROW(PFL_Schutz_Drop_Down56[noch nicht gewählt])-3/(--(SEARCH($A$45,PFL_Schutz_Drop_Down56[noch nicht gewählt])&gt;0)),ROW()-3)),"")</f>
        <v/>
      </c>
      <c r="AL14" s="2200" t="str">
        <f>IFERROR(INDEX(PFL_Schutz_Drop_Down56[noch nicht gewählt],_xlfn.AGGREGATE(15,6,ROW(PFL_Schutz_Drop_Down56[noch nicht gewählt])-3/(--(SEARCH($A$47,PFL_Schutz_Drop_Down56[noch nicht gewählt])&gt;0)),ROW()-3)),"")</f>
        <v/>
      </c>
      <c r="AM14" s="2200" t="str">
        <f>IFERROR(INDEX(PFL_Schutz_Drop_Down56[noch nicht gewählt],_xlfn.AGGREGATE(15,6,ROW(PFL_Schutz_Drop_Down56[noch nicht gewählt])-3/(--(SEARCH($A$49,PFL_Schutz_Drop_Down56[noch nicht gewählt])&gt;0)),ROW()-3)),"")</f>
        <v/>
      </c>
      <c r="AN14" s="2200" t="str">
        <f>IFERROR(INDEX(PFL_Schutz_Drop_Down56[noch nicht gewählt],_xlfn.AGGREGATE(15,6,ROW(PFL_Schutz_Drop_Down56[noch nicht gewählt])-3/(--(SEARCH($A$51,PFL_Schutz_Drop_Down56[noch nicht gewählt])&gt;0)),ROW()-3)),"")</f>
        <v/>
      </c>
      <c r="AO14" s="2200" t="str">
        <f>IFERROR(INDEX(PFL_Schutz_Drop_Down56[noch nicht gewählt],_xlfn.AGGREGATE(15,6,ROW(PFL_Schutz_Drop_Down56[noch nicht gewählt])-3/(--(SEARCH($A$53,PFL_Schutz_Drop_Down56[noch nicht gewählt])&gt;0)),ROW()-3)),"")</f>
        <v/>
      </c>
      <c r="AP14" s="2200" t="str">
        <f>IFERROR(INDEX(PFL_Schutz_Drop_Down56[noch nicht gewählt],_xlfn.AGGREGATE(15,6,ROW(PFL_Schutz_Drop_Down56[noch nicht gewählt])-3/(--(SEARCH($A$55,PFL_Schutz_Drop_Down56[noch nicht gewählt])&gt;0)),ROW()-3)),"")</f>
        <v/>
      </c>
      <c r="AQ14" s="2200" t="str">
        <f>IFERROR(INDEX(PFL_Schutz_Drop_Down56[noch nicht gewählt],_xlfn.AGGREGATE(15,6,ROW(PFL_Schutz_Drop_Down56[noch nicht gewählt])-3/(--(SEARCH($A$57,PFL_Schutz_Drop_Down56[noch nicht gewählt])&gt;0)),ROW()-3)),"")</f>
        <v/>
      </c>
      <c r="AR14" s="2200" t="str">
        <f>IFERROR(INDEX(PFL_Schutz_Drop_Down56[noch nicht gewählt],_xlfn.AGGREGATE(15,6,ROW(PFL_Schutz_Drop_Down56[noch nicht gewählt])-3/(--(SEARCH($A$59,PFL_Schutz_Drop_Down56[noch nicht gewählt])&gt;0)),ROW()-3)),"")</f>
        <v/>
      </c>
      <c r="AS14" s="2200" t="str">
        <f>IFERROR(INDEX(PFL_Schutz_Drop_Down56[noch nicht gewählt],_xlfn.AGGREGATE(15,6,ROW(PFL_Schutz_Drop_Down56[noch nicht gewählt])-3/(--(SEARCH($A$61,PFL_Schutz_Drop_Down56[noch nicht gewählt])&gt;0)),ROW()-3)),"")</f>
        <v/>
      </c>
      <c r="AT14" s="2200" t="str">
        <f>IFERROR(INDEX(PFL_Schutz_Drop_Down56[noch nicht gewählt],_xlfn.AGGREGATE(15,6,ROW(PFL_Schutz_Drop_Down56[noch nicht gewählt])-3/(--(SEARCH($A$63,PFL_Schutz_Drop_Down56[noch nicht gewählt])&gt;0)),ROW()-3)),"")</f>
        <v/>
      </c>
      <c r="AU14" s="2200" t="str">
        <f>IFERROR(INDEX(PFL_Schutz_Drop_Down56[noch nicht gewählt],_xlfn.AGGREGATE(15,6,ROW(PFL_Schutz_Drop_Down56[noch nicht gewählt])-3/(--(SEARCH($A$65,PFL_Schutz_Drop_Down56[noch nicht gewählt])&gt;0)),ROW()-3)),"")</f>
        <v/>
      </c>
      <c r="AV14" s="2200" t="str">
        <f>IFERROR(INDEX(PFL_Schutz_Drop_Down56[noch nicht gewählt],_xlfn.AGGREGATE(15,6,ROW(PFL_Schutz_Drop_Down56[noch nicht gewählt])-3/(--(SEARCH($A$67,PFL_Schutz_Drop_Down56[noch nicht gewählt])&gt;0)),ROW()-3)),"")</f>
        <v/>
      </c>
      <c r="AW14" s="2200" t="str">
        <f>IFERROR(INDEX(PFL_Schutz_Drop_Down56[noch nicht gewählt],_xlfn.AGGREGATE(15,6,ROW(PFL_Schutz_Drop_Down56[noch nicht gewählt])-3/(--(SEARCH($A$69,PFL_Schutz_Drop_Down56[noch nicht gewählt])&gt;0)),ROW()-3)),"")</f>
        <v/>
      </c>
      <c r="AX14" s="2200" t="str">
        <f>IFERROR(INDEX(PFL_Schutz_Drop_Down56[noch nicht gewählt],_xlfn.AGGREGATE(15,6,ROW(PFL_Schutz_Drop_Down56[noch nicht gewählt])-3/(--(SEARCH($A$71,PFL_Schutz_Drop_Down56[noch nicht gewählt])&gt;0)),ROW()-3)),"")</f>
        <v/>
      </c>
      <c r="AY14" s="2200" t="str">
        <f>IFERROR(INDEX(PFL_Schutz_Drop_Down56[noch nicht gewählt],_xlfn.AGGREGATE(15,6,ROW(PFL_Schutz_Drop_Down56[noch nicht gewählt])-3/(--(SEARCH($A$73,PFL_Schutz_Drop_Down56[noch nicht gewählt])&gt;0)),ROW()-3)),"")</f>
        <v/>
      </c>
      <c r="AZ14" s="2201" t="str">
        <f>IFERROR(INDEX(PFL_Schutz_Drop_Down56[noch nicht gewählt],_xlfn.AGGREGATE(15,6,ROW(PFL_Schutz_Drop_Down56[noch nicht gewählt])-3/(--(SEARCH($A$75,PFL_Schutz_Drop_Down56[noch nicht gewählt])&gt;0)),ROW()-3)),"")</f>
        <v/>
      </c>
    </row>
    <row r="15" spans="1:52" ht="19.5" customHeight="1">
      <c r="A15" s="3072" t="s">
        <v>2228</v>
      </c>
      <c r="B15" s="3074" t="s">
        <v>509</v>
      </c>
      <c r="C15" s="3074" t="s">
        <v>2219</v>
      </c>
      <c r="D15" s="3074" t="s">
        <v>2220</v>
      </c>
      <c r="E15" s="3074" t="s">
        <v>2221</v>
      </c>
      <c r="F15" s="3074" t="s">
        <v>661</v>
      </c>
      <c r="G15" s="3076" t="s">
        <v>2225</v>
      </c>
      <c r="H15" s="3077"/>
      <c r="I15" s="3078"/>
      <c r="J15" s="2206"/>
      <c r="R15" s="2195">
        <f>Pfl_Schutz!E15</f>
        <v>0</v>
      </c>
      <c r="S15" s="2202">
        <f>COUNTIF($R$4:PFL_Schutz_Drop_Down56[[#This Row],[Produktname]],PFL_Schutz_Drop_Down56[[#This Row],[Produktname]])</f>
        <v>12</v>
      </c>
      <c r="T15" s="2203" t="str">
        <f>IFERROR(INDEX(R:R,_xlfn.AGGREGATE(15,6,ROW(PFL_Schutz_Drop_Down56[Produktname])/(PFL_Schutz_Drop_Down56[Auftretend]=1),ROW()-3)),"")</f>
        <v/>
      </c>
      <c r="U15" s="2198" t="str">
        <f>IF(COUNTIF($A$17:$A$76,PFL_Schutz_Drop_Down56[[#This Row],[Produktname eindeutig]])&gt;=1,"",ROW())</f>
        <v/>
      </c>
      <c r="V15" s="2198" t="str">
        <f t="shared" si="0"/>
        <v/>
      </c>
      <c r="W15" s="2199" t="str">
        <f>IFERROR(INDEX(PFL_Schutz_Drop_Down56[noch nicht gewählt],_xlfn.AGGREGATE(15,6,ROW(PFL_Schutz_Drop_Down56[noch nicht gewählt])-3/(--(SEARCH($A$17,PFL_Schutz_Drop_Down56[noch nicht gewählt])&gt;0)),ROW()-3)),"")</f>
        <v/>
      </c>
      <c r="X15" s="2175" t="str">
        <f>IFERROR(INDEX(PFL_Schutz_Drop_Down56[noch nicht gewählt],_xlfn.AGGREGATE(15,6,ROW(PFL_Schutz_Drop_Down56[noch nicht gewählt])-3/(--(SEARCH($A$19,PFL_Schutz_Drop_Down56[noch nicht gewählt])&gt;0)),ROW()-3)),"")</f>
        <v/>
      </c>
      <c r="Y15" s="2175" t="str">
        <f>IFERROR(INDEX(PFL_Schutz_Drop_Down56[noch nicht gewählt],_xlfn.AGGREGATE(15,6,ROW(PFL_Schutz_Drop_Down56[noch nicht gewählt])-3/(--(SEARCH($A$21,PFL_Schutz_Drop_Down56[noch nicht gewählt])&gt;0)),ROW()-3)),"")</f>
        <v/>
      </c>
      <c r="Z15" s="2200" t="str">
        <f>IFERROR(INDEX(PFL_Schutz_Drop_Down56[noch nicht gewählt],_xlfn.AGGREGATE(15,6,ROW(PFL_Schutz_Drop_Down56[noch nicht gewählt])-3/(--(SEARCH($A$23,PFL_Schutz_Drop_Down56[noch nicht gewählt])&gt;0)),ROW()-3)),"")</f>
        <v/>
      </c>
      <c r="AA15" s="2200" t="str">
        <f>IFERROR(INDEX(PFL_Schutz_Drop_Down56[noch nicht gewählt],_xlfn.AGGREGATE(15,6,ROW(PFL_Schutz_Drop_Down56[noch nicht gewählt])-3/(--(SEARCH($A$25,PFL_Schutz_Drop_Down56[noch nicht gewählt])&gt;0)),ROW()-3)),"")</f>
        <v/>
      </c>
      <c r="AB15" s="2200" t="str">
        <f>IFERROR(INDEX(PFL_Schutz_Drop_Down56[noch nicht gewählt],_xlfn.AGGREGATE(15,6,ROW(PFL_Schutz_Drop_Down56[noch nicht gewählt])-3/(--(SEARCH($A$27,PFL_Schutz_Drop_Down56[noch nicht gewählt])&gt;0)),ROW()-3)),"")</f>
        <v/>
      </c>
      <c r="AC15" s="2200" t="str">
        <f>IFERROR(INDEX(PFL_Schutz_Drop_Down56[noch nicht gewählt],_xlfn.AGGREGATE(15,6,ROW(PFL_Schutz_Drop_Down56[noch nicht gewählt])-3/(--(SEARCH($A$29,PFL_Schutz_Drop_Down56[noch nicht gewählt])&gt;0)),ROW()-3)),"")</f>
        <v/>
      </c>
      <c r="AD15" s="2200" t="str">
        <f>IFERROR(INDEX(PFL_Schutz_Drop_Down56[noch nicht gewählt],_xlfn.AGGREGATE(15,6,ROW(PFL_Schutz_Drop_Down56[noch nicht gewählt])-3/(--(SEARCH($A$31,PFL_Schutz_Drop_Down56[noch nicht gewählt])&gt;0)),ROW()-3)),"")</f>
        <v/>
      </c>
      <c r="AE15" s="2200" t="str">
        <f>IFERROR(INDEX(PFL_Schutz_Drop_Down56[noch nicht gewählt],_xlfn.AGGREGATE(15,6,ROW(PFL_Schutz_Drop_Down56[noch nicht gewählt])-3/(--(SEARCH($A$33,PFL_Schutz_Drop_Down56[noch nicht gewählt])&gt;0)),ROW()-3)),"")</f>
        <v/>
      </c>
      <c r="AF15" s="2200" t="str">
        <f>IFERROR(INDEX(PFL_Schutz_Drop_Down56[noch nicht gewählt],_xlfn.AGGREGATE(15,6,ROW(PFL_Schutz_Drop_Down56[noch nicht gewählt])-3/(--(SEARCH($A$35,PFL_Schutz_Drop_Down56[noch nicht gewählt])&gt;0)),ROW()-3)),"")</f>
        <v/>
      </c>
      <c r="AG15" s="2200" t="str">
        <f>IFERROR(INDEX(PFL_Schutz_Drop_Down56[noch nicht gewählt],_xlfn.AGGREGATE(15,6,ROW(PFL_Schutz_Drop_Down56[noch nicht gewählt])-3/(--(SEARCH($A$37,PFL_Schutz_Drop_Down56[noch nicht gewählt])&gt;0)),ROW()-3)),"")</f>
        <v/>
      </c>
      <c r="AH15" s="2200" t="str">
        <f>IFERROR(INDEX(PFL_Schutz_Drop_Down56[noch nicht gewählt],_xlfn.AGGREGATE(15,6,ROW(PFL_Schutz_Drop_Down56[noch nicht gewählt])-3/(--(SEARCH($A$39,PFL_Schutz_Drop_Down56[noch nicht gewählt])&gt;0)),ROW()-3)),"")</f>
        <v/>
      </c>
      <c r="AI15" s="2200" t="str">
        <f>IFERROR(INDEX(PFL_Schutz_Drop_Down56[noch nicht gewählt],_xlfn.AGGREGATE(15,6,ROW(PFL_Schutz_Drop_Down56[noch nicht gewählt])-3/(--(SEARCH($A$41,PFL_Schutz_Drop_Down56[noch nicht gewählt])&gt;0)),ROW()-3)),"")</f>
        <v/>
      </c>
      <c r="AJ15" s="2200" t="str">
        <f>IFERROR(INDEX(PFL_Schutz_Drop_Down56[noch nicht gewählt],_xlfn.AGGREGATE(15,6,ROW(PFL_Schutz_Drop_Down56[noch nicht gewählt])-3/(--(SEARCH($A$43,PFL_Schutz_Drop_Down56[noch nicht gewählt])&gt;0)),ROW()-3)),"")</f>
        <v/>
      </c>
      <c r="AK15" s="2200" t="str">
        <f>IFERROR(INDEX(PFL_Schutz_Drop_Down56[noch nicht gewählt],_xlfn.AGGREGATE(15,6,ROW(PFL_Schutz_Drop_Down56[noch nicht gewählt])-3/(--(SEARCH($A$45,PFL_Schutz_Drop_Down56[noch nicht gewählt])&gt;0)),ROW()-3)),"")</f>
        <v/>
      </c>
      <c r="AL15" s="2200" t="str">
        <f>IFERROR(INDEX(PFL_Schutz_Drop_Down56[noch nicht gewählt],_xlfn.AGGREGATE(15,6,ROW(PFL_Schutz_Drop_Down56[noch nicht gewählt])-3/(--(SEARCH($A$47,PFL_Schutz_Drop_Down56[noch nicht gewählt])&gt;0)),ROW()-3)),"")</f>
        <v/>
      </c>
      <c r="AM15" s="2200" t="str">
        <f>IFERROR(INDEX(PFL_Schutz_Drop_Down56[noch nicht gewählt],_xlfn.AGGREGATE(15,6,ROW(PFL_Schutz_Drop_Down56[noch nicht gewählt])-3/(--(SEARCH($A$49,PFL_Schutz_Drop_Down56[noch nicht gewählt])&gt;0)),ROW()-3)),"")</f>
        <v/>
      </c>
      <c r="AN15" s="2200" t="str">
        <f>IFERROR(INDEX(PFL_Schutz_Drop_Down56[noch nicht gewählt],_xlfn.AGGREGATE(15,6,ROW(PFL_Schutz_Drop_Down56[noch nicht gewählt])-3/(--(SEARCH($A$51,PFL_Schutz_Drop_Down56[noch nicht gewählt])&gt;0)),ROW()-3)),"")</f>
        <v/>
      </c>
      <c r="AO15" s="2200" t="str">
        <f>IFERROR(INDEX(PFL_Schutz_Drop_Down56[noch nicht gewählt],_xlfn.AGGREGATE(15,6,ROW(PFL_Schutz_Drop_Down56[noch nicht gewählt])-3/(--(SEARCH($A$53,PFL_Schutz_Drop_Down56[noch nicht gewählt])&gt;0)),ROW()-3)),"")</f>
        <v/>
      </c>
      <c r="AP15" s="2200" t="str">
        <f>IFERROR(INDEX(PFL_Schutz_Drop_Down56[noch nicht gewählt],_xlfn.AGGREGATE(15,6,ROW(PFL_Schutz_Drop_Down56[noch nicht gewählt])-3/(--(SEARCH($A$55,PFL_Schutz_Drop_Down56[noch nicht gewählt])&gt;0)),ROW()-3)),"")</f>
        <v/>
      </c>
      <c r="AQ15" s="2200" t="str">
        <f>IFERROR(INDEX(PFL_Schutz_Drop_Down56[noch nicht gewählt],_xlfn.AGGREGATE(15,6,ROW(PFL_Schutz_Drop_Down56[noch nicht gewählt])-3/(--(SEARCH($A$57,PFL_Schutz_Drop_Down56[noch nicht gewählt])&gt;0)),ROW()-3)),"")</f>
        <v/>
      </c>
      <c r="AR15" s="2200" t="str">
        <f>IFERROR(INDEX(PFL_Schutz_Drop_Down56[noch nicht gewählt],_xlfn.AGGREGATE(15,6,ROW(PFL_Schutz_Drop_Down56[noch nicht gewählt])-3/(--(SEARCH($A$59,PFL_Schutz_Drop_Down56[noch nicht gewählt])&gt;0)),ROW()-3)),"")</f>
        <v/>
      </c>
      <c r="AS15" s="2200" t="str">
        <f>IFERROR(INDEX(PFL_Schutz_Drop_Down56[noch nicht gewählt],_xlfn.AGGREGATE(15,6,ROW(PFL_Schutz_Drop_Down56[noch nicht gewählt])-3/(--(SEARCH($A$61,PFL_Schutz_Drop_Down56[noch nicht gewählt])&gt;0)),ROW()-3)),"")</f>
        <v/>
      </c>
      <c r="AT15" s="2200" t="str">
        <f>IFERROR(INDEX(PFL_Schutz_Drop_Down56[noch nicht gewählt],_xlfn.AGGREGATE(15,6,ROW(PFL_Schutz_Drop_Down56[noch nicht gewählt])-3/(--(SEARCH($A$63,PFL_Schutz_Drop_Down56[noch nicht gewählt])&gt;0)),ROW()-3)),"")</f>
        <v/>
      </c>
      <c r="AU15" s="2200" t="str">
        <f>IFERROR(INDEX(PFL_Schutz_Drop_Down56[noch nicht gewählt],_xlfn.AGGREGATE(15,6,ROW(PFL_Schutz_Drop_Down56[noch nicht gewählt])-3/(--(SEARCH($A$65,PFL_Schutz_Drop_Down56[noch nicht gewählt])&gt;0)),ROW()-3)),"")</f>
        <v/>
      </c>
      <c r="AV15" s="2200" t="str">
        <f>IFERROR(INDEX(PFL_Schutz_Drop_Down56[noch nicht gewählt],_xlfn.AGGREGATE(15,6,ROW(PFL_Schutz_Drop_Down56[noch nicht gewählt])-3/(--(SEARCH($A$67,PFL_Schutz_Drop_Down56[noch nicht gewählt])&gt;0)),ROW()-3)),"")</f>
        <v/>
      </c>
      <c r="AW15" s="2200" t="str">
        <f>IFERROR(INDEX(PFL_Schutz_Drop_Down56[noch nicht gewählt],_xlfn.AGGREGATE(15,6,ROW(PFL_Schutz_Drop_Down56[noch nicht gewählt])-3/(--(SEARCH($A$69,PFL_Schutz_Drop_Down56[noch nicht gewählt])&gt;0)),ROW()-3)),"")</f>
        <v/>
      </c>
      <c r="AX15" s="2200" t="str">
        <f>IFERROR(INDEX(PFL_Schutz_Drop_Down56[noch nicht gewählt],_xlfn.AGGREGATE(15,6,ROW(PFL_Schutz_Drop_Down56[noch nicht gewählt])-3/(--(SEARCH($A$71,PFL_Schutz_Drop_Down56[noch nicht gewählt])&gt;0)),ROW()-3)),"")</f>
        <v/>
      </c>
      <c r="AY15" s="2200" t="str">
        <f>IFERROR(INDEX(PFL_Schutz_Drop_Down56[noch nicht gewählt],_xlfn.AGGREGATE(15,6,ROW(PFL_Schutz_Drop_Down56[noch nicht gewählt])-3/(--(SEARCH($A$73,PFL_Schutz_Drop_Down56[noch nicht gewählt])&gt;0)),ROW()-3)),"")</f>
        <v/>
      </c>
      <c r="AZ15" s="2201" t="str">
        <f>IFERROR(INDEX(PFL_Schutz_Drop_Down56[noch nicht gewählt],_xlfn.AGGREGATE(15,6,ROW(PFL_Schutz_Drop_Down56[noch nicht gewählt])-3/(--(SEARCH($A$75,PFL_Schutz_Drop_Down56[noch nicht gewählt])&gt;0)),ROW()-3)),"")</f>
        <v/>
      </c>
    </row>
    <row r="16" spans="1:52" ht="19.5" customHeight="1" thickBot="1">
      <c r="A16" s="3073"/>
      <c r="B16" s="3075"/>
      <c r="C16" s="3075"/>
      <c r="D16" s="3075"/>
      <c r="E16" s="3075"/>
      <c r="F16" s="3075"/>
      <c r="G16" s="3079"/>
      <c r="H16" s="3080"/>
      <c r="I16" s="3081"/>
      <c r="R16" s="2195">
        <f>Pfl_Schutz!E16</f>
        <v>0</v>
      </c>
      <c r="S16" s="2202">
        <f>COUNTIF($R$4:PFL_Schutz_Drop_Down56[[#This Row],[Produktname]],PFL_Schutz_Drop_Down56[[#This Row],[Produktname]])</f>
        <v>13</v>
      </c>
      <c r="T16" s="2203" t="str">
        <f>IFERROR(INDEX(R:R,_xlfn.AGGREGATE(15,6,ROW(PFL_Schutz_Drop_Down56[Produktname])/(PFL_Schutz_Drop_Down56[Auftretend]=1),ROW()-3)),"")</f>
        <v/>
      </c>
      <c r="U16" s="2198" t="str">
        <f>IF(COUNTIF($A$17:$A$76,PFL_Schutz_Drop_Down56[[#This Row],[Produktname eindeutig]])&gt;=1,"",ROW())</f>
        <v/>
      </c>
      <c r="V16" s="2198" t="str">
        <f t="shared" si="0"/>
        <v/>
      </c>
      <c r="W16" s="2199" t="str">
        <f>IFERROR(INDEX(PFL_Schutz_Drop_Down56[noch nicht gewählt],_xlfn.AGGREGATE(15,6,ROW(PFL_Schutz_Drop_Down56[noch nicht gewählt])-3/(--(SEARCH($A$17,PFL_Schutz_Drop_Down56[noch nicht gewählt])&gt;0)),ROW()-3)),"")</f>
        <v/>
      </c>
      <c r="X16" s="2175" t="str">
        <f>IFERROR(INDEX(PFL_Schutz_Drop_Down56[noch nicht gewählt],_xlfn.AGGREGATE(15,6,ROW(PFL_Schutz_Drop_Down56[noch nicht gewählt])-3/(--(SEARCH($A$19,PFL_Schutz_Drop_Down56[noch nicht gewählt])&gt;0)),ROW()-3)),"")</f>
        <v/>
      </c>
      <c r="Y16" s="2175" t="str">
        <f>IFERROR(INDEX(PFL_Schutz_Drop_Down56[noch nicht gewählt],_xlfn.AGGREGATE(15,6,ROW(PFL_Schutz_Drop_Down56[noch nicht gewählt])-3/(--(SEARCH($A$21,PFL_Schutz_Drop_Down56[noch nicht gewählt])&gt;0)),ROW()-3)),"")</f>
        <v/>
      </c>
      <c r="Z16" s="2200" t="str">
        <f>IFERROR(INDEX(PFL_Schutz_Drop_Down56[noch nicht gewählt],_xlfn.AGGREGATE(15,6,ROW(PFL_Schutz_Drop_Down56[noch nicht gewählt])-3/(--(SEARCH($A$23,PFL_Schutz_Drop_Down56[noch nicht gewählt])&gt;0)),ROW()-3)),"")</f>
        <v/>
      </c>
      <c r="AA16" s="2200" t="str">
        <f>IFERROR(INDEX(PFL_Schutz_Drop_Down56[noch nicht gewählt],_xlfn.AGGREGATE(15,6,ROW(PFL_Schutz_Drop_Down56[noch nicht gewählt])-3/(--(SEARCH($A$25,PFL_Schutz_Drop_Down56[noch nicht gewählt])&gt;0)),ROW()-3)),"")</f>
        <v/>
      </c>
      <c r="AB16" s="2200" t="str">
        <f>IFERROR(INDEX(PFL_Schutz_Drop_Down56[noch nicht gewählt],_xlfn.AGGREGATE(15,6,ROW(PFL_Schutz_Drop_Down56[noch nicht gewählt])-3/(--(SEARCH($A$27,PFL_Schutz_Drop_Down56[noch nicht gewählt])&gt;0)),ROW()-3)),"")</f>
        <v/>
      </c>
      <c r="AC16" s="2200" t="str">
        <f>IFERROR(INDEX(PFL_Schutz_Drop_Down56[noch nicht gewählt],_xlfn.AGGREGATE(15,6,ROW(PFL_Schutz_Drop_Down56[noch nicht gewählt])-3/(--(SEARCH($A$29,PFL_Schutz_Drop_Down56[noch nicht gewählt])&gt;0)),ROW()-3)),"")</f>
        <v/>
      </c>
      <c r="AD16" s="2200" t="str">
        <f>IFERROR(INDEX(PFL_Schutz_Drop_Down56[noch nicht gewählt],_xlfn.AGGREGATE(15,6,ROW(PFL_Schutz_Drop_Down56[noch nicht gewählt])-3/(--(SEARCH($A$31,PFL_Schutz_Drop_Down56[noch nicht gewählt])&gt;0)),ROW()-3)),"")</f>
        <v/>
      </c>
      <c r="AE16" s="2200" t="str">
        <f>IFERROR(INDEX(PFL_Schutz_Drop_Down56[noch nicht gewählt],_xlfn.AGGREGATE(15,6,ROW(PFL_Schutz_Drop_Down56[noch nicht gewählt])-3/(--(SEARCH($A$33,PFL_Schutz_Drop_Down56[noch nicht gewählt])&gt;0)),ROW()-3)),"")</f>
        <v/>
      </c>
      <c r="AF16" s="2200" t="str">
        <f>IFERROR(INDEX(PFL_Schutz_Drop_Down56[noch nicht gewählt],_xlfn.AGGREGATE(15,6,ROW(PFL_Schutz_Drop_Down56[noch nicht gewählt])-3/(--(SEARCH($A$35,PFL_Schutz_Drop_Down56[noch nicht gewählt])&gt;0)),ROW()-3)),"")</f>
        <v/>
      </c>
      <c r="AG16" s="2200" t="str">
        <f>IFERROR(INDEX(PFL_Schutz_Drop_Down56[noch nicht gewählt],_xlfn.AGGREGATE(15,6,ROW(PFL_Schutz_Drop_Down56[noch nicht gewählt])-3/(--(SEARCH($A$37,PFL_Schutz_Drop_Down56[noch nicht gewählt])&gt;0)),ROW()-3)),"")</f>
        <v/>
      </c>
      <c r="AH16" s="2200" t="str">
        <f>IFERROR(INDEX(PFL_Schutz_Drop_Down56[noch nicht gewählt],_xlfn.AGGREGATE(15,6,ROW(PFL_Schutz_Drop_Down56[noch nicht gewählt])-3/(--(SEARCH($A$39,PFL_Schutz_Drop_Down56[noch nicht gewählt])&gt;0)),ROW()-3)),"")</f>
        <v/>
      </c>
      <c r="AI16" s="2200" t="str">
        <f>IFERROR(INDEX(PFL_Schutz_Drop_Down56[noch nicht gewählt],_xlfn.AGGREGATE(15,6,ROW(PFL_Schutz_Drop_Down56[noch nicht gewählt])-3/(--(SEARCH($A$41,PFL_Schutz_Drop_Down56[noch nicht gewählt])&gt;0)),ROW()-3)),"")</f>
        <v/>
      </c>
      <c r="AJ16" s="2200" t="str">
        <f>IFERROR(INDEX(PFL_Schutz_Drop_Down56[noch nicht gewählt],_xlfn.AGGREGATE(15,6,ROW(PFL_Schutz_Drop_Down56[noch nicht gewählt])-3/(--(SEARCH($A$43,PFL_Schutz_Drop_Down56[noch nicht gewählt])&gt;0)),ROW()-3)),"")</f>
        <v/>
      </c>
      <c r="AK16" s="2200" t="str">
        <f>IFERROR(INDEX(PFL_Schutz_Drop_Down56[noch nicht gewählt],_xlfn.AGGREGATE(15,6,ROW(PFL_Schutz_Drop_Down56[noch nicht gewählt])-3/(--(SEARCH($A$45,PFL_Schutz_Drop_Down56[noch nicht gewählt])&gt;0)),ROW()-3)),"")</f>
        <v/>
      </c>
      <c r="AL16" s="2200" t="str">
        <f>IFERROR(INDEX(PFL_Schutz_Drop_Down56[noch nicht gewählt],_xlfn.AGGREGATE(15,6,ROW(PFL_Schutz_Drop_Down56[noch nicht gewählt])-3/(--(SEARCH($A$47,PFL_Schutz_Drop_Down56[noch nicht gewählt])&gt;0)),ROW()-3)),"")</f>
        <v/>
      </c>
      <c r="AM16" s="2200" t="str">
        <f>IFERROR(INDEX(PFL_Schutz_Drop_Down56[noch nicht gewählt],_xlfn.AGGREGATE(15,6,ROW(PFL_Schutz_Drop_Down56[noch nicht gewählt])-3/(--(SEARCH($A$49,PFL_Schutz_Drop_Down56[noch nicht gewählt])&gt;0)),ROW()-3)),"")</f>
        <v/>
      </c>
      <c r="AN16" s="2200" t="str">
        <f>IFERROR(INDEX(PFL_Schutz_Drop_Down56[noch nicht gewählt],_xlfn.AGGREGATE(15,6,ROW(PFL_Schutz_Drop_Down56[noch nicht gewählt])-3/(--(SEARCH($A$51,PFL_Schutz_Drop_Down56[noch nicht gewählt])&gt;0)),ROW()-3)),"")</f>
        <v/>
      </c>
      <c r="AO16" s="2200" t="str">
        <f>IFERROR(INDEX(PFL_Schutz_Drop_Down56[noch nicht gewählt],_xlfn.AGGREGATE(15,6,ROW(PFL_Schutz_Drop_Down56[noch nicht gewählt])-3/(--(SEARCH($A$53,PFL_Schutz_Drop_Down56[noch nicht gewählt])&gt;0)),ROW()-3)),"")</f>
        <v/>
      </c>
      <c r="AP16" s="2200" t="str">
        <f>IFERROR(INDEX(PFL_Schutz_Drop_Down56[noch nicht gewählt],_xlfn.AGGREGATE(15,6,ROW(PFL_Schutz_Drop_Down56[noch nicht gewählt])-3/(--(SEARCH($A$55,PFL_Schutz_Drop_Down56[noch nicht gewählt])&gt;0)),ROW()-3)),"")</f>
        <v/>
      </c>
      <c r="AQ16" s="2200" t="str">
        <f>IFERROR(INDEX(PFL_Schutz_Drop_Down56[noch nicht gewählt],_xlfn.AGGREGATE(15,6,ROW(PFL_Schutz_Drop_Down56[noch nicht gewählt])-3/(--(SEARCH($A$57,PFL_Schutz_Drop_Down56[noch nicht gewählt])&gt;0)),ROW()-3)),"")</f>
        <v/>
      </c>
      <c r="AR16" s="2200" t="str">
        <f>IFERROR(INDEX(PFL_Schutz_Drop_Down56[noch nicht gewählt],_xlfn.AGGREGATE(15,6,ROW(PFL_Schutz_Drop_Down56[noch nicht gewählt])-3/(--(SEARCH($A$59,PFL_Schutz_Drop_Down56[noch nicht gewählt])&gt;0)),ROW()-3)),"")</f>
        <v/>
      </c>
      <c r="AS16" s="2200" t="str">
        <f>IFERROR(INDEX(PFL_Schutz_Drop_Down56[noch nicht gewählt],_xlfn.AGGREGATE(15,6,ROW(PFL_Schutz_Drop_Down56[noch nicht gewählt])-3/(--(SEARCH($A$61,PFL_Schutz_Drop_Down56[noch nicht gewählt])&gt;0)),ROW()-3)),"")</f>
        <v/>
      </c>
      <c r="AT16" s="2200" t="str">
        <f>IFERROR(INDEX(PFL_Schutz_Drop_Down56[noch nicht gewählt],_xlfn.AGGREGATE(15,6,ROW(PFL_Schutz_Drop_Down56[noch nicht gewählt])-3/(--(SEARCH($A$63,PFL_Schutz_Drop_Down56[noch nicht gewählt])&gt;0)),ROW()-3)),"")</f>
        <v/>
      </c>
      <c r="AU16" s="2200" t="str">
        <f>IFERROR(INDEX(PFL_Schutz_Drop_Down56[noch nicht gewählt],_xlfn.AGGREGATE(15,6,ROW(PFL_Schutz_Drop_Down56[noch nicht gewählt])-3/(--(SEARCH($A$65,PFL_Schutz_Drop_Down56[noch nicht gewählt])&gt;0)),ROW()-3)),"")</f>
        <v/>
      </c>
      <c r="AV16" s="2200" t="str">
        <f>IFERROR(INDEX(PFL_Schutz_Drop_Down56[noch nicht gewählt],_xlfn.AGGREGATE(15,6,ROW(PFL_Schutz_Drop_Down56[noch nicht gewählt])-3/(--(SEARCH($A$67,PFL_Schutz_Drop_Down56[noch nicht gewählt])&gt;0)),ROW()-3)),"")</f>
        <v/>
      </c>
      <c r="AW16" s="2200" t="str">
        <f>IFERROR(INDEX(PFL_Schutz_Drop_Down56[noch nicht gewählt],_xlfn.AGGREGATE(15,6,ROW(PFL_Schutz_Drop_Down56[noch nicht gewählt])-3/(--(SEARCH($A$69,PFL_Schutz_Drop_Down56[noch nicht gewählt])&gt;0)),ROW()-3)),"")</f>
        <v/>
      </c>
      <c r="AX16" s="2200" t="str">
        <f>IFERROR(INDEX(PFL_Schutz_Drop_Down56[noch nicht gewählt],_xlfn.AGGREGATE(15,6,ROW(PFL_Schutz_Drop_Down56[noch nicht gewählt])-3/(--(SEARCH($A$71,PFL_Schutz_Drop_Down56[noch nicht gewählt])&gt;0)),ROW()-3)),"")</f>
        <v/>
      </c>
      <c r="AY16" s="2200" t="str">
        <f>IFERROR(INDEX(PFL_Schutz_Drop_Down56[noch nicht gewählt],_xlfn.AGGREGATE(15,6,ROW(PFL_Schutz_Drop_Down56[noch nicht gewählt])-3/(--(SEARCH($A$73,PFL_Schutz_Drop_Down56[noch nicht gewählt])&gt;0)),ROW()-3)),"")</f>
        <v/>
      </c>
      <c r="AZ16" s="2201" t="str">
        <f>IFERROR(INDEX(PFL_Schutz_Drop_Down56[noch nicht gewählt],_xlfn.AGGREGATE(15,6,ROW(PFL_Schutz_Drop_Down56[noch nicht gewählt])-3/(--(SEARCH($A$75,PFL_Schutz_Drop_Down56[noch nicht gewählt])&gt;0)),ROW()-3)),"")</f>
        <v/>
      </c>
    </row>
    <row r="17" spans="1:52" ht="19.5" customHeight="1">
      <c r="A17" s="3082"/>
      <c r="B17" s="3084"/>
      <c r="C17" s="3084"/>
      <c r="D17" s="3086">
        <f>SUMIF(Pfl_Schutz!$E$4:$E$77,A17,Pfl_Schutz!$H$4:$H$77)</f>
        <v>0</v>
      </c>
      <c r="E17" s="3088" t="str">
        <f>IF(SUM(B17:C18)=0,"",IF(F17&lt;0,"negativer Lagerstand nicht möglich - überprüfen Sie die Eingabewerte auf Vollständigkeit",IF(F17=0,"Produkt aufgebraucht, Lagerstand 0",F17)))</f>
        <v/>
      </c>
      <c r="F17" s="3090">
        <f>IF(SUM(B17:C18)&gt;0,IF(ISBLANK(A17),"",B17+C17-D17),0)</f>
        <v>0</v>
      </c>
      <c r="G17" s="3092"/>
      <c r="H17" s="3093"/>
      <c r="I17" s="3094"/>
      <c r="R17" s="2195">
        <f>Pfl_Schutz!E17</f>
        <v>0</v>
      </c>
      <c r="S17" s="2202">
        <f>COUNTIF($R$4:PFL_Schutz_Drop_Down56[[#This Row],[Produktname]],PFL_Schutz_Drop_Down56[[#This Row],[Produktname]])</f>
        <v>14</v>
      </c>
      <c r="T17" s="2203" t="str">
        <f>IFERROR(INDEX(R:R,_xlfn.AGGREGATE(15,6,ROW(PFL_Schutz_Drop_Down56[Produktname])/(PFL_Schutz_Drop_Down56[Auftretend]=1),ROW()-3)),"")</f>
        <v/>
      </c>
      <c r="U17" s="2198" t="str">
        <f>IF(COUNTIF($A$17:$A$76,PFL_Schutz_Drop_Down56[[#This Row],[Produktname eindeutig]])&gt;=1,"",ROW())</f>
        <v/>
      </c>
      <c r="V17" s="2198" t="str">
        <f t="shared" si="0"/>
        <v/>
      </c>
      <c r="W17" s="2199" t="str">
        <f>IFERROR(INDEX(PFL_Schutz_Drop_Down56[noch nicht gewählt],_xlfn.AGGREGATE(15,6,ROW(PFL_Schutz_Drop_Down56[noch nicht gewählt])-3/(--(SEARCH($A$17,PFL_Schutz_Drop_Down56[noch nicht gewählt])&gt;0)),ROW()-3)),"")</f>
        <v/>
      </c>
      <c r="X17" s="2175" t="str">
        <f>IFERROR(INDEX(PFL_Schutz_Drop_Down56[noch nicht gewählt],_xlfn.AGGREGATE(15,6,ROW(PFL_Schutz_Drop_Down56[noch nicht gewählt])-3/(--(SEARCH($A$19,PFL_Schutz_Drop_Down56[noch nicht gewählt])&gt;0)),ROW()-3)),"")</f>
        <v/>
      </c>
      <c r="Y17" s="2175" t="str">
        <f>IFERROR(INDEX(PFL_Schutz_Drop_Down56[noch nicht gewählt],_xlfn.AGGREGATE(15,6,ROW(PFL_Schutz_Drop_Down56[noch nicht gewählt])-3/(--(SEARCH($A$21,PFL_Schutz_Drop_Down56[noch nicht gewählt])&gt;0)),ROW()-3)),"")</f>
        <v/>
      </c>
      <c r="Z17" s="2200" t="str">
        <f>IFERROR(INDEX(PFL_Schutz_Drop_Down56[noch nicht gewählt],_xlfn.AGGREGATE(15,6,ROW(PFL_Schutz_Drop_Down56[noch nicht gewählt])-3/(--(SEARCH($A$23,PFL_Schutz_Drop_Down56[noch nicht gewählt])&gt;0)),ROW()-3)),"")</f>
        <v/>
      </c>
      <c r="AA17" s="2200" t="str">
        <f>IFERROR(INDEX(PFL_Schutz_Drop_Down56[noch nicht gewählt],_xlfn.AGGREGATE(15,6,ROW(PFL_Schutz_Drop_Down56[noch nicht gewählt])-3/(--(SEARCH($A$25,PFL_Schutz_Drop_Down56[noch nicht gewählt])&gt;0)),ROW()-3)),"")</f>
        <v/>
      </c>
      <c r="AB17" s="2200" t="str">
        <f>IFERROR(INDEX(PFL_Schutz_Drop_Down56[noch nicht gewählt],_xlfn.AGGREGATE(15,6,ROW(PFL_Schutz_Drop_Down56[noch nicht gewählt])-3/(--(SEARCH($A$27,PFL_Schutz_Drop_Down56[noch nicht gewählt])&gt;0)),ROW()-3)),"")</f>
        <v/>
      </c>
      <c r="AC17" s="2200" t="str">
        <f>IFERROR(INDEX(PFL_Schutz_Drop_Down56[noch nicht gewählt],_xlfn.AGGREGATE(15,6,ROW(PFL_Schutz_Drop_Down56[noch nicht gewählt])-3/(--(SEARCH($A$29,PFL_Schutz_Drop_Down56[noch nicht gewählt])&gt;0)),ROW()-3)),"")</f>
        <v/>
      </c>
      <c r="AD17" s="2200" t="str">
        <f>IFERROR(INDEX(PFL_Schutz_Drop_Down56[noch nicht gewählt],_xlfn.AGGREGATE(15,6,ROW(PFL_Schutz_Drop_Down56[noch nicht gewählt])-3/(--(SEARCH($A$31,PFL_Schutz_Drop_Down56[noch nicht gewählt])&gt;0)),ROW()-3)),"")</f>
        <v/>
      </c>
      <c r="AE17" s="2200" t="str">
        <f>IFERROR(INDEX(PFL_Schutz_Drop_Down56[noch nicht gewählt],_xlfn.AGGREGATE(15,6,ROW(PFL_Schutz_Drop_Down56[noch nicht gewählt])-3/(--(SEARCH($A$33,PFL_Schutz_Drop_Down56[noch nicht gewählt])&gt;0)),ROW()-3)),"")</f>
        <v/>
      </c>
      <c r="AF17" s="2200" t="str">
        <f>IFERROR(INDEX(PFL_Schutz_Drop_Down56[noch nicht gewählt],_xlfn.AGGREGATE(15,6,ROW(PFL_Schutz_Drop_Down56[noch nicht gewählt])-3/(--(SEARCH($A$35,PFL_Schutz_Drop_Down56[noch nicht gewählt])&gt;0)),ROW()-3)),"")</f>
        <v/>
      </c>
      <c r="AG17" s="2200" t="str">
        <f>IFERROR(INDEX(PFL_Schutz_Drop_Down56[noch nicht gewählt],_xlfn.AGGREGATE(15,6,ROW(PFL_Schutz_Drop_Down56[noch nicht gewählt])-3/(--(SEARCH($A$37,PFL_Schutz_Drop_Down56[noch nicht gewählt])&gt;0)),ROW()-3)),"")</f>
        <v/>
      </c>
      <c r="AH17" s="2200" t="str">
        <f>IFERROR(INDEX(PFL_Schutz_Drop_Down56[noch nicht gewählt],_xlfn.AGGREGATE(15,6,ROW(PFL_Schutz_Drop_Down56[noch nicht gewählt])-3/(--(SEARCH($A$39,PFL_Schutz_Drop_Down56[noch nicht gewählt])&gt;0)),ROW()-3)),"")</f>
        <v/>
      </c>
      <c r="AI17" s="2200" t="str">
        <f>IFERROR(INDEX(PFL_Schutz_Drop_Down56[noch nicht gewählt],_xlfn.AGGREGATE(15,6,ROW(PFL_Schutz_Drop_Down56[noch nicht gewählt])-3/(--(SEARCH($A$41,PFL_Schutz_Drop_Down56[noch nicht gewählt])&gt;0)),ROW()-3)),"")</f>
        <v/>
      </c>
      <c r="AJ17" s="2200" t="str">
        <f>IFERROR(INDEX(PFL_Schutz_Drop_Down56[noch nicht gewählt],_xlfn.AGGREGATE(15,6,ROW(PFL_Schutz_Drop_Down56[noch nicht gewählt])-3/(--(SEARCH($A$43,PFL_Schutz_Drop_Down56[noch nicht gewählt])&gt;0)),ROW()-3)),"")</f>
        <v/>
      </c>
      <c r="AK17" s="2200" t="str">
        <f>IFERROR(INDEX(PFL_Schutz_Drop_Down56[noch nicht gewählt],_xlfn.AGGREGATE(15,6,ROW(PFL_Schutz_Drop_Down56[noch nicht gewählt])-3/(--(SEARCH($A$45,PFL_Schutz_Drop_Down56[noch nicht gewählt])&gt;0)),ROW()-3)),"")</f>
        <v/>
      </c>
      <c r="AL17" s="2200" t="str">
        <f>IFERROR(INDEX(PFL_Schutz_Drop_Down56[noch nicht gewählt],_xlfn.AGGREGATE(15,6,ROW(PFL_Schutz_Drop_Down56[noch nicht gewählt])-3/(--(SEARCH($A$47,PFL_Schutz_Drop_Down56[noch nicht gewählt])&gt;0)),ROW()-3)),"")</f>
        <v/>
      </c>
      <c r="AM17" s="2200" t="str">
        <f>IFERROR(INDEX(PFL_Schutz_Drop_Down56[noch nicht gewählt],_xlfn.AGGREGATE(15,6,ROW(PFL_Schutz_Drop_Down56[noch nicht gewählt])-3/(--(SEARCH($A$49,PFL_Schutz_Drop_Down56[noch nicht gewählt])&gt;0)),ROW()-3)),"")</f>
        <v/>
      </c>
      <c r="AN17" s="2200" t="str">
        <f>IFERROR(INDEX(PFL_Schutz_Drop_Down56[noch nicht gewählt],_xlfn.AGGREGATE(15,6,ROW(PFL_Schutz_Drop_Down56[noch nicht gewählt])-3/(--(SEARCH($A$51,PFL_Schutz_Drop_Down56[noch nicht gewählt])&gt;0)),ROW()-3)),"")</f>
        <v/>
      </c>
      <c r="AO17" s="2200" t="str">
        <f>IFERROR(INDEX(PFL_Schutz_Drop_Down56[noch nicht gewählt],_xlfn.AGGREGATE(15,6,ROW(PFL_Schutz_Drop_Down56[noch nicht gewählt])-3/(--(SEARCH($A$53,PFL_Schutz_Drop_Down56[noch nicht gewählt])&gt;0)),ROW()-3)),"")</f>
        <v/>
      </c>
      <c r="AP17" s="2200" t="str">
        <f>IFERROR(INDEX(PFL_Schutz_Drop_Down56[noch nicht gewählt],_xlfn.AGGREGATE(15,6,ROW(PFL_Schutz_Drop_Down56[noch nicht gewählt])-3/(--(SEARCH($A$55,PFL_Schutz_Drop_Down56[noch nicht gewählt])&gt;0)),ROW()-3)),"")</f>
        <v/>
      </c>
      <c r="AQ17" s="2200" t="str">
        <f>IFERROR(INDEX(PFL_Schutz_Drop_Down56[noch nicht gewählt],_xlfn.AGGREGATE(15,6,ROW(PFL_Schutz_Drop_Down56[noch nicht gewählt])-3/(--(SEARCH($A$57,PFL_Schutz_Drop_Down56[noch nicht gewählt])&gt;0)),ROW()-3)),"")</f>
        <v/>
      </c>
      <c r="AR17" s="2200" t="str">
        <f>IFERROR(INDEX(PFL_Schutz_Drop_Down56[noch nicht gewählt],_xlfn.AGGREGATE(15,6,ROW(PFL_Schutz_Drop_Down56[noch nicht gewählt])-3/(--(SEARCH($A$59,PFL_Schutz_Drop_Down56[noch nicht gewählt])&gt;0)),ROW()-3)),"")</f>
        <v/>
      </c>
      <c r="AS17" s="2200" t="str">
        <f>IFERROR(INDEX(PFL_Schutz_Drop_Down56[noch nicht gewählt],_xlfn.AGGREGATE(15,6,ROW(PFL_Schutz_Drop_Down56[noch nicht gewählt])-3/(--(SEARCH($A$61,PFL_Schutz_Drop_Down56[noch nicht gewählt])&gt;0)),ROW()-3)),"")</f>
        <v/>
      </c>
      <c r="AT17" s="2200" t="str">
        <f>IFERROR(INDEX(PFL_Schutz_Drop_Down56[noch nicht gewählt],_xlfn.AGGREGATE(15,6,ROW(PFL_Schutz_Drop_Down56[noch nicht gewählt])-3/(--(SEARCH($A$63,PFL_Schutz_Drop_Down56[noch nicht gewählt])&gt;0)),ROW()-3)),"")</f>
        <v/>
      </c>
      <c r="AU17" s="2200" t="str">
        <f>IFERROR(INDEX(PFL_Schutz_Drop_Down56[noch nicht gewählt],_xlfn.AGGREGATE(15,6,ROW(PFL_Schutz_Drop_Down56[noch nicht gewählt])-3/(--(SEARCH($A$65,PFL_Schutz_Drop_Down56[noch nicht gewählt])&gt;0)),ROW()-3)),"")</f>
        <v/>
      </c>
      <c r="AV17" s="2200" t="str">
        <f>IFERROR(INDEX(PFL_Schutz_Drop_Down56[noch nicht gewählt],_xlfn.AGGREGATE(15,6,ROW(PFL_Schutz_Drop_Down56[noch nicht gewählt])-3/(--(SEARCH($A$67,PFL_Schutz_Drop_Down56[noch nicht gewählt])&gt;0)),ROW()-3)),"")</f>
        <v/>
      </c>
      <c r="AW17" s="2200" t="str">
        <f>IFERROR(INDEX(PFL_Schutz_Drop_Down56[noch nicht gewählt],_xlfn.AGGREGATE(15,6,ROW(PFL_Schutz_Drop_Down56[noch nicht gewählt])-3/(--(SEARCH($A$69,PFL_Schutz_Drop_Down56[noch nicht gewählt])&gt;0)),ROW()-3)),"")</f>
        <v/>
      </c>
      <c r="AX17" s="2200" t="str">
        <f>IFERROR(INDEX(PFL_Schutz_Drop_Down56[noch nicht gewählt],_xlfn.AGGREGATE(15,6,ROW(PFL_Schutz_Drop_Down56[noch nicht gewählt])-3/(--(SEARCH($A$71,PFL_Schutz_Drop_Down56[noch nicht gewählt])&gt;0)),ROW()-3)),"")</f>
        <v/>
      </c>
      <c r="AY17" s="2200" t="str">
        <f>IFERROR(INDEX(PFL_Schutz_Drop_Down56[noch nicht gewählt],_xlfn.AGGREGATE(15,6,ROW(PFL_Schutz_Drop_Down56[noch nicht gewählt])-3/(--(SEARCH($A$73,PFL_Schutz_Drop_Down56[noch nicht gewählt])&gt;0)),ROW()-3)),"")</f>
        <v/>
      </c>
      <c r="AZ17" s="2201" t="str">
        <f>IFERROR(INDEX(PFL_Schutz_Drop_Down56[noch nicht gewählt],_xlfn.AGGREGATE(15,6,ROW(PFL_Schutz_Drop_Down56[noch nicht gewählt])-3/(--(SEARCH($A$75,PFL_Schutz_Drop_Down56[noch nicht gewählt])&gt;0)),ROW()-3)),"")</f>
        <v/>
      </c>
    </row>
    <row r="18" spans="1:52" ht="19.5" customHeight="1">
      <c r="A18" s="3083"/>
      <c r="B18" s="3085"/>
      <c r="C18" s="3085"/>
      <c r="D18" s="3087"/>
      <c r="E18" s="3089"/>
      <c r="F18" s="3091"/>
      <c r="G18" s="3095"/>
      <c r="H18" s="3096"/>
      <c r="I18" s="3097"/>
      <c r="R18" s="2195">
        <f>Pfl_Schutz!E18</f>
        <v>0</v>
      </c>
      <c r="S18" s="2202">
        <f>COUNTIF($R$4:PFL_Schutz_Drop_Down56[[#This Row],[Produktname]],PFL_Schutz_Drop_Down56[[#This Row],[Produktname]])</f>
        <v>15</v>
      </c>
      <c r="T18" s="2203" t="str">
        <f>IFERROR(INDEX(R:R,_xlfn.AGGREGATE(15,6,ROW(PFL_Schutz_Drop_Down56[Produktname])/(PFL_Schutz_Drop_Down56[Auftretend]=1),ROW()-3)),"")</f>
        <v/>
      </c>
      <c r="U18" s="2198" t="str">
        <f>IF(COUNTIF($A$17:$A$76,PFL_Schutz_Drop_Down56[[#This Row],[Produktname eindeutig]])&gt;=1,"",ROW())</f>
        <v/>
      </c>
      <c r="V18" s="2198" t="str">
        <f t="shared" si="0"/>
        <v/>
      </c>
      <c r="W18" s="2199" t="str">
        <f>IFERROR(INDEX(PFL_Schutz_Drop_Down56[noch nicht gewählt],_xlfn.AGGREGATE(15,6,ROW(PFL_Schutz_Drop_Down56[noch nicht gewählt])-3/(--(SEARCH($A$17,PFL_Schutz_Drop_Down56[noch nicht gewählt])&gt;0)),ROW()-3)),"")</f>
        <v/>
      </c>
      <c r="X18" s="2175" t="str">
        <f>IFERROR(INDEX(PFL_Schutz_Drop_Down56[noch nicht gewählt],_xlfn.AGGREGATE(15,6,ROW(PFL_Schutz_Drop_Down56[noch nicht gewählt])-3/(--(SEARCH($A$19,PFL_Schutz_Drop_Down56[noch nicht gewählt])&gt;0)),ROW()-3)),"")</f>
        <v/>
      </c>
      <c r="Y18" s="2175" t="str">
        <f>IFERROR(INDEX(PFL_Schutz_Drop_Down56[noch nicht gewählt],_xlfn.AGGREGATE(15,6,ROW(PFL_Schutz_Drop_Down56[noch nicht gewählt])-3/(--(SEARCH($A$21,PFL_Schutz_Drop_Down56[noch nicht gewählt])&gt;0)),ROW()-3)),"")</f>
        <v/>
      </c>
      <c r="Z18" s="2200" t="str">
        <f>IFERROR(INDEX(PFL_Schutz_Drop_Down56[noch nicht gewählt],_xlfn.AGGREGATE(15,6,ROW(PFL_Schutz_Drop_Down56[noch nicht gewählt])-3/(--(SEARCH($A$23,PFL_Schutz_Drop_Down56[noch nicht gewählt])&gt;0)),ROW()-3)),"")</f>
        <v/>
      </c>
      <c r="AA18" s="2200" t="str">
        <f>IFERROR(INDEX(PFL_Schutz_Drop_Down56[noch nicht gewählt],_xlfn.AGGREGATE(15,6,ROW(PFL_Schutz_Drop_Down56[noch nicht gewählt])-3/(--(SEARCH($A$25,PFL_Schutz_Drop_Down56[noch nicht gewählt])&gt;0)),ROW()-3)),"")</f>
        <v/>
      </c>
      <c r="AB18" s="2200" t="str">
        <f>IFERROR(INDEX(PFL_Schutz_Drop_Down56[noch nicht gewählt],_xlfn.AGGREGATE(15,6,ROW(PFL_Schutz_Drop_Down56[noch nicht gewählt])-3/(--(SEARCH($A$27,PFL_Schutz_Drop_Down56[noch nicht gewählt])&gt;0)),ROW()-3)),"")</f>
        <v/>
      </c>
      <c r="AC18" s="2200" t="str">
        <f>IFERROR(INDEX(PFL_Schutz_Drop_Down56[noch nicht gewählt],_xlfn.AGGREGATE(15,6,ROW(PFL_Schutz_Drop_Down56[noch nicht gewählt])-3/(--(SEARCH($A$29,PFL_Schutz_Drop_Down56[noch nicht gewählt])&gt;0)),ROW()-3)),"")</f>
        <v/>
      </c>
      <c r="AD18" s="2200" t="str">
        <f>IFERROR(INDEX(PFL_Schutz_Drop_Down56[noch nicht gewählt],_xlfn.AGGREGATE(15,6,ROW(PFL_Schutz_Drop_Down56[noch nicht gewählt])-3/(--(SEARCH($A$31,PFL_Schutz_Drop_Down56[noch nicht gewählt])&gt;0)),ROW()-3)),"")</f>
        <v/>
      </c>
      <c r="AE18" s="2200" t="str">
        <f>IFERROR(INDEX(PFL_Schutz_Drop_Down56[noch nicht gewählt],_xlfn.AGGREGATE(15,6,ROW(PFL_Schutz_Drop_Down56[noch nicht gewählt])-3/(--(SEARCH($A$33,PFL_Schutz_Drop_Down56[noch nicht gewählt])&gt;0)),ROW()-3)),"")</f>
        <v/>
      </c>
      <c r="AF18" s="2200" t="str">
        <f>IFERROR(INDEX(PFL_Schutz_Drop_Down56[noch nicht gewählt],_xlfn.AGGREGATE(15,6,ROW(PFL_Schutz_Drop_Down56[noch nicht gewählt])-3/(--(SEARCH($A$35,PFL_Schutz_Drop_Down56[noch nicht gewählt])&gt;0)),ROW()-3)),"")</f>
        <v/>
      </c>
      <c r="AG18" s="2200" t="str">
        <f>IFERROR(INDEX(PFL_Schutz_Drop_Down56[noch nicht gewählt],_xlfn.AGGREGATE(15,6,ROW(PFL_Schutz_Drop_Down56[noch nicht gewählt])-3/(--(SEARCH($A$37,PFL_Schutz_Drop_Down56[noch nicht gewählt])&gt;0)),ROW()-3)),"")</f>
        <v/>
      </c>
      <c r="AH18" s="2200" t="str">
        <f>IFERROR(INDEX(PFL_Schutz_Drop_Down56[noch nicht gewählt],_xlfn.AGGREGATE(15,6,ROW(PFL_Schutz_Drop_Down56[noch nicht gewählt])-3/(--(SEARCH($A$39,PFL_Schutz_Drop_Down56[noch nicht gewählt])&gt;0)),ROW()-3)),"")</f>
        <v/>
      </c>
      <c r="AI18" s="2200" t="str">
        <f>IFERROR(INDEX(PFL_Schutz_Drop_Down56[noch nicht gewählt],_xlfn.AGGREGATE(15,6,ROW(PFL_Schutz_Drop_Down56[noch nicht gewählt])-3/(--(SEARCH($A$41,PFL_Schutz_Drop_Down56[noch nicht gewählt])&gt;0)),ROW()-3)),"")</f>
        <v/>
      </c>
      <c r="AJ18" s="2200" t="str">
        <f>IFERROR(INDEX(PFL_Schutz_Drop_Down56[noch nicht gewählt],_xlfn.AGGREGATE(15,6,ROW(PFL_Schutz_Drop_Down56[noch nicht gewählt])-3/(--(SEARCH($A$43,PFL_Schutz_Drop_Down56[noch nicht gewählt])&gt;0)),ROW()-3)),"")</f>
        <v/>
      </c>
      <c r="AK18" s="2200" t="str">
        <f>IFERROR(INDEX(PFL_Schutz_Drop_Down56[noch nicht gewählt],_xlfn.AGGREGATE(15,6,ROW(PFL_Schutz_Drop_Down56[noch nicht gewählt])-3/(--(SEARCH($A$45,PFL_Schutz_Drop_Down56[noch nicht gewählt])&gt;0)),ROW()-3)),"")</f>
        <v/>
      </c>
      <c r="AL18" s="2200" t="str">
        <f>IFERROR(INDEX(PFL_Schutz_Drop_Down56[noch nicht gewählt],_xlfn.AGGREGATE(15,6,ROW(PFL_Schutz_Drop_Down56[noch nicht gewählt])-3/(--(SEARCH($A$47,PFL_Schutz_Drop_Down56[noch nicht gewählt])&gt;0)),ROW()-3)),"")</f>
        <v/>
      </c>
      <c r="AM18" s="2200" t="str">
        <f>IFERROR(INDEX(PFL_Schutz_Drop_Down56[noch nicht gewählt],_xlfn.AGGREGATE(15,6,ROW(PFL_Schutz_Drop_Down56[noch nicht gewählt])-3/(--(SEARCH($A$49,PFL_Schutz_Drop_Down56[noch nicht gewählt])&gt;0)),ROW()-3)),"")</f>
        <v/>
      </c>
      <c r="AN18" s="2200" t="str">
        <f>IFERROR(INDEX(PFL_Schutz_Drop_Down56[noch nicht gewählt],_xlfn.AGGREGATE(15,6,ROW(PFL_Schutz_Drop_Down56[noch nicht gewählt])-3/(--(SEARCH($A$51,PFL_Schutz_Drop_Down56[noch nicht gewählt])&gt;0)),ROW()-3)),"")</f>
        <v/>
      </c>
      <c r="AO18" s="2200" t="str">
        <f>IFERROR(INDEX(PFL_Schutz_Drop_Down56[noch nicht gewählt],_xlfn.AGGREGATE(15,6,ROW(PFL_Schutz_Drop_Down56[noch nicht gewählt])-3/(--(SEARCH($A$53,PFL_Schutz_Drop_Down56[noch nicht gewählt])&gt;0)),ROW()-3)),"")</f>
        <v/>
      </c>
      <c r="AP18" s="2200" t="str">
        <f>IFERROR(INDEX(PFL_Schutz_Drop_Down56[noch nicht gewählt],_xlfn.AGGREGATE(15,6,ROW(PFL_Schutz_Drop_Down56[noch nicht gewählt])-3/(--(SEARCH($A$55,PFL_Schutz_Drop_Down56[noch nicht gewählt])&gt;0)),ROW()-3)),"")</f>
        <v/>
      </c>
      <c r="AQ18" s="2200" t="str">
        <f>IFERROR(INDEX(PFL_Schutz_Drop_Down56[noch nicht gewählt],_xlfn.AGGREGATE(15,6,ROW(PFL_Schutz_Drop_Down56[noch nicht gewählt])-3/(--(SEARCH($A$57,PFL_Schutz_Drop_Down56[noch nicht gewählt])&gt;0)),ROW()-3)),"")</f>
        <v/>
      </c>
      <c r="AR18" s="2200" t="str">
        <f>IFERROR(INDEX(PFL_Schutz_Drop_Down56[noch nicht gewählt],_xlfn.AGGREGATE(15,6,ROW(PFL_Schutz_Drop_Down56[noch nicht gewählt])-3/(--(SEARCH($A$59,PFL_Schutz_Drop_Down56[noch nicht gewählt])&gt;0)),ROW()-3)),"")</f>
        <v/>
      </c>
      <c r="AS18" s="2200" t="str">
        <f>IFERROR(INDEX(PFL_Schutz_Drop_Down56[noch nicht gewählt],_xlfn.AGGREGATE(15,6,ROW(PFL_Schutz_Drop_Down56[noch nicht gewählt])-3/(--(SEARCH($A$61,PFL_Schutz_Drop_Down56[noch nicht gewählt])&gt;0)),ROW()-3)),"")</f>
        <v/>
      </c>
      <c r="AT18" s="2200" t="str">
        <f>IFERROR(INDEX(PFL_Schutz_Drop_Down56[noch nicht gewählt],_xlfn.AGGREGATE(15,6,ROW(PFL_Schutz_Drop_Down56[noch nicht gewählt])-3/(--(SEARCH($A$63,PFL_Schutz_Drop_Down56[noch nicht gewählt])&gt;0)),ROW()-3)),"")</f>
        <v/>
      </c>
      <c r="AU18" s="2200" t="str">
        <f>IFERROR(INDEX(PFL_Schutz_Drop_Down56[noch nicht gewählt],_xlfn.AGGREGATE(15,6,ROW(PFL_Schutz_Drop_Down56[noch nicht gewählt])-3/(--(SEARCH($A$65,PFL_Schutz_Drop_Down56[noch nicht gewählt])&gt;0)),ROW()-3)),"")</f>
        <v/>
      </c>
      <c r="AV18" s="2200" t="str">
        <f>IFERROR(INDEX(PFL_Schutz_Drop_Down56[noch nicht gewählt],_xlfn.AGGREGATE(15,6,ROW(PFL_Schutz_Drop_Down56[noch nicht gewählt])-3/(--(SEARCH($A$67,PFL_Schutz_Drop_Down56[noch nicht gewählt])&gt;0)),ROW()-3)),"")</f>
        <v/>
      </c>
      <c r="AW18" s="2200" t="str">
        <f>IFERROR(INDEX(PFL_Schutz_Drop_Down56[noch nicht gewählt],_xlfn.AGGREGATE(15,6,ROW(PFL_Schutz_Drop_Down56[noch nicht gewählt])-3/(--(SEARCH($A$69,PFL_Schutz_Drop_Down56[noch nicht gewählt])&gt;0)),ROW()-3)),"")</f>
        <v/>
      </c>
      <c r="AX18" s="2200" t="str">
        <f>IFERROR(INDEX(PFL_Schutz_Drop_Down56[noch nicht gewählt],_xlfn.AGGREGATE(15,6,ROW(PFL_Schutz_Drop_Down56[noch nicht gewählt])-3/(--(SEARCH($A$71,PFL_Schutz_Drop_Down56[noch nicht gewählt])&gt;0)),ROW()-3)),"")</f>
        <v/>
      </c>
      <c r="AY18" s="2200" t="str">
        <f>IFERROR(INDEX(PFL_Schutz_Drop_Down56[noch nicht gewählt],_xlfn.AGGREGATE(15,6,ROW(PFL_Schutz_Drop_Down56[noch nicht gewählt])-3/(--(SEARCH($A$73,PFL_Schutz_Drop_Down56[noch nicht gewählt])&gt;0)),ROW()-3)),"")</f>
        <v/>
      </c>
      <c r="AZ18" s="2201" t="str">
        <f>IFERROR(INDEX(PFL_Schutz_Drop_Down56[noch nicht gewählt],_xlfn.AGGREGATE(15,6,ROW(PFL_Schutz_Drop_Down56[noch nicht gewählt])-3/(--(SEARCH($A$75,PFL_Schutz_Drop_Down56[noch nicht gewählt])&gt;0)),ROW()-3)),"")</f>
        <v/>
      </c>
    </row>
    <row r="19" spans="1:52" ht="19.5" customHeight="1">
      <c r="A19" s="3098"/>
      <c r="B19" s="3100"/>
      <c r="C19" s="3100"/>
      <c r="D19" s="3087">
        <f>SUMIF(Pfl_Schutz!$E$4:$E$77,A19,Pfl_Schutz!$H$4:$H$77)</f>
        <v>0</v>
      </c>
      <c r="E19" s="3089" t="str">
        <f t="shared" ref="E19" si="1">IF(SUM(B19:C20)=0,"",IF(F19&lt;0,"negativer Lagerstand nicht möglich - überprüfen Sie die Eingabewerte auf Vollständigkeit",IF(F19=0,"Produkt aufgebraucht, Lagerstand 0",F19)))</f>
        <v/>
      </c>
      <c r="F19" s="3091">
        <f t="shared" ref="F19" si="2">IF(SUM(B19:C20)&gt;0,IF(ISBLANK(A19),"",B19+C19-D19),0)</f>
        <v>0</v>
      </c>
      <c r="G19" s="3095"/>
      <c r="H19" s="3096"/>
      <c r="I19" s="3097"/>
      <c r="R19" s="2195">
        <f>Pfl_Schutz!E19</f>
        <v>0</v>
      </c>
      <c r="S19" s="2202">
        <f>COUNTIF($R$4:PFL_Schutz_Drop_Down56[[#This Row],[Produktname]],PFL_Schutz_Drop_Down56[[#This Row],[Produktname]])</f>
        <v>16</v>
      </c>
      <c r="T19" s="2203" t="str">
        <f>IFERROR(INDEX(R:R,_xlfn.AGGREGATE(15,6,ROW(PFL_Schutz_Drop_Down56[Produktname])/(PFL_Schutz_Drop_Down56[Auftretend]=1),ROW()-3)),"")</f>
        <v/>
      </c>
      <c r="U19" s="2198" t="str">
        <f>IF(COUNTIF($A$17:$A$76,PFL_Schutz_Drop_Down56[[#This Row],[Produktname eindeutig]])&gt;=1,"",ROW())</f>
        <v/>
      </c>
      <c r="V19" s="2198" t="str">
        <f t="shared" si="0"/>
        <v/>
      </c>
      <c r="W19" s="2199" t="str">
        <f>IFERROR(INDEX(PFL_Schutz_Drop_Down56[noch nicht gewählt],_xlfn.AGGREGATE(15,6,ROW(PFL_Schutz_Drop_Down56[noch nicht gewählt])-3/(--(SEARCH($A$17,PFL_Schutz_Drop_Down56[noch nicht gewählt])&gt;0)),ROW()-3)),"")</f>
        <v/>
      </c>
      <c r="X19" s="2175" t="str">
        <f>IFERROR(INDEX(PFL_Schutz_Drop_Down56[noch nicht gewählt],_xlfn.AGGREGATE(15,6,ROW(PFL_Schutz_Drop_Down56[noch nicht gewählt])-3/(--(SEARCH($A$19,PFL_Schutz_Drop_Down56[noch nicht gewählt])&gt;0)),ROW()-3)),"")</f>
        <v/>
      </c>
      <c r="Y19" s="2175" t="str">
        <f>IFERROR(INDEX(PFL_Schutz_Drop_Down56[noch nicht gewählt],_xlfn.AGGREGATE(15,6,ROW(PFL_Schutz_Drop_Down56[noch nicht gewählt])-3/(--(SEARCH($A$21,PFL_Schutz_Drop_Down56[noch nicht gewählt])&gt;0)),ROW()-3)),"")</f>
        <v/>
      </c>
      <c r="Z19" s="2200" t="str">
        <f>IFERROR(INDEX(PFL_Schutz_Drop_Down56[noch nicht gewählt],_xlfn.AGGREGATE(15,6,ROW(PFL_Schutz_Drop_Down56[noch nicht gewählt])-3/(--(SEARCH($A$23,PFL_Schutz_Drop_Down56[noch nicht gewählt])&gt;0)),ROW()-3)),"")</f>
        <v/>
      </c>
      <c r="AA19" s="2200" t="str">
        <f>IFERROR(INDEX(PFL_Schutz_Drop_Down56[noch nicht gewählt],_xlfn.AGGREGATE(15,6,ROW(PFL_Schutz_Drop_Down56[noch nicht gewählt])-3/(--(SEARCH($A$25,PFL_Schutz_Drop_Down56[noch nicht gewählt])&gt;0)),ROW()-3)),"")</f>
        <v/>
      </c>
      <c r="AB19" s="2200" t="str">
        <f>IFERROR(INDEX(PFL_Schutz_Drop_Down56[noch nicht gewählt],_xlfn.AGGREGATE(15,6,ROW(PFL_Schutz_Drop_Down56[noch nicht gewählt])-3/(--(SEARCH($A$27,PFL_Schutz_Drop_Down56[noch nicht gewählt])&gt;0)),ROW()-3)),"")</f>
        <v/>
      </c>
      <c r="AC19" s="2200" t="str">
        <f>IFERROR(INDEX(PFL_Schutz_Drop_Down56[noch nicht gewählt],_xlfn.AGGREGATE(15,6,ROW(PFL_Schutz_Drop_Down56[noch nicht gewählt])-3/(--(SEARCH($A$29,PFL_Schutz_Drop_Down56[noch nicht gewählt])&gt;0)),ROW()-3)),"")</f>
        <v/>
      </c>
      <c r="AD19" s="2200" t="str">
        <f>IFERROR(INDEX(PFL_Schutz_Drop_Down56[noch nicht gewählt],_xlfn.AGGREGATE(15,6,ROW(PFL_Schutz_Drop_Down56[noch nicht gewählt])-3/(--(SEARCH($A$31,PFL_Schutz_Drop_Down56[noch nicht gewählt])&gt;0)),ROW()-3)),"")</f>
        <v/>
      </c>
      <c r="AE19" s="2200" t="str">
        <f>IFERROR(INDEX(PFL_Schutz_Drop_Down56[noch nicht gewählt],_xlfn.AGGREGATE(15,6,ROW(PFL_Schutz_Drop_Down56[noch nicht gewählt])-3/(--(SEARCH($A$33,PFL_Schutz_Drop_Down56[noch nicht gewählt])&gt;0)),ROW()-3)),"")</f>
        <v/>
      </c>
      <c r="AF19" s="2200" t="str">
        <f>IFERROR(INDEX(PFL_Schutz_Drop_Down56[noch nicht gewählt],_xlfn.AGGREGATE(15,6,ROW(PFL_Schutz_Drop_Down56[noch nicht gewählt])-3/(--(SEARCH($A$35,PFL_Schutz_Drop_Down56[noch nicht gewählt])&gt;0)),ROW()-3)),"")</f>
        <v/>
      </c>
      <c r="AG19" s="2200" t="str">
        <f>IFERROR(INDEX(PFL_Schutz_Drop_Down56[noch nicht gewählt],_xlfn.AGGREGATE(15,6,ROW(PFL_Schutz_Drop_Down56[noch nicht gewählt])-3/(--(SEARCH($A$37,PFL_Schutz_Drop_Down56[noch nicht gewählt])&gt;0)),ROW()-3)),"")</f>
        <v/>
      </c>
      <c r="AH19" s="2200" t="str">
        <f>IFERROR(INDEX(PFL_Schutz_Drop_Down56[noch nicht gewählt],_xlfn.AGGREGATE(15,6,ROW(PFL_Schutz_Drop_Down56[noch nicht gewählt])-3/(--(SEARCH($A$39,PFL_Schutz_Drop_Down56[noch nicht gewählt])&gt;0)),ROW()-3)),"")</f>
        <v/>
      </c>
      <c r="AI19" s="2200" t="str">
        <f>IFERROR(INDEX(PFL_Schutz_Drop_Down56[noch nicht gewählt],_xlfn.AGGREGATE(15,6,ROW(PFL_Schutz_Drop_Down56[noch nicht gewählt])-3/(--(SEARCH($A$41,PFL_Schutz_Drop_Down56[noch nicht gewählt])&gt;0)),ROW()-3)),"")</f>
        <v/>
      </c>
      <c r="AJ19" s="2200" t="str">
        <f>IFERROR(INDEX(PFL_Schutz_Drop_Down56[noch nicht gewählt],_xlfn.AGGREGATE(15,6,ROW(PFL_Schutz_Drop_Down56[noch nicht gewählt])-3/(--(SEARCH($A$43,PFL_Schutz_Drop_Down56[noch nicht gewählt])&gt;0)),ROW()-3)),"")</f>
        <v/>
      </c>
      <c r="AK19" s="2200" t="str">
        <f>IFERROR(INDEX(PFL_Schutz_Drop_Down56[noch nicht gewählt],_xlfn.AGGREGATE(15,6,ROW(PFL_Schutz_Drop_Down56[noch nicht gewählt])-3/(--(SEARCH($A$45,PFL_Schutz_Drop_Down56[noch nicht gewählt])&gt;0)),ROW()-3)),"")</f>
        <v/>
      </c>
      <c r="AL19" s="2200" t="str">
        <f>IFERROR(INDEX(PFL_Schutz_Drop_Down56[noch nicht gewählt],_xlfn.AGGREGATE(15,6,ROW(PFL_Schutz_Drop_Down56[noch nicht gewählt])-3/(--(SEARCH($A$47,PFL_Schutz_Drop_Down56[noch nicht gewählt])&gt;0)),ROW()-3)),"")</f>
        <v/>
      </c>
      <c r="AM19" s="2200" t="str">
        <f>IFERROR(INDEX(PFL_Schutz_Drop_Down56[noch nicht gewählt],_xlfn.AGGREGATE(15,6,ROW(PFL_Schutz_Drop_Down56[noch nicht gewählt])-3/(--(SEARCH($A$49,PFL_Schutz_Drop_Down56[noch nicht gewählt])&gt;0)),ROW()-3)),"")</f>
        <v/>
      </c>
      <c r="AN19" s="2200" t="str">
        <f>IFERROR(INDEX(PFL_Schutz_Drop_Down56[noch nicht gewählt],_xlfn.AGGREGATE(15,6,ROW(PFL_Schutz_Drop_Down56[noch nicht gewählt])-3/(--(SEARCH($A$51,PFL_Schutz_Drop_Down56[noch nicht gewählt])&gt;0)),ROW()-3)),"")</f>
        <v/>
      </c>
      <c r="AO19" s="2200" t="str">
        <f>IFERROR(INDEX(PFL_Schutz_Drop_Down56[noch nicht gewählt],_xlfn.AGGREGATE(15,6,ROW(PFL_Schutz_Drop_Down56[noch nicht gewählt])-3/(--(SEARCH($A$53,PFL_Schutz_Drop_Down56[noch nicht gewählt])&gt;0)),ROW()-3)),"")</f>
        <v/>
      </c>
      <c r="AP19" s="2200" t="str">
        <f>IFERROR(INDEX(PFL_Schutz_Drop_Down56[noch nicht gewählt],_xlfn.AGGREGATE(15,6,ROW(PFL_Schutz_Drop_Down56[noch nicht gewählt])-3/(--(SEARCH($A$55,PFL_Schutz_Drop_Down56[noch nicht gewählt])&gt;0)),ROW()-3)),"")</f>
        <v/>
      </c>
      <c r="AQ19" s="2200" t="str">
        <f>IFERROR(INDEX(PFL_Schutz_Drop_Down56[noch nicht gewählt],_xlfn.AGGREGATE(15,6,ROW(PFL_Schutz_Drop_Down56[noch nicht gewählt])-3/(--(SEARCH($A$57,PFL_Schutz_Drop_Down56[noch nicht gewählt])&gt;0)),ROW()-3)),"")</f>
        <v/>
      </c>
      <c r="AR19" s="2200" t="str">
        <f>IFERROR(INDEX(PFL_Schutz_Drop_Down56[noch nicht gewählt],_xlfn.AGGREGATE(15,6,ROW(PFL_Schutz_Drop_Down56[noch nicht gewählt])-3/(--(SEARCH($A$59,PFL_Schutz_Drop_Down56[noch nicht gewählt])&gt;0)),ROW()-3)),"")</f>
        <v/>
      </c>
      <c r="AS19" s="2200" t="str">
        <f>IFERROR(INDEX(PFL_Schutz_Drop_Down56[noch nicht gewählt],_xlfn.AGGREGATE(15,6,ROW(PFL_Schutz_Drop_Down56[noch nicht gewählt])-3/(--(SEARCH($A$61,PFL_Schutz_Drop_Down56[noch nicht gewählt])&gt;0)),ROW()-3)),"")</f>
        <v/>
      </c>
      <c r="AT19" s="2200" t="str">
        <f>IFERROR(INDEX(PFL_Schutz_Drop_Down56[noch nicht gewählt],_xlfn.AGGREGATE(15,6,ROW(PFL_Schutz_Drop_Down56[noch nicht gewählt])-3/(--(SEARCH($A$63,PFL_Schutz_Drop_Down56[noch nicht gewählt])&gt;0)),ROW()-3)),"")</f>
        <v/>
      </c>
      <c r="AU19" s="2200" t="str">
        <f>IFERROR(INDEX(PFL_Schutz_Drop_Down56[noch nicht gewählt],_xlfn.AGGREGATE(15,6,ROW(PFL_Schutz_Drop_Down56[noch nicht gewählt])-3/(--(SEARCH($A$65,PFL_Schutz_Drop_Down56[noch nicht gewählt])&gt;0)),ROW()-3)),"")</f>
        <v/>
      </c>
      <c r="AV19" s="2200" t="str">
        <f>IFERROR(INDEX(PFL_Schutz_Drop_Down56[noch nicht gewählt],_xlfn.AGGREGATE(15,6,ROW(PFL_Schutz_Drop_Down56[noch nicht gewählt])-3/(--(SEARCH($A$67,PFL_Schutz_Drop_Down56[noch nicht gewählt])&gt;0)),ROW()-3)),"")</f>
        <v/>
      </c>
      <c r="AW19" s="2200" t="str">
        <f>IFERROR(INDEX(PFL_Schutz_Drop_Down56[noch nicht gewählt],_xlfn.AGGREGATE(15,6,ROW(PFL_Schutz_Drop_Down56[noch nicht gewählt])-3/(--(SEARCH($A$69,PFL_Schutz_Drop_Down56[noch nicht gewählt])&gt;0)),ROW()-3)),"")</f>
        <v/>
      </c>
      <c r="AX19" s="2200" t="str">
        <f>IFERROR(INDEX(PFL_Schutz_Drop_Down56[noch nicht gewählt],_xlfn.AGGREGATE(15,6,ROW(PFL_Schutz_Drop_Down56[noch nicht gewählt])-3/(--(SEARCH($A$71,PFL_Schutz_Drop_Down56[noch nicht gewählt])&gt;0)),ROW()-3)),"")</f>
        <v/>
      </c>
      <c r="AY19" s="2200" t="str">
        <f>IFERROR(INDEX(PFL_Schutz_Drop_Down56[noch nicht gewählt],_xlfn.AGGREGATE(15,6,ROW(PFL_Schutz_Drop_Down56[noch nicht gewählt])-3/(--(SEARCH($A$73,PFL_Schutz_Drop_Down56[noch nicht gewählt])&gt;0)),ROW()-3)),"")</f>
        <v/>
      </c>
      <c r="AZ19" s="2201" t="str">
        <f>IFERROR(INDEX(PFL_Schutz_Drop_Down56[noch nicht gewählt],_xlfn.AGGREGATE(15,6,ROW(PFL_Schutz_Drop_Down56[noch nicht gewählt])-3/(--(SEARCH($A$75,PFL_Schutz_Drop_Down56[noch nicht gewählt])&gt;0)),ROW()-3)),"")</f>
        <v/>
      </c>
    </row>
    <row r="20" spans="1:52" ht="19.5" customHeight="1">
      <c r="A20" s="3099"/>
      <c r="B20" s="3101"/>
      <c r="C20" s="3101"/>
      <c r="D20" s="3087"/>
      <c r="E20" s="3089"/>
      <c r="F20" s="3091"/>
      <c r="G20" s="3095"/>
      <c r="H20" s="3096"/>
      <c r="I20" s="3097"/>
      <c r="R20" s="2195">
        <f>Pfl_Schutz!E20</f>
        <v>0</v>
      </c>
      <c r="S20" s="2202">
        <f>COUNTIF($R$4:PFL_Schutz_Drop_Down56[[#This Row],[Produktname]],PFL_Schutz_Drop_Down56[[#This Row],[Produktname]])</f>
        <v>17</v>
      </c>
      <c r="T20" s="2203" t="str">
        <f>IFERROR(INDEX(R:R,_xlfn.AGGREGATE(15,6,ROW(PFL_Schutz_Drop_Down56[Produktname])/(PFL_Schutz_Drop_Down56[Auftretend]=1),ROW()-3)),"")</f>
        <v/>
      </c>
      <c r="U20" s="2198" t="str">
        <f>IF(COUNTIF($A$17:$A$76,PFL_Schutz_Drop_Down56[[#This Row],[Produktname eindeutig]])&gt;=1,"",ROW())</f>
        <v/>
      </c>
      <c r="V20" s="2198" t="str">
        <f t="shared" si="0"/>
        <v/>
      </c>
      <c r="W20" s="2199" t="str">
        <f>IFERROR(INDEX(PFL_Schutz_Drop_Down56[noch nicht gewählt],_xlfn.AGGREGATE(15,6,ROW(PFL_Schutz_Drop_Down56[noch nicht gewählt])-3/(--(SEARCH($A$17,PFL_Schutz_Drop_Down56[noch nicht gewählt])&gt;0)),ROW()-3)),"")</f>
        <v/>
      </c>
      <c r="X20" s="2175" t="str">
        <f>IFERROR(INDEX(PFL_Schutz_Drop_Down56[noch nicht gewählt],_xlfn.AGGREGATE(15,6,ROW(PFL_Schutz_Drop_Down56[noch nicht gewählt])-3/(--(SEARCH($A$19,PFL_Schutz_Drop_Down56[noch nicht gewählt])&gt;0)),ROW()-3)),"")</f>
        <v/>
      </c>
      <c r="Y20" s="2175" t="str">
        <f>IFERROR(INDEX(PFL_Schutz_Drop_Down56[noch nicht gewählt],_xlfn.AGGREGATE(15,6,ROW(PFL_Schutz_Drop_Down56[noch nicht gewählt])-3/(--(SEARCH($A$21,PFL_Schutz_Drop_Down56[noch nicht gewählt])&gt;0)),ROW()-3)),"")</f>
        <v/>
      </c>
      <c r="Z20" s="2200" t="str">
        <f>IFERROR(INDEX(PFL_Schutz_Drop_Down56[noch nicht gewählt],_xlfn.AGGREGATE(15,6,ROW(PFL_Schutz_Drop_Down56[noch nicht gewählt])-3/(--(SEARCH($A$23,PFL_Schutz_Drop_Down56[noch nicht gewählt])&gt;0)),ROW()-3)),"")</f>
        <v/>
      </c>
      <c r="AA20" s="2200" t="str">
        <f>IFERROR(INDEX(PFL_Schutz_Drop_Down56[noch nicht gewählt],_xlfn.AGGREGATE(15,6,ROW(PFL_Schutz_Drop_Down56[noch nicht gewählt])-3/(--(SEARCH($A$25,PFL_Schutz_Drop_Down56[noch nicht gewählt])&gt;0)),ROW()-3)),"")</f>
        <v/>
      </c>
      <c r="AB20" s="2200" t="str">
        <f>IFERROR(INDEX(PFL_Schutz_Drop_Down56[noch nicht gewählt],_xlfn.AGGREGATE(15,6,ROW(PFL_Schutz_Drop_Down56[noch nicht gewählt])-3/(--(SEARCH($A$27,PFL_Schutz_Drop_Down56[noch nicht gewählt])&gt;0)),ROW()-3)),"")</f>
        <v/>
      </c>
      <c r="AC20" s="2200" t="str">
        <f>IFERROR(INDEX(PFL_Schutz_Drop_Down56[noch nicht gewählt],_xlfn.AGGREGATE(15,6,ROW(PFL_Schutz_Drop_Down56[noch nicht gewählt])-3/(--(SEARCH($A$29,PFL_Schutz_Drop_Down56[noch nicht gewählt])&gt;0)),ROW()-3)),"")</f>
        <v/>
      </c>
      <c r="AD20" s="2200" t="str">
        <f>IFERROR(INDEX(PFL_Schutz_Drop_Down56[noch nicht gewählt],_xlfn.AGGREGATE(15,6,ROW(PFL_Schutz_Drop_Down56[noch nicht gewählt])-3/(--(SEARCH($A$31,PFL_Schutz_Drop_Down56[noch nicht gewählt])&gt;0)),ROW()-3)),"")</f>
        <v/>
      </c>
      <c r="AE20" s="2200" t="str">
        <f>IFERROR(INDEX(PFL_Schutz_Drop_Down56[noch nicht gewählt],_xlfn.AGGREGATE(15,6,ROW(PFL_Schutz_Drop_Down56[noch nicht gewählt])-3/(--(SEARCH($A$33,PFL_Schutz_Drop_Down56[noch nicht gewählt])&gt;0)),ROW()-3)),"")</f>
        <v/>
      </c>
      <c r="AF20" s="2200" t="str">
        <f>IFERROR(INDEX(PFL_Schutz_Drop_Down56[noch nicht gewählt],_xlfn.AGGREGATE(15,6,ROW(PFL_Schutz_Drop_Down56[noch nicht gewählt])-3/(--(SEARCH($A$35,PFL_Schutz_Drop_Down56[noch nicht gewählt])&gt;0)),ROW()-3)),"")</f>
        <v/>
      </c>
      <c r="AG20" s="2200" t="str">
        <f>IFERROR(INDEX(PFL_Schutz_Drop_Down56[noch nicht gewählt],_xlfn.AGGREGATE(15,6,ROW(PFL_Schutz_Drop_Down56[noch nicht gewählt])-3/(--(SEARCH($A$37,PFL_Schutz_Drop_Down56[noch nicht gewählt])&gt;0)),ROW()-3)),"")</f>
        <v/>
      </c>
      <c r="AH20" s="2200" t="str">
        <f>IFERROR(INDEX(PFL_Schutz_Drop_Down56[noch nicht gewählt],_xlfn.AGGREGATE(15,6,ROW(PFL_Schutz_Drop_Down56[noch nicht gewählt])-3/(--(SEARCH($A$39,PFL_Schutz_Drop_Down56[noch nicht gewählt])&gt;0)),ROW()-3)),"")</f>
        <v/>
      </c>
      <c r="AI20" s="2200" t="str">
        <f>IFERROR(INDEX(PFL_Schutz_Drop_Down56[noch nicht gewählt],_xlfn.AGGREGATE(15,6,ROW(PFL_Schutz_Drop_Down56[noch nicht gewählt])-3/(--(SEARCH($A$41,PFL_Schutz_Drop_Down56[noch nicht gewählt])&gt;0)),ROW()-3)),"")</f>
        <v/>
      </c>
      <c r="AJ20" s="2200" t="str">
        <f>IFERROR(INDEX(PFL_Schutz_Drop_Down56[noch nicht gewählt],_xlfn.AGGREGATE(15,6,ROW(PFL_Schutz_Drop_Down56[noch nicht gewählt])-3/(--(SEARCH($A$43,PFL_Schutz_Drop_Down56[noch nicht gewählt])&gt;0)),ROW()-3)),"")</f>
        <v/>
      </c>
      <c r="AK20" s="2200" t="str">
        <f>IFERROR(INDEX(PFL_Schutz_Drop_Down56[noch nicht gewählt],_xlfn.AGGREGATE(15,6,ROW(PFL_Schutz_Drop_Down56[noch nicht gewählt])-3/(--(SEARCH($A$45,PFL_Schutz_Drop_Down56[noch nicht gewählt])&gt;0)),ROW()-3)),"")</f>
        <v/>
      </c>
      <c r="AL20" s="2200" t="str">
        <f>IFERROR(INDEX(PFL_Schutz_Drop_Down56[noch nicht gewählt],_xlfn.AGGREGATE(15,6,ROW(PFL_Schutz_Drop_Down56[noch nicht gewählt])-3/(--(SEARCH($A$47,PFL_Schutz_Drop_Down56[noch nicht gewählt])&gt;0)),ROW()-3)),"")</f>
        <v/>
      </c>
      <c r="AM20" s="2200" t="str">
        <f>IFERROR(INDEX(PFL_Schutz_Drop_Down56[noch nicht gewählt],_xlfn.AGGREGATE(15,6,ROW(PFL_Schutz_Drop_Down56[noch nicht gewählt])-3/(--(SEARCH($A$49,PFL_Schutz_Drop_Down56[noch nicht gewählt])&gt;0)),ROW()-3)),"")</f>
        <v/>
      </c>
      <c r="AN20" s="2200" t="str">
        <f>IFERROR(INDEX(PFL_Schutz_Drop_Down56[noch nicht gewählt],_xlfn.AGGREGATE(15,6,ROW(PFL_Schutz_Drop_Down56[noch nicht gewählt])-3/(--(SEARCH($A$51,PFL_Schutz_Drop_Down56[noch nicht gewählt])&gt;0)),ROW()-3)),"")</f>
        <v/>
      </c>
      <c r="AO20" s="2200" t="str">
        <f>IFERROR(INDEX(PFL_Schutz_Drop_Down56[noch nicht gewählt],_xlfn.AGGREGATE(15,6,ROW(PFL_Schutz_Drop_Down56[noch nicht gewählt])-3/(--(SEARCH($A$53,PFL_Schutz_Drop_Down56[noch nicht gewählt])&gt;0)),ROW()-3)),"")</f>
        <v/>
      </c>
      <c r="AP20" s="2200" t="str">
        <f>IFERROR(INDEX(PFL_Schutz_Drop_Down56[noch nicht gewählt],_xlfn.AGGREGATE(15,6,ROW(PFL_Schutz_Drop_Down56[noch nicht gewählt])-3/(--(SEARCH($A$55,PFL_Schutz_Drop_Down56[noch nicht gewählt])&gt;0)),ROW()-3)),"")</f>
        <v/>
      </c>
      <c r="AQ20" s="2200" t="str">
        <f>IFERROR(INDEX(PFL_Schutz_Drop_Down56[noch nicht gewählt],_xlfn.AGGREGATE(15,6,ROW(PFL_Schutz_Drop_Down56[noch nicht gewählt])-3/(--(SEARCH($A$57,PFL_Schutz_Drop_Down56[noch nicht gewählt])&gt;0)),ROW()-3)),"")</f>
        <v/>
      </c>
      <c r="AR20" s="2200" t="str">
        <f>IFERROR(INDEX(PFL_Schutz_Drop_Down56[noch nicht gewählt],_xlfn.AGGREGATE(15,6,ROW(PFL_Schutz_Drop_Down56[noch nicht gewählt])-3/(--(SEARCH($A$59,PFL_Schutz_Drop_Down56[noch nicht gewählt])&gt;0)),ROW()-3)),"")</f>
        <v/>
      </c>
      <c r="AS20" s="2200" t="str">
        <f>IFERROR(INDEX(PFL_Schutz_Drop_Down56[noch nicht gewählt],_xlfn.AGGREGATE(15,6,ROW(PFL_Schutz_Drop_Down56[noch nicht gewählt])-3/(--(SEARCH($A$61,PFL_Schutz_Drop_Down56[noch nicht gewählt])&gt;0)),ROW()-3)),"")</f>
        <v/>
      </c>
      <c r="AT20" s="2200" t="str">
        <f>IFERROR(INDEX(PFL_Schutz_Drop_Down56[noch nicht gewählt],_xlfn.AGGREGATE(15,6,ROW(PFL_Schutz_Drop_Down56[noch nicht gewählt])-3/(--(SEARCH($A$63,PFL_Schutz_Drop_Down56[noch nicht gewählt])&gt;0)),ROW()-3)),"")</f>
        <v/>
      </c>
      <c r="AU20" s="2200" t="str">
        <f>IFERROR(INDEX(PFL_Schutz_Drop_Down56[noch nicht gewählt],_xlfn.AGGREGATE(15,6,ROW(PFL_Schutz_Drop_Down56[noch nicht gewählt])-3/(--(SEARCH($A$65,PFL_Schutz_Drop_Down56[noch nicht gewählt])&gt;0)),ROW()-3)),"")</f>
        <v/>
      </c>
      <c r="AV20" s="2200" t="str">
        <f>IFERROR(INDEX(PFL_Schutz_Drop_Down56[noch nicht gewählt],_xlfn.AGGREGATE(15,6,ROW(PFL_Schutz_Drop_Down56[noch nicht gewählt])-3/(--(SEARCH($A$67,PFL_Schutz_Drop_Down56[noch nicht gewählt])&gt;0)),ROW()-3)),"")</f>
        <v/>
      </c>
      <c r="AW20" s="2200" t="str">
        <f>IFERROR(INDEX(PFL_Schutz_Drop_Down56[noch nicht gewählt],_xlfn.AGGREGATE(15,6,ROW(PFL_Schutz_Drop_Down56[noch nicht gewählt])-3/(--(SEARCH($A$69,PFL_Schutz_Drop_Down56[noch nicht gewählt])&gt;0)),ROW()-3)),"")</f>
        <v/>
      </c>
      <c r="AX20" s="2200" t="str">
        <f>IFERROR(INDEX(PFL_Schutz_Drop_Down56[noch nicht gewählt],_xlfn.AGGREGATE(15,6,ROW(PFL_Schutz_Drop_Down56[noch nicht gewählt])-3/(--(SEARCH($A$71,PFL_Schutz_Drop_Down56[noch nicht gewählt])&gt;0)),ROW()-3)),"")</f>
        <v/>
      </c>
      <c r="AY20" s="2200" t="str">
        <f>IFERROR(INDEX(PFL_Schutz_Drop_Down56[noch nicht gewählt],_xlfn.AGGREGATE(15,6,ROW(PFL_Schutz_Drop_Down56[noch nicht gewählt])-3/(--(SEARCH($A$73,PFL_Schutz_Drop_Down56[noch nicht gewählt])&gt;0)),ROW()-3)),"")</f>
        <v/>
      </c>
      <c r="AZ20" s="2201" t="str">
        <f>IFERROR(INDEX(PFL_Schutz_Drop_Down56[noch nicht gewählt],_xlfn.AGGREGATE(15,6,ROW(PFL_Schutz_Drop_Down56[noch nicht gewählt])-3/(--(SEARCH($A$75,PFL_Schutz_Drop_Down56[noch nicht gewählt])&gt;0)),ROW()-3)),"")</f>
        <v/>
      </c>
    </row>
    <row r="21" spans="1:52" ht="19.5" customHeight="1">
      <c r="A21" s="3098"/>
      <c r="B21" s="3100"/>
      <c r="C21" s="3100"/>
      <c r="D21" s="3087">
        <f>SUMIF(Pfl_Schutz!$E$4:$E$77,A21,Pfl_Schutz!$H$4:$H$77)</f>
        <v>0</v>
      </c>
      <c r="E21" s="3089" t="str">
        <f t="shared" ref="E21" si="3">IF(SUM(B21:C22)=0,"",IF(F21&lt;0,"negativer Lagerstand nicht möglich - überprüfen Sie die Eingabewerte auf Vollständigkeit",IF(F21=0,"Produkt aufgebraucht, Lagerstand 0",F21)))</f>
        <v/>
      </c>
      <c r="F21" s="3091">
        <f t="shared" ref="F21" si="4">IF(SUM(B21:C22)&gt;0,IF(ISBLANK(A21),"",B21+C21-D21),0)</f>
        <v>0</v>
      </c>
      <c r="G21" s="3095"/>
      <c r="H21" s="3096"/>
      <c r="I21" s="3097"/>
      <c r="R21" s="2195">
        <f>Pfl_Schutz!E21</f>
        <v>0</v>
      </c>
      <c r="S21" s="2202">
        <f>COUNTIF($R$4:PFL_Schutz_Drop_Down56[[#This Row],[Produktname]],PFL_Schutz_Drop_Down56[[#This Row],[Produktname]])</f>
        <v>18</v>
      </c>
      <c r="T21" s="2203" t="str">
        <f>IFERROR(INDEX(R:R,_xlfn.AGGREGATE(15,6,ROW(PFL_Schutz_Drop_Down56[Produktname])/(PFL_Schutz_Drop_Down56[Auftretend]=1),ROW()-3)),"")</f>
        <v/>
      </c>
      <c r="U21" s="2198" t="str">
        <f>IF(COUNTIF($A$17:$A$76,PFL_Schutz_Drop_Down56[[#This Row],[Produktname eindeutig]])&gt;=1,"",ROW())</f>
        <v/>
      </c>
      <c r="V21" s="2198" t="str">
        <f t="shared" si="0"/>
        <v/>
      </c>
      <c r="W21" s="2199" t="str">
        <f>IFERROR(INDEX(PFL_Schutz_Drop_Down56[noch nicht gewählt],_xlfn.AGGREGATE(15,6,ROW(PFL_Schutz_Drop_Down56[noch nicht gewählt])-3/(--(SEARCH($A$17,PFL_Schutz_Drop_Down56[noch nicht gewählt])&gt;0)),ROW()-3)),"")</f>
        <v/>
      </c>
      <c r="X21" s="2175" t="str">
        <f>IFERROR(INDEX(PFL_Schutz_Drop_Down56[noch nicht gewählt],_xlfn.AGGREGATE(15,6,ROW(PFL_Schutz_Drop_Down56[noch nicht gewählt])-3/(--(SEARCH($A$19,PFL_Schutz_Drop_Down56[noch nicht gewählt])&gt;0)),ROW()-3)),"")</f>
        <v/>
      </c>
      <c r="Y21" s="2175" t="str">
        <f>IFERROR(INDEX(PFL_Schutz_Drop_Down56[noch nicht gewählt],_xlfn.AGGREGATE(15,6,ROW(PFL_Schutz_Drop_Down56[noch nicht gewählt])-3/(--(SEARCH($A$21,PFL_Schutz_Drop_Down56[noch nicht gewählt])&gt;0)),ROW()-3)),"")</f>
        <v/>
      </c>
      <c r="Z21" s="2200" t="str">
        <f>IFERROR(INDEX(PFL_Schutz_Drop_Down56[noch nicht gewählt],_xlfn.AGGREGATE(15,6,ROW(PFL_Schutz_Drop_Down56[noch nicht gewählt])-3/(--(SEARCH($A$23,PFL_Schutz_Drop_Down56[noch nicht gewählt])&gt;0)),ROW()-3)),"")</f>
        <v/>
      </c>
      <c r="AA21" s="2200" t="str">
        <f>IFERROR(INDEX(PFL_Schutz_Drop_Down56[noch nicht gewählt],_xlfn.AGGREGATE(15,6,ROW(PFL_Schutz_Drop_Down56[noch nicht gewählt])-3/(--(SEARCH($A$25,PFL_Schutz_Drop_Down56[noch nicht gewählt])&gt;0)),ROW()-3)),"")</f>
        <v/>
      </c>
      <c r="AB21" s="2200" t="str">
        <f>IFERROR(INDEX(PFL_Schutz_Drop_Down56[noch nicht gewählt],_xlfn.AGGREGATE(15,6,ROW(PFL_Schutz_Drop_Down56[noch nicht gewählt])-3/(--(SEARCH($A$27,PFL_Schutz_Drop_Down56[noch nicht gewählt])&gt;0)),ROW()-3)),"")</f>
        <v/>
      </c>
      <c r="AC21" s="2200" t="str">
        <f>IFERROR(INDEX(PFL_Schutz_Drop_Down56[noch nicht gewählt],_xlfn.AGGREGATE(15,6,ROW(PFL_Schutz_Drop_Down56[noch nicht gewählt])-3/(--(SEARCH($A$29,PFL_Schutz_Drop_Down56[noch nicht gewählt])&gt;0)),ROW()-3)),"")</f>
        <v/>
      </c>
      <c r="AD21" s="2200" t="str">
        <f>IFERROR(INDEX(PFL_Schutz_Drop_Down56[noch nicht gewählt],_xlfn.AGGREGATE(15,6,ROW(PFL_Schutz_Drop_Down56[noch nicht gewählt])-3/(--(SEARCH($A$31,PFL_Schutz_Drop_Down56[noch nicht gewählt])&gt;0)),ROW()-3)),"")</f>
        <v/>
      </c>
      <c r="AE21" s="2200" t="str">
        <f>IFERROR(INDEX(PFL_Schutz_Drop_Down56[noch nicht gewählt],_xlfn.AGGREGATE(15,6,ROW(PFL_Schutz_Drop_Down56[noch nicht gewählt])-3/(--(SEARCH($A$33,PFL_Schutz_Drop_Down56[noch nicht gewählt])&gt;0)),ROW()-3)),"")</f>
        <v/>
      </c>
      <c r="AF21" s="2200" t="str">
        <f>IFERROR(INDEX(PFL_Schutz_Drop_Down56[noch nicht gewählt],_xlfn.AGGREGATE(15,6,ROW(PFL_Schutz_Drop_Down56[noch nicht gewählt])-3/(--(SEARCH($A$35,PFL_Schutz_Drop_Down56[noch nicht gewählt])&gt;0)),ROW()-3)),"")</f>
        <v/>
      </c>
      <c r="AG21" s="2200" t="str">
        <f>IFERROR(INDEX(PFL_Schutz_Drop_Down56[noch nicht gewählt],_xlfn.AGGREGATE(15,6,ROW(PFL_Schutz_Drop_Down56[noch nicht gewählt])-3/(--(SEARCH($A$37,PFL_Schutz_Drop_Down56[noch nicht gewählt])&gt;0)),ROW()-3)),"")</f>
        <v/>
      </c>
      <c r="AH21" s="2200" t="str">
        <f>IFERROR(INDEX(PFL_Schutz_Drop_Down56[noch nicht gewählt],_xlfn.AGGREGATE(15,6,ROW(PFL_Schutz_Drop_Down56[noch nicht gewählt])-3/(--(SEARCH($A$39,PFL_Schutz_Drop_Down56[noch nicht gewählt])&gt;0)),ROW()-3)),"")</f>
        <v/>
      </c>
      <c r="AI21" s="2200" t="str">
        <f>IFERROR(INDEX(PFL_Schutz_Drop_Down56[noch nicht gewählt],_xlfn.AGGREGATE(15,6,ROW(PFL_Schutz_Drop_Down56[noch nicht gewählt])-3/(--(SEARCH($A$41,PFL_Schutz_Drop_Down56[noch nicht gewählt])&gt;0)),ROW()-3)),"")</f>
        <v/>
      </c>
      <c r="AJ21" s="2200" t="str">
        <f>IFERROR(INDEX(PFL_Schutz_Drop_Down56[noch nicht gewählt],_xlfn.AGGREGATE(15,6,ROW(PFL_Schutz_Drop_Down56[noch nicht gewählt])-3/(--(SEARCH($A$43,PFL_Schutz_Drop_Down56[noch nicht gewählt])&gt;0)),ROW()-3)),"")</f>
        <v/>
      </c>
      <c r="AK21" s="2200" t="str">
        <f>IFERROR(INDEX(PFL_Schutz_Drop_Down56[noch nicht gewählt],_xlfn.AGGREGATE(15,6,ROW(PFL_Schutz_Drop_Down56[noch nicht gewählt])-3/(--(SEARCH($A$45,PFL_Schutz_Drop_Down56[noch nicht gewählt])&gt;0)),ROW()-3)),"")</f>
        <v/>
      </c>
      <c r="AL21" s="2200" t="str">
        <f>IFERROR(INDEX(PFL_Schutz_Drop_Down56[noch nicht gewählt],_xlfn.AGGREGATE(15,6,ROW(PFL_Schutz_Drop_Down56[noch nicht gewählt])-3/(--(SEARCH($A$47,PFL_Schutz_Drop_Down56[noch nicht gewählt])&gt;0)),ROW()-3)),"")</f>
        <v/>
      </c>
      <c r="AM21" s="2200" t="str">
        <f>IFERROR(INDEX(PFL_Schutz_Drop_Down56[noch nicht gewählt],_xlfn.AGGREGATE(15,6,ROW(PFL_Schutz_Drop_Down56[noch nicht gewählt])-3/(--(SEARCH($A$49,PFL_Schutz_Drop_Down56[noch nicht gewählt])&gt;0)),ROW()-3)),"")</f>
        <v/>
      </c>
      <c r="AN21" s="2200" t="str">
        <f>IFERROR(INDEX(PFL_Schutz_Drop_Down56[noch nicht gewählt],_xlfn.AGGREGATE(15,6,ROW(PFL_Schutz_Drop_Down56[noch nicht gewählt])-3/(--(SEARCH($A$51,PFL_Schutz_Drop_Down56[noch nicht gewählt])&gt;0)),ROW()-3)),"")</f>
        <v/>
      </c>
      <c r="AO21" s="2200" t="str">
        <f>IFERROR(INDEX(PFL_Schutz_Drop_Down56[noch nicht gewählt],_xlfn.AGGREGATE(15,6,ROW(PFL_Schutz_Drop_Down56[noch nicht gewählt])-3/(--(SEARCH($A$53,PFL_Schutz_Drop_Down56[noch nicht gewählt])&gt;0)),ROW()-3)),"")</f>
        <v/>
      </c>
      <c r="AP21" s="2200" t="str">
        <f>IFERROR(INDEX(PFL_Schutz_Drop_Down56[noch nicht gewählt],_xlfn.AGGREGATE(15,6,ROW(PFL_Schutz_Drop_Down56[noch nicht gewählt])-3/(--(SEARCH($A$55,PFL_Schutz_Drop_Down56[noch nicht gewählt])&gt;0)),ROW()-3)),"")</f>
        <v/>
      </c>
      <c r="AQ21" s="2200" t="str">
        <f>IFERROR(INDEX(PFL_Schutz_Drop_Down56[noch nicht gewählt],_xlfn.AGGREGATE(15,6,ROW(PFL_Schutz_Drop_Down56[noch nicht gewählt])-3/(--(SEARCH($A$57,PFL_Schutz_Drop_Down56[noch nicht gewählt])&gt;0)),ROW()-3)),"")</f>
        <v/>
      </c>
      <c r="AR21" s="2200" t="str">
        <f>IFERROR(INDEX(PFL_Schutz_Drop_Down56[noch nicht gewählt],_xlfn.AGGREGATE(15,6,ROW(PFL_Schutz_Drop_Down56[noch nicht gewählt])-3/(--(SEARCH($A$59,PFL_Schutz_Drop_Down56[noch nicht gewählt])&gt;0)),ROW()-3)),"")</f>
        <v/>
      </c>
      <c r="AS21" s="2200" t="str">
        <f>IFERROR(INDEX(PFL_Schutz_Drop_Down56[noch nicht gewählt],_xlfn.AGGREGATE(15,6,ROW(PFL_Schutz_Drop_Down56[noch nicht gewählt])-3/(--(SEARCH($A$61,PFL_Schutz_Drop_Down56[noch nicht gewählt])&gt;0)),ROW()-3)),"")</f>
        <v/>
      </c>
      <c r="AT21" s="2200" t="str">
        <f>IFERROR(INDEX(PFL_Schutz_Drop_Down56[noch nicht gewählt],_xlfn.AGGREGATE(15,6,ROW(PFL_Schutz_Drop_Down56[noch nicht gewählt])-3/(--(SEARCH($A$63,PFL_Schutz_Drop_Down56[noch nicht gewählt])&gt;0)),ROW()-3)),"")</f>
        <v/>
      </c>
      <c r="AU21" s="2200" t="str">
        <f>IFERROR(INDEX(PFL_Schutz_Drop_Down56[noch nicht gewählt],_xlfn.AGGREGATE(15,6,ROW(PFL_Schutz_Drop_Down56[noch nicht gewählt])-3/(--(SEARCH($A$65,PFL_Schutz_Drop_Down56[noch nicht gewählt])&gt;0)),ROW()-3)),"")</f>
        <v/>
      </c>
      <c r="AV21" s="2200" t="str">
        <f>IFERROR(INDEX(PFL_Schutz_Drop_Down56[noch nicht gewählt],_xlfn.AGGREGATE(15,6,ROW(PFL_Schutz_Drop_Down56[noch nicht gewählt])-3/(--(SEARCH($A$67,PFL_Schutz_Drop_Down56[noch nicht gewählt])&gt;0)),ROW()-3)),"")</f>
        <v/>
      </c>
      <c r="AW21" s="2200" t="str">
        <f>IFERROR(INDEX(PFL_Schutz_Drop_Down56[noch nicht gewählt],_xlfn.AGGREGATE(15,6,ROW(PFL_Schutz_Drop_Down56[noch nicht gewählt])-3/(--(SEARCH($A$69,PFL_Schutz_Drop_Down56[noch nicht gewählt])&gt;0)),ROW()-3)),"")</f>
        <v/>
      </c>
      <c r="AX21" s="2200" t="str">
        <f>IFERROR(INDEX(PFL_Schutz_Drop_Down56[noch nicht gewählt],_xlfn.AGGREGATE(15,6,ROW(PFL_Schutz_Drop_Down56[noch nicht gewählt])-3/(--(SEARCH($A$71,PFL_Schutz_Drop_Down56[noch nicht gewählt])&gt;0)),ROW()-3)),"")</f>
        <v/>
      </c>
      <c r="AY21" s="2200" t="str">
        <f>IFERROR(INDEX(PFL_Schutz_Drop_Down56[noch nicht gewählt],_xlfn.AGGREGATE(15,6,ROW(PFL_Schutz_Drop_Down56[noch nicht gewählt])-3/(--(SEARCH($A$73,PFL_Schutz_Drop_Down56[noch nicht gewählt])&gt;0)),ROW()-3)),"")</f>
        <v/>
      </c>
      <c r="AZ21" s="2201" t="str">
        <f>IFERROR(INDEX(PFL_Schutz_Drop_Down56[noch nicht gewählt],_xlfn.AGGREGATE(15,6,ROW(PFL_Schutz_Drop_Down56[noch nicht gewählt])-3/(--(SEARCH($A$75,PFL_Schutz_Drop_Down56[noch nicht gewählt])&gt;0)),ROW()-3)),"")</f>
        <v/>
      </c>
    </row>
    <row r="22" spans="1:52" ht="19.5" customHeight="1">
      <c r="A22" s="3099"/>
      <c r="B22" s="3101"/>
      <c r="C22" s="3101"/>
      <c r="D22" s="3087"/>
      <c r="E22" s="3089"/>
      <c r="F22" s="3091"/>
      <c r="G22" s="3095"/>
      <c r="H22" s="3096"/>
      <c r="I22" s="3097"/>
      <c r="R22" s="2195">
        <f>Pfl_Schutz!E22</f>
        <v>0</v>
      </c>
      <c r="S22" s="2202">
        <f>COUNTIF($R$4:PFL_Schutz_Drop_Down56[[#This Row],[Produktname]],PFL_Schutz_Drop_Down56[[#This Row],[Produktname]])</f>
        <v>19</v>
      </c>
      <c r="T22" s="2203" t="str">
        <f>IFERROR(INDEX(R:R,_xlfn.AGGREGATE(15,6,ROW(PFL_Schutz_Drop_Down56[Produktname])/(PFL_Schutz_Drop_Down56[Auftretend]=1),ROW()-3)),"")</f>
        <v/>
      </c>
      <c r="U22" s="2198" t="str">
        <f>IF(COUNTIF($A$17:$A$76,PFL_Schutz_Drop_Down56[[#This Row],[Produktname eindeutig]])&gt;=1,"",ROW())</f>
        <v/>
      </c>
      <c r="V22" s="2198" t="str">
        <f t="shared" si="0"/>
        <v/>
      </c>
      <c r="W22" s="2199" t="str">
        <f>IFERROR(INDEX(PFL_Schutz_Drop_Down56[noch nicht gewählt],_xlfn.AGGREGATE(15,6,ROW(PFL_Schutz_Drop_Down56[noch nicht gewählt])-3/(--(SEARCH($A$17,PFL_Schutz_Drop_Down56[noch nicht gewählt])&gt;0)),ROW()-3)),"")</f>
        <v/>
      </c>
      <c r="X22" s="2175" t="str">
        <f>IFERROR(INDEX(PFL_Schutz_Drop_Down56[noch nicht gewählt],_xlfn.AGGREGATE(15,6,ROW(PFL_Schutz_Drop_Down56[noch nicht gewählt])-3/(--(SEARCH($A$19,PFL_Schutz_Drop_Down56[noch nicht gewählt])&gt;0)),ROW()-3)),"")</f>
        <v/>
      </c>
      <c r="Y22" s="2175" t="str">
        <f>IFERROR(INDEX(PFL_Schutz_Drop_Down56[noch nicht gewählt],_xlfn.AGGREGATE(15,6,ROW(PFL_Schutz_Drop_Down56[noch nicht gewählt])-3/(--(SEARCH($A$21,PFL_Schutz_Drop_Down56[noch nicht gewählt])&gt;0)),ROW()-3)),"")</f>
        <v/>
      </c>
      <c r="Z22" s="2200" t="str">
        <f>IFERROR(INDEX(PFL_Schutz_Drop_Down56[noch nicht gewählt],_xlfn.AGGREGATE(15,6,ROW(PFL_Schutz_Drop_Down56[noch nicht gewählt])-3/(--(SEARCH($A$23,PFL_Schutz_Drop_Down56[noch nicht gewählt])&gt;0)),ROW()-3)),"")</f>
        <v/>
      </c>
      <c r="AA22" s="2200" t="str">
        <f>IFERROR(INDEX(PFL_Schutz_Drop_Down56[noch nicht gewählt],_xlfn.AGGREGATE(15,6,ROW(PFL_Schutz_Drop_Down56[noch nicht gewählt])-3/(--(SEARCH($A$25,PFL_Schutz_Drop_Down56[noch nicht gewählt])&gt;0)),ROW()-3)),"")</f>
        <v/>
      </c>
      <c r="AB22" s="2200" t="str">
        <f>IFERROR(INDEX(PFL_Schutz_Drop_Down56[noch nicht gewählt],_xlfn.AGGREGATE(15,6,ROW(PFL_Schutz_Drop_Down56[noch nicht gewählt])-3/(--(SEARCH($A$27,PFL_Schutz_Drop_Down56[noch nicht gewählt])&gt;0)),ROW()-3)),"")</f>
        <v/>
      </c>
      <c r="AC22" s="2200" t="str">
        <f>IFERROR(INDEX(PFL_Schutz_Drop_Down56[noch nicht gewählt],_xlfn.AGGREGATE(15,6,ROW(PFL_Schutz_Drop_Down56[noch nicht gewählt])-3/(--(SEARCH($A$29,PFL_Schutz_Drop_Down56[noch nicht gewählt])&gt;0)),ROW()-3)),"")</f>
        <v/>
      </c>
      <c r="AD22" s="2200" t="str">
        <f>IFERROR(INDEX(PFL_Schutz_Drop_Down56[noch nicht gewählt],_xlfn.AGGREGATE(15,6,ROW(PFL_Schutz_Drop_Down56[noch nicht gewählt])-3/(--(SEARCH($A$31,PFL_Schutz_Drop_Down56[noch nicht gewählt])&gt;0)),ROW()-3)),"")</f>
        <v/>
      </c>
      <c r="AE22" s="2200" t="str">
        <f>IFERROR(INDEX(PFL_Schutz_Drop_Down56[noch nicht gewählt],_xlfn.AGGREGATE(15,6,ROW(PFL_Schutz_Drop_Down56[noch nicht gewählt])-3/(--(SEARCH($A$33,PFL_Schutz_Drop_Down56[noch nicht gewählt])&gt;0)),ROW()-3)),"")</f>
        <v/>
      </c>
      <c r="AF22" s="2200" t="str">
        <f>IFERROR(INDEX(PFL_Schutz_Drop_Down56[noch nicht gewählt],_xlfn.AGGREGATE(15,6,ROW(PFL_Schutz_Drop_Down56[noch nicht gewählt])-3/(--(SEARCH($A$35,PFL_Schutz_Drop_Down56[noch nicht gewählt])&gt;0)),ROW()-3)),"")</f>
        <v/>
      </c>
      <c r="AG22" s="2200" t="str">
        <f>IFERROR(INDEX(PFL_Schutz_Drop_Down56[noch nicht gewählt],_xlfn.AGGREGATE(15,6,ROW(PFL_Schutz_Drop_Down56[noch nicht gewählt])-3/(--(SEARCH($A$37,PFL_Schutz_Drop_Down56[noch nicht gewählt])&gt;0)),ROW()-3)),"")</f>
        <v/>
      </c>
      <c r="AH22" s="2200" t="str">
        <f>IFERROR(INDEX(PFL_Schutz_Drop_Down56[noch nicht gewählt],_xlfn.AGGREGATE(15,6,ROW(PFL_Schutz_Drop_Down56[noch nicht gewählt])-3/(--(SEARCH($A$39,PFL_Schutz_Drop_Down56[noch nicht gewählt])&gt;0)),ROW()-3)),"")</f>
        <v/>
      </c>
      <c r="AI22" s="2200" t="str">
        <f>IFERROR(INDEX(PFL_Schutz_Drop_Down56[noch nicht gewählt],_xlfn.AGGREGATE(15,6,ROW(PFL_Schutz_Drop_Down56[noch nicht gewählt])-3/(--(SEARCH($A$41,PFL_Schutz_Drop_Down56[noch nicht gewählt])&gt;0)),ROW()-3)),"")</f>
        <v/>
      </c>
      <c r="AJ22" s="2200" t="str">
        <f>IFERROR(INDEX(PFL_Schutz_Drop_Down56[noch nicht gewählt],_xlfn.AGGREGATE(15,6,ROW(PFL_Schutz_Drop_Down56[noch nicht gewählt])-3/(--(SEARCH($A$43,PFL_Schutz_Drop_Down56[noch nicht gewählt])&gt;0)),ROW()-3)),"")</f>
        <v/>
      </c>
      <c r="AK22" s="2200" t="str">
        <f>IFERROR(INDEX(PFL_Schutz_Drop_Down56[noch nicht gewählt],_xlfn.AGGREGATE(15,6,ROW(PFL_Schutz_Drop_Down56[noch nicht gewählt])-3/(--(SEARCH($A$45,PFL_Schutz_Drop_Down56[noch nicht gewählt])&gt;0)),ROW()-3)),"")</f>
        <v/>
      </c>
      <c r="AL22" s="2200" t="str">
        <f>IFERROR(INDEX(PFL_Schutz_Drop_Down56[noch nicht gewählt],_xlfn.AGGREGATE(15,6,ROW(PFL_Schutz_Drop_Down56[noch nicht gewählt])-3/(--(SEARCH($A$47,PFL_Schutz_Drop_Down56[noch nicht gewählt])&gt;0)),ROW()-3)),"")</f>
        <v/>
      </c>
      <c r="AM22" s="2200" t="str">
        <f>IFERROR(INDEX(PFL_Schutz_Drop_Down56[noch nicht gewählt],_xlfn.AGGREGATE(15,6,ROW(PFL_Schutz_Drop_Down56[noch nicht gewählt])-3/(--(SEARCH($A$49,PFL_Schutz_Drop_Down56[noch nicht gewählt])&gt;0)),ROW()-3)),"")</f>
        <v/>
      </c>
      <c r="AN22" s="2200" t="str">
        <f>IFERROR(INDEX(PFL_Schutz_Drop_Down56[noch nicht gewählt],_xlfn.AGGREGATE(15,6,ROW(PFL_Schutz_Drop_Down56[noch nicht gewählt])-3/(--(SEARCH($A$51,PFL_Schutz_Drop_Down56[noch nicht gewählt])&gt;0)),ROW()-3)),"")</f>
        <v/>
      </c>
      <c r="AO22" s="2200" t="str">
        <f>IFERROR(INDEX(PFL_Schutz_Drop_Down56[noch nicht gewählt],_xlfn.AGGREGATE(15,6,ROW(PFL_Schutz_Drop_Down56[noch nicht gewählt])-3/(--(SEARCH($A$53,PFL_Schutz_Drop_Down56[noch nicht gewählt])&gt;0)),ROW()-3)),"")</f>
        <v/>
      </c>
      <c r="AP22" s="2200" t="str">
        <f>IFERROR(INDEX(PFL_Schutz_Drop_Down56[noch nicht gewählt],_xlfn.AGGREGATE(15,6,ROW(PFL_Schutz_Drop_Down56[noch nicht gewählt])-3/(--(SEARCH($A$55,PFL_Schutz_Drop_Down56[noch nicht gewählt])&gt;0)),ROW()-3)),"")</f>
        <v/>
      </c>
      <c r="AQ22" s="2200" t="str">
        <f>IFERROR(INDEX(PFL_Schutz_Drop_Down56[noch nicht gewählt],_xlfn.AGGREGATE(15,6,ROW(PFL_Schutz_Drop_Down56[noch nicht gewählt])-3/(--(SEARCH($A$57,PFL_Schutz_Drop_Down56[noch nicht gewählt])&gt;0)),ROW()-3)),"")</f>
        <v/>
      </c>
      <c r="AR22" s="2200" t="str">
        <f>IFERROR(INDEX(PFL_Schutz_Drop_Down56[noch nicht gewählt],_xlfn.AGGREGATE(15,6,ROW(PFL_Schutz_Drop_Down56[noch nicht gewählt])-3/(--(SEARCH($A$59,PFL_Schutz_Drop_Down56[noch nicht gewählt])&gt;0)),ROW()-3)),"")</f>
        <v/>
      </c>
      <c r="AS22" s="2200" t="str">
        <f>IFERROR(INDEX(PFL_Schutz_Drop_Down56[noch nicht gewählt],_xlfn.AGGREGATE(15,6,ROW(PFL_Schutz_Drop_Down56[noch nicht gewählt])-3/(--(SEARCH($A$61,PFL_Schutz_Drop_Down56[noch nicht gewählt])&gt;0)),ROW()-3)),"")</f>
        <v/>
      </c>
      <c r="AT22" s="2200" t="str">
        <f>IFERROR(INDEX(PFL_Schutz_Drop_Down56[noch nicht gewählt],_xlfn.AGGREGATE(15,6,ROW(PFL_Schutz_Drop_Down56[noch nicht gewählt])-3/(--(SEARCH($A$63,PFL_Schutz_Drop_Down56[noch nicht gewählt])&gt;0)),ROW()-3)),"")</f>
        <v/>
      </c>
      <c r="AU22" s="2200" t="str">
        <f>IFERROR(INDEX(PFL_Schutz_Drop_Down56[noch nicht gewählt],_xlfn.AGGREGATE(15,6,ROW(PFL_Schutz_Drop_Down56[noch nicht gewählt])-3/(--(SEARCH($A$65,PFL_Schutz_Drop_Down56[noch nicht gewählt])&gt;0)),ROW()-3)),"")</f>
        <v/>
      </c>
      <c r="AV22" s="2200" t="str">
        <f>IFERROR(INDEX(PFL_Schutz_Drop_Down56[noch nicht gewählt],_xlfn.AGGREGATE(15,6,ROW(PFL_Schutz_Drop_Down56[noch nicht gewählt])-3/(--(SEARCH($A$67,PFL_Schutz_Drop_Down56[noch nicht gewählt])&gt;0)),ROW()-3)),"")</f>
        <v/>
      </c>
      <c r="AW22" s="2200" t="str">
        <f>IFERROR(INDEX(PFL_Schutz_Drop_Down56[noch nicht gewählt],_xlfn.AGGREGATE(15,6,ROW(PFL_Schutz_Drop_Down56[noch nicht gewählt])-3/(--(SEARCH($A$69,PFL_Schutz_Drop_Down56[noch nicht gewählt])&gt;0)),ROW()-3)),"")</f>
        <v/>
      </c>
      <c r="AX22" s="2200" t="str">
        <f>IFERROR(INDEX(PFL_Schutz_Drop_Down56[noch nicht gewählt],_xlfn.AGGREGATE(15,6,ROW(PFL_Schutz_Drop_Down56[noch nicht gewählt])-3/(--(SEARCH($A$71,PFL_Schutz_Drop_Down56[noch nicht gewählt])&gt;0)),ROW()-3)),"")</f>
        <v/>
      </c>
      <c r="AY22" s="2200" t="str">
        <f>IFERROR(INDEX(PFL_Schutz_Drop_Down56[noch nicht gewählt],_xlfn.AGGREGATE(15,6,ROW(PFL_Schutz_Drop_Down56[noch nicht gewählt])-3/(--(SEARCH($A$73,PFL_Schutz_Drop_Down56[noch nicht gewählt])&gt;0)),ROW()-3)),"")</f>
        <v/>
      </c>
      <c r="AZ22" s="2201" t="str">
        <f>IFERROR(INDEX(PFL_Schutz_Drop_Down56[noch nicht gewählt],_xlfn.AGGREGATE(15,6,ROW(PFL_Schutz_Drop_Down56[noch nicht gewählt])-3/(--(SEARCH($A$75,PFL_Schutz_Drop_Down56[noch nicht gewählt])&gt;0)),ROW()-3)),"")</f>
        <v/>
      </c>
    </row>
    <row r="23" spans="1:52" ht="19.5" customHeight="1">
      <c r="A23" s="3098"/>
      <c r="B23" s="3100"/>
      <c r="C23" s="3100"/>
      <c r="D23" s="3087">
        <f>SUMIF(Pfl_Schutz!$E$4:$E$77,A23,Pfl_Schutz!$H$4:$H$77)</f>
        <v>0</v>
      </c>
      <c r="E23" s="3089" t="str">
        <f t="shared" ref="E23" si="5">IF(SUM(B23:C24)=0,"",IF(F23&lt;0,"negativer Lagerstand nicht möglich - überprüfen Sie die Eingabewerte auf Vollständigkeit",IF(F23=0,"Produkt aufgebraucht, Lagerstand 0",F23)))</f>
        <v/>
      </c>
      <c r="F23" s="3091">
        <f t="shared" ref="F23" si="6">IF(SUM(B23:C24)&gt;0,IF(ISBLANK(A23),"",B23+C23-D23),0)</f>
        <v>0</v>
      </c>
      <c r="G23" s="3095"/>
      <c r="H23" s="3096"/>
      <c r="I23" s="3097"/>
      <c r="R23" s="2195">
        <f>Pfl_Schutz!E23</f>
        <v>0</v>
      </c>
      <c r="S23" s="2202">
        <f>COUNTIF($R$4:PFL_Schutz_Drop_Down56[[#This Row],[Produktname]],PFL_Schutz_Drop_Down56[[#This Row],[Produktname]])</f>
        <v>20</v>
      </c>
      <c r="T23" s="2203" t="str">
        <f>IFERROR(INDEX(R:R,_xlfn.AGGREGATE(15,6,ROW(PFL_Schutz_Drop_Down56[Produktname])/(PFL_Schutz_Drop_Down56[Auftretend]=1),ROW()-3)),"")</f>
        <v/>
      </c>
      <c r="U23" s="2198" t="str">
        <f>IF(COUNTIF($A$17:$A$76,PFL_Schutz_Drop_Down56[[#This Row],[Produktname eindeutig]])&gt;=1,"",ROW())</f>
        <v/>
      </c>
      <c r="V23" s="2198" t="str">
        <f t="shared" si="0"/>
        <v/>
      </c>
      <c r="W23" s="2199" t="str">
        <f>IFERROR(INDEX(PFL_Schutz_Drop_Down56[noch nicht gewählt],_xlfn.AGGREGATE(15,6,ROW(PFL_Schutz_Drop_Down56[noch nicht gewählt])-3/(--(SEARCH($A$17,PFL_Schutz_Drop_Down56[noch nicht gewählt])&gt;0)),ROW()-3)),"")</f>
        <v/>
      </c>
      <c r="X23" s="2175" t="str">
        <f>IFERROR(INDEX(PFL_Schutz_Drop_Down56[noch nicht gewählt],_xlfn.AGGREGATE(15,6,ROW(PFL_Schutz_Drop_Down56[noch nicht gewählt])-3/(--(SEARCH($A$19,PFL_Schutz_Drop_Down56[noch nicht gewählt])&gt;0)),ROW()-3)),"")</f>
        <v/>
      </c>
      <c r="Y23" s="2175" t="str">
        <f>IFERROR(INDEX(PFL_Schutz_Drop_Down56[noch nicht gewählt],_xlfn.AGGREGATE(15,6,ROW(PFL_Schutz_Drop_Down56[noch nicht gewählt])-3/(--(SEARCH($A$21,PFL_Schutz_Drop_Down56[noch nicht gewählt])&gt;0)),ROW()-3)),"")</f>
        <v/>
      </c>
      <c r="Z23" s="2200" t="str">
        <f>IFERROR(INDEX(PFL_Schutz_Drop_Down56[noch nicht gewählt],_xlfn.AGGREGATE(15,6,ROW(PFL_Schutz_Drop_Down56[noch nicht gewählt])-3/(--(SEARCH($A$23,PFL_Schutz_Drop_Down56[noch nicht gewählt])&gt;0)),ROW()-3)),"")</f>
        <v/>
      </c>
      <c r="AA23" s="2200" t="str">
        <f>IFERROR(INDEX(PFL_Schutz_Drop_Down56[noch nicht gewählt],_xlfn.AGGREGATE(15,6,ROW(PFL_Schutz_Drop_Down56[noch nicht gewählt])-3/(--(SEARCH($A$25,PFL_Schutz_Drop_Down56[noch nicht gewählt])&gt;0)),ROW()-3)),"")</f>
        <v/>
      </c>
      <c r="AB23" s="2200" t="str">
        <f>IFERROR(INDEX(PFL_Schutz_Drop_Down56[noch nicht gewählt],_xlfn.AGGREGATE(15,6,ROW(PFL_Schutz_Drop_Down56[noch nicht gewählt])-3/(--(SEARCH($A$27,PFL_Schutz_Drop_Down56[noch nicht gewählt])&gt;0)),ROW()-3)),"")</f>
        <v/>
      </c>
      <c r="AC23" s="2200" t="str">
        <f>IFERROR(INDEX(PFL_Schutz_Drop_Down56[noch nicht gewählt],_xlfn.AGGREGATE(15,6,ROW(PFL_Schutz_Drop_Down56[noch nicht gewählt])-3/(--(SEARCH($A$29,PFL_Schutz_Drop_Down56[noch nicht gewählt])&gt;0)),ROW()-3)),"")</f>
        <v/>
      </c>
      <c r="AD23" s="2200" t="str">
        <f>IFERROR(INDEX(PFL_Schutz_Drop_Down56[noch nicht gewählt],_xlfn.AGGREGATE(15,6,ROW(PFL_Schutz_Drop_Down56[noch nicht gewählt])-3/(--(SEARCH($A$31,PFL_Schutz_Drop_Down56[noch nicht gewählt])&gt;0)),ROW()-3)),"")</f>
        <v/>
      </c>
      <c r="AE23" s="2200" t="str">
        <f>IFERROR(INDEX(PFL_Schutz_Drop_Down56[noch nicht gewählt],_xlfn.AGGREGATE(15,6,ROW(PFL_Schutz_Drop_Down56[noch nicht gewählt])-3/(--(SEARCH($A$33,PFL_Schutz_Drop_Down56[noch nicht gewählt])&gt;0)),ROW()-3)),"")</f>
        <v/>
      </c>
      <c r="AF23" s="2200" t="str">
        <f>IFERROR(INDEX(PFL_Schutz_Drop_Down56[noch nicht gewählt],_xlfn.AGGREGATE(15,6,ROW(PFL_Schutz_Drop_Down56[noch nicht gewählt])-3/(--(SEARCH($A$35,PFL_Schutz_Drop_Down56[noch nicht gewählt])&gt;0)),ROW()-3)),"")</f>
        <v/>
      </c>
      <c r="AG23" s="2200" t="str">
        <f>IFERROR(INDEX(PFL_Schutz_Drop_Down56[noch nicht gewählt],_xlfn.AGGREGATE(15,6,ROW(PFL_Schutz_Drop_Down56[noch nicht gewählt])-3/(--(SEARCH($A$37,PFL_Schutz_Drop_Down56[noch nicht gewählt])&gt;0)),ROW()-3)),"")</f>
        <v/>
      </c>
      <c r="AH23" s="2200" t="str">
        <f>IFERROR(INDEX(PFL_Schutz_Drop_Down56[noch nicht gewählt],_xlfn.AGGREGATE(15,6,ROW(PFL_Schutz_Drop_Down56[noch nicht gewählt])-3/(--(SEARCH($A$39,PFL_Schutz_Drop_Down56[noch nicht gewählt])&gt;0)),ROW()-3)),"")</f>
        <v/>
      </c>
      <c r="AI23" s="2200" t="str">
        <f>IFERROR(INDEX(PFL_Schutz_Drop_Down56[noch nicht gewählt],_xlfn.AGGREGATE(15,6,ROW(PFL_Schutz_Drop_Down56[noch nicht gewählt])-3/(--(SEARCH($A$41,PFL_Schutz_Drop_Down56[noch nicht gewählt])&gt;0)),ROW()-3)),"")</f>
        <v/>
      </c>
      <c r="AJ23" s="2200" t="str">
        <f>IFERROR(INDEX(PFL_Schutz_Drop_Down56[noch nicht gewählt],_xlfn.AGGREGATE(15,6,ROW(PFL_Schutz_Drop_Down56[noch nicht gewählt])-3/(--(SEARCH($A$43,PFL_Schutz_Drop_Down56[noch nicht gewählt])&gt;0)),ROW()-3)),"")</f>
        <v/>
      </c>
      <c r="AK23" s="2200" t="str">
        <f>IFERROR(INDEX(PFL_Schutz_Drop_Down56[noch nicht gewählt],_xlfn.AGGREGATE(15,6,ROW(PFL_Schutz_Drop_Down56[noch nicht gewählt])-3/(--(SEARCH($A$45,PFL_Schutz_Drop_Down56[noch nicht gewählt])&gt;0)),ROW()-3)),"")</f>
        <v/>
      </c>
      <c r="AL23" s="2200" t="str">
        <f>IFERROR(INDEX(PFL_Schutz_Drop_Down56[noch nicht gewählt],_xlfn.AGGREGATE(15,6,ROW(PFL_Schutz_Drop_Down56[noch nicht gewählt])-3/(--(SEARCH($A$47,PFL_Schutz_Drop_Down56[noch nicht gewählt])&gt;0)),ROW()-3)),"")</f>
        <v/>
      </c>
      <c r="AM23" s="2200" t="str">
        <f>IFERROR(INDEX(PFL_Schutz_Drop_Down56[noch nicht gewählt],_xlfn.AGGREGATE(15,6,ROW(PFL_Schutz_Drop_Down56[noch nicht gewählt])-3/(--(SEARCH($A$49,PFL_Schutz_Drop_Down56[noch nicht gewählt])&gt;0)),ROW()-3)),"")</f>
        <v/>
      </c>
      <c r="AN23" s="2200" t="str">
        <f>IFERROR(INDEX(PFL_Schutz_Drop_Down56[noch nicht gewählt],_xlfn.AGGREGATE(15,6,ROW(PFL_Schutz_Drop_Down56[noch nicht gewählt])-3/(--(SEARCH($A$51,PFL_Schutz_Drop_Down56[noch nicht gewählt])&gt;0)),ROW()-3)),"")</f>
        <v/>
      </c>
      <c r="AO23" s="2200" t="str">
        <f>IFERROR(INDEX(PFL_Schutz_Drop_Down56[noch nicht gewählt],_xlfn.AGGREGATE(15,6,ROW(PFL_Schutz_Drop_Down56[noch nicht gewählt])-3/(--(SEARCH($A$53,PFL_Schutz_Drop_Down56[noch nicht gewählt])&gt;0)),ROW()-3)),"")</f>
        <v/>
      </c>
      <c r="AP23" s="2200" t="str">
        <f>IFERROR(INDEX(PFL_Schutz_Drop_Down56[noch nicht gewählt],_xlfn.AGGREGATE(15,6,ROW(PFL_Schutz_Drop_Down56[noch nicht gewählt])-3/(--(SEARCH($A$55,PFL_Schutz_Drop_Down56[noch nicht gewählt])&gt;0)),ROW()-3)),"")</f>
        <v/>
      </c>
      <c r="AQ23" s="2200" t="str">
        <f>IFERROR(INDEX(PFL_Schutz_Drop_Down56[noch nicht gewählt],_xlfn.AGGREGATE(15,6,ROW(PFL_Schutz_Drop_Down56[noch nicht gewählt])-3/(--(SEARCH($A$57,PFL_Schutz_Drop_Down56[noch nicht gewählt])&gt;0)),ROW()-3)),"")</f>
        <v/>
      </c>
      <c r="AR23" s="2200" t="str">
        <f>IFERROR(INDEX(PFL_Schutz_Drop_Down56[noch nicht gewählt],_xlfn.AGGREGATE(15,6,ROW(PFL_Schutz_Drop_Down56[noch nicht gewählt])-3/(--(SEARCH($A$59,PFL_Schutz_Drop_Down56[noch nicht gewählt])&gt;0)),ROW()-3)),"")</f>
        <v/>
      </c>
      <c r="AS23" s="2200" t="str">
        <f>IFERROR(INDEX(PFL_Schutz_Drop_Down56[noch nicht gewählt],_xlfn.AGGREGATE(15,6,ROW(PFL_Schutz_Drop_Down56[noch nicht gewählt])-3/(--(SEARCH($A$61,PFL_Schutz_Drop_Down56[noch nicht gewählt])&gt;0)),ROW()-3)),"")</f>
        <v/>
      </c>
      <c r="AT23" s="2200" t="str">
        <f>IFERROR(INDEX(PFL_Schutz_Drop_Down56[noch nicht gewählt],_xlfn.AGGREGATE(15,6,ROW(PFL_Schutz_Drop_Down56[noch nicht gewählt])-3/(--(SEARCH($A$63,PFL_Schutz_Drop_Down56[noch nicht gewählt])&gt;0)),ROW()-3)),"")</f>
        <v/>
      </c>
      <c r="AU23" s="2200" t="str">
        <f>IFERROR(INDEX(PFL_Schutz_Drop_Down56[noch nicht gewählt],_xlfn.AGGREGATE(15,6,ROW(PFL_Schutz_Drop_Down56[noch nicht gewählt])-3/(--(SEARCH($A$65,PFL_Schutz_Drop_Down56[noch nicht gewählt])&gt;0)),ROW()-3)),"")</f>
        <v/>
      </c>
      <c r="AV23" s="2200" t="str">
        <f>IFERROR(INDEX(PFL_Schutz_Drop_Down56[noch nicht gewählt],_xlfn.AGGREGATE(15,6,ROW(PFL_Schutz_Drop_Down56[noch nicht gewählt])-3/(--(SEARCH($A$67,PFL_Schutz_Drop_Down56[noch nicht gewählt])&gt;0)),ROW()-3)),"")</f>
        <v/>
      </c>
      <c r="AW23" s="2200" t="str">
        <f>IFERROR(INDEX(PFL_Schutz_Drop_Down56[noch nicht gewählt],_xlfn.AGGREGATE(15,6,ROW(PFL_Schutz_Drop_Down56[noch nicht gewählt])-3/(--(SEARCH($A$69,PFL_Schutz_Drop_Down56[noch nicht gewählt])&gt;0)),ROW()-3)),"")</f>
        <v/>
      </c>
      <c r="AX23" s="2200" t="str">
        <f>IFERROR(INDEX(PFL_Schutz_Drop_Down56[noch nicht gewählt],_xlfn.AGGREGATE(15,6,ROW(PFL_Schutz_Drop_Down56[noch nicht gewählt])-3/(--(SEARCH($A$71,PFL_Schutz_Drop_Down56[noch nicht gewählt])&gt;0)),ROW()-3)),"")</f>
        <v/>
      </c>
      <c r="AY23" s="2200" t="str">
        <f>IFERROR(INDEX(PFL_Schutz_Drop_Down56[noch nicht gewählt],_xlfn.AGGREGATE(15,6,ROW(PFL_Schutz_Drop_Down56[noch nicht gewählt])-3/(--(SEARCH($A$73,PFL_Schutz_Drop_Down56[noch nicht gewählt])&gt;0)),ROW()-3)),"")</f>
        <v/>
      </c>
      <c r="AZ23" s="2201" t="str">
        <f>IFERROR(INDEX(PFL_Schutz_Drop_Down56[noch nicht gewählt],_xlfn.AGGREGATE(15,6,ROW(PFL_Schutz_Drop_Down56[noch nicht gewählt])-3/(--(SEARCH($A$75,PFL_Schutz_Drop_Down56[noch nicht gewählt])&gt;0)),ROW()-3)),"")</f>
        <v/>
      </c>
    </row>
    <row r="24" spans="1:52" ht="19.5" customHeight="1">
      <c r="A24" s="3099"/>
      <c r="B24" s="3101"/>
      <c r="C24" s="3101"/>
      <c r="D24" s="3087"/>
      <c r="E24" s="3089"/>
      <c r="F24" s="3091"/>
      <c r="G24" s="3095"/>
      <c r="H24" s="3096"/>
      <c r="I24" s="3097"/>
      <c r="R24" s="2195">
        <f>Pfl_Schutz!E24</f>
        <v>0</v>
      </c>
      <c r="S24" s="2202">
        <f>COUNTIF($R$4:PFL_Schutz_Drop_Down56[[#This Row],[Produktname]],PFL_Schutz_Drop_Down56[[#This Row],[Produktname]])</f>
        <v>21</v>
      </c>
      <c r="T24" s="2203" t="str">
        <f>IFERROR(INDEX(R:R,_xlfn.AGGREGATE(15,6,ROW(PFL_Schutz_Drop_Down56[Produktname])/(PFL_Schutz_Drop_Down56[Auftretend]=1),ROW()-3)),"")</f>
        <v/>
      </c>
      <c r="U24" s="2198" t="str">
        <f>IF(COUNTIF($A$17:$A$76,PFL_Schutz_Drop_Down56[[#This Row],[Produktname eindeutig]])&gt;=1,"",ROW())</f>
        <v/>
      </c>
      <c r="V24" s="2198" t="str">
        <f t="shared" si="0"/>
        <v/>
      </c>
      <c r="W24" s="2199" t="str">
        <f>IFERROR(INDEX(PFL_Schutz_Drop_Down56[noch nicht gewählt],_xlfn.AGGREGATE(15,6,ROW(PFL_Schutz_Drop_Down56[noch nicht gewählt])-3/(--(SEARCH($A$17,PFL_Schutz_Drop_Down56[noch nicht gewählt])&gt;0)),ROW()-3)),"")</f>
        <v/>
      </c>
      <c r="X24" s="2175" t="str">
        <f>IFERROR(INDEX(PFL_Schutz_Drop_Down56[noch nicht gewählt],_xlfn.AGGREGATE(15,6,ROW(PFL_Schutz_Drop_Down56[noch nicht gewählt])-3/(--(SEARCH($A$19,PFL_Schutz_Drop_Down56[noch nicht gewählt])&gt;0)),ROW()-3)),"")</f>
        <v/>
      </c>
      <c r="Y24" s="2175" t="str">
        <f>IFERROR(INDEX(PFL_Schutz_Drop_Down56[noch nicht gewählt],_xlfn.AGGREGATE(15,6,ROW(PFL_Schutz_Drop_Down56[noch nicht gewählt])-3/(--(SEARCH($A$21,PFL_Schutz_Drop_Down56[noch nicht gewählt])&gt;0)),ROW()-3)),"")</f>
        <v/>
      </c>
      <c r="Z24" s="2200" t="str">
        <f>IFERROR(INDEX(PFL_Schutz_Drop_Down56[noch nicht gewählt],_xlfn.AGGREGATE(15,6,ROW(PFL_Schutz_Drop_Down56[noch nicht gewählt])-3/(--(SEARCH($A$23,PFL_Schutz_Drop_Down56[noch nicht gewählt])&gt;0)),ROW()-3)),"")</f>
        <v/>
      </c>
      <c r="AA24" s="2200" t="str">
        <f>IFERROR(INDEX(PFL_Schutz_Drop_Down56[noch nicht gewählt],_xlfn.AGGREGATE(15,6,ROW(PFL_Schutz_Drop_Down56[noch nicht gewählt])-3/(--(SEARCH($A$25,PFL_Schutz_Drop_Down56[noch nicht gewählt])&gt;0)),ROW()-3)),"")</f>
        <v/>
      </c>
      <c r="AB24" s="2200" t="str">
        <f>IFERROR(INDEX(PFL_Schutz_Drop_Down56[noch nicht gewählt],_xlfn.AGGREGATE(15,6,ROW(PFL_Schutz_Drop_Down56[noch nicht gewählt])-3/(--(SEARCH($A$27,PFL_Schutz_Drop_Down56[noch nicht gewählt])&gt;0)),ROW()-3)),"")</f>
        <v/>
      </c>
      <c r="AC24" s="2200" t="str">
        <f>IFERROR(INDEX(PFL_Schutz_Drop_Down56[noch nicht gewählt],_xlfn.AGGREGATE(15,6,ROW(PFL_Schutz_Drop_Down56[noch nicht gewählt])-3/(--(SEARCH($A$29,PFL_Schutz_Drop_Down56[noch nicht gewählt])&gt;0)),ROW()-3)),"")</f>
        <v/>
      </c>
      <c r="AD24" s="2200" t="str">
        <f>IFERROR(INDEX(PFL_Schutz_Drop_Down56[noch nicht gewählt],_xlfn.AGGREGATE(15,6,ROW(PFL_Schutz_Drop_Down56[noch nicht gewählt])-3/(--(SEARCH($A$31,PFL_Schutz_Drop_Down56[noch nicht gewählt])&gt;0)),ROW()-3)),"")</f>
        <v/>
      </c>
      <c r="AE24" s="2200" t="str">
        <f>IFERROR(INDEX(PFL_Schutz_Drop_Down56[noch nicht gewählt],_xlfn.AGGREGATE(15,6,ROW(PFL_Schutz_Drop_Down56[noch nicht gewählt])-3/(--(SEARCH($A$33,PFL_Schutz_Drop_Down56[noch nicht gewählt])&gt;0)),ROW()-3)),"")</f>
        <v/>
      </c>
      <c r="AF24" s="2200" t="str">
        <f>IFERROR(INDEX(PFL_Schutz_Drop_Down56[noch nicht gewählt],_xlfn.AGGREGATE(15,6,ROW(PFL_Schutz_Drop_Down56[noch nicht gewählt])-3/(--(SEARCH($A$35,PFL_Schutz_Drop_Down56[noch nicht gewählt])&gt;0)),ROW()-3)),"")</f>
        <v/>
      </c>
      <c r="AG24" s="2200" t="str">
        <f>IFERROR(INDEX(PFL_Schutz_Drop_Down56[noch nicht gewählt],_xlfn.AGGREGATE(15,6,ROW(PFL_Schutz_Drop_Down56[noch nicht gewählt])-3/(--(SEARCH($A$37,PFL_Schutz_Drop_Down56[noch nicht gewählt])&gt;0)),ROW()-3)),"")</f>
        <v/>
      </c>
      <c r="AH24" s="2200" t="str">
        <f>IFERROR(INDEX(PFL_Schutz_Drop_Down56[noch nicht gewählt],_xlfn.AGGREGATE(15,6,ROW(PFL_Schutz_Drop_Down56[noch nicht gewählt])-3/(--(SEARCH($A$39,PFL_Schutz_Drop_Down56[noch nicht gewählt])&gt;0)),ROW()-3)),"")</f>
        <v/>
      </c>
      <c r="AI24" s="2200" t="str">
        <f>IFERROR(INDEX(PFL_Schutz_Drop_Down56[noch nicht gewählt],_xlfn.AGGREGATE(15,6,ROW(PFL_Schutz_Drop_Down56[noch nicht gewählt])-3/(--(SEARCH($A$41,PFL_Schutz_Drop_Down56[noch nicht gewählt])&gt;0)),ROW()-3)),"")</f>
        <v/>
      </c>
      <c r="AJ24" s="2200" t="str">
        <f>IFERROR(INDEX(PFL_Schutz_Drop_Down56[noch nicht gewählt],_xlfn.AGGREGATE(15,6,ROW(PFL_Schutz_Drop_Down56[noch nicht gewählt])-3/(--(SEARCH($A$43,PFL_Schutz_Drop_Down56[noch nicht gewählt])&gt;0)),ROW()-3)),"")</f>
        <v/>
      </c>
      <c r="AK24" s="2200" t="str">
        <f>IFERROR(INDEX(PFL_Schutz_Drop_Down56[noch nicht gewählt],_xlfn.AGGREGATE(15,6,ROW(PFL_Schutz_Drop_Down56[noch nicht gewählt])-3/(--(SEARCH($A$45,PFL_Schutz_Drop_Down56[noch nicht gewählt])&gt;0)),ROW()-3)),"")</f>
        <v/>
      </c>
      <c r="AL24" s="2200" t="str">
        <f>IFERROR(INDEX(PFL_Schutz_Drop_Down56[noch nicht gewählt],_xlfn.AGGREGATE(15,6,ROW(PFL_Schutz_Drop_Down56[noch nicht gewählt])-3/(--(SEARCH($A$47,PFL_Schutz_Drop_Down56[noch nicht gewählt])&gt;0)),ROW()-3)),"")</f>
        <v/>
      </c>
      <c r="AM24" s="2200" t="str">
        <f>IFERROR(INDEX(PFL_Schutz_Drop_Down56[noch nicht gewählt],_xlfn.AGGREGATE(15,6,ROW(PFL_Schutz_Drop_Down56[noch nicht gewählt])-3/(--(SEARCH($A$49,PFL_Schutz_Drop_Down56[noch nicht gewählt])&gt;0)),ROW()-3)),"")</f>
        <v/>
      </c>
      <c r="AN24" s="2200" t="str">
        <f>IFERROR(INDEX(PFL_Schutz_Drop_Down56[noch nicht gewählt],_xlfn.AGGREGATE(15,6,ROW(PFL_Schutz_Drop_Down56[noch nicht gewählt])-3/(--(SEARCH($A$51,PFL_Schutz_Drop_Down56[noch nicht gewählt])&gt;0)),ROW()-3)),"")</f>
        <v/>
      </c>
      <c r="AO24" s="2200" t="str">
        <f>IFERROR(INDEX(PFL_Schutz_Drop_Down56[noch nicht gewählt],_xlfn.AGGREGATE(15,6,ROW(PFL_Schutz_Drop_Down56[noch nicht gewählt])-3/(--(SEARCH($A$53,PFL_Schutz_Drop_Down56[noch nicht gewählt])&gt;0)),ROW()-3)),"")</f>
        <v/>
      </c>
      <c r="AP24" s="2200" t="str">
        <f>IFERROR(INDEX(PFL_Schutz_Drop_Down56[noch nicht gewählt],_xlfn.AGGREGATE(15,6,ROW(PFL_Schutz_Drop_Down56[noch nicht gewählt])-3/(--(SEARCH($A$55,PFL_Schutz_Drop_Down56[noch nicht gewählt])&gt;0)),ROW()-3)),"")</f>
        <v/>
      </c>
      <c r="AQ24" s="2200" t="str">
        <f>IFERROR(INDEX(PFL_Schutz_Drop_Down56[noch nicht gewählt],_xlfn.AGGREGATE(15,6,ROW(PFL_Schutz_Drop_Down56[noch nicht gewählt])-3/(--(SEARCH($A$57,PFL_Schutz_Drop_Down56[noch nicht gewählt])&gt;0)),ROW()-3)),"")</f>
        <v/>
      </c>
      <c r="AR24" s="2200" t="str">
        <f>IFERROR(INDEX(PFL_Schutz_Drop_Down56[noch nicht gewählt],_xlfn.AGGREGATE(15,6,ROW(PFL_Schutz_Drop_Down56[noch nicht gewählt])-3/(--(SEARCH($A$59,PFL_Schutz_Drop_Down56[noch nicht gewählt])&gt;0)),ROW()-3)),"")</f>
        <v/>
      </c>
      <c r="AS24" s="2200" t="str">
        <f>IFERROR(INDEX(PFL_Schutz_Drop_Down56[noch nicht gewählt],_xlfn.AGGREGATE(15,6,ROW(PFL_Schutz_Drop_Down56[noch nicht gewählt])-3/(--(SEARCH($A$61,PFL_Schutz_Drop_Down56[noch nicht gewählt])&gt;0)),ROW()-3)),"")</f>
        <v/>
      </c>
      <c r="AT24" s="2200" t="str">
        <f>IFERROR(INDEX(PFL_Schutz_Drop_Down56[noch nicht gewählt],_xlfn.AGGREGATE(15,6,ROW(PFL_Schutz_Drop_Down56[noch nicht gewählt])-3/(--(SEARCH($A$63,PFL_Schutz_Drop_Down56[noch nicht gewählt])&gt;0)),ROW()-3)),"")</f>
        <v/>
      </c>
      <c r="AU24" s="2200" t="str">
        <f>IFERROR(INDEX(PFL_Schutz_Drop_Down56[noch nicht gewählt],_xlfn.AGGREGATE(15,6,ROW(PFL_Schutz_Drop_Down56[noch nicht gewählt])-3/(--(SEARCH($A$65,PFL_Schutz_Drop_Down56[noch nicht gewählt])&gt;0)),ROW()-3)),"")</f>
        <v/>
      </c>
      <c r="AV24" s="2200" t="str">
        <f>IFERROR(INDEX(PFL_Schutz_Drop_Down56[noch nicht gewählt],_xlfn.AGGREGATE(15,6,ROW(PFL_Schutz_Drop_Down56[noch nicht gewählt])-3/(--(SEARCH($A$67,PFL_Schutz_Drop_Down56[noch nicht gewählt])&gt;0)),ROW()-3)),"")</f>
        <v/>
      </c>
      <c r="AW24" s="2200" t="str">
        <f>IFERROR(INDEX(PFL_Schutz_Drop_Down56[noch nicht gewählt],_xlfn.AGGREGATE(15,6,ROW(PFL_Schutz_Drop_Down56[noch nicht gewählt])-3/(--(SEARCH($A$69,PFL_Schutz_Drop_Down56[noch nicht gewählt])&gt;0)),ROW()-3)),"")</f>
        <v/>
      </c>
      <c r="AX24" s="2200" t="str">
        <f>IFERROR(INDEX(PFL_Schutz_Drop_Down56[noch nicht gewählt],_xlfn.AGGREGATE(15,6,ROW(PFL_Schutz_Drop_Down56[noch nicht gewählt])-3/(--(SEARCH($A$71,PFL_Schutz_Drop_Down56[noch nicht gewählt])&gt;0)),ROW()-3)),"")</f>
        <v/>
      </c>
      <c r="AY24" s="2200" t="str">
        <f>IFERROR(INDEX(PFL_Schutz_Drop_Down56[noch nicht gewählt],_xlfn.AGGREGATE(15,6,ROW(PFL_Schutz_Drop_Down56[noch nicht gewählt])-3/(--(SEARCH($A$73,PFL_Schutz_Drop_Down56[noch nicht gewählt])&gt;0)),ROW()-3)),"")</f>
        <v/>
      </c>
      <c r="AZ24" s="2201" t="str">
        <f>IFERROR(INDEX(PFL_Schutz_Drop_Down56[noch nicht gewählt],_xlfn.AGGREGATE(15,6,ROW(PFL_Schutz_Drop_Down56[noch nicht gewählt])-3/(--(SEARCH($A$75,PFL_Schutz_Drop_Down56[noch nicht gewählt])&gt;0)),ROW()-3)),"")</f>
        <v/>
      </c>
    </row>
    <row r="25" spans="1:52" ht="19.5" customHeight="1">
      <c r="A25" s="3098"/>
      <c r="B25" s="3100"/>
      <c r="C25" s="3100"/>
      <c r="D25" s="3087">
        <f>SUMIF(Pfl_Schutz!$E$4:$E$77,A25,Pfl_Schutz!$H$4:$H$77)</f>
        <v>0</v>
      </c>
      <c r="E25" s="3089" t="str">
        <f t="shared" ref="E25" si="7">IF(SUM(B25:C26)=0,"",IF(F25&lt;0,"negativer Lagerstand nicht möglich - überprüfen Sie die Eingabewerte auf Vollständigkeit",IF(F25=0,"Produkt aufgebraucht, Lagerstand 0",F25)))</f>
        <v/>
      </c>
      <c r="F25" s="3091">
        <f t="shared" ref="F25" si="8">IF(SUM(B25:C26)&gt;0,IF(ISBLANK(A25),"",B25+C25-D25),0)</f>
        <v>0</v>
      </c>
      <c r="G25" s="3095"/>
      <c r="H25" s="3096"/>
      <c r="I25" s="3097"/>
      <c r="R25" s="2195">
        <f>Pfl_Schutz!E25</f>
        <v>0</v>
      </c>
      <c r="S25" s="2202">
        <f>COUNTIF($R$4:PFL_Schutz_Drop_Down56[[#This Row],[Produktname]],PFL_Schutz_Drop_Down56[[#This Row],[Produktname]])</f>
        <v>22</v>
      </c>
      <c r="T25" s="2203" t="str">
        <f>IFERROR(INDEX(R:R,_xlfn.AGGREGATE(15,6,ROW(PFL_Schutz_Drop_Down56[Produktname])/(PFL_Schutz_Drop_Down56[Auftretend]=1),ROW()-3)),"")</f>
        <v/>
      </c>
      <c r="U25" s="2198" t="str">
        <f>IF(COUNTIF($A$17:$A$76,PFL_Schutz_Drop_Down56[[#This Row],[Produktname eindeutig]])&gt;=1,"",ROW())</f>
        <v/>
      </c>
      <c r="V25" s="2198" t="str">
        <f t="shared" si="0"/>
        <v/>
      </c>
      <c r="W25" s="2199" t="str">
        <f>IFERROR(INDEX(PFL_Schutz_Drop_Down56[noch nicht gewählt],_xlfn.AGGREGATE(15,6,ROW(PFL_Schutz_Drop_Down56[noch nicht gewählt])-3/(--(SEARCH($A$17,PFL_Schutz_Drop_Down56[noch nicht gewählt])&gt;0)),ROW()-3)),"")</f>
        <v/>
      </c>
      <c r="X25" s="2175" t="str">
        <f>IFERROR(INDEX(PFL_Schutz_Drop_Down56[noch nicht gewählt],_xlfn.AGGREGATE(15,6,ROW(PFL_Schutz_Drop_Down56[noch nicht gewählt])-3/(--(SEARCH($A$19,PFL_Schutz_Drop_Down56[noch nicht gewählt])&gt;0)),ROW()-3)),"")</f>
        <v/>
      </c>
      <c r="Y25" s="2175" t="str">
        <f>IFERROR(INDEX(PFL_Schutz_Drop_Down56[noch nicht gewählt],_xlfn.AGGREGATE(15,6,ROW(PFL_Schutz_Drop_Down56[noch nicht gewählt])-3/(--(SEARCH($A$21,PFL_Schutz_Drop_Down56[noch nicht gewählt])&gt;0)),ROW()-3)),"")</f>
        <v/>
      </c>
      <c r="Z25" s="2200" t="str">
        <f>IFERROR(INDEX(PFL_Schutz_Drop_Down56[noch nicht gewählt],_xlfn.AGGREGATE(15,6,ROW(PFL_Schutz_Drop_Down56[noch nicht gewählt])-3/(--(SEARCH($A$23,PFL_Schutz_Drop_Down56[noch nicht gewählt])&gt;0)),ROW()-3)),"")</f>
        <v/>
      </c>
      <c r="AA25" s="2200" t="str">
        <f>IFERROR(INDEX(PFL_Schutz_Drop_Down56[noch nicht gewählt],_xlfn.AGGREGATE(15,6,ROW(PFL_Schutz_Drop_Down56[noch nicht gewählt])-3/(--(SEARCH($A$25,PFL_Schutz_Drop_Down56[noch nicht gewählt])&gt;0)),ROW()-3)),"")</f>
        <v/>
      </c>
      <c r="AB25" s="2200" t="str">
        <f>IFERROR(INDEX(PFL_Schutz_Drop_Down56[noch nicht gewählt],_xlfn.AGGREGATE(15,6,ROW(PFL_Schutz_Drop_Down56[noch nicht gewählt])-3/(--(SEARCH($A$27,PFL_Schutz_Drop_Down56[noch nicht gewählt])&gt;0)),ROW()-3)),"")</f>
        <v/>
      </c>
      <c r="AC25" s="2200" t="str">
        <f>IFERROR(INDEX(PFL_Schutz_Drop_Down56[noch nicht gewählt],_xlfn.AGGREGATE(15,6,ROW(PFL_Schutz_Drop_Down56[noch nicht gewählt])-3/(--(SEARCH($A$29,PFL_Schutz_Drop_Down56[noch nicht gewählt])&gt;0)),ROW()-3)),"")</f>
        <v/>
      </c>
      <c r="AD25" s="2200" t="str">
        <f>IFERROR(INDEX(PFL_Schutz_Drop_Down56[noch nicht gewählt],_xlfn.AGGREGATE(15,6,ROW(PFL_Schutz_Drop_Down56[noch nicht gewählt])-3/(--(SEARCH($A$31,PFL_Schutz_Drop_Down56[noch nicht gewählt])&gt;0)),ROW()-3)),"")</f>
        <v/>
      </c>
      <c r="AE25" s="2200" t="str">
        <f>IFERROR(INDEX(PFL_Schutz_Drop_Down56[noch nicht gewählt],_xlfn.AGGREGATE(15,6,ROW(PFL_Schutz_Drop_Down56[noch nicht gewählt])-3/(--(SEARCH($A$33,PFL_Schutz_Drop_Down56[noch nicht gewählt])&gt;0)),ROW()-3)),"")</f>
        <v/>
      </c>
      <c r="AF25" s="2200" t="str">
        <f>IFERROR(INDEX(PFL_Schutz_Drop_Down56[noch nicht gewählt],_xlfn.AGGREGATE(15,6,ROW(PFL_Schutz_Drop_Down56[noch nicht gewählt])-3/(--(SEARCH($A$35,PFL_Schutz_Drop_Down56[noch nicht gewählt])&gt;0)),ROW()-3)),"")</f>
        <v/>
      </c>
      <c r="AG25" s="2200" t="str">
        <f>IFERROR(INDEX(PFL_Schutz_Drop_Down56[noch nicht gewählt],_xlfn.AGGREGATE(15,6,ROW(PFL_Schutz_Drop_Down56[noch nicht gewählt])-3/(--(SEARCH($A$37,PFL_Schutz_Drop_Down56[noch nicht gewählt])&gt;0)),ROW()-3)),"")</f>
        <v/>
      </c>
      <c r="AH25" s="2200" t="str">
        <f>IFERROR(INDEX(PFL_Schutz_Drop_Down56[noch nicht gewählt],_xlfn.AGGREGATE(15,6,ROW(PFL_Schutz_Drop_Down56[noch nicht gewählt])-3/(--(SEARCH($A$39,PFL_Schutz_Drop_Down56[noch nicht gewählt])&gt;0)),ROW()-3)),"")</f>
        <v/>
      </c>
      <c r="AI25" s="2200" t="str">
        <f>IFERROR(INDEX(PFL_Schutz_Drop_Down56[noch nicht gewählt],_xlfn.AGGREGATE(15,6,ROW(PFL_Schutz_Drop_Down56[noch nicht gewählt])-3/(--(SEARCH($A$41,PFL_Schutz_Drop_Down56[noch nicht gewählt])&gt;0)),ROW()-3)),"")</f>
        <v/>
      </c>
      <c r="AJ25" s="2200" t="str">
        <f>IFERROR(INDEX(PFL_Schutz_Drop_Down56[noch nicht gewählt],_xlfn.AGGREGATE(15,6,ROW(PFL_Schutz_Drop_Down56[noch nicht gewählt])-3/(--(SEARCH($A$43,PFL_Schutz_Drop_Down56[noch nicht gewählt])&gt;0)),ROW()-3)),"")</f>
        <v/>
      </c>
      <c r="AK25" s="2200" t="str">
        <f>IFERROR(INDEX(PFL_Schutz_Drop_Down56[noch nicht gewählt],_xlfn.AGGREGATE(15,6,ROW(PFL_Schutz_Drop_Down56[noch nicht gewählt])-3/(--(SEARCH($A$45,PFL_Schutz_Drop_Down56[noch nicht gewählt])&gt;0)),ROW()-3)),"")</f>
        <v/>
      </c>
      <c r="AL25" s="2200" t="str">
        <f>IFERROR(INDEX(PFL_Schutz_Drop_Down56[noch nicht gewählt],_xlfn.AGGREGATE(15,6,ROW(PFL_Schutz_Drop_Down56[noch nicht gewählt])-3/(--(SEARCH($A$47,PFL_Schutz_Drop_Down56[noch nicht gewählt])&gt;0)),ROW()-3)),"")</f>
        <v/>
      </c>
      <c r="AM25" s="2200" t="str">
        <f>IFERROR(INDEX(PFL_Schutz_Drop_Down56[noch nicht gewählt],_xlfn.AGGREGATE(15,6,ROW(PFL_Schutz_Drop_Down56[noch nicht gewählt])-3/(--(SEARCH($A$49,PFL_Schutz_Drop_Down56[noch nicht gewählt])&gt;0)),ROW()-3)),"")</f>
        <v/>
      </c>
      <c r="AN25" s="2200" t="str">
        <f>IFERROR(INDEX(PFL_Schutz_Drop_Down56[noch nicht gewählt],_xlfn.AGGREGATE(15,6,ROW(PFL_Schutz_Drop_Down56[noch nicht gewählt])-3/(--(SEARCH($A$51,PFL_Schutz_Drop_Down56[noch nicht gewählt])&gt;0)),ROW()-3)),"")</f>
        <v/>
      </c>
      <c r="AO25" s="2200" t="str">
        <f>IFERROR(INDEX(PFL_Schutz_Drop_Down56[noch nicht gewählt],_xlfn.AGGREGATE(15,6,ROW(PFL_Schutz_Drop_Down56[noch nicht gewählt])-3/(--(SEARCH($A$53,PFL_Schutz_Drop_Down56[noch nicht gewählt])&gt;0)),ROW()-3)),"")</f>
        <v/>
      </c>
      <c r="AP25" s="2200" t="str">
        <f>IFERROR(INDEX(PFL_Schutz_Drop_Down56[noch nicht gewählt],_xlfn.AGGREGATE(15,6,ROW(PFL_Schutz_Drop_Down56[noch nicht gewählt])-3/(--(SEARCH($A$55,PFL_Schutz_Drop_Down56[noch nicht gewählt])&gt;0)),ROW()-3)),"")</f>
        <v/>
      </c>
      <c r="AQ25" s="2200" t="str">
        <f>IFERROR(INDEX(PFL_Schutz_Drop_Down56[noch nicht gewählt],_xlfn.AGGREGATE(15,6,ROW(PFL_Schutz_Drop_Down56[noch nicht gewählt])-3/(--(SEARCH($A$57,PFL_Schutz_Drop_Down56[noch nicht gewählt])&gt;0)),ROW()-3)),"")</f>
        <v/>
      </c>
      <c r="AR25" s="2200" t="str">
        <f>IFERROR(INDEX(PFL_Schutz_Drop_Down56[noch nicht gewählt],_xlfn.AGGREGATE(15,6,ROW(PFL_Schutz_Drop_Down56[noch nicht gewählt])-3/(--(SEARCH($A$59,PFL_Schutz_Drop_Down56[noch nicht gewählt])&gt;0)),ROW()-3)),"")</f>
        <v/>
      </c>
      <c r="AS25" s="2200" t="str">
        <f>IFERROR(INDEX(PFL_Schutz_Drop_Down56[noch nicht gewählt],_xlfn.AGGREGATE(15,6,ROW(PFL_Schutz_Drop_Down56[noch nicht gewählt])-3/(--(SEARCH($A$61,PFL_Schutz_Drop_Down56[noch nicht gewählt])&gt;0)),ROW()-3)),"")</f>
        <v/>
      </c>
      <c r="AT25" s="2200" t="str">
        <f>IFERROR(INDEX(PFL_Schutz_Drop_Down56[noch nicht gewählt],_xlfn.AGGREGATE(15,6,ROW(PFL_Schutz_Drop_Down56[noch nicht gewählt])-3/(--(SEARCH($A$63,PFL_Schutz_Drop_Down56[noch nicht gewählt])&gt;0)),ROW()-3)),"")</f>
        <v/>
      </c>
      <c r="AU25" s="2200" t="str">
        <f>IFERROR(INDEX(PFL_Schutz_Drop_Down56[noch nicht gewählt],_xlfn.AGGREGATE(15,6,ROW(PFL_Schutz_Drop_Down56[noch nicht gewählt])-3/(--(SEARCH($A$65,PFL_Schutz_Drop_Down56[noch nicht gewählt])&gt;0)),ROW()-3)),"")</f>
        <v/>
      </c>
      <c r="AV25" s="2200" t="str">
        <f>IFERROR(INDEX(PFL_Schutz_Drop_Down56[noch nicht gewählt],_xlfn.AGGREGATE(15,6,ROW(PFL_Schutz_Drop_Down56[noch nicht gewählt])-3/(--(SEARCH($A$67,PFL_Schutz_Drop_Down56[noch nicht gewählt])&gt;0)),ROW()-3)),"")</f>
        <v/>
      </c>
      <c r="AW25" s="2200" t="str">
        <f>IFERROR(INDEX(PFL_Schutz_Drop_Down56[noch nicht gewählt],_xlfn.AGGREGATE(15,6,ROW(PFL_Schutz_Drop_Down56[noch nicht gewählt])-3/(--(SEARCH($A$69,PFL_Schutz_Drop_Down56[noch nicht gewählt])&gt;0)),ROW()-3)),"")</f>
        <v/>
      </c>
      <c r="AX25" s="2200" t="str">
        <f>IFERROR(INDEX(PFL_Schutz_Drop_Down56[noch nicht gewählt],_xlfn.AGGREGATE(15,6,ROW(PFL_Schutz_Drop_Down56[noch nicht gewählt])-3/(--(SEARCH($A$71,PFL_Schutz_Drop_Down56[noch nicht gewählt])&gt;0)),ROW()-3)),"")</f>
        <v/>
      </c>
      <c r="AY25" s="2200" t="str">
        <f>IFERROR(INDEX(PFL_Schutz_Drop_Down56[noch nicht gewählt],_xlfn.AGGREGATE(15,6,ROW(PFL_Schutz_Drop_Down56[noch nicht gewählt])-3/(--(SEARCH($A$73,PFL_Schutz_Drop_Down56[noch nicht gewählt])&gt;0)),ROW()-3)),"")</f>
        <v/>
      </c>
      <c r="AZ25" s="2201" t="str">
        <f>IFERROR(INDEX(PFL_Schutz_Drop_Down56[noch nicht gewählt],_xlfn.AGGREGATE(15,6,ROW(PFL_Schutz_Drop_Down56[noch nicht gewählt])-3/(--(SEARCH($A$75,PFL_Schutz_Drop_Down56[noch nicht gewählt])&gt;0)),ROW()-3)),"")</f>
        <v/>
      </c>
    </row>
    <row r="26" spans="1:52" ht="19.5" customHeight="1">
      <c r="A26" s="3099"/>
      <c r="B26" s="3101"/>
      <c r="C26" s="3101"/>
      <c r="D26" s="3087"/>
      <c r="E26" s="3089"/>
      <c r="F26" s="3091"/>
      <c r="G26" s="3095"/>
      <c r="H26" s="3096"/>
      <c r="I26" s="3097"/>
      <c r="R26" s="2195">
        <f>Pfl_Schutz!E26</f>
        <v>0</v>
      </c>
      <c r="S26" s="2202">
        <f>COUNTIF($R$4:PFL_Schutz_Drop_Down56[[#This Row],[Produktname]],PFL_Schutz_Drop_Down56[[#This Row],[Produktname]])</f>
        <v>23</v>
      </c>
      <c r="T26" s="2203" t="str">
        <f>IFERROR(INDEX(R:R,_xlfn.AGGREGATE(15,6,ROW(PFL_Schutz_Drop_Down56[Produktname])/(PFL_Schutz_Drop_Down56[Auftretend]=1),ROW()-3)),"")</f>
        <v/>
      </c>
      <c r="U26" s="2198" t="str">
        <f>IF(COUNTIF($A$17:$A$76,PFL_Schutz_Drop_Down56[[#This Row],[Produktname eindeutig]])&gt;=1,"",ROW())</f>
        <v/>
      </c>
      <c r="V26" s="2198" t="str">
        <f t="shared" si="0"/>
        <v/>
      </c>
      <c r="W26" s="2199" t="str">
        <f>IFERROR(INDEX(PFL_Schutz_Drop_Down56[noch nicht gewählt],_xlfn.AGGREGATE(15,6,ROW(PFL_Schutz_Drop_Down56[noch nicht gewählt])-3/(--(SEARCH($A$17,PFL_Schutz_Drop_Down56[noch nicht gewählt])&gt;0)),ROW()-3)),"")</f>
        <v/>
      </c>
      <c r="X26" s="2175" t="str">
        <f>IFERROR(INDEX(PFL_Schutz_Drop_Down56[noch nicht gewählt],_xlfn.AGGREGATE(15,6,ROW(PFL_Schutz_Drop_Down56[noch nicht gewählt])-3/(--(SEARCH($A$19,PFL_Schutz_Drop_Down56[noch nicht gewählt])&gt;0)),ROW()-3)),"")</f>
        <v/>
      </c>
      <c r="Y26" s="2175" t="str">
        <f>IFERROR(INDEX(PFL_Schutz_Drop_Down56[noch nicht gewählt],_xlfn.AGGREGATE(15,6,ROW(PFL_Schutz_Drop_Down56[noch nicht gewählt])-3/(--(SEARCH($A$21,PFL_Schutz_Drop_Down56[noch nicht gewählt])&gt;0)),ROW()-3)),"")</f>
        <v/>
      </c>
      <c r="Z26" s="2200" t="str">
        <f>IFERROR(INDEX(PFL_Schutz_Drop_Down56[noch nicht gewählt],_xlfn.AGGREGATE(15,6,ROW(PFL_Schutz_Drop_Down56[noch nicht gewählt])-3/(--(SEARCH($A$23,PFL_Schutz_Drop_Down56[noch nicht gewählt])&gt;0)),ROW()-3)),"")</f>
        <v/>
      </c>
      <c r="AA26" s="2200" t="str">
        <f>IFERROR(INDEX(PFL_Schutz_Drop_Down56[noch nicht gewählt],_xlfn.AGGREGATE(15,6,ROW(PFL_Schutz_Drop_Down56[noch nicht gewählt])-3/(--(SEARCH($A$25,PFL_Schutz_Drop_Down56[noch nicht gewählt])&gt;0)),ROW()-3)),"")</f>
        <v/>
      </c>
      <c r="AB26" s="2200" t="str">
        <f>IFERROR(INDEX(PFL_Schutz_Drop_Down56[noch nicht gewählt],_xlfn.AGGREGATE(15,6,ROW(PFL_Schutz_Drop_Down56[noch nicht gewählt])-3/(--(SEARCH($A$27,PFL_Schutz_Drop_Down56[noch nicht gewählt])&gt;0)),ROW()-3)),"")</f>
        <v/>
      </c>
      <c r="AC26" s="2200" t="str">
        <f>IFERROR(INDEX(PFL_Schutz_Drop_Down56[noch nicht gewählt],_xlfn.AGGREGATE(15,6,ROW(PFL_Schutz_Drop_Down56[noch nicht gewählt])-3/(--(SEARCH($A$29,PFL_Schutz_Drop_Down56[noch nicht gewählt])&gt;0)),ROW()-3)),"")</f>
        <v/>
      </c>
      <c r="AD26" s="2200" t="str">
        <f>IFERROR(INDEX(PFL_Schutz_Drop_Down56[noch nicht gewählt],_xlfn.AGGREGATE(15,6,ROW(PFL_Schutz_Drop_Down56[noch nicht gewählt])-3/(--(SEARCH($A$31,PFL_Schutz_Drop_Down56[noch nicht gewählt])&gt;0)),ROW()-3)),"")</f>
        <v/>
      </c>
      <c r="AE26" s="2200" t="str">
        <f>IFERROR(INDEX(PFL_Schutz_Drop_Down56[noch nicht gewählt],_xlfn.AGGREGATE(15,6,ROW(PFL_Schutz_Drop_Down56[noch nicht gewählt])-3/(--(SEARCH($A$33,PFL_Schutz_Drop_Down56[noch nicht gewählt])&gt;0)),ROW()-3)),"")</f>
        <v/>
      </c>
      <c r="AF26" s="2200" t="str">
        <f>IFERROR(INDEX(PFL_Schutz_Drop_Down56[noch nicht gewählt],_xlfn.AGGREGATE(15,6,ROW(PFL_Schutz_Drop_Down56[noch nicht gewählt])-3/(--(SEARCH($A$35,PFL_Schutz_Drop_Down56[noch nicht gewählt])&gt;0)),ROW()-3)),"")</f>
        <v/>
      </c>
      <c r="AG26" s="2200" t="str">
        <f>IFERROR(INDEX(PFL_Schutz_Drop_Down56[noch nicht gewählt],_xlfn.AGGREGATE(15,6,ROW(PFL_Schutz_Drop_Down56[noch nicht gewählt])-3/(--(SEARCH($A$37,PFL_Schutz_Drop_Down56[noch nicht gewählt])&gt;0)),ROW()-3)),"")</f>
        <v/>
      </c>
      <c r="AH26" s="2200" t="str">
        <f>IFERROR(INDEX(PFL_Schutz_Drop_Down56[noch nicht gewählt],_xlfn.AGGREGATE(15,6,ROW(PFL_Schutz_Drop_Down56[noch nicht gewählt])-3/(--(SEARCH($A$39,PFL_Schutz_Drop_Down56[noch nicht gewählt])&gt;0)),ROW()-3)),"")</f>
        <v/>
      </c>
      <c r="AI26" s="2200" t="str">
        <f>IFERROR(INDEX(PFL_Schutz_Drop_Down56[noch nicht gewählt],_xlfn.AGGREGATE(15,6,ROW(PFL_Schutz_Drop_Down56[noch nicht gewählt])-3/(--(SEARCH($A$41,PFL_Schutz_Drop_Down56[noch nicht gewählt])&gt;0)),ROW()-3)),"")</f>
        <v/>
      </c>
      <c r="AJ26" s="2200" t="str">
        <f>IFERROR(INDEX(PFL_Schutz_Drop_Down56[noch nicht gewählt],_xlfn.AGGREGATE(15,6,ROW(PFL_Schutz_Drop_Down56[noch nicht gewählt])-3/(--(SEARCH($A$43,PFL_Schutz_Drop_Down56[noch nicht gewählt])&gt;0)),ROW()-3)),"")</f>
        <v/>
      </c>
      <c r="AK26" s="2200" t="str">
        <f>IFERROR(INDEX(PFL_Schutz_Drop_Down56[noch nicht gewählt],_xlfn.AGGREGATE(15,6,ROW(PFL_Schutz_Drop_Down56[noch nicht gewählt])-3/(--(SEARCH($A$45,PFL_Schutz_Drop_Down56[noch nicht gewählt])&gt;0)),ROW()-3)),"")</f>
        <v/>
      </c>
      <c r="AL26" s="2200" t="str">
        <f>IFERROR(INDEX(PFL_Schutz_Drop_Down56[noch nicht gewählt],_xlfn.AGGREGATE(15,6,ROW(PFL_Schutz_Drop_Down56[noch nicht gewählt])-3/(--(SEARCH($A$47,PFL_Schutz_Drop_Down56[noch nicht gewählt])&gt;0)),ROW()-3)),"")</f>
        <v/>
      </c>
      <c r="AM26" s="2200" t="str">
        <f>IFERROR(INDEX(PFL_Schutz_Drop_Down56[noch nicht gewählt],_xlfn.AGGREGATE(15,6,ROW(PFL_Schutz_Drop_Down56[noch nicht gewählt])-3/(--(SEARCH($A$49,PFL_Schutz_Drop_Down56[noch nicht gewählt])&gt;0)),ROW()-3)),"")</f>
        <v/>
      </c>
      <c r="AN26" s="2200" t="str">
        <f>IFERROR(INDEX(PFL_Schutz_Drop_Down56[noch nicht gewählt],_xlfn.AGGREGATE(15,6,ROW(PFL_Schutz_Drop_Down56[noch nicht gewählt])-3/(--(SEARCH($A$51,PFL_Schutz_Drop_Down56[noch nicht gewählt])&gt;0)),ROW()-3)),"")</f>
        <v/>
      </c>
      <c r="AO26" s="2200" t="str">
        <f>IFERROR(INDEX(PFL_Schutz_Drop_Down56[noch nicht gewählt],_xlfn.AGGREGATE(15,6,ROW(PFL_Schutz_Drop_Down56[noch nicht gewählt])-3/(--(SEARCH($A$53,PFL_Schutz_Drop_Down56[noch nicht gewählt])&gt;0)),ROW()-3)),"")</f>
        <v/>
      </c>
      <c r="AP26" s="2200" t="str">
        <f>IFERROR(INDEX(PFL_Schutz_Drop_Down56[noch nicht gewählt],_xlfn.AGGREGATE(15,6,ROW(PFL_Schutz_Drop_Down56[noch nicht gewählt])-3/(--(SEARCH($A$55,PFL_Schutz_Drop_Down56[noch nicht gewählt])&gt;0)),ROW()-3)),"")</f>
        <v/>
      </c>
      <c r="AQ26" s="2200" t="str">
        <f>IFERROR(INDEX(PFL_Schutz_Drop_Down56[noch nicht gewählt],_xlfn.AGGREGATE(15,6,ROW(PFL_Schutz_Drop_Down56[noch nicht gewählt])-3/(--(SEARCH($A$57,PFL_Schutz_Drop_Down56[noch nicht gewählt])&gt;0)),ROW()-3)),"")</f>
        <v/>
      </c>
      <c r="AR26" s="2200" t="str">
        <f>IFERROR(INDEX(PFL_Schutz_Drop_Down56[noch nicht gewählt],_xlfn.AGGREGATE(15,6,ROW(PFL_Schutz_Drop_Down56[noch nicht gewählt])-3/(--(SEARCH($A$59,PFL_Schutz_Drop_Down56[noch nicht gewählt])&gt;0)),ROW()-3)),"")</f>
        <v/>
      </c>
      <c r="AS26" s="2200" t="str">
        <f>IFERROR(INDEX(PFL_Schutz_Drop_Down56[noch nicht gewählt],_xlfn.AGGREGATE(15,6,ROW(PFL_Schutz_Drop_Down56[noch nicht gewählt])-3/(--(SEARCH($A$61,PFL_Schutz_Drop_Down56[noch nicht gewählt])&gt;0)),ROW()-3)),"")</f>
        <v/>
      </c>
      <c r="AT26" s="2200" t="str">
        <f>IFERROR(INDEX(PFL_Schutz_Drop_Down56[noch nicht gewählt],_xlfn.AGGREGATE(15,6,ROW(PFL_Schutz_Drop_Down56[noch nicht gewählt])-3/(--(SEARCH($A$63,PFL_Schutz_Drop_Down56[noch nicht gewählt])&gt;0)),ROW()-3)),"")</f>
        <v/>
      </c>
      <c r="AU26" s="2200" t="str">
        <f>IFERROR(INDEX(PFL_Schutz_Drop_Down56[noch nicht gewählt],_xlfn.AGGREGATE(15,6,ROW(PFL_Schutz_Drop_Down56[noch nicht gewählt])-3/(--(SEARCH($A$65,PFL_Schutz_Drop_Down56[noch nicht gewählt])&gt;0)),ROW()-3)),"")</f>
        <v/>
      </c>
      <c r="AV26" s="2200" t="str">
        <f>IFERROR(INDEX(PFL_Schutz_Drop_Down56[noch nicht gewählt],_xlfn.AGGREGATE(15,6,ROW(PFL_Schutz_Drop_Down56[noch nicht gewählt])-3/(--(SEARCH($A$67,PFL_Schutz_Drop_Down56[noch nicht gewählt])&gt;0)),ROW()-3)),"")</f>
        <v/>
      </c>
      <c r="AW26" s="2200" t="str">
        <f>IFERROR(INDEX(PFL_Schutz_Drop_Down56[noch nicht gewählt],_xlfn.AGGREGATE(15,6,ROW(PFL_Schutz_Drop_Down56[noch nicht gewählt])-3/(--(SEARCH($A$69,PFL_Schutz_Drop_Down56[noch nicht gewählt])&gt;0)),ROW()-3)),"")</f>
        <v/>
      </c>
      <c r="AX26" s="2200" t="str">
        <f>IFERROR(INDEX(PFL_Schutz_Drop_Down56[noch nicht gewählt],_xlfn.AGGREGATE(15,6,ROW(PFL_Schutz_Drop_Down56[noch nicht gewählt])-3/(--(SEARCH($A$71,PFL_Schutz_Drop_Down56[noch nicht gewählt])&gt;0)),ROW()-3)),"")</f>
        <v/>
      </c>
      <c r="AY26" s="2200" t="str">
        <f>IFERROR(INDEX(PFL_Schutz_Drop_Down56[noch nicht gewählt],_xlfn.AGGREGATE(15,6,ROW(PFL_Schutz_Drop_Down56[noch nicht gewählt])-3/(--(SEARCH($A$73,PFL_Schutz_Drop_Down56[noch nicht gewählt])&gt;0)),ROW()-3)),"")</f>
        <v/>
      </c>
      <c r="AZ26" s="2201" t="str">
        <f>IFERROR(INDEX(PFL_Schutz_Drop_Down56[noch nicht gewählt],_xlfn.AGGREGATE(15,6,ROW(PFL_Schutz_Drop_Down56[noch nicht gewählt])-3/(--(SEARCH($A$75,PFL_Schutz_Drop_Down56[noch nicht gewählt])&gt;0)),ROW()-3)),"")</f>
        <v/>
      </c>
    </row>
    <row r="27" spans="1:52" ht="19.5" customHeight="1">
      <c r="A27" s="3098"/>
      <c r="B27" s="3100"/>
      <c r="C27" s="3100"/>
      <c r="D27" s="3087">
        <f>SUMIF(Pfl_Schutz!$E$4:$E$77,A27,Pfl_Schutz!$H$4:$H$77)</f>
        <v>0</v>
      </c>
      <c r="E27" s="3089" t="str">
        <f t="shared" ref="E27" si="9">IF(SUM(B27:C28)=0,"",IF(F27&lt;0,"negativer Lagerstand nicht möglich - überprüfen Sie die Eingabewerte auf Vollständigkeit",IF(F27=0,"Produkt aufgebraucht, Lagerstand 0",F27)))</f>
        <v/>
      </c>
      <c r="F27" s="3091">
        <f t="shared" ref="F27" si="10">IF(SUM(B27:C28)&gt;0,IF(ISBLANK(A27),"",B27+C27-D27),0)</f>
        <v>0</v>
      </c>
      <c r="G27" s="3095"/>
      <c r="H27" s="3096"/>
      <c r="I27" s="3097"/>
      <c r="R27" s="2195">
        <f>Pfl_Schutz!E27</f>
        <v>0</v>
      </c>
      <c r="S27" s="2202">
        <f>COUNTIF($R$4:PFL_Schutz_Drop_Down56[[#This Row],[Produktname]],PFL_Schutz_Drop_Down56[[#This Row],[Produktname]])</f>
        <v>24</v>
      </c>
      <c r="T27" s="2203" t="str">
        <f>IFERROR(INDEX(R:R,_xlfn.AGGREGATE(15,6,ROW(PFL_Schutz_Drop_Down56[Produktname])/(PFL_Schutz_Drop_Down56[Auftretend]=1),ROW()-3)),"")</f>
        <v/>
      </c>
      <c r="U27" s="2198" t="str">
        <f>IF(COUNTIF($A$17:$A$76,PFL_Schutz_Drop_Down56[[#This Row],[Produktname eindeutig]])&gt;=1,"",ROW())</f>
        <v/>
      </c>
      <c r="V27" s="2198" t="str">
        <f t="shared" si="0"/>
        <v/>
      </c>
      <c r="W27" s="2199" t="str">
        <f>IFERROR(INDEX(PFL_Schutz_Drop_Down56[noch nicht gewählt],_xlfn.AGGREGATE(15,6,ROW(PFL_Schutz_Drop_Down56[noch nicht gewählt])-3/(--(SEARCH($A$17,PFL_Schutz_Drop_Down56[noch nicht gewählt])&gt;0)),ROW()-3)),"")</f>
        <v/>
      </c>
      <c r="X27" s="2175" t="str">
        <f>IFERROR(INDEX(PFL_Schutz_Drop_Down56[noch nicht gewählt],_xlfn.AGGREGATE(15,6,ROW(PFL_Schutz_Drop_Down56[noch nicht gewählt])-3/(--(SEARCH($A$19,PFL_Schutz_Drop_Down56[noch nicht gewählt])&gt;0)),ROW()-3)),"")</f>
        <v/>
      </c>
      <c r="Y27" s="2175" t="str">
        <f>IFERROR(INDEX(PFL_Schutz_Drop_Down56[noch nicht gewählt],_xlfn.AGGREGATE(15,6,ROW(PFL_Schutz_Drop_Down56[noch nicht gewählt])-3/(--(SEARCH($A$21,PFL_Schutz_Drop_Down56[noch nicht gewählt])&gt;0)),ROW()-3)),"")</f>
        <v/>
      </c>
      <c r="Z27" s="2200" t="str">
        <f>IFERROR(INDEX(PFL_Schutz_Drop_Down56[noch nicht gewählt],_xlfn.AGGREGATE(15,6,ROW(PFL_Schutz_Drop_Down56[noch nicht gewählt])-3/(--(SEARCH($A$23,PFL_Schutz_Drop_Down56[noch nicht gewählt])&gt;0)),ROW()-3)),"")</f>
        <v/>
      </c>
      <c r="AA27" s="2200" t="str">
        <f>IFERROR(INDEX(PFL_Schutz_Drop_Down56[noch nicht gewählt],_xlfn.AGGREGATE(15,6,ROW(PFL_Schutz_Drop_Down56[noch nicht gewählt])-3/(--(SEARCH($A$25,PFL_Schutz_Drop_Down56[noch nicht gewählt])&gt;0)),ROW()-3)),"")</f>
        <v/>
      </c>
      <c r="AB27" s="2200" t="str">
        <f>IFERROR(INDEX(PFL_Schutz_Drop_Down56[noch nicht gewählt],_xlfn.AGGREGATE(15,6,ROW(PFL_Schutz_Drop_Down56[noch nicht gewählt])-3/(--(SEARCH($A$27,PFL_Schutz_Drop_Down56[noch nicht gewählt])&gt;0)),ROW()-3)),"")</f>
        <v/>
      </c>
      <c r="AC27" s="2200" t="str">
        <f>IFERROR(INDEX(PFL_Schutz_Drop_Down56[noch nicht gewählt],_xlfn.AGGREGATE(15,6,ROW(PFL_Schutz_Drop_Down56[noch nicht gewählt])-3/(--(SEARCH($A$29,PFL_Schutz_Drop_Down56[noch nicht gewählt])&gt;0)),ROW()-3)),"")</f>
        <v/>
      </c>
      <c r="AD27" s="2200" t="str">
        <f>IFERROR(INDEX(PFL_Schutz_Drop_Down56[noch nicht gewählt],_xlfn.AGGREGATE(15,6,ROW(PFL_Schutz_Drop_Down56[noch nicht gewählt])-3/(--(SEARCH($A$31,PFL_Schutz_Drop_Down56[noch nicht gewählt])&gt;0)),ROW()-3)),"")</f>
        <v/>
      </c>
      <c r="AE27" s="2200" t="str">
        <f>IFERROR(INDEX(PFL_Schutz_Drop_Down56[noch nicht gewählt],_xlfn.AGGREGATE(15,6,ROW(PFL_Schutz_Drop_Down56[noch nicht gewählt])-3/(--(SEARCH($A$33,PFL_Schutz_Drop_Down56[noch nicht gewählt])&gt;0)),ROW()-3)),"")</f>
        <v/>
      </c>
      <c r="AF27" s="2200" t="str">
        <f>IFERROR(INDEX(PFL_Schutz_Drop_Down56[noch nicht gewählt],_xlfn.AGGREGATE(15,6,ROW(PFL_Schutz_Drop_Down56[noch nicht gewählt])-3/(--(SEARCH($A$35,PFL_Schutz_Drop_Down56[noch nicht gewählt])&gt;0)),ROW()-3)),"")</f>
        <v/>
      </c>
      <c r="AG27" s="2200" t="str">
        <f>IFERROR(INDEX(PFL_Schutz_Drop_Down56[noch nicht gewählt],_xlfn.AGGREGATE(15,6,ROW(PFL_Schutz_Drop_Down56[noch nicht gewählt])-3/(--(SEARCH($A$37,PFL_Schutz_Drop_Down56[noch nicht gewählt])&gt;0)),ROW()-3)),"")</f>
        <v/>
      </c>
      <c r="AH27" s="2200" t="str">
        <f>IFERROR(INDEX(PFL_Schutz_Drop_Down56[noch nicht gewählt],_xlfn.AGGREGATE(15,6,ROW(PFL_Schutz_Drop_Down56[noch nicht gewählt])-3/(--(SEARCH($A$39,PFL_Schutz_Drop_Down56[noch nicht gewählt])&gt;0)),ROW()-3)),"")</f>
        <v/>
      </c>
      <c r="AI27" s="2200" t="str">
        <f>IFERROR(INDEX(PFL_Schutz_Drop_Down56[noch nicht gewählt],_xlfn.AGGREGATE(15,6,ROW(PFL_Schutz_Drop_Down56[noch nicht gewählt])-3/(--(SEARCH($A$41,PFL_Schutz_Drop_Down56[noch nicht gewählt])&gt;0)),ROW()-3)),"")</f>
        <v/>
      </c>
      <c r="AJ27" s="2200" t="str">
        <f>IFERROR(INDEX(PFL_Schutz_Drop_Down56[noch nicht gewählt],_xlfn.AGGREGATE(15,6,ROW(PFL_Schutz_Drop_Down56[noch nicht gewählt])-3/(--(SEARCH($A$43,PFL_Schutz_Drop_Down56[noch nicht gewählt])&gt;0)),ROW()-3)),"")</f>
        <v/>
      </c>
      <c r="AK27" s="2200" t="str">
        <f>IFERROR(INDEX(PFL_Schutz_Drop_Down56[noch nicht gewählt],_xlfn.AGGREGATE(15,6,ROW(PFL_Schutz_Drop_Down56[noch nicht gewählt])-3/(--(SEARCH($A$45,PFL_Schutz_Drop_Down56[noch nicht gewählt])&gt;0)),ROW()-3)),"")</f>
        <v/>
      </c>
      <c r="AL27" s="2200" t="str">
        <f>IFERROR(INDEX(PFL_Schutz_Drop_Down56[noch nicht gewählt],_xlfn.AGGREGATE(15,6,ROW(PFL_Schutz_Drop_Down56[noch nicht gewählt])-3/(--(SEARCH($A$47,PFL_Schutz_Drop_Down56[noch nicht gewählt])&gt;0)),ROW()-3)),"")</f>
        <v/>
      </c>
      <c r="AM27" s="2200" t="str">
        <f>IFERROR(INDEX(PFL_Schutz_Drop_Down56[noch nicht gewählt],_xlfn.AGGREGATE(15,6,ROW(PFL_Schutz_Drop_Down56[noch nicht gewählt])-3/(--(SEARCH($A$49,PFL_Schutz_Drop_Down56[noch nicht gewählt])&gt;0)),ROW()-3)),"")</f>
        <v/>
      </c>
      <c r="AN27" s="2200" t="str">
        <f>IFERROR(INDEX(PFL_Schutz_Drop_Down56[noch nicht gewählt],_xlfn.AGGREGATE(15,6,ROW(PFL_Schutz_Drop_Down56[noch nicht gewählt])-3/(--(SEARCH($A$51,PFL_Schutz_Drop_Down56[noch nicht gewählt])&gt;0)),ROW()-3)),"")</f>
        <v/>
      </c>
      <c r="AO27" s="2200" t="str">
        <f>IFERROR(INDEX(PFL_Schutz_Drop_Down56[noch nicht gewählt],_xlfn.AGGREGATE(15,6,ROW(PFL_Schutz_Drop_Down56[noch nicht gewählt])-3/(--(SEARCH($A$53,PFL_Schutz_Drop_Down56[noch nicht gewählt])&gt;0)),ROW()-3)),"")</f>
        <v/>
      </c>
      <c r="AP27" s="2200" t="str">
        <f>IFERROR(INDEX(PFL_Schutz_Drop_Down56[noch nicht gewählt],_xlfn.AGGREGATE(15,6,ROW(PFL_Schutz_Drop_Down56[noch nicht gewählt])-3/(--(SEARCH($A$55,PFL_Schutz_Drop_Down56[noch nicht gewählt])&gt;0)),ROW()-3)),"")</f>
        <v/>
      </c>
      <c r="AQ27" s="2200" t="str">
        <f>IFERROR(INDEX(PFL_Schutz_Drop_Down56[noch nicht gewählt],_xlfn.AGGREGATE(15,6,ROW(PFL_Schutz_Drop_Down56[noch nicht gewählt])-3/(--(SEARCH($A$57,PFL_Schutz_Drop_Down56[noch nicht gewählt])&gt;0)),ROW()-3)),"")</f>
        <v/>
      </c>
      <c r="AR27" s="2200" t="str">
        <f>IFERROR(INDEX(PFL_Schutz_Drop_Down56[noch nicht gewählt],_xlfn.AGGREGATE(15,6,ROW(PFL_Schutz_Drop_Down56[noch nicht gewählt])-3/(--(SEARCH($A$59,PFL_Schutz_Drop_Down56[noch nicht gewählt])&gt;0)),ROW()-3)),"")</f>
        <v/>
      </c>
      <c r="AS27" s="2200" t="str">
        <f>IFERROR(INDEX(PFL_Schutz_Drop_Down56[noch nicht gewählt],_xlfn.AGGREGATE(15,6,ROW(PFL_Schutz_Drop_Down56[noch nicht gewählt])-3/(--(SEARCH($A$61,PFL_Schutz_Drop_Down56[noch nicht gewählt])&gt;0)),ROW()-3)),"")</f>
        <v/>
      </c>
      <c r="AT27" s="2200" t="str">
        <f>IFERROR(INDEX(PFL_Schutz_Drop_Down56[noch nicht gewählt],_xlfn.AGGREGATE(15,6,ROW(PFL_Schutz_Drop_Down56[noch nicht gewählt])-3/(--(SEARCH($A$63,PFL_Schutz_Drop_Down56[noch nicht gewählt])&gt;0)),ROW()-3)),"")</f>
        <v/>
      </c>
      <c r="AU27" s="2200" t="str">
        <f>IFERROR(INDEX(PFL_Schutz_Drop_Down56[noch nicht gewählt],_xlfn.AGGREGATE(15,6,ROW(PFL_Schutz_Drop_Down56[noch nicht gewählt])-3/(--(SEARCH($A$65,PFL_Schutz_Drop_Down56[noch nicht gewählt])&gt;0)),ROW()-3)),"")</f>
        <v/>
      </c>
      <c r="AV27" s="2200" t="str">
        <f>IFERROR(INDEX(PFL_Schutz_Drop_Down56[noch nicht gewählt],_xlfn.AGGREGATE(15,6,ROW(PFL_Schutz_Drop_Down56[noch nicht gewählt])-3/(--(SEARCH($A$67,PFL_Schutz_Drop_Down56[noch nicht gewählt])&gt;0)),ROW()-3)),"")</f>
        <v/>
      </c>
      <c r="AW27" s="2200" t="str">
        <f>IFERROR(INDEX(PFL_Schutz_Drop_Down56[noch nicht gewählt],_xlfn.AGGREGATE(15,6,ROW(PFL_Schutz_Drop_Down56[noch nicht gewählt])-3/(--(SEARCH($A$69,PFL_Schutz_Drop_Down56[noch nicht gewählt])&gt;0)),ROW()-3)),"")</f>
        <v/>
      </c>
      <c r="AX27" s="2200" t="str">
        <f>IFERROR(INDEX(PFL_Schutz_Drop_Down56[noch nicht gewählt],_xlfn.AGGREGATE(15,6,ROW(PFL_Schutz_Drop_Down56[noch nicht gewählt])-3/(--(SEARCH($A$71,PFL_Schutz_Drop_Down56[noch nicht gewählt])&gt;0)),ROW()-3)),"")</f>
        <v/>
      </c>
      <c r="AY27" s="2200" t="str">
        <f>IFERROR(INDEX(PFL_Schutz_Drop_Down56[noch nicht gewählt],_xlfn.AGGREGATE(15,6,ROW(PFL_Schutz_Drop_Down56[noch nicht gewählt])-3/(--(SEARCH($A$73,PFL_Schutz_Drop_Down56[noch nicht gewählt])&gt;0)),ROW()-3)),"")</f>
        <v/>
      </c>
      <c r="AZ27" s="2201" t="str">
        <f>IFERROR(INDEX(PFL_Schutz_Drop_Down56[noch nicht gewählt],_xlfn.AGGREGATE(15,6,ROW(PFL_Schutz_Drop_Down56[noch nicht gewählt])-3/(--(SEARCH($A$75,PFL_Schutz_Drop_Down56[noch nicht gewählt])&gt;0)),ROW()-3)),"")</f>
        <v/>
      </c>
    </row>
    <row r="28" spans="1:52" ht="19.5" customHeight="1">
      <c r="A28" s="3099"/>
      <c r="B28" s="3101"/>
      <c r="C28" s="3101"/>
      <c r="D28" s="3087"/>
      <c r="E28" s="3089"/>
      <c r="F28" s="3091"/>
      <c r="G28" s="3095"/>
      <c r="H28" s="3096"/>
      <c r="I28" s="3097"/>
      <c r="R28" s="2195">
        <f>Pfl_Schutz!E28</f>
        <v>0</v>
      </c>
      <c r="S28" s="2202">
        <f>COUNTIF($R$4:PFL_Schutz_Drop_Down56[[#This Row],[Produktname]],PFL_Schutz_Drop_Down56[[#This Row],[Produktname]])</f>
        <v>25</v>
      </c>
      <c r="T28" s="2203" t="str">
        <f>IFERROR(INDEX(R:R,_xlfn.AGGREGATE(15,6,ROW(PFL_Schutz_Drop_Down56[Produktname])/(PFL_Schutz_Drop_Down56[Auftretend]=1),ROW()-3)),"")</f>
        <v/>
      </c>
      <c r="U28" s="2198" t="str">
        <f>IF(COUNTIF($A$17:$A$76,PFL_Schutz_Drop_Down56[[#This Row],[Produktname eindeutig]])&gt;=1,"",ROW())</f>
        <v/>
      </c>
      <c r="V28" s="2198" t="str">
        <f t="shared" si="0"/>
        <v/>
      </c>
      <c r="W28" s="2199" t="str">
        <f>IFERROR(INDEX(PFL_Schutz_Drop_Down56[noch nicht gewählt],_xlfn.AGGREGATE(15,6,ROW(PFL_Schutz_Drop_Down56[noch nicht gewählt])-3/(--(SEARCH($A$17,PFL_Schutz_Drop_Down56[noch nicht gewählt])&gt;0)),ROW()-3)),"")</f>
        <v/>
      </c>
      <c r="X28" s="2175" t="str">
        <f>IFERROR(INDEX(PFL_Schutz_Drop_Down56[noch nicht gewählt],_xlfn.AGGREGATE(15,6,ROW(PFL_Schutz_Drop_Down56[noch nicht gewählt])-3/(--(SEARCH($A$19,PFL_Schutz_Drop_Down56[noch nicht gewählt])&gt;0)),ROW()-3)),"")</f>
        <v/>
      </c>
      <c r="Y28" s="2175" t="str">
        <f>IFERROR(INDEX(PFL_Schutz_Drop_Down56[noch nicht gewählt],_xlfn.AGGREGATE(15,6,ROW(PFL_Schutz_Drop_Down56[noch nicht gewählt])-3/(--(SEARCH($A$21,PFL_Schutz_Drop_Down56[noch nicht gewählt])&gt;0)),ROW()-3)),"")</f>
        <v/>
      </c>
      <c r="Z28" s="2200" t="str">
        <f>IFERROR(INDEX(PFL_Schutz_Drop_Down56[noch nicht gewählt],_xlfn.AGGREGATE(15,6,ROW(PFL_Schutz_Drop_Down56[noch nicht gewählt])-3/(--(SEARCH($A$23,PFL_Schutz_Drop_Down56[noch nicht gewählt])&gt;0)),ROW()-3)),"")</f>
        <v/>
      </c>
      <c r="AA28" s="2200" t="str">
        <f>IFERROR(INDEX(PFL_Schutz_Drop_Down56[noch nicht gewählt],_xlfn.AGGREGATE(15,6,ROW(PFL_Schutz_Drop_Down56[noch nicht gewählt])-3/(--(SEARCH($A$25,PFL_Schutz_Drop_Down56[noch nicht gewählt])&gt;0)),ROW()-3)),"")</f>
        <v/>
      </c>
      <c r="AB28" s="2200" t="str">
        <f>IFERROR(INDEX(PFL_Schutz_Drop_Down56[noch nicht gewählt],_xlfn.AGGREGATE(15,6,ROW(PFL_Schutz_Drop_Down56[noch nicht gewählt])-3/(--(SEARCH($A$27,PFL_Schutz_Drop_Down56[noch nicht gewählt])&gt;0)),ROW()-3)),"")</f>
        <v/>
      </c>
      <c r="AC28" s="2200" t="str">
        <f>IFERROR(INDEX(PFL_Schutz_Drop_Down56[noch nicht gewählt],_xlfn.AGGREGATE(15,6,ROW(PFL_Schutz_Drop_Down56[noch nicht gewählt])-3/(--(SEARCH($A$29,PFL_Schutz_Drop_Down56[noch nicht gewählt])&gt;0)),ROW()-3)),"")</f>
        <v/>
      </c>
      <c r="AD28" s="2200" t="str">
        <f>IFERROR(INDEX(PFL_Schutz_Drop_Down56[noch nicht gewählt],_xlfn.AGGREGATE(15,6,ROW(PFL_Schutz_Drop_Down56[noch nicht gewählt])-3/(--(SEARCH($A$31,PFL_Schutz_Drop_Down56[noch nicht gewählt])&gt;0)),ROW()-3)),"")</f>
        <v/>
      </c>
      <c r="AE28" s="2200" t="str">
        <f>IFERROR(INDEX(PFL_Schutz_Drop_Down56[noch nicht gewählt],_xlfn.AGGREGATE(15,6,ROW(PFL_Schutz_Drop_Down56[noch nicht gewählt])-3/(--(SEARCH($A$33,PFL_Schutz_Drop_Down56[noch nicht gewählt])&gt;0)),ROW()-3)),"")</f>
        <v/>
      </c>
      <c r="AF28" s="2200" t="str">
        <f>IFERROR(INDEX(PFL_Schutz_Drop_Down56[noch nicht gewählt],_xlfn.AGGREGATE(15,6,ROW(PFL_Schutz_Drop_Down56[noch nicht gewählt])-3/(--(SEARCH($A$35,PFL_Schutz_Drop_Down56[noch nicht gewählt])&gt;0)),ROW()-3)),"")</f>
        <v/>
      </c>
      <c r="AG28" s="2200" t="str">
        <f>IFERROR(INDEX(PFL_Schutz_Drop_Down56[noch nicht gewählt],_xlfn.AGGREGATE(15,6,ROW(PFL_Schutz_Drop_Down56[noch nicht gewählt])-3/(--(SEARCH($A$37,PFL_Schutz_Drop_Down56[noch nicht gewählt])&gt;0)),ROW()-3)),"")</f>
        <v/>
      </c>
      <c r="AH28" s="2200" t="str">
        <f>IFERROR(INDEX(PFL_Schutz_Drop_Down56[noch nicht gewählt],_xlfn.AGGREGATE(15,6,ROW(PFL_Schutz_Drop_Down56[noch nicht gewählt])-3/(--(SEARCH($A$39,PFL_Schutz_Drop_Down56[noch nicht gewählt])&gt;0)),ROW()-3)),"")</f>
        <v/>
      </c>
      <c r="AI28" s="2200" t="str">
        <f>IFERROR(INDEX(PFL_Schutz_Drop_Down56[noch nicht gewählt],_xlfn.AGGREGATE(15,6,ROW(PFL_Schutz_Drop_Down56[noch nicht gewählt])-3/(--(SEARCH($A$41,PFL_Schutz_Drop_Down56[noch nicht gewählt])&gt;0)),ROW()-3)),"")</f>
        <v/>
      </c>
      <c r="AJ28" s="2200" t="str">
        <f>IFERROR(INDEX(PFL_Schutz_Drop_Down56[noch nicht gewählt],_xlfn.AGGREGATE(15,6,ROW(PFL_Schutz_Drop_Down56[noch nicht gewählt])-3/(--(SEARCH($A$43,PFL_Schutz_Drop_Down56[noch nicht gewählt])&gt;0)),ROW()-3)),"")</f>
        <v/>
      </c>
      <c r="AK28" s="2200" t="str">
        <f>IFERROR(INDEX(PFL_Schutz_Drop_Down56[noch nicht gewählt],_xlfn.AGGREGATE(15,6,ROW(PFL_Schutz_Drop_Down56[noch nicht gewählt])-3/(--(SEARCH($A$45,PFL_Schutz_Drop_Down56[noch nicht gewählt])&gt;0)),ROW()-3)),"")</f>
        <v/>
      </c>
      <c r="AL28" s="2200" t="str">
        <f>IFERROR(INDEX(PFL_Schutz_Drop_Down56[noch nicht gewählt],_xlfn.AGGREGATE(15,6,ROW(PFL_Schutz_Drop_Down56[noch nicht gewählt])-3/(--(SEARCH($A$47,PFL_Schutz_Drop_Down56[noch nicht gewählt])&gt;0)),ROW()-3)),"")</f>
        <v/>
      </c>
      <c r="AM28" s="2200" t="str">
        <f>IFERROR(INDEX(PFL_Schutz_Drop_Down56[noch nicht gewählt],_xlfn.AGGREGATE(15,6,ROW(PFL_Schutz_Drop_Down56[noch nicht gewählt])-3/(--(SEARCH($A$49,PFL_Schutz_Drop_Down56[noch nicht gewählt])&gt;0)),ROW()-3)),"")</f>
        <v/>
      </c>
      <c r="AN28" s="2200" t="str">
        <f>IFERROR(INDEX(PFL_Schutz_Drop_Down56[noch nicht gewählt],_xlfn.AGGREGATE(15,6,ROW(PFL_Schutz_Drop_Down56[noch nicht gewählt])-3/(--(SEARCH($A$51,PFL_Schutz_Drop_Down56[noch nicht gewählt])&gt;0)),ROW()-3)),"")</f>
        <v/>
      </c>
      <c r="AO28" s="2200" t="str">
        <f>IFERROR(INDEX(PFL_Schutz_Drop_Down56[noch nicht gewählt],_xlfn.AGGREGATE(15,6,ROW(PFL_Schutz_Drop_Down56[noch nicht gewählt])-3/(--(SEARCH($A$53,PFL_Schutz_Drop_Down56[noch nicht gewählt])&gt;0)),ROW()-3)),"")</f>
        <v/>
      </c>
      <c r="AP28" s="2200" t="str">
        <f>IFERROR(INDEX(PFL_Schutz_Drop_Down56[noch nicht gewählt],_xlfn.AGGREGATE(15,6,ROW(PFL_Schutz_Drop_Down56[noch nicht gewählt])-3/(--(SEARCH($A$55,PFL_Schutz_Drop_Down56[noch nicht gewählt])&gt;0)),ROW()-3)),"")</f>
        <v/>
      </c>
      <c r="AQ28" s="2200" t="str">
        <f>IFERROR(INDEX(PFL_Schutz_Drop_Down56[noch nicht gewählt],_xlfn.AGGREGATE(15,6,ROW(PFL_Schutz_Drop_Down56[noch nicht gewählt])-3/(--(SEARCH($A$57,PFL_Schutz_Drop_Down56[noch nicht gewählt])&gt;0)),ROW()-3)),"")</f>
        <v/>
      </c>
      <c r="AR28" s="2200" t="str">
        <f>IFERROR(INDEX(PFL_Schutz_Drop_Down56[noch nicht gewählt],_xlfn.AGGREGATE(15,6,ROW(PFL_Schutz_Drop_Down56[noch nicht gewählt])-3/(--(SEARCH($A$59,PFL_Schutz_Drop_Down56[noch nicht gewählt])&gt;0)),ROW()-3)),"")</f>
        <v/>
      </c>
      <c r="AS28" s="2200" t="str">
        <f>IFERROR(INDEX(PFL_Schutz_Drop_Down56[noch nicht gewählt],_xlfn.AGGREGATE(15,6,ROW(PFL_Schutz_Drop_Down56[noch nicht gewählt])-3/(--(SEARCH($A$61,PFL_Schutz_Drop_Down56[noch nicht gewählt])&gt;0)),ROW()-3)),"")</f>
        <v/>
      </c>
      <c r="AT28" s="2200" t="str">
        <f>IFERROR(INDEX(PFL_Schutz_Drop_Down56[noch nicht gewählt],_xlfn.AGGREGATE(15,6,ROW(PFL_Schutz_Drop_Down56[noch nicht gewählt])-3/(--(SEARCH($A$63,PFL_Schutz_Drop_Down56[noch nicht gewählt])&gt;0)),ROW()-3)),"")</f>
        <v/>
      </c>
      <c r="AU28" s="2200" t="str">
        <f>IFERROR(INDEX(PFL_Schutz_Drop_Down56[noch nicht gewählt],_xlfn.AGGREGATE(15,6,ROW(PFL_Schutz_Drop_Down56[noch nicht gewählt])-3/(--(SEARCH($A$65,PFL_Schutz_Drop_Down56[noch nicht gewählt])&gt;0)),ROW()-3)),"")</f>
        <v/>
      </c>
      <c r="AV28" s="2200" t="str">
        <f>IFERROR(INDEX(PFL_Schutz_Drop_Down56[noch nicht gewählt],_xlfn.AGGREGATE(15,6,ROW(PFL_Schutz_Drop_Down56[noch nicht gewählt])-3/(--(SEARCH($A$67,PFL_Schutz_Drop_Down56[noch nicht gewählt])&gt;0)),ROW()-3)),"")</f>
        <v/>
      </c>
      <c r="AW28" s="2200" t="str">
        <f>IFERROR(INDEX(PFL_Schutz_Drop_Down56[noch nicht gewählt],_xlfn.AGGREGATE(15,6,ROW(PFL_Schutz_Drop_Down56[noch nicht gewählt])-3/(--(SEARCH($A$69,PFL_Schutz_Drop_Down56[noch nicht gewählt])&gt;0)),ROW()-3)),"")</f>
        <v/>
      </c>
      <c r="AX28" s="2200" t="str">
        <f>IFERROR(INDEX(PFL_Schutz_Drop_Down56[noch nicht gewählt],_xlfn.AGGREGATE(15,6,ROW(PFL_Schutz_Drop_Down56[noch nicht gewählt])-3/(--(SEARCH($A$71,PFL_Schutz_Drop_Down56[noch nicht gewählt])&gt;0)),ROW()-3)),"")</f>
        <v/>
      </c>
      <c r="AY28" s="2200" t="str">
        <f>IFERROR(INDEX(PFL_Schutz_Drop_Down56[noch nicht gewählt],_xlfn.AGGREGATE(15,6,ROW(PFL_Schutz_Drop_Down56[noch nicht gewählt])-3/(--(SEARCH($A$73,PFL_Schutz_Drop_Down56[noch nicht gewählt])&gt;0)),ROW()-3)),"")</f>
        <v/>
      </c>
      <c r="AZ28" s="2201" t="str">
        <f>IFERROR(INDEX(PFL_Schutz_Drop_Down56[noch nicht gewählt],_xlfn.AGGREGATE(15,6,ROW(PFL_Schutz_Drop_Down56[noch nicht gewählt])-3/(--(SEARCH($A$75,PFL_Schutz_Drop_Down56[noch nicht gewählt])&gt;0)),ROW()-3)),"")</f>
        <v/>
      </c>
    </row>
    <row r="29" spans="1:52" ht="19.5" customHeight="1">
      <c r="A29" s="3098"/>
      <c r="B29" s="3100"/>
      <c r="C29" s="3100"/>
      <c r="D29" s="3087">
        <f>SUMIF(Pfl_Schutz!$E$4:$E$77,A29,Pfl_Schutz!$H$4:$H$77)</f>
        <v>0</v>
      </c>
      <c r="E29" s="3089" t="str">
        <f t="shared" ref="E29" si="11">IF(SUM(B29:C30)=0,"",IF(F29&lt;0,"negativer Lagerstand nicht möglich - überprüfen Sie die Eingabewerte auf Vollständigkeit",IF(F29=0,"Produkt aufgebraucht, Lagerstand 0",F29)))</f>
        <v/>
      </c>
      <c r="F29" s="3091">
        <f t="shared" ref="F29" si="12">IF(SUM(B29:C30)&gt;0,IF(ISBLANK(A29),"",B29+C29-D29),0)</f>
        <v>0</v>
      </c>
      <c r="G29" s="3095"/>
      <c r="H29" s="3096"/>
      <c r="I29" s="3097"/>
      <c r="R29" s="2195">
        <f>Pfl_Schutz!E29</f>
        <v>0</v>
      </c>
      <c r="S29" s="2202">
        <f>COUNTIF($R$4:PFL_Schutz_Drop_Down56[[#This Row],[Produktname]],PFL_Schutz_Drop_Down56[[#This Row],[Produktname]])</f>
        <v>26</v>
      </c>
      <c r="T29" s="2203" t="str">
        <f>IFERROR(INDEX(R:R,_xlfn.AGGREGATE(15,6,ROW(PFL_Schutz_Drop_Down56[Produktname])/(PFL_Schutz_Drop_Down56[Auftretend]=1),ROW()-3)),"")</f>
        <v/>
      </c>
      <c r="U29" s="2198" t="str">
        <f>IF(COUNTIF($A$17:$A$76,PFL_Schutz_Drop_Down56[[#This Row],[Produktname eindeutig]])&gt;=1,"",ROW())</f>
        <v/>
      </c>
      <c r="V29" s="2198" t="str">
        <f t="shared" si="0"/>
        <v/>
      </c>
      <c r="W29" s="2199" t="str">
        <f>IFERROR(INDEX(PFL_Schutz_Drop_Down56[noch nicht gewählt],_xlfn.AGGREGATE(15,6,ROW(PFL_Schutz_Drop_Down56[noch nicht gewählt])-3/(--(SEARCH($A$17,PFL_Schutz_Drop_Down56[noch nicht gewählt])&gt;0)),ROW()-3)),"")</f>
        <v/>
      </c>
      <c r="X29" s="2175" t="str">
        <f>IFERROR(INDEX(PFL_Schutz_Drop_Down56[noch nicht gewählt],_xlfn.AGGREGATE(15,6,ROW(PFL_Schutz_Drop_Down56[noch nicht gewählt])-3/(--(SEARCH($A$19,PFL_Schutz_Drop_Down56[noch nicht gewählt])&gt;0)),ROW()-3)),"")</f>
        <v/>
      </c>
      <c r="Y29" s="2175" t="str">
        <f>IFERROR(INDEX(PFL_Schutz_Drop_Down56[noch nicht gewählt],_xlfn.AGGREGATE(15,6,ROW(PFL_Schutz_Drop_Down56[noch nicht gewählt])-3/(--(SEARCH($A$21,PFL_Schutz_Drop_Down56[noch nicht gewählt])&gt;0)),ROW()-3)),"")</f>
        <v/>
      </c>
      <c r="Z29" s="2200" t="str">
        <f>IFERROR(INDEX(PFL_Schutz_Drop_Down56[noch nicht gewählt],_xlfn.AGGREGATE(15,6,ROW(PFL_Schutz_Drop_Down56[noch nicht gewählt])-3/(--(SEARCH($A$23,PFL_Schutz_Drop_Down56[noch nicht gewählt])&gt;0)),ROW()-3)),"")</f>
        <v/>
      </c>
      <c r="AA29" s="2200" t="str">
        <f>IFERROR(INDEX(PFL_Schutz_Drop_Down56[noch nicht gewählt],_xlfn.AGGREGATE(15,6,ROW(PFL_Schutz_Drop_Down56[noch nicht gewählt])-3/(--(SEARCH($A$25,PFL_Schutz_Drop_Down56[noch nicht gewählt])&gt;0)),ROW()-3)),"")</f>
        <v/>
      </c>
      <c r="AB29" s="2200" t="str">
        <f>IFERROR(INDEX(PFL_Schutz_Drop_Down56[noch nicht gewählt],_xlfn.AGGREGATE(15,6,ROW(PFL_Schutz_Drop_Down56[noch nicht gewählt])-3/(--(SEARCH($A$27,PFL_Schutz_Drop_Down56[noch nicht gewählt])&gt;0)),ROW()-3)),"")</f>
        <v/>
      </c>
      <c r="AC29" s="2200" t="str">
        <f>IFERROR(INDEX(PFL_Schutz_Drop_Down56[noch nicht gewählt],_xlfn.AGGREGATE(15,6,ROW(PFL_Schutz_Drop_Down56[noch nicht gewählt])-3/(--(SEARCH($A$29,PFL_Schutz_Drop_Down56[noch nicht gewählt])&gt;0)),ROW()-3)),"")</f>
        <v/>
      </c>
      <c r="AD29" s="2200" t="str">
        <f>IFERROR(INDEX(PFL_Schutz_Drop_Down56[noch nicht gewählt],_xlfn.AGGREGATE(15,6,ROW(PFL_Schutz_Drop_Down56[noch nicht gewählt])-3/(--(SEARCH($A$31,PFL_Schutz_Drop_Down56[noch nicht gewählt])&gt;0)),ROW()-3)),"")</f>
        <v/>
      </c>
      <c r="AE29" s="2200" t="str">
        <f>IFERROR(INDEX(PFL_Schutz_Drop_Down56[noch nicht gewählt],_xlfn.AGGREGATE(15,6,ROW(PFL_Schutz_Drop_Down56[noch nicht gewählt])-3/(--(SEARCH($A$33,PFL_Schutz_Drop_Down56[noch nicht gewählt])&gt;0)),ROW()-3)),"")</f>
        <v/>
      </c>
      <c r="AF29" s="2200" t="str">
        <f>IFERROR(INDEX(PFL_Schutz_Drop_Down56[noch nicht gewählt],_xlfn.AGGREGATE(15,6,ROW(PFL_Schutz_Drop_Down56[noch nicht gewählt])-3/(--(SEARCH($A$35,PFL_Schutz_Drop_Down56[noch nicht gewählt])&gt;0)),ROW()-3)),"")</f>
        <v/>
      </c>
      <c r="AG29" s="2200" t="str">
        <f>IFERROR(INDEX(PFL_Schutz_Drop_Down56[noch nicht gewählt],_xlfn.AGGREGATE(15,6,ROW(PFL_Schutz_Drop_Down56[noch nicht gewählt])-3/(--(SEARCH($A$37,PFL_Schutz_Drop_Down56[noch nicht gewählt])&gt;0)),ROW()-3)),"")</f>
        <v/>
      </c>
      <c r="AH29" s="2200" t="str">
        <f>IFERROR(INDEX(PFL_Schutz_Drop_Down56[noch nicht gewählt],_xlfn.AGGREGATE(15,6,ROW(PFL_Schutz_Drop_Down56[noch nicht gewählt])-3/(--(SEARCH($A$39,PFL_Schutz_Drop_Down56[noch nicht gewählt])&gt;0)),ROW()-3)),"")</f>
        <v/>
      </c>
      <c r="AI29" s="2200" t="str">
        <f>IFERROR(INDEX(PFL_Schutz_Drop_Down56[noch nicht gewählt],_xlfn.AGGREGATE(15,6,ROW(PFL_Schutz_Drop_Down56[noch nicht gewählt])-3/(--(SEARCH($A$41,PFL_Schutz_Drop_Down56[noch nicht gewählt])&gt;0)),ROW()-3)),"")</f>
        <v/>
      </c>
      <c r="AJ29" s="2200" t="str">
        <f>IFERROR(INDEX(PFL_Schutz_Drop_Down56[noch nicht gewählt],_xlfn.AGGREGATE(15,6,ROW(PFL_Schutz_Drop_Down56[noch nicht gewählt])-3/(--(SEARCH($A$43,PFL_Schutz_Drop_Down56[noch nicht gewählt])&gt;0)),ROW()-3)),"")</f>
        <v/>
      </c>
      <c r="AK29" s="2200" t="str">
        <f>IFERROR(INDEX(PFL_Schutz_Drop_Down56[noch nicht gewählt],_xlfn.AGGREGATE(15,6,ROW(PFL_Schutz_Drop_Down56[noch nicht gewählt])-3/(--(SEARCH($A$45,PFL_Schutz_Drop_Down56[noch nicht gewählt])&gt;0)),ROW()-3)),"")</f>
        <v/>
      </c>
      <c r="AL29" s="2200" t="str">
        <f>IFERROR(INDEX(PFL_Schutz_Drop_Down56[noch nicht gewählt],_xlfn.AGGREGATE(15,6,ROW(PFL_Schutz_Drop_Down56[noch nicht gewählt])-3/(--(SEARCH($A$47,PFL_Schutz_Drop_Down56[noch nicht gewählt])&gt;0)),ROW()-3)),"")</f>
        <v/>
      </c>
      <c r="AM29" s="2200" t="str">
        <f>IFERROR(INDEX(PFL_Schutz_Drop_Down56[noch nicht gewählt],_xlfn.AGGREGATE(15,6,ROW(PFL_Schutz_Drop_Down56[noch nicht gewählt])-3/(--(SEARCH($A$49,PFL_Schutz_Drop_Down56[noch nicht gewählt])&gt;0)),ROW()-3)),"")</f>
        <v/>
      </c>
      <c r="AN29" s="2200" t="str">
        <f>IFERROR(INDEX(PFL_Schutz_Drop_Down56[noch nicht gewählt],_xlfn.AGGREGATE(15,6,ROW(PFL_Schutz_Drop_Down56[noch nicht gewählt])-3/(--(SEARCH($A$51,PFL_Schutz_Drop_Down56[noch nicht gewählt])&gt;0)),ROW()-3)),"")</f>
        <v/>
      </c>
      <c r="AO29" s="2200" t="str">
        <f>IFERROR(INDEX(PFL_Schutz_Drop_Down56[noch nicht gewählt],_xlfn.AGGREGATE(15,6,ROW(PFL_Schutz_Drop_Down56[noch nicht gewählt])-3/(--(SEARCH($A$53,PFL_Schutz_Drop_Down56[noch nicht gewählt])&gt;0)),ROW()-3)),"")</f>
        <v/>
      </c>
      <c r="AP29" s="2200" t="str">
        <f>IFERROR(INDEX(PFL_Schutz_Drop_Down56[noch nicht gewählt],_xlfn.AGGREGATE(15,6,ROW(PFL_Schutz_Drop_Down56[noch nicht gewählt])-3/(--(SEARCH($A$55,PFL_Schutz_Drop_Down56[noch nicht gewählt])&gt;0)),ROW()-3)),"")</f>
        <v/>
      </c>
      <c r="AQ29" s="2200" t="str">
        <f>IFERROR(INDEX(PFL_Schutz_Drop_Down56[noch nicht gewählt],_xlfn.AGGREGATE(15,6,ROW(PFL_Schutz_Drop_Down56[noch nicht gewählt])-3/(--(SEARCH($A$57,PFL_Schutz_Drop_Down56[noch nicht gewählt])&gt;0)),ROW()-3)),"")</f>
        <v/>
      </c>
      <c r="AR29" s="2200" t="str">
        <f>IFERROR(INDEX(PFL_Schutz_Drop_Down56[noch nicht gewählt],_xlfn.AGGREGATE(15,6,ROW(PFL_Schutz_Drop_Down56[noch nicht gewählt])-3/(--(SEARCH($A$59,PFL_Schutz_Drop_Down56[noch nicht gewählt])&gt;0)),ROW()-3)),"")</f>
        <v/>
      </c>
      <c r="AS29" s="2200" t="str">
        <f>IFERROR(INDEX(PFL_Schutz_Drop_Down56[noch nicht gewählt],_xlfn.AGGREGATE(15,6,ROW(PFL_Schutz_Drop_Down56[noch nicht gewählt])-3/(--(SEARCH($A$61,PFL_Schutz_Drop_Down56[noch nicht gewählt])&gt;0)),ROW()-3)),"")</f>
        <v/>
      </c>
      <c r="AT29" s="2200" t="str">
        <f>IFERROR(INDEX(PFL_Schutz_Drop_Down56[noch nicht gewählt],_xlfn.AGGREGATE(15,6,ROW(PFL_Schutz_Drop_Down56[noch nicht gewählt])-3/(--(SEARCH($A$63,PFL_Schutz_Drop_Down56[noch nicht gewählt])&gt;0)),ROW()-3)),"")</f>
        <v/>
      </c>
      <c r="AU29" s="2200" t="str">
        <f>IFERROR(INDEX(PFL_Schutz_Drop_Down56[noch nicht gewählt],_xlfn.AGGREGATE(15,6,ROW(PFL_Schutz_Drop_Down56[noch nicht gewählt])-3/(--(SEARCH($A$65,PFL_Schutz_Drop_Down56[noch nicht gewählt])&gt;0)),ROW()-3)),"")</f>
        <v/>
      </c>
      <c r="AV29" s="2200" t="str">
        <f>IFERROR(INDEX(PFL_Schutz_Drop_Down56[noch nicht gewählt],_xlfn.AGGREGATE(15,6,ROW(PFL_Schutz_Drop_Down56[noch nicht gewählt])-3/(--(SEARCH($A$67,PFL_Schutz_Drop_Down56[noch nicht gewählt])&gt;0)),ROW()-3)),"")</f>
        <v/>
      </c>
      <c r="AW29" s="2200" t="str">
        <f>IFERROR(INDEX(PFL_Schutz_Drop_Down56[noch nicht gewählt],_xlfn.AGGREGATE(15,6,ROW(PFL_Schutz_Drop_Down56[noch nicht gewählt])-3/(--(SEARCH($A$69,PFL_Schutz_Drop_Down56[noch nicht gewählt])&gt;0)),ROW()-3)),"")</f>
        <v/>
      </c>
      <c r="AX29" s="2200" t="str">
        <f>IFERROR(INDEX(PFL_Schutz_Drop_Down56[noch nicht gewählt],_xlfn.AGGREGATE(15,6,ROW(PFL_Schutz_Drop_Down56[noch nicht gewählt])-3/(--(SEARCH($A$71,PFL_Schutz_Drop_Down56[noch nicht gewählt])&gt;0)),ROW()-3)),"")</f>
        <v/>
      </c>
      <c r="AY29" s="2200" t="str">
        <f>IFERROR(INDEX(PFL_Schutz_Drop_Down56[noch nicht gewählt],_xlfn.AGGREGATE(15,6,ROW(PFL_Schutz_Drop_Down56[noch nicht gewählt])-3/(--(SEARCH($A$73,PFL_Schutz_Drop_Down56[noch nicht gewählt])&gt;0)),ROW()-3)),"")</f>
        <v/>
      </c>
      <c r="AZ29" s="2201" t="str">
        <f>IFERROR(INDEX(PFL_Schutz_Drop_Down56[noch nicht gewählt],_xlfn.AGGREGATE(15,6,ROW(PFL_Schutz_Drop_Down56[noch nicht gewählt])-3/(--(SEARCH($A$75,PFL_Schutz_Drop_Down56[noch nicht gewählt])&gt;0)),ROW()-3)),"")</f>
        <v/>
      </c>
    </row>
    <row r="30" spans="1:52" ht="19.5" customHeight="1">
      <c r="A30" s="3099"/>
      <c r="B30" s="3101"/>
      <c r="C30" s="3101"/>
      <c r="D30" s="3087"/>
      <c r="E30" s="3089"/>
      <c r="F30" s="3091"/>
      <c r="G30" s="3095"/>
      <c r="H30" s="3096"/>
      <c r="I30" s="3097"/>
      <c r="R30" s="2195">
        <f>Pfl_Schutz!E30</f>
        <v>0</v>
      </c>
      <c r="S30" s="2202">
        <f>COUNTIF($R$4:PFL_Schutz_Drop_Down56[[#This Row],[Produktname]],PFL_Schutz_Drop_Down56[[#This Row],[Produktname]])</f>
        <v>27</v>
      </c>
      <c r="T30" s="2203" t="str">
        <f>IFERROR(INDEX(R:R,_xlfn.AGGREGATE(15,6,ROW(PFL_Schutz_Drop_Down56[Produktname])/(PFL_Schutz_Drop_Down56[Auftretend]=1),ROW()-3)),"")</f>
        <v/>
      </c>
      <c r="U30" s="2198" t="str">
        <f>IF(COUNTIF($A$17:$A$76,PFL_Schutz_Drop_Down56[[#This Row],[Produktname eindeutig]])&gt;=1,"",ROW())</f>
        <v/>
      </c>
      <c r="V30" s="2198" t="str">
        <f t="shared" si="0"/>
        <v/>
      </c>
      <c r="W30" s="2199" t="str">
        <f>IFERROR(INDEX(PFL_Schutz_Drop_Down56[noch nicht gewählt],_xlfn.AGGREGATE(15,6,ROW(PFL_Schutz_Drop_Down56[noch nicht gewählt])-3/(--(SEARCH($A$17,PFL_Schutz_Drop_Down56[noch nicht gewählt])&gt;0)),ROW()-3)),"")</f>
        <v/>
      </c>
      <c r="X30" s="2175" t="str">
        <f>IFERROR(INDEX(PFL_Schutz_Drop_Down56[noch nicht gewählt],_xlfn.AGGREGATE(15,6,ROW(PFL_Schutz_Drop_Down56[noch nicht gewählt])-3/(--(SEARCH($A$19,PFL_Schutz_Drop_Down56[noch nicht gewählt])&gt;0)),ROW()-3)),"")</f>
        <v/>
      </c>
      <c r="Y30" s="2175" t="str">
        <f>IFERROR(INDEX(PFL_Schutz_Drop_Down56[noch nicht gewählt],_xlfn.AGGREGATE(15,6,ROW(PFL_Schutz_Drop_Down56[noch nicht gewählt])-3/(--(SEARCH($A$21,PFL_Schutz_Drop_Down56[noch nicht gewählt])&gt;0)),ROW()-3)),"")</f>
        <v/>
      </c>
      <c r="Z30" s="2200" t="str">
        <f>IFERROR(INDEX(PFL_Schutz_Drop_Down56[noch nicht gewählt],_xlfn.AGGREGATE(15,6,ROW(PFL_Schutz_Drop_Down56[noch nicht gewählt])-3/(--(SEARCH($A$23,PFL_Schutz_Drop_Down56[noch nicht gewählt])&gt;0)),ROW()-3)),"")</f>
        <v/>
      </c>
      <c r="AA30" s="2200" t="str">
        <f>IFERROR(INDEX(PFL_Schutz_Drop_Down56[noch nicht gewählt],_xlfn.AGGREGATE(15,6,ROW(PFL_Schutz_Drop_Down56[noch nicht gewählt])-3/(--(SEARCH($A$25,PFL_Schutz_Drop_Down56[noch nicht gewählt])&gt;0)),ROW()-3)),"")</f>
        <v/>
      </c>
      <c r="AB30" s="2200" t="str">
        <f>IFERROR(INDEX(PFL_Schutz_Drop_Down56[noch nicht gewählt],_xlfn.AGGREGATE(15,6,ROW(PFL_Schutz_Drop_Down56[noch nicht gewählt])-3/(--(SEARCH($A$27,PFL_Schutz_Drop_Down56[noch nicht gewählt])&gt;0)),ROW()-3)),"")</f>
        <v/>
      </c>
      <c r="AC30" s="2200" t="str">
        <f>IFERROR(INDEX(PFL_Schutz_Drop_Down56[noch nicht gewählt],_xlfn.AGGREGATE(15,6,ROW(PFL_Schutz_Drop_Down56[noch nicht gewählt])-3/(--(SEARCH($A$29,PFL_Schutz_Drop_Down56[noch nicht gewählt])&gt;0)),ROW()-3)),"")</f>
        <v/>
      </c>
      <c r="AD30" s="2200" t="str">
        <f>IFERROR(INDEX(PFL_Schutz_Drop_Down56[noch nicht gewählt],_xlfn.AGGREGATE(15,6,ROW(PFL_Schutz_Drop_Down56[noch nicht gewählt])-3/(--(SEARCH($A$31,PFL_Schutz_Drop_Down56[noch nicht gewählt])&gt;0)),ROW()-3)),"")</f>
        <v/>
      </c>
      <c r="AE30" s="2200" t="str">
        <f>IFERROR(INDEX(PFL_Schutz_Drop_Down56[noch nicht gewählt],_xlfn.AGGREGATE(15,6,ROW(PFL_Schutz_Drop_Down56[noch nicht gewählt])-3/(--(SEARCH($A$33,PFL_Schutz_Drop_Down56[noch nicht gewählt])&gt;0)),ROW()-3)),"")</f>
        <v/>
      </c>
      <c r="AF30" s="2200" t="str">
        <f>IFERROR(INDEX(PFL_Schutz_Drop_Down56[noch nicht gewählt],_xlfn.AGGREGATE(15,6,ROW(PFL_Schutz_Drop_Down56[noch nicht gewählt])-3/(--(SEARCH($A$35,PFL_Schutz_Drop_Down56[noch nicht gewählt])&gt;0)),ROW()-3)),"")</f>
        <v/>
      </c>
      <c r="AG30" s="2200" t="str">
        <f>IFERROR(INDEX(PFL_Schutz_Drop_Down56[noch nicht gewählt],_xlfn.AGGREGATE(15,6,ROW(PFL_Schutz_Drop_Down56[noch nicht gewählt])-3/(--(SEARCH($A$37,PFL_Schutz_Drop_Down56[noch nicht gewählt])&gt;0)),ROW()-3)),"")</f>
        <v/>
      </c>
      <c r="AH30" s="2200" t="str">
        <f>IFERROR(INDEX(PFL_Schutz_Drop_Down56[noch nicht gewählt],_xlfn.AGGREGATE(15,6,ROW(PFL_Schutz_Drop_Down56[noch nicht gewählt])-3/(--(SEARCH($A$39,PFL_Schutz_Drop_Down56[noch nicht gewählt])&gt;0)),ROW()-3)),"")</f>
        <v/>
      </c>
      <c r="AI30" s="2200" t="str">
        <f>IFERROR(INDEX(PFL_Schutz_Drop_Down56[noch nicht gewählt],_xlfn.AGGREGATE(15,6,ROW(PFL_Schutz_Drop_Down56[noch nicht gewählt])-3/(--(SEARCH($A$41,PFL_Schutz_Drop_Down56[noch nicht gewählt])&gt;0)),ROW()-3)),"")</f>
        <v/>
      </c>
      <c r="AJ30" s="2200" t="str">
        <f>IFERROR(INDEX(PFL_Schutz_Drop_Down56[noch nicht gewählt],_xlfn.AGGREGATE(15,6,ROW(PFL_Schutz_Drop_Down56[noch nicht gewählt])-3/(--(SEARCH($A$43,PFL_Schutz_Drop_Down56[noch nicht gewählt])&gt;0)),ROW()-3)),"")</f>
        <v/>
      </c>
      <c r="AK30" s="2200" t="str">
        <f>IFERROR(INDEX(PFL_Schutz_Drop_Down56[noch nicht gewählt],_xlfn.AGGREGATE(15,6,ROW(PFL_Schutz_Drop_Down56[noch nicht gewählt])-3/(--(SEARCH($A$45,PFL_Schutz_Drop_Down56[noch nicht gewählt])&gt;0)),ROW()-3)),"")</f>
        <v/>
      </c>
      <c r="AL30" s="2200" t="str">
        <f>IFERROR(INDEX(PFL_Schutz_Drop_Down56[noch nicht gewählt],_xlfn.AGGREGATE(15,6,ROW(PFL_Schutz_Drop_Down56[noch nicht gewählt])-3/(--(SEARCH($A$47,PFL_Schutz_Drop_Down56[noch nicht gewählt])&gt;0)),ROW()-3)),"")</f>
        <v/>
      </c>
      <c r="AM30" s="2200" t="str">
        <f>IFERROR(INDEX(PFL_Schutz_Drop_Down56[noch nicht gewählt],_xlfn.AGGREGATE(15,6,ROW(PFL_Schutz_Drop_Down56[noch nicht gewählt])-3/(--(SEARCH($A$49,PFL_Schutz_Drop_Down56[noch nicht gewählt])&gt;0)),ROW()-3)),"")</f>
        <v/>
      </c>
      <c r="AN30" s="2200" t="str">
        <f>IFERROR(INDEX(PFL_Schutz_Drop_Down56[noch nicht gewählt],_xlfn.AGGREGATE(15,6,ROW(PFL_Schutz_Drop_Down56[noch nicht gewählt])-3/(--(SEARCH($A$51,PFL_Schutz_Drop_Down56[noch nicht gewählt])&gt;0)),ROW()-3)),"")</f>
        <v/>
      </c>
      <c r="AO30" s="2200" t="str">
        <f>IFERROR(INDEX(PFL_Schutz_Drop_Down56[noch nicht gewählt],_xlfn.AGGREGATE(15,6,ROW(PFL_Schutz_Drop_Down56[noch nicht gewählt])-3/(--(SEARCH($A$53,PFL_Schutz_Drop_Down56[noch nicht gewählt])&gt;0)),ROW()-3)),"")</f>
        <v/>
      </c>
      <c r="AP30" s="2200" t="str">
        <f>IFERROR(INDEX(PFL_Schutz_Drop_Down56[noch nicht gewählt],_xlfn.AGGREGATE(15,6,ROW(PFL_Schutz_Drop_Down56[noch nicht gewählt])-3/(--(SEARCH($A$55,PFL_Schutz_Drop_Down56[noch nicht gewählt])&gt;0)),ROW()-3)),"")</f>
        <v/>
      </c>
      <c r="AQ30" s="2200" t="str">
        <f>IFERROR(INDEX(PFL_Schutz_Drop_Down56[noch nicht gewählt],_xlfn.AGGREGATE(15,6,ROW(PFL_Schutz_Drop_Down56[noch nicht gewählt])-3/(--(SEARCH($A$57,PFL_Schutz_Drop_Down56[noch nicht gewählt])&gt;0)),ROW()-3)),"")</f>
        <v/>
      </c>
      <c r="AR30" s="2200" t="str">
        <f>IFERROR(INDEX(PFL_Schutz_Drop_Down56[noch nicht gewählt],_xlfn.AGGREGATE(15,6,ROW(PFL_Schutz_Drop_Down56[noch nicht gewählt])-3/(--(SEARCH($A$59,PFL_Schutz_Drop_Down56[noch nicht gewählt])&gt;0)),ROW()-3)),"")</f>
        <v/>
      </c>
      <c r="AS30" s="2200" t="str">
        <f>IFERROR(INDEX(PFL_Schutz_Drop_Down56[noch nicht gewählt],_xlfn.AGGREGATE(15,6,ROW(PFL_Schutz_Drop_Down56[noch nicht gewählt])-3/(--(SEARCH($A$61,PFL_Schutz_Drop_Down56[noch nicht gewählt])&gt;0)),ROW()-3)),"")</f>
        <v/>
      </c>
      <c r="AT30" s="2200" t="str">
        <f>IFERROR(INDEX(PFL_Schutz_Drop_Down56[noch nicht gewählt],_xlfn.AGGREGATE(15,6,ROW(PFL_Schutz_Drop_Down56[noch nicht gewählt])-3/(--(SEARCH($A$63,PFL_Schutz_Drop_Down56[noch nicht gewählt])&gt;0)),ROW()-3)),"")</f>
        <v/>
      </c>
      <c r="AU30" s="2200" t="str">
        <f>IFERROR(INDEX(PFL_Schutz_Drop_Down56[noch nicht gewählt],_xlfn.AGGREGATE(15,6,ROW(PFL_Schutz_Drop_Down56[noch nicht gewählt])-3/(--(SEARCH($A$65,PFL_Schutz_Drop_Down56[noch nicht gewählt])&gt;0)),ROW()-3)),"")</f>
        <v/>
      </c>
      <c r="AV30" s="2200" t="str">
        <f>IFERROR(INDEX(PFL_Schutz_Drop_Down56[noch nicht gewählt],_xlfn.AGGREGATE(15,6,ROW(PFL_Schutz_Drop_Down56[noch nicht gewählt])-3/(--(SEARCH($A$67,PFL_Schutz_Drop_Down56[noch nicht gewählt])&gt;0)),ROW()-3)),"")</f>
        <v/>
      </c>
      <c r="AW30" s="2200" t="str">
        <f>IFERROR(INDEX(PFL_Schutz_Drop_Down56[noch nicht gewählt],_xlfn.AGGREGATE(15,6,ROW(PFL_Schutz_Drop_Down56[noch nicht gewählt])-3/(--(SEARCH($A$69,PFL_Schutz_Drop_Down56[noch nicht gewählt])&gt;0)),ROW()-3)),"")</f>
        <v/>
      </c>
      <c r="AX30" s="2200" t="str">
        <f>IFERROR(INDEX(PFL_Schutz_Drop_Down56[noch nicht gewählt],_xlfn.AGGREGATE(15,6,ROW(PFL_Schutz_Drop_Down56[noch nicht gewählt])-3/(--(SEARCH($A$71,PFL_Schutz_Drop_Down56[noch nicht gewählt])&gt;0)),ROW()-3)),"")</f>
        <v/>
      </c>
      <c r="AY30" s="2200" t="str">
        <f>IFERROR(INDEX(PFL_Schutz_Drop_Down56[noch nicht gewählt],_xlfn.AGGREGATE(15,6,ROW(PFL_Schutz_Drop_Down56[noch nicht gewählt])-3/(--(SEARCH($A$73,PFL_Schutz_Drop_Down56[noch nicht gewählt])&gt;0)),ROW()-3)),"")</f>
        <v/>
      </c>
      <c r="AZ30" s="2201" t="str">
        <f>IFERROR(INDEX(PFL_Schutz_Drop_Down56[noch nicht gewählt],_xlfn.AGGREGATE(15,6,ROW(PFL_Schutz_Drop_Down56[noch nicht gewählt])-3/(--(SEARCH($A$75,PFL_Schutz_Drop_Down56[noch nicht gewählt])&gt;0)),ROW()-3)),"")</f>
        <v/>
      </c>
    </row>
    <row r="31" spans="1:52" ht="19.5" customHeight="1">
      <c r="A31" s="3098"/>
      <c r="B31" s="3100"/>
      <c r="C31" s="3100"/>
      <c r="D31" s="3087">
        <f>SUMIF(Pfl_Schutz!$E$4:$E$77,A31,Pfl_Schutz!$H$4:$H$77)</f>
        <v>0</v>
      </c>
      <c r="E31" s="3089" t="str">
        <f t="shared" ref="E31" si="13">IF(SUM(B31:C32)=0,"",IF(F31&lt;0,"negativer Lagerstand nicht möglich - überprüfen Sie die Eingabewerte auf Vollständigkeit",IF(F31=0,"Produkt aufgebraucht, Lagerstand 0",F31)))</f>
        <v/>
      </c>
      <c r="F31" s="3091">
        <f t="shared" ref="F31" si="14">IF(SUM(B31:C32)&gt;0,IF(ISBLANK(A31),"",B31+C31-D31),0)</f>
        <v>0</v>
      </c>
      <c r="G31" s="3095"/>
      <c r="H31" s="3096"/>
      <c r="I31" s="3097"/>
      <c r="R31" s="2195">
        <f>Pfl_Schutz!E31</f>
        <v>0</v>
      </c>
      <c r="S31" s="2202">
        <f>COUNTIF($R$4:PFL_Schutz_Drop_Down56[[#This Row],[Produktname]],PFL_Schutz_Drop_Down56[[#This Row],[Produktname]])</f>
        <v>28</v>
      </c>
      <c r="T31" s="2203" t="str">
        <f>IFERROR(INDEX(R:R,_xlfn.AGGREGATE(15,6,ROW(PFL_Schutz_Drop_Down56[Produktname])/(PFL_Schutz_Drop_Down56[Auftretend]=1),ROW()-3)),"")</f>
        <v/>
      </c>
      <c r="U31" s="2198" t="str">
        <f>IF(COUNTIF($A$17:$A$76,PFL_Schutz_Drop_Down56[[#This Row],[Produktname eindeutig]])&gt;=1,"",ROW())</f>
        <v/>
      </c>
      <c r="V31" s="2198" t="str">
        <f t="shared" si="0"/>
        <v/>
      </c>
      <c r="W31" s="2199" t="str">
        <f>IFERROR(INDEX(PFL_Schutz_Drop_Down56[noch nicht gewählt],_xlfn.AGGREGATE(15,6,ROW(PFL_Schutz_Drop_Down56[noch nicht gewählt])-3/(--(SEARCH($A$17,PFL_Schutz_Drop_Down56[noch nicht gewählt])&gt;0)),ROW()-3)),"")</f>
        <v/>
      </c>
      <c r="X31" s="2175" t="str">
        <f>IFERROR(INDEX(PFL_Schutz_Drop_Down56[noch nicht gewählt],_xlfn.AGGREGATE(15,6,ROW(PFL_Schutz_Drop_Down56[noch nicht gewählt])-3/(--(SEARCH($A$19,PFL_Schutz_Drop_Down56[noch nicht gewählt])&gt;0)),ROW()-3)),"")</f>
        <v/>
      </c>
      <c r="Y31" s="2175" t="str">
        <f>IFERROR(INDEX(PFL_Schutz_Drop_Down56[noch nicht gewählt],_xlfn.AGGREGATE(15,6,ROW(PFL_Schutz_Drop_Down56[noch nicht gewählt])-3/(--(SEARCH($A$21,PFL_Schutz_Drop_Down56[noch nicht gewählt])&gt;0)),ROW()-3)),"")</f>
        <v/>
      </c>
      <c r="Z31" s="2200" t="str">
        <f>IFERROR(INDEX(PFL_Schutz_Drop_Down56[noch nicht gewählt],_xlfn.AGGREGATE(15,6,ROW(PFL_Schutz_Drop_Down56[noch nicht gewählt])-3/(--(SEARCH($A$23,PFL_Schutz_Drop_Down56[noch nicht gewählt])&gt;0)),ROW()-3)),"")</f>
        <v/>
      </c>
      <c r="AA31" s="2200" t="str">
        <f>IFERROR(INDEX(PFL_Schutz_Drop_Down56[noch nicht gewählt],_xlfn.AGGREGATE(15,6,ROW(PFL_Schutz_Drop_Down56[noch nicht gewählt])-3/(--(SEARCH($A$25,PFL_Schutz_Drop_Down56[noch nicht gewählt])&gt;0)),ROW()-3)),"")</f>
        <v/>
      </c>
      <c r="AB31" s="2200" t="str">
        <f>IFERROR(INDEX(PFL_Schutz_Drop_Down56[noch nicht gewählt],_xlfn.AGGREGATE(15,6,ROW(PFL_Schutz_Drop_Down56[noch nicht gewählt])-3/(--(SEARCH($A$27,PFL_Schutz_Drop_Down56[noch nicht gewählt])&gt;0)),ROW()-3)),"")</f>
        <v/>
      </c>
      <c r="AC31" s="2200" t="str">
        <f>IFERROR(INDEX(PFL_Schutz_Drop_Down56[noch nicht gewählt],_xlfn.AGGREGATE(15,6,ROW(PFL_Schutz_Drop_Down56[noch nicht gewählt])-3/(--(SEARCH($A$29,PFL_Schutz_Drop_Down56[noch nicht gewählt])&gt;0)),ROW()-3)),"")</f>
        <v/>
      </c>
      <c r="AD31" s="2200" t="str">
        <f>IFERROR(INDEX(PFL_Schutz_Drop_Down56[noch nicht gewählt],_xlfn.AGGREGATE(15,6,ROW(PFL_Schutz_Drop_Down56[noch nicht gewählt])-3/(--(SEARCH($A$31,PFL_Schutz_Drop_Down56[noch nicht gewählt])&gt;0)),ROW()-3)),"")</f>
        <v/>
      </c>
      <c r="AE31" s="2200" t="str">
        <f>IFERROR(INDEX(PFL_Schutz_Drop_Down56[noch nicht gewählt],_xlfn.AGGREGATE(15,6,ROW(PFL_Schutz_Drop_Down56[noch nicht gewählt])-3/(--(SEARCH($A$33,PFL_Schutz_Drop_Down56[noch nicht gewählt])&gt;0)),ROW()-3)),"")</f>
        <v/>
      </c>
      <c r="AF31" s="2200" t="str">
        <f>IFERROR(INDEX(PFL_Schutz_Drop_Down56[noch nicht gewählt],_xlfn.AGGREGATE(15,6,ROW(PFL_Schutz_Drop_Down56[noch nicht gewählt])-3/(--(SEARCH($A$35,PFL_Schutz_Drop_Down56[noch nicht gewählt])&gt;0)),ROW()-3)),"")</f>
        <v/>
      </c>
      <c r="AG31" s="2200" t="str">
        <f>IFERROR(INDEX(PFL_Schutz_Drop_Down56[noch nicht gewählt],_xlfn.AGGREGATE(15,6,ROW(PFL_Schutz_Drop_Down56[noch nicht gewählt])-3/(--(SEARCH($A$37,PFL_Schutz_Drop_Down56[noch nicht gewählt])&gt;0)),ROW()-3)),"")</f>
        <v/>
      </c>
      <c r="AH31" s="2200" t="str">
        <f>IFERROR(INDEX(PFL_Schutz_Drop_Down56[noch nicht gewählt],_xlfn.AGGREGATE(15,6,ROW(PFL_Schutz_Drop_Down56[noch nicht gewählt])-3/(--(SEARCH($A$39,PFL_Schutz_Drop_Down56[noch nicht gewählt])&gt;0)),ROW()-3)),"")</f>
        <v/>
      </c>
      <c r="AI31" s="2200" t="str">
        <f>IFERROR(INDEX(PFL_Schutz_Drop_Down56[noch nicht gewählt],_xlfn.AGGREGATE(15,6,ROW(PFL_Schutz_Drop_Down56[noch nicht gewählt])-3/(--(SEARCH($A$41,PFL_Schutz_Drop_Down56[noch nicht gewählt])&gt;0)),ROW()-3)),"")</f>
        <v/>
      </c>
      <c r="AJ31" s="2200" t="str">
        <f>IFERROR(INDEX(PFL_Schutz_Drop_Down56[noch nicht gewählt],_xlfn.AGGREGATE(15,6,ROW(PFL_Schutz_Drop_Down56[noch nicht gewählt])-3/(--(SEARCH($A$43,PFL_Schutz_Drop_Down56[noch nicht gewählt])&gt;0)),ROW()-3)),"")</f>
        <v/>
      </c>
      <c r="AK31" s="2200" t="str">
        <f>IFERROR(INDEX(PFL_Schutz_Drop_Down56[noch nicht gewählt],_xlfn.AGGREGATE(15,6,ROW(PFL_Schutz_Drop_Down56[noch nicht gewählt])-3/(--(SEARCH($A$45,PFL_Schutz_Drop_Down56[noch nicht gewählt])&gt;0)),ROW()-3)),"")</f>
        <v/>
      </c>
      <c r="AL31" s="2200" t="str">
        <f>IFERROR(INDEX(PFL_Schutz_Drop_Down56[noch nicht gewählt],_xlfn.AGGREGATE(15,6,ROW(PFL_Schutz_Drop_Down56[noch nicht gewählt])-3/(--(SEARCH($A$47,PFL_Schutz_Drop_Down56[noch nicht gewählt])&gt;0)),ROW()-3)),"")</f>
        <v/>
      </c>
      <c r="AM31" s="2200" t="str">
        <f>IFERROR(INDEX(PFL_Schutz_Drop_Down56[noch nicht gewählt],_xlfn.AGGREGATE(15,6,ROW(PFL_Schutz_Drop_Down56[noch nicht gewählt])-3/(--(SEARCH($A$49,PFL_Schutz_Drop_Down56[noch nicht gewählt])&gt;0)),ROW()-3)),"")</f>
        <v/>
      </c>
      <c r="AN31" s="2200" t="str">
        <f>IFERROR(INDEX(PFL_Schutz_Drop_Down56[noch nicht gewählt],_xlfn.AGGREGATE(15,6,ROW(PFL_Schutz_Drop_Down56[noch nicht gewählt])-3/(--(SEARCH($A$51,PFL_Schutz_Drop_Down56[noch nicht gewählt])&gt;0)),ROW()-3)),"")</f>
        <v/>
      </c>
      <c r="AO31" s="2200" t="str">
        <f>IFERROR(INDEX(PFL_Schutz_Drop_Down56[noch nicht gewählt],_xlfn.AGGREGATE(15,6,ROW(PFL_Schutz_Drop_Down56[noch nicht gewählt])-3/(--(SEARCH($A$53,PFL_Schutz_Drop_Down56[noch nicht gewählt])&gt;0)),ROW()-3)),"")</f>
        <v/>
      </c>
      <c r="AP31" s="2200" t="str">
        <f>IFERROR(INDEX(PFL_Schutz_Drop_Down56[noch nicht gewählt],_xlfn.AGGREGATE(15,6,ROW(PFL_Schutz_Drop_Down56[noch nicht gewählt])-3/(--(SEARCH($A$55,PFL_Schutz_Drop_Down56[noch nicht gewählt])&gt;0)),ROW()-3)),"")</f>
        <v/>
      </c>
      <c r="AQ31" s="2200" t="str">
        <f>IFERROR(INDEX(PFL_Schutz_Drop_Down56[noch nicht gewählt],_xlfn.AGGREGATE(15,6,ROW(PFL_Schutz_Drop_Down56[noch nicht gewählt])-3/(--(SEARCH($A$57,PFL_Schutz_Drop_Down56[noch nicht gewählt])&gt;0)),ROW()-3)),"")</f>
        <v/>
      </c>
      <c r="AR31" s="2200" t="str">
        <f>IFERROR(INDEX(PFL_Schutz_Drop_Down56[noch nicht gewählt],_xlfn.AGGREGATE(15,6,ROW(PFL_Schutz_Drop_Down56[noch nicht gewählt])-3/(--(SEARCH($A$59,PFL_Schutz_Drop_Down56[noch nicht gewählt])&gt;0)),ROW()-3)),"")</f>
        <v/>
      </c>
      <c r="AS31" s="2200" t="str">
        <f>IFERROR(INDEX(PFL_Schutz_Drop_Down56[noch nicht gewählt],_xlfn.AGGREGATE(15,6,ROW(PFL_Schutz_Drop_Down56[noch nicht gewählt])-3/(--(SEARCH($A$61,PFL_Schutz_Drop_Down56[noch nicht gewählt])&gt;0)),ROW()-3)),"")</f>
        <v/>
      </c>
      <c r="AT31" s="2200" t="str">
        <f>IFERROR(INDEX(PFL_Schutz_Drop_Down56[noch nicht gewählt],_xlfn.AGGREGATE(15,6,ROW(PFL_Schutz_Drop_Down56[noch nicht gewählt])-3/(--(SEARCH($A$63,PFL_Schutz_Drop_Down56[noch nicht gewählt])&gt;0)),ROW()-3)),"")</f>
        <v/>
      </c>
      <c r="AU31" s="2200" t="str">
        <f>IFERROR(INDEX(PFL_Schutz_Drop_Down56[noch nicht gewählt],_xlfn.AGGREGATE(15,6,ROW(PFL_Schutz_Drop_Down56[noch nicht gewählt])-3/(--(SEARCH($A$65,PFL_Schutz_Drop_Down56[noch nicht gewählt])&gt;0)),ROW()-3)),"")</f>
        <v/>
      </c>
      <c r="AV31" s="2200" t="str">
        <f>IFERROR(INDEX(PFL_Schutz_Drop_Down56[noch nicht gewählt],_xlfn.AGGREGATE(15,6,ROW(PFL_Schutz_Drop_Down56[noch nicht gewählt])-3/(--(SEARCH($A$67,PFL_Schutz_Drop_Down56[noch nicht gewählt])&gt;0)),ROW()-3)),"")</f>
        <v/>
      </c>
      <c r="AW31" s="2200" t="str">
        <f>IFERROR(INDEX(PFL_Schutz_Drop_Down56[noch nicht gewählt],_xlfn.AGGREGATE(15,6,ROW(PFL_Schutz_Drop_Down56[noch nicht gewählt])-3/(--(SEARCH($A$69,PFL_Schutz_Drop_Down56[noch nicht gewählt])&gt;0)),ROW()-3)),"")</f>
        <v/>
      </c>
      <c r="AX31" s="2200" t="str">
        <f>IFERROR(INDEX(PFL_Schutz_Drop_Down56[noch nicht gewählt],_xlfn.AGGREGATE(15,6,ROW(PFL_Schutz_Drop_Down56[noch nicht gewählt])-3/(--(SEARCH($A$71,PFL_Schutz_Drop_Down56[noch nicht gewählt])&gt;0)),ROW()-3)),"")</f>
        <v/>
      </c>
      <c r="AY31" s="2200" t="str">
        <f>IFERROR(INDEX(PFL_Schutz_Drop_Down56[noch nicht gewählt],_xlfn.AGGREGATE(15,6,ROW(PFL_Schutz_Drop_Down56[noch nicht gewählt])-3/(--(SEARCH($A$73,PFL_Schutz_Drop_Down56[noch nicht gewählt])&gt;0)),ROW()-3)),"")</f>
        <v/>
      </c>
      <c r="AZ31" s="2201" t="str">
        <f>IFERROR(INDEX(PFL_Schutz_Drop_Down56[noch nicht gewählt],_xlfn.AGGREGATE(15,6,ROW(PFL_Schutz_Drop_Down56[noch nicht gewählt])-3/(--(SEARCH($A$75,PFL_Schutz_Drop_Down56[noch nicht gewählt])&gt;0)),ROW()-3)),"")</f>
        <v/>
      </c>
    </row>
    <row r="32" spans="1:52" ht="19.5" customHeight="1">
      <c r="A32" s="3099"/>
      <c r="B32" s="3101"/>
      <c r="C32" s="3101"/>
      <c r="D32" s="3087"/>
      <c r="E32" s="3089"/>
      <c r="F32" s="3091"/>
      <c r="G32" s="3095"/>
      <c r="H32" s="3096"/>
      <c r="I32" s="3097"/>
      <c r="R32" s="2195">
        <f>Pfl_Schutz!E32</f>
        <v>0</v>
      </c>
      <c r="S32" s="2202">
        <f>COUNTIF($R$4:PFL_Schutz_Drop_Down56[[#This Row],[Produktname]],PFL_Schutz_Drop_Down56[[#This Row],[Produktname]])</f>
        <v>29</v>
      </c>
      <c r="T32" s="2203" t="str">
        <f>IFERROR(INDEX(R:R,_xlfn.AGGREGATE(15,6,ROW(PFL_Schutz_Drop_Down56[Produktname])/(PFL_Schutz_Drop_Down56[Auftretend]=1),ROW()-3)),"")</f>
        <v/>
      </c>
      <c r="U32" s="2198" t="str">
        <f>IF(COUNTIF($A$17:$A$76,PFL_Schutz_Drop_Down56[[#This Row],[Produktname eindeutig]])&gt;=1,"",ROW())</f>
        <v/>
      </c>
      <c r="V32" s="2198" t="str">
        <f t="shared" si="0"/>
        <v/>
      </c>
      <c r="W32" s="2199" t="str">
        <f>IFERROR(INDEX(PFL_Schutz_Drop_Down56[noch nicht gewählt],_xlfn.AGGREGATE(15,6,ROW(PFL_Schutz_Drop_Down56[noch nicht gewählt])-3/(--(SEARCH($A$17,PFL_Schutz_Drop_Down56[noch nicht gewählt])&gt;0)),ROW()-3)),"")</f>
        <v/>
      </c>
      <c r="X32" s="2175" t="str">
        <f>IFERROR(INDEX(PFL_Schutz_Drop_Down56[noch nicht gewählt],_xlfn.AGGREGATE(15,6,ROW(PFL_Schutz_Drop_Down56[noch nicht gewählt])-3/(--(SEARCH($A$19,PFL_Schutz_Drop_Down56[noch nicht gewählt])&gt;0)),ROW()-3)),"")</f>
        <v/>
      </c>
      <c r="Y32" s="2175" t="str">
        <f>IFERROR(INDEX(PFL_Schutz_Drop_Down56[noch nicht gewählt],_xlfn.AGGREGATE(15,6,ROW(PFL_Schutz_Drop_Down56[noch nicht gewählt])-3/(--(SEARCH($A$21,PFL_Schutz_Drop_Down56[noch nicht gewählt])&gt;0)),ROW()-3)),"")</f>
        <v/>
      </c>
      <c r="Z32" s="2200" t="str">
        <f>IFERROR(INDEX(PFL_Schutz_Drop_Down56[noch nicht gewählt],_xlfn.AGGREGATE(15,6,ROW(PFL_Schutz_Drop_Down56[noch nicht gewählt])-3/(--(SEARCH($A$23,PFL_Schutz_Drop_Down56[noch nicht gewählt])&gt;0)),ROW()-3)),"")</f>
        <v/>
      </c>
      <c r="AA32" s="2200" t="str">
        <f>IFERROR(INDEX(PFL_Schutz_Drop_Down56[noch nicht gewählt],_xlfn.AGGREGATE(15,6,ROW(PFL_Schutz_Drop_Down56[noch nicht gewählt])-3/(--(SEARCH($A$25,PFL_Schutz_Drop_Down56[noch nicht gewählt])&gt;0)),ROW()-3)),"")</f>
        <v/>
      </c>
      <c r="AB32" s="2200" t="str">
        <f>IFERROR(INDEX(PFL_Schutz_Drop_Down56[noch nicht gewählt],_xlfn.AGGREGATE(15,6,ROW(PFL_Schutz_Drop_Down56[noch nicht gewählt])-3/(--(SEARCH($A$27,PFL_Schutz_Drop_Down56[noch nicht gewählt])&gt;0)),ROW()-3)),"")</f>
        <v/>
      </c>
      <c r="AC32" s="2200" t="str">
        <f>IFERROR(INDEX(PFL_Schutz_Drop_Down56[noch nicht gewählt],_xlfn.AGGREGATE(15,6,ROW(PFL_Schutz_Drop_Down56[noch nicht gewählt])-3/(--(SEARCH($A$29,PFL_Schutz_Drop_Down56[noch nicht gewählt])&gt;0)),ROW()-3)),"")</f>
        <v/>
      </c>
      <c r="AD32" s="2200" t="str">
        <f>IFERROR(INDEX(PFL_Schutz_Drop_Down56[noch nicht gewählt],_xlfn.AGGREGATE(15,6,ROW(PFL_Schutz_Drop_Down56[noch nicht gewählt])-3/(--(SEARCH($A$31,PFL_Schutz_Drop_Down56[noch nicht gewählt])&gt;0)),ROW()-3)),"")</f>
        <v/>
      </c>
      <c r="AE32" s="2200" t="str">
        <f>IFERROR(INDEX(PFL_Schutz_Drop_Down56[noch nicht gewählt],_xlfn.AGGREGATE(15,6,ROW(PFL_Schutz_Drop_Down56[noch nicht gewählt])-3/(--(SEARCH($A$33,PFL_Schutz_Drop_Down56[noch nicht gewählt])&gt;0)),ROW()-3)),"")</f>
        <v/>
      </c>
      <c r="AF32" s="2200" t="str">
        <f>IFERROR(INDEX(PFL_Schutz_Drop_Down56[noch nicht gewählt],_xlfn.AGGREGATE(15,6,ROW(PFL_Schutz_Drop_Down56[noch nicht gewählt])-3/(--(SEARCH($A$35,PFL_Schutz_Drop_Down56[noch nicht gewählt])&gt;0)),ROW()-3)),"")</f>
        <v/>
      </c>
      <c r="AG32" s="2200" t="str">
        <f>IFERROR(INDEX(PFL_Schutz_Drop_Down56[noch nicht gewählt],_xlfn.AGGREGATE(15,6,ROW(PFL_Schutz_Drop_Down56[noch nicht gewählt])-3/(--(SEARCH($A$37,PFL_Schutz_Drop_Down56[noch nicht gewählt])&gt;0)),ROW()-3)),"")</f>
        <v/>
      </c>
      <c r="AH32" s="2200" t="str">
        <f>IFERROR(INDEX(PFL_Schutz_Drop_Down56[noch nicht gewählt],_xlfn.AGGREGATE(15,6,ROW(PFL_Schutz_Drop_Down56[noch nicht gewählt])-3/(--(SEARCH($A$39,PFL_Schutz_Drop_Down56[noch nicht gewählt])&gt;0)),ROW()-3)),"")</f>
        <v/>
      </c>
      <c r="AI32" s="2200" t="str">
        <f>IFERROR(INDEX(PFL_Schutz_Drop_Down56[noch nicht gewählt],_xlfn.AGGREGATE(15,6,ROW(PFL_Schutz_Drop_Down56[noch nicht gewählt])-3/(--(SEARCH($A$41,PFL_Schutz_Drop_Down56[noch nicht gewählt])&gt;0)),ROW()-3)),"")</f>
        <v/>
      </c>
      <c r="AJ32" s="2200" t="str">
        <f>IFERROR(INDEX(PFL_Schutz_Drop_Down56[noch nicht gewählt],_xlfn.AGGREGATE(15,6,ROW(PFL_Schutz_Drop_Down56[noch nicht gewählt])-3/(--(SEARCH($A$43,PFL_Schutz_Drop_Down56[noch nicht gewählt])&gt;0)),ROW()-3)),"")</f>
        <v/>
      </c>
      <c r="AK32" s="2200" t="str">
        <f>IFERROR(INDEX(PFL_Schutz_Drop_Down56[noch nicht gewählt],_xlfn.AGGREGATE(15,6,ROW(PFL_Schutz_Drop_Down56[noch nicht gewählt])-3/(--(SEARCH($A$45,PFL_Schutz_Drop_Down56[noch nicht gewählt])&gt;0)),ROW()-3)),"")</f>
        <v/>
      </c>
      <c r="AL32" s="2200" t="str">
        <f>IFERROR(INDEX(PFL_Schutz_Drop_Down56[noch nicht gewählt],_xlfn.AGGREGATE(15,6,ROW(PFL_Schutz_Drop_Down56[noch nicht gewählt])-3/(--(SEARCH($A$47,PFL_Schutz_Drop_Down56[noch nicht gewählt])&gt;0)),ROW()-3)),"")</f>
        <v/>
      </c>
      <c r="AM32" s="2200" t="str">
        <f>IFERROR(INDEX(PFL_Schutz_Drop_Down56[noch nicht gewählt],_xlfn.AGGREGATE(15,6,ROW(PFL_Schutz_Drop_Down56[noch nicht gewählt])-3/(--(SEARCH($A$49,PFL_Schutz_Drop_Down56[noch nicht gewählt])&gt;0)),ROW()-3)),"")</f>
        <v/>
      </c>
      <c r="AN32" s="2200" t="str">
        <f>IFERROR(INDEX(PFL_Schutz_Drop_Down56[noch nicht gewählt],_xlfn.AGGREGATE(15,6,ROW(PFL_Schutz_Drop_Down56[noch nicht gewählt])-3/(--(SEARCH($A$51,PFL_Schutz_Drop_Down56[noch nicht gewählt])&gt;0)),ROW()-3)),"")</f>
        <v/>
      </c>
      <c r="AO32" s="2200" t="str">
        <f>IFERROR(INDEX(PFL_Schutz_Drop_Down56[noch nicht gewählt],_xlfn.AGGREGATE(15,6,ROW(PFL_Schutz_Drop_Down56[noch nicht gewählt])-3/(--(SEARCH($A$53,PFL_Schutz_Drop_Down56[noch nicht gewählt])&gt;0)),ROW()-3)),"")</f>
        <v/>
      </c>
      <c r="AP32" s="2200" t="str">
        <f>IFERROR(INDEX(PFL_Schutz_Drop_Down56[noch nicht gewählt],_xlfn.AGGREGATE(15,6,ROW(PFL_Schutz_Drop_Down56[noch nicht gewählt])-3/(--(SEARCH($A$55,PFL_Schutz_Drop_Down56[noch nicht gewählt])&gt;0)),ROW()-3)),"")</f>
        <v/>
      </c>
      <c r="AQ32" s="2200" t="str">
        <f>IFERROR(INDEX(PFL_Schutz_Drop_Down56[noch nicht gewählt],_xlfn.AGGREGATE(15,6,ROW(PFL_Schutz_Drop_Down56[noch nicht gewählt])-3/(--(SEARCH($A$57,PFL_Schutz_Drop_Down56[noch nicht gewählt])&gt;0)),ROW()-3)),"")</f>
        <v/>
      </c>
      <c r="AR32" s="2200" t="str">
        <f>IFERROR(INDEX(PFL_Schutz_Drop_Down56[noch nicht gewählt],_xlfn.AGGREGATE(15,6,ROW(PFL_Schutz_Drop_Down56[noch nicht gewählt])-3/(--(SEARCH($A$59,PFL_Schutz_Drop_Down56[noch nicht gewählt])&gt;0)),ROW()-3)),"")</f>
        <v/>
      </c>
      <c r="AS32" s="2200" t="str">
        <f>IFERROR(INDEX(PFL_Schutz_Drop_Down56[noch nicht gewählt],_xlfn.AGGREGATE(15,6,ROW(PFL_Schutz_Drop_Down56[noch nicht gewählt])-3/(--(SEARCH($A$61,PFL_Schutz_Drop_Down56[noch nicht gewählt])&gt;0)),ROW()-3)),"")</f>
        <v/>
      </c>
      <c r="AT32" s="2200" t="str">
        <f>IFERROR(INDEX(PFL_Schutz_Drop_Down56[noch nicht gewählt],_xlfn.AGGREGATE(15,6,ROW(PFL_Schutz_Drop_Down56[noch nicht gewählt])-3/(--(SEARCH($A$63,PFL_Schutz_Drop_Down56[noch nicht gewählt])&gt;0)),ROW()-3)),"")</f>
        <v/>
      </c>
      <c r="AU32" s="2200" t="str">
        <f>IFERROR(INDEX(PFL_Schutz_Drop_Down56[noch nicht gewählt],_xlfn.AGGREGATE(15,6,ROW(PFL_Schutz_Drop_Down56[noch nicht gewählt])-3/(--(SEARCH($A$65,PFL_Schutz_Drop_Down56[noch nicht gewählt])&gt;0)),ROW()-3)),"")</f>
        <v/>
      </c>
      <c r="AV32" s="2200" t="str">
        <f>IFERROR(INDEX(PFL_Schutz_Drop_Down56[noch nicht gewählt],_xlfn.AGGREGATE(15,6,ROW(PFL_Schutz_Drop_Down56[noch nicht gewählt])-3/(--(SEARCH($A$67,PFL_Schutz_Drop_Down56[noch nicht gewählt])&gt;0)),ROW()-3)),"")</f>
        <v/>
      </c>
      <c r="AW32" s="2200" t="str">
        <f>IFERROR(INDEX(PFL_Schutz_Drop_Down56[noch nicht gewählt],_xlfn.AGGREGATE(15,6,ROW(PFL_Schutz_Drop_Down56[noch nicht gewählt])-3/(--(SEARCH($A$69,PFL_Schutz_Drop_Down56[noch nicht gewählt])&gt;0)),ROW()-3)),"")</f>
        <v/>
      </c>
      <c r="AX32" s="2200" t="str">
        <f>IFERROR(INDEX(PFL_Schutz_Drop_Down56[noch nicht gewählt],_xlfn.AGGREGATE(15,6,ROW(PFL_Schutz_Drop_Down56[noch nicht gewählt])-3/(--(SEARCH($A$71,PFL_Schutz_Drop_Down56[noch nicht gewählt])&gt;0)),ROW()-3)),"")</f>
        <v/>
      </c>
      <c r="AY32" s="2200" t="str">
        <f>IFERROR(INDEX(PFL_Schutz_Drop_Down56[noch nicht gewählt],_xlfn.AGGREGATE(15,6,ROW(PFL_Schutz_Drop_Down56[noch nicht gewählt])-3/(--(SEARCH($A$73,PFL_Schutz_Drop_Down56[noch nicht gewählt])&gt;0)),ROW()-3)),"")</f>
        <v/>
      </c>
      <c r="AZ32" s="2201" t="str">
        <f>IFERROR(INDEX(PFL_Schutz_Drop_Down56[noch nicht gewählt],_xlfn.AGGREGATE(15,6,ROW(PFL_Schutz_Drop_Down56[noch nicht gewählt])-3/(--(SEARCH($A$75,PFL_Schutz_Drop_Down56[noch nicht gewählt])&gt;0)),ROW()-3)),"")</f>
        <v/>
      </c>
    </row>
    <row r="33" spans="1:52" ht="19.5" customHeight="1">
      <c r="A33" s="3098"/>
      <c r="B33" s="3100"/>
      <c r="C33" s="3100"/>
      <c r="D33" s="3087">
        <f>SUMIF(Pfl_Schutz!$E$4:$E$77,A33,Pfl_Schutz!$H$4:$H$77)</f>
        <v>0</v>
      </c>
      <c r="E33" s="3089" t="str">
        <f t="shared" ref="E33" si="15">IF(SUM(B33:C34)=0,"",IF(F33&lt;0,"negativer Lagerstand nicht möglich - überprüfen Sie die Eingabewerte auf Vollständigkeit",IF(F33=0,"Produkt aufgebraucht, Lagerstand 0",F33)))</f>
        <v/>
      </c>
      <c r="F33" s="3091">
        <f t="shared" ref="F33" si="16">IF(SUM(B33:C34)&gt;0,IF(ISBLANK(A33),"",B33+C33-D33),0)</f>
        <v>0</v>
      </c>
      <c r="G33" s="3095"/>
      <c r="H33" s="3096"/>
      <c r="I33" s="3097"/>
      <c r="R33" s="2195">
        <f>Pfl_Schutz!E33</f>
        <v>0</v>
      </c>
      <c r="S33" s="2202">
        <f>COUNTIF($R$4:PFL_Schutz_Drop_Down56[[#This Row],[Produktname]],PFL_Schutz_Drop_Down56[[#This Row],[Produktname]])</f>
        <v>30</v>
      </c>
      <c r="T33" s="2203" t="str">
        <f>IFERROR(INDEX(R:R,_xlfn.AGGREGATE(15,6,ROW(PFL_Schutz_Drop_Down56[Produktname])/(PFL_Schutz_Drop_Down56[Auftretend]=1),ROW()-3)),"")</f>
        <v/>
      </c>
      <c r="U33" s="2198" t="str">
        <f>IF(COUNTIF($A$17:$A$76,PFL_Schutz_Drop_Down56[[#This Row],[Produktname eindeutig]])&gt;=1,"",ROW())</f>
        <v/>
      </c>
      <c r="V33" s="2198" t="str">
        <f t="shared" si="0"/>
        <v/>
      </c>
      <c r="W33" s="2199" t="str">
        <f>IFERROR(INDEX(PFL_Schutz_Drop_Down56[noch nicht gewählt],_xlfn.AGGREGATE(15,6,ROW(PFL_Schutz_Drop_Down56[noch nicht gewählt])-3/(--(SEARCH($A$17,PFL_Schutz_Drop_Down56[noch nicht gewählt])&gt;0)),ROW()-3)),"")</f>
        <v/>
      </c>
      <c r="X33" s="2175" t="str">
        <f>IFERROR(INDEX(PFL_Schutz_Drop_Down56[noch nicht gewählt],_xlfn.AGGREGATE(15,6,ROW(PFL_Schutz_Drop_Down56[noch nicht gewählt])-3/(--(SEARCH($A$19,PFL_Schutz_Drop_Down56[noch nicht gewählt])&gt;0)),ROW()-3)),"")</f>
        <v/>
      </c>
      <c r="Y33" s="2175" t="str">
        <f>IFERROR(INDEX(PFL_Schutz_Drop_Down56[noch nicht gewählt],_xlfn.AGGREGATE(15,6,ROW(PFL_Schutz_Drop_Down56[noch nicht gewählt])-3/(--(SEARCH($A$21,PFL_Schutz_Drop_Down56[noch nicht gewählt])&gt;0)),ROW()-3)),"")</f>
        <v/>
      </c>
      <c r="Z33" s="2200" t="str">
        <f>IFERROR(INDEX(PFL_Schutz_Drop_Down56[noch nicht gewählt],_xlfn.AGGREGATE(15,6,ROW(PFL_Schutz_Drop_Down56[noch nicht gewählt])-3/(--(SEARCH($A$23,PFL_Schutz_Drop_Down56[noch nicht gewählt])&gt;0)),ROW()-3)),"")</f>
        <v/>
      </c>
      <c r="AA33" s="2200" t="str">
        <f>IFERROR(INDEX(PFL_Schutz_Drop_Down56[noch nicht gewählt],_xlfn.AGGREGATE(15,6,ROW(PFL_Schutz_Drop_Down56[noch nicht gewählt])-3/(--(SEARCH($A$25,PFL_Schutz_Drop_Down56[noch nicht gewählt])&gt;0)),ROW()-3)),"")</f>
        <v/>
      </c>
      <c r="AB33" s="2200" t="str">
        <f>IFERROR(INDEX(PFL_Schutz_Drop_Down56[noch nicht gewählt],_xlfn.AGGREGATE(15,6,ROW(PFL_Schutz_Drop_Down56[noch nicht gewählt])-3/(--(SEARCH($A$27,PFL_Schutz_Drop_Down56[noch nicht gewählt])&gt;0)),ROW()-3)),"")</f>
        <v/>
      </c>
      <c r="AC33" s="2200" t="str">
        <f>IFERROR(INDEX(PFL_Schutz_Drop_Down56[noch nicht gewählt],_xlfn.AGGREGATE(15,6,ROW(PFL_Schutz_Drop_Down56[noch nicht gewählt])-3/(--(SEARCH($A$29,PFL_Schutz_Drop_Down56[noch nicht gewählt])&gt;0)),ROW()-3)),"")</f>
        <v/>
      </c>
      <c r="AD33" s="2200" t="str">
        <f>IFERROR(INDEX(PFL_Schutz_Drop_Down56[noch nicht gewählt],_xlfn.AGGREGATE(15,6,ROW(PFL_Schutz_Drop_Down56[noch nicht gewählt])-3/(--(SEARCH($A$31,PFL_Schutz_Drop_Down56[noch nicht gewählt])&gt;0)),ROW()-3)),"")</f>
        <v/>
      </c>
      <c r="AE33" s="2200" t="str">
        <f>IFERROR(INDEX(PFL_Schutz_Drop_Down56[noch nicht gewählt],_xlfn.AGGREGATE(15,6,ROW(PFL_Schutz_Drop_Down56[noch nicht gewählt])-3/(--(SEARCH($A$33,PFL_Schutz_Drop_Down56[noch nicht gewählt])&gt;0)),ROW()-3)),"")</f>
        <v/>
      </c>
      <c r="AF33" s="2200" t="str">
        <f>IFERROR(INDEX(PFL_Schutz_Drop_Down56[noch nicht gewählt],_xlfn.AGGREGATE(15,6,ROW(PFL_Schutz_Drop_Down56[noch nicht gewählt])-3/(--(SEARCH($A$35,PFL_Schutz_Drop_Down56[noch nicht gewählt])&gt;0)),ROW()-3)),"")</f>
        <v/>
      </c>
      <c r="AG33" s="2200" t="str">
        <f>IFERROR(INDEX(PFL_Schutz_Drop_Down56[noch nicht gewählt],_xlfn.AGGREGATE(15,6,ROW(PFL_Schutz_Drop_Down56[noch nicht gewählt])-3/(--(SEARCH($A$37,PFL_Schutz_Drop_Down56[noch nicht gewählt])&gt;0)),ROW()-3)),"")</f>
        <v/>
      </c>
      <c r="AH33" s="2200" t="str">
        <f>IFERROR(INDEX(PFL_Schutz_Drop_Down56[noch nicht gewählt],_xlfn.AGGREGATE(15,6,ROW(PFL_Schutz_Drop_Down56[noch nicht gewählt])-3/(--(SEARCH($A$39,PFL_Schutz_Drop_Down56[noch nicht gewählt])&gt;0)),ROW()-3)),"")</f>
        <v/>
      </c>
      <c r="AI33" s="2200" t="str">
        <f>IFERROR(INDEX(PFL_Schutz_Drop_Down56[noch nicht gewählt],_xlfn.AGGREGATE(15,6,ROW(PFL_Schutz_Drop_Down56[noch nicht gewählt])-3/(--(SEARCH($A$41,PFL_Schutz_Drop_Down56[noch nicht gewählt])&gt;0)),ROW()-3)),"")</f>
        <v/>
      </c>
      <c r="AJ33" s="2200" t="str">
        <f>IFERROR(INDEX(PFL_Schutz_Drop_Down56[noch nicht gewählt],_xlfn.AGGREGATE(15,6,ROW(PFL_Schutz_Drop_Down56[noch nicht gewählt])-3/(--(SEARCH($A$43,PFL_Schutz_Drop_Down56[noch nicht gewählt])&gt;0)),ROW()-3)),"")</f>
        <v/>
      </c>
      <c r="AK33" s="2200" t="str">
        <f>IFERROR(INDEX(PFL_Schutz_Drop_Down56[noch nicht gewählt],_xlfn.AGGREGATE(15,6,ROW(PFL_Schutz_Drop_Down56[noch nicht gewählt])-3/(--(SEARCH($A$45,PFL_Schutz_Drop_Down56[noch nicht gewählt])&gt;0)),ROW()-3)),"")</f>
        <v/>
      </c>
      <c r="AL33" s="2200" t="str">
        <f>IFERROR(INDEX(PFL_Schutz_Drop_Down56[noch nicht gewählt],_xlfn.AGGREGATE(15,6,ROW(PFL_Schutz_Drop_Down56[noch nicht gewählt])-3/(--(SEARCH($A$47,PFL_Schutz_Drop_Down56[noch nicht gewählt])&gt;0)),ROW()-3)),"")</f>
        <v/>
      </c>
      <c r="AM33" s="2200" t="str">
        <f>IFERROR(INDEX(PFL_Schutz_Drop_Down56[noch nicht gewählt],_xlfn.AGGREGATE(15,6,ROW(PFL_Schutz_Drop_Down56[noch nicht gewählt])-3/(--(SEARCH($A$49,PFL_Schutz_Drop_Down56[noch nicht gewählt])&gt;0)),ROW()-3)),"")</f>
        <v/>
      </c>
      <c r="AN33" s="2200" t="str">
        <f>IFERROR(INDEX(PFL_Schutz_Drop_Down56[noch nicht gewählt],_xlfn.AGGREGATE(15,6,ROW(PFL_Schutz_Drop_Down56[noch nicht gewählt])-3/(--(SEARCH($A$51,PFL_Schutz_Drop_Down56[noch nicht gewählt])&gt;0)),ROW()-3)),"")</f>
        <v/>
      </c>
      <c r="AO33" s="2200" t="str">
        <f>IFERROR(INDEX(PFL_Schutz_Drop_Down56[noch nicht gewählt],_xlfn.AGGREGATE(15,6,ROW(PFL_Schutz_Drop_Down56[noch nicht gewählt])-3/(--(SEARCH($A$53,PFL_Schutz_Drop_Down56[noch nicht gewählt])&gt;0)),ROW()-3)),"")</f>
        <v/>
      </c>
      <c r="AP33" s="2200" t="str">
        <f>IFERROR(INDEX(PFL_Schutz_Drop_Down56[noch nicht gewählt],_xlfn.AGGREGATE(15,6,ROW(PFL_Schutz_Drop_Down56[noch nicht gewählt])-3/(--(SEARCH($A$55,PFL_Schutz_Drop_Down56[noch nicht gewählt])&gt;0)),ROW()-3)),"")</f>
        <v/>
      </c>
      <c r="AQ33" s="2200" t="str">
        <f>IFERROR(INDEX(PFL_Schutz_Drop_Down56[noch nicht gewählt],_xlfn.AGGREGATE(15,6,ROW(PFL_Schutz_Drop_Down56[noch nicht gewählt])-3/(--(SEARCH($A$57,PFL_Schutz_Drop_Down56[noch nicht gewählt])&gt;0)),ROW()-3)),"")</f>
        <v/>
      </c>
      <c r="AR33" s="2200" t="str">
        <f>IFERROR(INDEX(PFL_Schutz_Drop_Down56[noch nicht gewählt],_xlfn.AGGREGATE(15,6,ROW(PFL_Schutz_Drop_Down56[noch nicht gewählt])-3/(--(SEARCH($A$59,PFL_Schutz_Drop_Down56[noch nicht gewählt])&gt;0)),ROW()-3)),"")</f>
        <v/>
      </c>
      <c r="AS33" s="2200" t="str">
        <f>IFERROR(INDEX(PFL_Schutz_Drop_Down56[noch nicht gewählt],_xlfn.AGGREGATE(15,6,ROW(PFL_Schutz_Drop_Down56[noch nicht gewählt])-3/(--(SEARCH($A$61,PFL_Schutz_Drop_Down56[noch nicht gewählt])&gt;0)),ROW()-3)),"")</f>
        <v/>
      </c>
      <c r="AT33" s="2200" t="str">
        <f>IFERROR(INDEX(PFL_Schutz_Drop_Down56[noch nicht gewählt],_xlfn.AGGREGATE(15,6,ROW(PFL_Schutz_Drop_Down56[noch nicht gewählt])-3/(--(SEARCH($A$63,PFL_Schutz_Drop_Down56[noch nicht gewählt])&gt;0)),ROW()-3)),"")</f>
        <v/>
      </c>
      <c r="AU33" s="2200" t="str">
        <f>IFERROR(INDEX(PFL_Schutz_Drop_Down56[noch nicht gewählt],_xlfn.AGGREGATE(15,6,ROW(PFL_Schutz_Drop_Down56[noch nicht gewählt])-3/(--(SEARCH($A$65,PFL_Schutz_Drop_Down56[noch nicht gewählt])&gt;0)),ROW()-3)),"")</f>
        <v/>
      </c>
      <c r="AV33" s="2200" t="str">
        <f>IFERROR(INDEX(PFL_Schutz_Drop_Down56[noch nicht gewählt],_xlfn.AGGREGATE(15,6,ROW(PFL_Schutz_Drop_Down56[noch nicht gewählt])-3/(--(SEARCH($A$67,PFL_Schutz_Drop_Down56[noch nicht gewählt])&gt;0)),ROW()-3)),"")</f>
        <v/>
      </c>
      <c r="AW33" s="2200" t="str">
        <f>IFERROR(INDEX(PFL_Schutz_Drop_Down56[noch nicht gewählt],_xlfn.AGGREGATE(15,6,ROW(PFL_Schutz_Drop_Down56[noch nicht gewählt])-3/(--(SEARCH($A$69,PFL_Schutz_Drop_Down56[noch nicht gewählt])&gt;0)),ROW()-3)),"")</f>
        <v/>
      </c>
      <c r="AX33" s="2200" t="str">
        <f>IFERROR(INDEX(PFL_Schutz_Drop_Down56[noch nicht gewählt],_xlfn.AGGREGATE(15,6,ROW(PFL_Schutz_Drop_Down56[noch nicht gewählt])-3/(--(SEARCH($A$71,PFL_Schutz_Drop_Down56[noch nicht gewählt])&gt;0)),ROW()-3)),"")</f>
        <v/>
      </c>
      <c r="AY33" s="2200" t="str">
        <f>IFERROR(INDEX(PFL_Schutz_Drop_Down56[noch nicht gewählt],_xlfn.AGGREGATE(15,6,ROW(PFL_Schutz_Drop_Down56[noch nicht gewählt])-3/(--(SEARCH($A$73,PFL_Schutz_Drop_Down56[noch nicht gewählt])&gt;0)),ROW()-3)),"")</f>
        <v/>
      </c>
      <c r="AZ33" s="2201" t="str">
        <f>IFERROR(INDEX(PFL_Schutz_Drop_Down56[noch nicht gewählt],_xlfn.AGGREGATE(15,6,ROW(PFL_Schutz_Drop_Down56[noch nicht gewählt])-3/(--(SEARCH($A$75,PFL_Schutz_Drop_Down56[noch nicht gewählt])&gt;0)),ROW()-3)),"")</f>
        <v/>
      </c>
    </row>
    <row r="34" spans="1:52" ht="19.5" customHeight="1">
      <c r="A34" s="3099"/>
      <c r="B34" s="3101"/>
      <c r="C34" s="3101"/>
      <c r="D34" s="3087"/>
      <c r="E34" s="3089"/>
      <c r="F34" s="3091"/>
      <c r="G34" s="3095"/>
      <c r="H34" s="3096"/>
      <c r="I34" s="3097"/>
      <c r="R34" s="2195">
        <f>Pfl_Schutz!E34</f>
        <v>0</v>
      </c>
      <c r="S34" s="2202">
        <f>COUNTIF($R$4:PFL_Schutz_Drop_Down56[[#This Row],[Produktname]],PFL_Schutz_Drop_Down56[[#This Row],[Produktname]])</f>
        <v>31</v>
      </c>
      <c r="T34" s="2203" t="str">
        <f>IFERROR(INDEX(R:R,_xlfn.AGGREGATE(15,6,ROW(PFL_Schutz_Drop_Down56[Produktname])/(PFL_Schutz_Drop_Down56[Auftretend]=1),ROW()-3)),"")</f>
        <v/>
      </c>
      <c r="U34" s="2198" t="str">
        <f>IF(COUNTIF($A$17:$A$76,PFL_Schutz_Drop_Down56[[#This Row],[Produktname eindeutig]])&gt;=1,"",ROW())</f>
        <v/>
      </c>
      <c r="V34" s="2198" t="str">
        <f t="shared" si="0"/>
        <v/>
      </c>
      <c r="W34" s="2199" t="str">
        <f>IFERROR(INDEX(PFL_Schutz_Drop_Down56[noch nicht gewählt],_xlfn.AGGREGATE(15,6,ROW(PFL_Schutz_Drop_Down56[noch nicht gewählt])-3/(--(SEARCH($A$17,PFL_Schutz_Drop_Down56[noch nicht gewählt])&gt;0)),ROW()-3)),"")</f>
        <v/>
      </c>
      <c r="X34" s="2175" t="str">
        <f>IFERROR(INDEX(PFL_Schutz_Drop_Down56[noch nicht gewählt],_xlfn.AGGREGATE(15,6,ROW(PFL_Schutz_Drop_Down56[noch nicht gewählt])-3/(--(SEARCH($A$19,PFL_Schutz_Drop_Down56[noch nicht gewählt])&gt;0)),ROW()-3)),"")</f>
        <v/>
      </c>
      <c r="Y34" s="2175" t="str">
        <f>IFERROR(INDEX(PFL_Schutz_Drop_Down56[noch nicht gewählt],_xlfn.AGGREGATE(15,6,ROW(PFL_Schutz_Drop_Down56[noch nicht gewählt])-3/(--(SEARCH($A$21,PFL_Schutz_Drop_Down56[noch nicht gewählt])&gt;0)),ROW()-3)),"")</f>
        <v/>
      </c>
      <c r="Z34" s="2200" t="str">
        <f>IFERROR(INDEX(PFL_Schutz_Drop_Down56[noch nicht gewählt],_xlfn.AGGREGATE(15,6,ROW(PFL_Schutz_Drop_Down56[noch nicht gewählt])-3/(--(SEARCH($A$23,PFL_Schutz_Drop_Down56[noch nicht gewählt])&gt;0)),ROW()-3)),"")</f>
        <v/>
      </c>
      <c r="AA34" s="2200" t="str">
        <f>IFERROR(INDEX(PFL_Schutz_Drop_Down56[noch nicht gewählt],_xlfn.AGGREGATE(15,6,ROW(PFL_Schutz_Drop_Down56[noch nicht gewählt])-3/(--(SEARCH($A$25,PFL_Schutz_Drop_Down56[noch nicht gewählt])&gt;0)),ROW()-3)),"")</f>
        <v/>
      </c>
      <c r="AB34" s="2200" t="str">
        <f>IFERROR(INDEX(PFL_Schutz_Drop_Down56[noch nicht gewählt],_xlfn.AGGREGATE(15,6,ROW(PFL_Schutz_Drop_Down56[noch nicht gewählt])-3/(--(SEARCH($A$27,PFL_Schutz_Drop_Down56[noch nicht gewählt])&gt;0)),ROW()-3)),"")</f>
        <v/>
      </c>
      <c r="AC34" s="2200" t="str">
        <f>IFERROR(INDEX(PFL_Schutz_Drop_Down56[noch nicht gewählt],_xlfn.AGGREGATE(15,6,ROW(PFL_Schutz_Drop_Down56[noch nicht gewählt])-3/(--(SEARCH($A$29,PFL_Schutz_Drop_Down56[noch nicht gewählt])&gt;0)),ROW()-3)),"")</f>
        <v/>
      </c>
      <c r="AD34" s="2200" t="str">
        <f>IFERROR(INDEX(PFL_Schutz_Drop_Down56[noch nicht gewählt],_xlfn.AGGREGATE(15,6,ROW(PFL_Schutz_Drop_Down56[noch nicht gewählt])-3/(--(SEARCH($A$31,PFL_Schutz_Drop_Down56[noch nicht gewählt])&gt;0)),ROW()-3)),"")</f>
        <v/>
      </c>
      <c r="AE34" s="2200" t="str">
        <f>IFERROR(INDEX(PFL_Schutz_Drop_Down56[noch nicht gewählt],_xlfn.AGGREGATE(15,6,ROW(PFL_Schutz_Drop_Down56[noch nicht gewählt])-3/(--(SEARCH($A$33,PFL_Schutz_Drop_Down56[noch nicht gewählt])&gt;0)),ROW()-3)),"")</f>
        <v/>
      </c>
      <c r="AF34" s="2200" t="str">
        <f>IFERROR(INDEX(PFL_Schutz_Drop_Down56[noch nicht gewählt],_xlfn.AGGREGATE(15,6,ROW(PFL_Schutz_Drop_Down56[noch nicht gewählt])-3/(--(SEARCH($A$35,PFL_Schutz_Drop_Down56[noch nicht gewählt])&gt;0)),ROW()-3)),"")</f>
        <v/>
      </c>
      <c r="AG34" s="2200" t="str">
        <f>IFERROR(INDEX(PFL_Schutz_Drop_Down56[noch nicht gewählt],_xlfn.AGGREGATE(15,6,ROW(PFL_Schutz_Drop_Down56[noch nicht gewählt])-3/(--(SEARCH($A$37,PFL_Schutz_Drop_Down56[noch nicht gewählt])&gt;0)),ROW()-3)),"")</f>
        <v/>
      </c>
      <c r="AH34" s="2200" t="str">
        <f>IFERROR(INDEX(PFL_Schutz_Drop_Down56[noch nicht gewählt],_xlfn.AGGREGATE(15,6,ROW(PFL_Schutz_Drop_Down56[noch nicht gewählt])-3/(--(SEARCH($A$39,PFL_Schutz_Drop_Down56[noch nicht gewählt])&gt;0)),ROW()-3)),"")</f>
        <v/>
      </c>
      <c r="AI34" s="2200" t="str">
        <f>IFERROR(INDEX(PFL_Schutz_Drop_Down56[noch nicht gewählt],_xlfn.AGGREGATE(15,6,ROW(PFL_Schutz_Drop_Down56[noch nicht gewählt])-3/(--(SEARCH($A$41,PFL_Schutz_Drop_Down56[noch nicht gewählt])&gt;0)),ROW()-3)),"")</f>
        <v/>
      </c>
      <c r="AJ34" s="2200" t="str">
        <f>IFERROR(INDEX(PFL_Schutz_Drop_Down56[noch nicht gewählt],_xlfn.AGGREGATE(15,6,ROW(PFL_Schutz_Drop_Down56[noch nicht gewählt])-3/(--(SEARCH($A$43,PFL_Schutz_Drop_Down56[noch nicht gewählt])&gt;0)),ROW()-3)),"")</f>
        <v/>
      </c>
      <c r="AK34" s="2200" t="str">
        <f>IFERROR(INDEX(PFL_Schutz_Drop_Down56[noch nicht gewählt],_xlfn.AGGREGATE(15,6,ROW(PFL_Schutz_Drop_Down56[noch nicht gewählt])-3/(--(SEARCH($A$45,PFL_Schutz_Drop_Down56[noch nicht gewählt])&gt;0)),ROW()-3)),"")</f>
        <v/>
      </c>
      <c r="AL34" s="2200" t="str">
        <f>IFERROR(INDEX(PFL_Schutz_Drop_Down56[noch nicht gewählt],_xlfn.AGGREGATE(15,6,ROW(PFL_Schutz_Drop_Down56[noch nicht gewählt])-3/(--(SEARCH($A$47,PFL_Schutz_Drop_Down56[noch nicht gewählt])&gt;0)),ROW()-3)),"")</f>
        <v/>
      </c>
      <c r="AM34" s="2200" t="str">
        <f>IFERROR(INDEX(PFL_Schutz_Drop_Down56[noch nicht gewählt],_xlfn.AGGREGATE(15,6,ROW(PFL_Schutz_Drop_Down56[noch nicht gewählt])-3/(--(SEARCH($A$49,PFL_Schutz_Drop_Down56[noch nicht gewählt])&gt;0)),ROW()-3)),"")</f>
        <v/>
      </c>
      <c r="AN34" s="2200" t="str">
        <f>IFERROR(INDEX(PFL_Schutz_Drop_Down56[noch nicht gewählt],_xlfn.AGGREGATE(15,6,ROW(PFL_Schutz_Drop_Down56[noch nicht gewählt])-3/(--(SEARCH($A$51,PFL_Schutz_Drop_Down56[noch nicht gewählt])&gt;0)),ROW()-3)),"")</f>
        <v/>
      </c>
      <c r="AO34" s="2200" t="str">
        <f>IFERROR(INDEX(PFL_Schutz_Drop_Down56[noch nicht gewählt],_xlfn.AGGREGATE(15,6,ROW(PFL_Schutz_Drop_Down56[noch nicht gewählt])-3/(--(SEARCH($A$53,PFL_Schutz_Drop_Down56[noch nicht gewählt])&gt;0)),ROW()-3)),"")</f>
        <v/>
      </c>
      <c r="AP34" s="2200" t="str">
        <f>IFERROR(INDEX(PFL_Schutz_Drop_Down56[noch nicht gewählt],_xlfn.AGGREGATE(15,6,ROW(PFL_Schutz_Drop_Down56[noch nicht gewählt])-3/(--(SEARCH($A$55,PFL_Schutz_Drop_Down56[noch nicht gewählt])&gt;0)),ROW()-3)),"")</f>
        <v/>
      </c>
      <c r="AQ34" s="2200" t="str">
        <f>IFERROR(INDEX(PFL_Schutz_Drop_Down56[noch nicht gewählt],_xlfn.AGGREGATE(15,6,ROW(PFL_Schutz_Drop_Down56[noch nicht gewählt])-3/(--(SEARCH($A$57,PFL_Schutz_Drop_Down56[noch nicht gewählt])&gt;0)),ROW()-3)),"")</f>
        <v/>
      </c>
      <c r="AR34" s="2200" t="str">
        <f>IFERROR(INDEX(PFL_Schutz_Drop_Down56[noch nicht gewählt],_xlfn.AGGREGATE(15,6,ROW(PFL_Schutz_Drop_Down56[noch nicht gewählt])-3/(--(SEARCH($A$59,PFL_Schutz_Drop_Down56[noch nicht gewählt])&gt;0)),ROW()-3)),"")</f>
        <v/>
      </c>
      <c r="AS34" s="2200" t="str">
        <f>IFERROR(INDEX(PFL_Schutz_Drop_Down56[noch nicht gewählt],_xlfn.AGGREGATE(15,6,ROW(PFL_Schutz_Drop_Down56[noch nicht gewählt])-3/(--(SEARCH($A$61,PFL_Schutz_Drop_Down56[noch nicht gewählt])&gt;0)),ROW()-3)),"")</f>
        <v/>
      </c>
      <c r="AT34" s="2200" t="str">
        <f>IFERROR(INDEX(PFL_Schutz_Drop_Down56[noch nicht gewählt],_xlfn.AGGREGATE(15,6,ROW(PFL_Schutz_Drop_Down56[noch nicht gewählt])-3/(--(SEARCH($A$63,PFL_Schutz_Drop_Down56[noch nicht gewählt])&gt;0)),ROW()-3)),"")</f>
        <v/>
      </c>
      <c r="AU34" s="2200" t="str">
        <f>IFERROR(INDEX(PFL_Schutz_Drop_Down56[noch nicht gewählt],_xlfn.AGGREGATE(15,6,ROW(PFL_Schutz_Drop_Down56[noch nicht gewählt])-3/(--(SEARCH($A$65,PFL_Schutz_Drop_Down56[noch nicht gewählt])&gt;0)),ROW()-3)),"")</f>
        <v/>
      </c>
      <c r="AV34" s="2200" t="str">
        <f>IFERROR(INDEX(PFL_Schutz_Drop_Down56[noch nicht gewählt],_xlfn.AGGREGATE(15,6,ROW(PFL_Schutz_Drop_Down56[noch nicht gewählt])-3/(--(SEARCH($A$67,PFL_Schutz_Drop_Down56[noch nicht gewählt])&gt;0)),ROW()-3)),"")</f>
        <v/>
      </c>
      <c r="AW34" s="2200" t="str">
        <f>IFERROR(INDEX(PFL_Schutz_Drop_Down56[noch nicht gewählt],_xlfn.AGGREGATE(15,6,ROW(PFL_Schutz_Drop_Down56[noch nicht gewählt])-3/(--(SEARCH($A$69,PFL_Schutz_Drop_Down56[noch nicht gewählt])&gt;0)),ROW()-3)),"")</f>
        <v/>
      </c>
      <c r="AX34" s="2200" t="str">
        <f>IFERROR(INDEX(PFL_Schutz_Drop_Down56[noch nicht gewählt],_xlfn.AGGREGATE(15,6,ROW(PFL_Schutz_Drop_Down56[noch nicht gewählt])-3/(--(SEARCH($A$71,PFL_Schutz_Drop_Down56[noch nicht gewählt])&gt;0)),ROW()-3)),"")</f>
        <v/>
      </c>
      <c r="AY34" s="2200" t="str">
        <f>IFERROR(INDEX(PFL_Schutz_Drop_Down56[noch nicht gewählt],_xlfn.AGGREGATE(15,6,ROW(PFL_Schutz_Drop_Down56[noch nicht gewählt])-3/(--(SEARCH($A$73,PFL_Schutz_Drop_Down56[noch nicht gewählt])&gt;0)),ROW()-3)),"")</f>
        <v/>
      </c>
      <c r="AZ34" s="2201" t="str">
        <f>IFERROR(INDEX(PFL_Schutz_Drop_Down56[noch nicht gewählt],_xlfn.AGGREGATE(15,6,ROW(PFL_Schutz_Drop_Down56[noch nicht gewählt])-3/(--(SEARCH($A$75,PFL_Schutz_Drop_Down56[noch nicht gewählt])&gt;0)),ROW()-3)),"")</f>
        <v/>
      </c>
    </row>
    <row r="35" spans="1:52" ht="19.5" customHeight="1">
      <c r="A35" s="3098"/>
      <c r="B35" s="3102"/>
      <c r="C35" s="3102"/>
      <c r="D35" s="3087">
        <f>SUMIF(Pfl_Schutz!$E$4:$E$77,A35,Pfl_Schutz!$H$4:$H$77)</f>
        <v>0</v>
      </c>
      <c r="E35" s="3089" t="str">
        <f t="shared" ref="E35:E43" si="17">IF(SUM(B35:C36)=0,"",IF(F35&lt;0,"negativer Lagerstand nicht möglich - überprüfen Sie die Eingabewerte auf Vollständigkeit",IF(F35=0,"Produkt aufgebraucht, Lagerstand 0",F35)))</f>
        <v/>
      </c>
      <c r="F35" s="3091">
        <f t="shared" ref="F35" si="18">IF(SUM(B35:C36)&gt;0,IF(ISBLANK(A35),"",B35+C35-D35),0)</f>
        <v>0</v>
      </c>
      <c r="G35" s="3095"/>
      <c r="H35" s="3096"/>
      <c r="I35" s="3097"/>
      <c r="R35" s="2195">
        <f>Pfl_Schutz!E35</f>
        <v>0</v>
      </c>
      <c r="S35" s="2202">
        <f>COUNTIF($R$4:PFL_Schutz_Drop_Down56[[#This Row],[Produktname]],PFL_Schutz_Drop_Down56[[#This Row],[Produktname]])</f>
        <v>32</v>
      </c>
      <c r="T35" s="2203" t="str">
        <f>IFERROR(INDEX(R:R,_xlfn.AGGREGATE(15,6,ROW(PFL_Schutz_Drop_Down56[Produktname])/(PFL_Schutz_Drop_Down56[Auftretend]=1),ROW()-3)),"")</f>
        <v/>
      </c>
      <c r="U35" s="2198" t="str">
        <f>IF(COUNTIF($A$17:$A$76,PFL_Schutz_Drop_Down56[[#This Row],[Produktname eindeutig]])&gt;=1,"",ROW())</f>
        <v/>
      </c>
      <c r="V35" s="2198" t="str">
        <f t="shared" si="0"/>
        <v/>
      </c>
      <c r="W35" s="2199" t="str">
        <f>IFERROR(INDEX(PFL_Schutz_Drop_Down56[noch nicht gewählt],_xlfn.AGGREGATE(15,6,ROW(PFL_Schutz_Drop_Down56[noch nicht gewählt])-3/(--(SEARCH($A$17,PFL_Schutz_Drop_Down56[noch nicht gewählt])&gt;0)),ROW()-3)),"")</f>
        <v/>
      </c>
      <c r="X35" s="2175" t="str">
        <f>IFERROR(INDEX(PFL_Schutz_Drop_Down56[noch nicht gewählt],_xlfn.AGGREGATE(15,6,ROW(PFL_Schutz_Drop_Down56[noch nicht gewählt])-3/(--(SEARCH($A$19,PFL_Schutz_Drop_Down56[noch nicht gewählt])&gt;0)),ROW()-3)),"")</f>
        <v/>
      </c>
      <c r="Y35" s="2175" t="str">
        <f>IFERROR(INDEX(PFL_Schutz_Drop_Down56[noch nicht gewählt],_xlfn.AGGREGATE(15,6,ROW(PFL_Schutz_Drop_Down56[noch nicht gewählt])-3/(--(SEARCH($A$21,PFL_Schutz_Drop_Down56[noch nicht gewählt])&gt;0)),ROW()-3)),"")</f>
        <v/>
      </c>
      <c r="Z35" s="2200" t="str">
        <f>IFERROR(INDEX(PFL_Schutz_Drop_Down56[noch nicht gewählt],_xlfn.AGGREGATE(15,6,ROW(PFL_Schutz_Drop_Down56[noch nicht gewählt])-3/(--(SEARCH($A$23,PFL_Schutz_Drop_Down56[noch nicht gewählt])&gt;0)),ROW()-3)),"")</f>
        <v/>
      </c>
      <c r="AA35" s="2200" t="str">
        <f>IFERROR(INDEX(PFL_Schutz_Drop_Down56[noch nicht gewählt],_xlfn.AGGREGATE(15,6,ROW(PFL_Schutz_Drop_Down56[noch nicht gewählt])-3/(--(SEARCH($A$25,PFL_Schutz_Drop_Down56[noch nicht gewählt])&gt;0)),ROW()-3)),"")</f>
        <v/>
      </c>
      <c r="AB35" s="2200" t="str">
        <f>IFERROR(INDEX(PFL_Schutz_Drop_Down56[noch nicht gewählt],_xlfn.AGGREGATE(15,6,ROW(PFL_Schutz_Drop_Down56[noch nicht gewählt])-3/(--(SEARCH($A$27,PFL_Schutz_Drop_Down56[noch nicht gewählt])&gt;0)),ROW()-3)),"")</f>
        <v/>
      </c>
      <c r="AC35" s="2200" t="str">
        <f>IFERROR(INDEX(PFL_Schutz_Drop_Down56[noch nicht gewählt],_xlfn.AGGREGATE(15,6,ROW(PFL_Schutz_Drop_Down56[noch nicht gewählt])-3/(--(SEARCH($A$29,PFL_Schutz_Drop_Down56[noch nicht gewählt])&gt;0)),ROW()-3)),"")</f>
        <v/>
      </c>
      <c r="AD35" s="2200" t="str">
        <f>IFERROR(INDEX(PFL_Schutz_Drop_Down56[noch nicht gewählt],_xlfn.AGGREGATE(15,6,ROW(PFL_Schutz_Drop_Down56[noch nicht gewählt])-3/(--(SEARCH($A$31,PFL_Schutz_Drop_Down56[noch nicht gewählt])&gt;0)),ROW()-3)),"")</f>
        <v/>
      </c>
      <c r="AE35" s="2200" t="str">
        <f>IFERROR(INDEX(PFL_Schutz_Drop_Down56[noch nicht gewählt],_xlfn.AGGREGATE(15,6,ROW(PFL_Schutz_Drop_Down56[noch nicht gewählt])-3/(--(SEARCH($A$33,PFL_Schutz_Drop_Down56[noch nicht gewählt])&gt;0)),ROW()-3)),"")</f>
        <v/>
      </c>
      <c r="AF35" s="2200" t="str">
        <f>IFERROR(INDEX(PFL_Schutz_Drop_Down56[noch nicht gewählt],_xlfn.AGGREGATE(15,6,ROW(PFL_Schutz_Drop_Down56[noch nicht gewählt])-3/(--(SEARCH($A$35,PFL_Schutz_Drop_Down56[noch nicht gewählt])&gt;0)),ROW()-3)),"")</f>
        <v/>
      </c>
      <c r="AG35" s="2200" t="str">
        <f>IFERROR(INDEX(PFL_Schutz_Drop_Down56[noch nicht gewählt],_xlfn.AGGREGATE(15,6,ROW(PFL_Schutz_Drop_Down56[noch nicht gewählt])-3/(--(SEARCH($A$37,PFL_Schutz_Drop_Down56[noch nicht gewählt])&gt;0)),ROW()-3)),"")</f>
        <v/>
      </c>
      <c r="AH35" s="2200" t="str">
        <f>IFERROR(INDEX(PFL_Schutz_Drop_Down56[noch nicht gewählt],_xlfn.AGGREGATE(15,6,ROW(PFL_Schutz_Drop_Down56[noch nicht gewählt])-3/(--(SEARCH($A$39,PFL_Schutz_Drop_Down56[noch nicht gewählt])&gt;0)),ROW()-3)),"")</f>
        <v/>
      </c>
      <c r="AI35" s="2200" t="str">
        <f>IFERROR(INDEX(PFL_Schutz_Drop_Down56[noch nicht gewählt],_xlfn.AGGREGATE(15,6,ROW(PFL_Schutz_Drop_Down56[noch nicht gewählt])-3/(--(SEARCH($A$41,PFL_Schutz_Drop_Down56[noch nicht gewählt])&gt;0)),ROW()-3)),"")</f>
        <v/>
      </c>
      <c r="AJ35" s="2200" t="str">
        <f>IFERROR(INDEX(PFL_Schutz_Drop_Down56[noch nicht gewählt],_xlfn.AGGREGATE(15,6,ROW(PFL_Schutz_Drop_Down56[noch nicht gewählt])-3/(--(SEARCH($A$43,PFL_Schutz_Drop_Down56[noch nicht gewählt])&gt;0)),ROW()-3)),"")</f>
        <v/>
      </c>
      <c r="AK35" s="2200" t="str">
        <f>IFERROR(INDEX(PFL_Schutz_Drop_Down56[noch nicht gewählt],_xlfn.AGGREGATE(15,6,ROW(PFL_Schutz_Drop_Down56[noch nicht gewählt])-3/(--(SEARCH($A$45,PFL_Schutz_Drop_Down56[noch nicht gewählt])&gt;0)),ROW()-3)),"")</f>
        <v/>
      </c>
      <c r="AL35" s="2200" t="str">
        <f>IFERROR(INDEX(PFL_Schutz_Drop_Down56[noch nicht gewählt],_xlfn.AGGREGATE(15,6,ROW(PFL_Schutz_Drop_Down56[noch nicht gewählt])-3/(--(SEARCH($A$47,PFL_Schutz_Drop_Down56[noch nicht gewählt])&gt;0)),ROW()-3)),"")</f>
        <v/>
      </c>
      <c r="AM35" s="2200" t="str">
        <f>IFERROR(INDEX(PFL_Schutz_Drop_Down56[noch nicht gewählt],_xlfn.AGGREGATE(15,6,ROW(PFL_Schutz_Drop_Down56[noch nicht gewählt])-3/(--(SEARCH($A$49,PFL_Schutz_Drop_Down56[noch nicht gewählt])&gt;0)),ROW()-3)),"")</f>
        <v/>
      </c>
      <c r="AN35" s="2200" t="str">
        <f>IFERROR(INDEX(PFL_Schutz_Drop_Down56[noch nicht gewählt],_xlfn.AGGREGATE(15,6,ROW(PFL_Schutz_Drop_Down56[noch nicht gewählt])-3/(--(SEARCH($A$51,PFL_Schutz_Drop_Down56[noch nicht gewählt])&gt;0)),ROW()-3)),"")</f>
        <v/>
      </c>
      <c r="AO35" s="2200" t="str">
        <f>IFERROR(INDEX(PFL_Schutz_Drop_Down56[noch nicht gewählt],_xlfn.AGGREGATE(15,6,ROW(PFL_Schutz_Drop_Down56[noch nicht gewählt])-3/(--(SEARCH($A$53,PFL_Schutz_Drop_Down56[noch nicht gewählt])&gt;0)),ROW()-3)),"")</f>
        <v/>
      </c>
      <c r="AP35" s="2200" t="str">
        <f>IFERROR(INDEX(PFL_Schutz_Drop_Down56[noch nicht gewählt],_xlfn.AGGREGATE(15,6,ROW(PFL_Schutz_Drop_Down56[noch nicht gewählt])-3/(--(SEARCH($A$55,PFL_Schutz_Drop_Down56[noch nicht gewählt])&gt;0)),ROW()-3)),"")</f>
        <v/>
      </c>
      <c r="AQ35" s="2200" t="str">
        <f>IFERROR(INDEX(PFL_Schutz_Drop_Down56[noch nicht gewählt],_xlfn.AGGREGATE(15,6,ROW(PFL_Schutz_Drop_Down56[noch nicht gewählt])-3/(--(SEARCH($A$57,PFL_Schutz_Drop_Down56[noch nicht gewählt])&gt;0)),ROW()-3)),"")</f>
        <v/>
      </c>
      <c r="AR35" s="2200" t="str">
        <f>IFERROR(INDEX(PFL_Schutz_Drop_Down56[noch nicht gewählt],_xlfn.AGGREGATE(15,6,ROW(PFL_Schutz_Drop_Down56[noch nicht gewählt])-3/(--(SEARCH($A$59,PFL_Schutz_Drop_Down56[noch nicht gewählt])&gt;0)),ROW()-3)),"")</f>
        <v/>
      </c>
      <c r="AS35" s="2200" t="str">
        <f>IFERROR(INDEX(PFL_Schutz_Drop_Down56[noch nicht gewählt],_xlfn.AGGREGATE(15,6,ROW(PFL_Schutz_Drop_Down56[noch nicht gewählt])-3/(--(SEARCH($A$61,PFL_Schutz_Drop_Down56[noch nicht gewählt])&gt;0)),ROW()-3)),"")</f>
        <v/>
      </c>
      <c r="AT35" s="2200" t="str">
        <f>IFERROR(INDEX(PFL_Schutz_Drop_Down56[noch nicht gewählt],_xlfn.AGGREGATE(15,6,ROW(PFL_Schutz_Drop_Down56[noch nicht gewählt])-3/(--(SEARCH($A$63,PFL_Schutz_Drop_Down56[noch nicht gewählt])&gt;0)),ROW()-3)),"")</f>
        <v/>
      </c>
      <c r="AU35" s="2200" t="str">
        <f>IFERROR(INDEX(PFL_Schutz_Drop_Down56[noch nicht gewählt],_xlfn.AGGREGATE(15,6,ROW(PFL_Schutz_Drop_Down56[noch nicht gewählt])-3/(--(SEARCH($A$65,PFL_Schutz_Drop_Down56[noch nicht gewählt])&gt;0)),ROW()-3)),"")</f>
        <v/>
      </c>
      <c r="AV35" s="2200" t="str">
        <f>IFERROR(INDEX(PFL_Schutz_Drop_Down56[noch nicht gewählt],_xlfn.AGGREGATE(15,6,ROW(PFL_Schutz_Drop_Down56[noch nicht gewählt])-3/(--(SEARCH($A$67,PFL_Schutz_Drop_Down56[noch nicht gewählt])&gt;0)),ROW()-3)),"")</f>
        <v/>
      </c>
      <c r="AW35" s="2200" t="str">
        <f>IFERROR(INDEX(PFL_Schutz_Drop_Down56[noch nicht gewählt],_xlfn.AGGREGATE(15,6,ROW(PFL_Schutz_Drop_Down56[noch nicht gewählt])-3/(--(SEARCH($A$69,PFL_Schutz_Drop_Down56[noch nicht gewählt])&gt;0)),ROW()-3)),"")</f>
        <v/>
      </c>
      <c r="AX35" s="2200" t="str">
        <f>IFERROR(INDEX(PFL_Schutz_Drop_Down56[noch nicht gewählt],_xlfn.AGGREGATE(15,6,ROW(PFL_Schutz_Drop_Down56[noch nicht gewählt])-3/(--(SEARCH($A$71,PFL_Schutz_Drop_Down56[noch nicht gewählt])&gt;0)),ROW()-3)),"")</f>
        <v/>
      </c>
      <c r="AY35" s="2200" t="str">
        <f>IFERROR(INDEX(PFL_Schutz_Drop_Down56[noch nicht gewählt],_xlfn.AGGREGATE(15,6,ROW(PFL_Schutz_Drop_Down56[noch nicht gewählt])-3/(--(SEARCH($A$73,PFL_Schutz_Drop_Down56[noch nicht gewählt])&gt;0)),ROW()-3)),"")</f>
        <v/>
      </c>
      <c r="AZ35" s="2201" t="str">
        <f>IFERROR(INDEX(PFL_Schutz_Drop_Down56[noch nicht gewählt],_xlfn.AGGREGATE(15,6,ROW(PFL_Schutz_Drop_Down56[noch nicht gewählt])-3/(--(SEARCH($A$75,PFL_Schutz_Drop_Down56[noch nicht gewählt])&gt;0)),ROW()-3)),"")</f>
        <v/>
      </c>
    </row>
    <row r="36" spans="1:52" ht="19.5" customHeight="1">
      <c r="A36" s="3099"/>
      <c r="B36" s="3103"/>
      <c r="C36" s="3103"/>
      <c r="D36" s="3087"/>
      <c r="E36" s="3089"/>
      <c r="F36" s="3091"/>
      <c r="G36" s="3095"/>
      <c r="H36" s="3096"/>
      <c r="I36" s="3097"/>
      <c r="R36" s="2195">
        <f>Pfl_Schutz!E36</f>
        <v>0</v>
      </c>
      <c r="S36" s="2202">
        <f>COUNTIF($R$4:PFL_Schutz_Drop_Down56[[#This Row],[Produktname]],PFL_Schutz_Drop_Down56[[#This Row],[Produktname]])</f>
        <v>33</v>
      </c>
      <c r="T36" s="2203" t="str">
        <f>IFERROR(INDEX(R:R,_xlfn.AGGREGATE(15,6,ROW(PFL_Schutz_Drop_Down56[Produktname])/(PFL_Schutz_Drop_Down56[Auftretend]=1),ROW()-3)),"")</f>
        <v/>
      </c>
      <c r="U36" s="2198" t="str">
        <f>IF(COUNTIF($A$17:$A$76,PFL_Schutz_Drop_Down56[[#This Row],[Produktname eindeutig]])&gt;=1,"",ROW())</f>
        <v/>
      </c>
      <c r="V36" s="2198" t="str">
        <f t="shared" si="0"/>
        <v/>
      </c>
      <c r="W36" s="2199" t="str">
        <f>IFERROR(INDEX(PFL_Schutz_Drop_Down56[noch nicht gewählt],_xlfn.AGGREGATE(15,6,ROW(PFL_Schutz_Drop_Down56[noch nicht gewählt])-3/(--(SEARCH($A$17,PFL_Schutz_Drop_Down56[noch nicht gewählt])&gt;0)),ROW()-3)),"")</f>
        <v/>
      </c>
      <c r="X36" s="2175" t="str">
        <f>IFERROR(INDEX(PFL_Schutz_Drop_Down56[noch nicht gewählt],_xlfn.AGGREGATE(15,6,ROW(PFL_Schutz_Drop_Down56[noch nicht gewählt])-3/(--(SEARCH($A$19,PFL_Schutz_Drop_Down56[noch nicht gewählt])&gt;0)),ROW()-3)),"")</f>
        <v/>
      </c>
      <c r="Y36" s="2175" t="str">
        <f>IFERROR(INDEX(PFL_Schutz_Drop_Down56[noch nicht gewählt],_xlfn.AGGREGATE(15,6,ROW(PFL_Schutz_Drop_Down56[noch nicht gewählt])-3/(--(SEARCH($A$21,PFL_Schutz_Drop_Down56[noch nicht gewählt])&gt;0)),ROW()-3)),"")</f>
        <v/>
      </c>
      <c r="Z36" s="2200" t="str">
        <f>IFERROR(INDEX(PFL_Schutz_Drop_Down56[noch nicht gewählt],_xlfn.AGGREGATE(15,6,ROW(PFL_Schutz_Drop_Down56[noch nicht gewählt])-3/(--(SEARCH($A$23,PFL_Schutz_Drop_Down56[noch nicht gewählt])&gt;0)),ROW()-3)),"")</f>
        <v/>
      </c>
      <c r="AA36" s="2200" t="str">
        <f>IFERROR(INDEX(PFL_Schutz_Drop_Down56[noch nicht gewählt],_xlfn.AGGREGATE(15,6,ROW(PFL_Schutz_Drop_Down56[noch nicht gewählt])-3/(--(SEARCH($A$25,PFL_Schutz_Drop_Down56[noch nicht gewählt])&gt;0)),ROW()-3)),"")</f>
        <v/>
      </c>
      <c r="AB36" s="2200" t="str">
        <f>IFERROR(INDEX(PFL_Schutz_Drop_Down56[noch nicht gewählt],_xlfn.AGGREGATE(15,6,ROW(PFL_Schutz_Drop_Down56[noch nicht gewählt])-3/(--(SEARCH($A$27,PFL_Schutz_Drop_Down56[noch nicht gewählt])&gt;0)),ROW()-3)),"")</f>
        <v/>
      </c>
      <c r="AC36" s="2200" t="str">
        <f>IFERROR(INDEX(PFL_Schutz_Drop_Down56[noch nicht gewählt],_xlfn.AGGREGATE(15,6,ROW(PFL_Schutz_Drop_Down56[noch nicht gewählt])-3/(--(SEARCH($A$29,PFL_Schutz_Drop_Down56[noch nicht gewählt])&gt;0)),ROW()-3)),"")</f>
        <v/>
      </c>
      <c r="AD36" s="2200" t="str">
        <f>IFERROR(INDEX(PFL_Schutz_Drop_Down56[noch nicht gewählt],_xlfn.AGGREGATE(15,6,ROW(PFL_Schutz_Drop_Down56[noch nicht gewählt])-3/(--(SEARCH($A$31,PFL_Schutz_Drop_Down56[noch nicht gewählt])&gt;0)),ROW()-3)),"")</f>
        <v/>
      </c>
      <c r="AE36" s="2200" t="str">
        <f>IFERROR(INDEX(PFL_Schutz_Drop_Down56[noch nicht gewählt],_xlfn.AGGREGATE(15,6,ROW(PFL_Schutz_Drop_Down56[noch nicht gewählt])-3/(--(SEARCH($A$33,PFL_Schutz_Drop_Down56[noch nicht gewählt])&gt;0)),ROW()-3)),"")</f>
        <v/>
      </c>
      <c r="AF36" s="2200" t="str">
        <f>IFERROR(INDEX(PFL_Schutz_Drop_Down56[noch nicht gewählt],_xlfn.AGGREGATE(15,6,ROW(PFL_Schutz_Drop_Down56[noch nicht gewählt])-3/(--(SEARCH($A$35,PFL_Schutz_Drop_Down56[noch nicht gewählt])&gt;0)),ROW()-3)),"")</f>
        <v/>
      </c>
      <c r="AG36" s="2200" t="str">
        <f>IFERROR(INDEX(PFL_Schutz_Drop_Down56[noch nicht gewählt],_xlfn.AGGREGATE(15,6,ROW(PFL_Schutz_Drop_Down56[noch nicht gewählt])-3/(--(SEARCH($A$37,PFL_Schutz_Drop_Down56[noch nicht gewählt])&gt;0)),ROW()-3)),"")</f>
        <v/>
      </c>
      <c r="AH36" s="2200" t="str">
        <f>IFERROR(INDEX(PFL_Schutz_Drop_Down56[noch nicht gewählt],_xlfn.AGGREGATE(15,6,ROW(PFL_Schutz_Drop_Down56[noch nicht gewählt])-3/(--(SEARCH($A$39,PFL_Schutz_Drop_Down56[noch nicht gewählt])&gt;0)),ROW()-3)),"")</f>
        <v/>
      </c>
      <c r="AI36" s="2200" t="str">
        <f>IFERROR(INDEX(PFL_Schutz_Drop_Down56[noch nicht gewählt],_xlfn.AGGREGATE(15,6,ROW(PFL_Schutz_Drop_Down56[noch nicht gewählt])-3/(--(SEARCH($A$41,PFL_Schutz_Drop_Down56[noch nicht gewählt])&gt;0)),ROW()-3)),"")</f>
        <v/>
      </c>
      <c r="AJ36" s="2200" t="str">
        <f>IFERROR(INDEX(PFL_Schutz_Drop_Down56[noch nicht gewählt],_xlfn.AGGREGATE(15,6,ROW(PFL_Schutz_Drop_Down56[noch nicht gewählt])-3/(--(SEARCH($A$43,PFL_Schutz_Drop_Down56[noch nicht gewählt])&gt;0)),ROW()-3)),"")</f>
        <v/>
      </c>
      <c r="AK36" s="2200" t="str">
        <f>IFERROR(INDEX(PFL_Schutz_Drop_Down56[noch nicht gewählt],_xlfn.AGGREGATE(15,6,ROW(PFL_Schutz_Drop_Down56[noch nicht gewählt])-3/(--(SEARCH($A$45,PFL_Schutz_Drop_Down56[noch nicht gewählt])&gt;0)),ROW()-3)),"")</f>
        <v/>
      </c>
      <c r="AL36" s="2200" t="str">
        <f>IFERROR(INDEX(PFL_Schutz_Drop_Down56[noch nicht gewählt],_xlfn.AGGREGATE(15,6,ROW(PFL_Schutz_Drop_Down56[noch nicht gewählt])-3/(--(SEARCH($A$47,PFL_Schutz_Drop_Down56[noch nicht gewählt])&gt;0)),ROW()-3)),"")</f>
        <v/>
      </c>
      <c r="AM36" s="2200" t="str">
        <f>IFERROR(INDEX(PFL_Schutz_Drop_Down56[noch nicht gewählt],_xlfn.AGGREGATE(15,6,ROW(PFL_Schutz_Drop_Down56[noch nicht gewählt])-3/(--(SEARCH($A$49,PFL_Schutz_Drop_Down56[noch nicht gewählt])&gt;0)),ROW()-3)),"")</f>
        <v/>
      </c>
      <c r="AN36" s="2200" t="str">
        <f>IFERROR(INDEX(PFL_Schutz_Drop_Down56[noch nicht gewählt],_xlfn.AGGREGATE(15,6,ROW(PFL_Schutz_Drop_Down56[noch nicht gewählt])-3/(--(SEARCH($A$51,PFL_Schutz_Drop_Down56[noch nicht gewählt])&gt;0)),ROW()-3)),"")</f>
        <v/>
      </c>
      <c r="AO36" s="2200" t="str">
        <f>IFERROR(INDEX(PFL_Schutz_Drop_Down56[noch nicht gewählt],_xlfn.AGGREGATE(15,6,ROW(PFL_Schutz_Drop_Down56[noch nicht gewählt])-3/(--(SEARCH($A$53,PFL_Schutz_Drop_Down56[noch nicht gewählt])&gt;0)),ROW()-3)),"")</f>
        <v/>
      </c>
      <c r="AP36" s="2200" t="str">
        <f>IFERROR(INDEX(PFL_Schutz_Drop_Down56[noch nicht gewählt],_xlfn.AGGREGATE(15,6,ROW(PFL_Schutz_Drop_Down56[noch nicht gewählt])-3/(--(SEARCH($A$55,PFL_Schutz_Drop_Down56[noch nicht gewählt])&gt;0)),ROW()-3)),"")</f>
        <v/>
      </c>
      <c r="AQ36" s="2200" t="str">
        <f>IFERROR(INDEX(PFL_Schutz_Drop_Down56[noch nicht gewählt],_xlfn.AGGREGATE(15,6,ROW(PFL_Schutz_Drop_Down56[noch nicht gewählt])-3/(--(SEARCH($A$57,PFL_Schutz_Drop_Down56[noch nicht gewählt])&gt;0)),ROW()-3)),"")</f>
        <v/>
      </c>
      <c r="AR36" s="2200" t="str">
        <f>IFERROR(INDEX(PFL_Schutz_Drop_Down56[noch nicht gewählt],_xlfn.AGGREGATE(15,6,ROW(PFL_Schutz_Drop_Down56[noch nicht gewählt])-3/(--(SEARCH($A$59,PFL_Schutz_Drop_Down56[noch nicht gewählt])&gt;0)),ROW()-3)),"")</f>
        <v/>
      </c>
      <c r="AS36" s="2200" t="str">
        <f>IFERROR(INDEX(PFL_Schutz_Drop_Down56[noch nicht gewählt],_xlfn.AGGREGATE(15,6,ROW(PFL_Schutz_Drop_Down56[noch nicht gewählt])-3/(--(SEARCH($A$61,PFL_Schutz_Drop_Down56[noch nicht gewählt])&gt;0)),ROW()-3)),"")</f>
        <v/>
      </c>
      <c r="AT36" s="2200" t="str">
        <f>IFERROR(INDEX(PFL_Schutz_Drop_Down56[noch nicht gewählt],_xlfn.AGGREGATE(15,6,ROW(PFL_Schutz_Drop_Down56[noch nicht gewählt])-3/(--(SEARCH($A$63,PFL_Schutz_Drop_Down56[noch nicht gewählt])&gt;0)),ROW()-3)),"")</f>
        <v/>
      </c>
      <c r="AU36" s="2200" t="str">
        <f>IFERROR(INDEX(PFL_Schutz_Drop_Down56[noch nicht gewählt],_xlfn.AGGREGATE(15,6,ROW(PFL_Schutz_Drop_Down56[noch nicht gewählt])-3/(--(SEARCH($A$65,PFL_Schutz_Drop_Down56[noch nicht gewählt])&gt;0)),ROW()-3)),"")</f>
        <v/>
      </c>
      <c r="AV36" s="2200" t="str">
        <f>IFERROR(INDEX(PFL_Schutz_Drop_Down56[noch nicht gewählt],_xlfn.AGGREGATE(15,6,ROW(PFL_Schutz_Drop_Down56[noch nicht gewählt])-3/(--(SEARCH($A$67,PFL_Schutz_Drop_Down56[noch nicht gewählt])&gt;0)),ROW()-3)),"")</f>
        <v/>
      </c>
      <c r="AW36" s="2200" t="str">
        <f>IFERROR(INDEX(PFL_Schutz_Drop_Down56[noch nicht gewählt],_xlfn.AGGREGATE(15,6,ROW(PFL_Schutz_Drop_Down56[noch nicht gewählt])-3/(--(SEARCH($A$69,PFL_Schutz_Drop_Down56[noch nicht gewählt])&gt;0)),ROW()-3)),"")</f>
        <v/>
      </c>
      <c r="AX36" s="2200" t="str">
        <f>IFERROR(INDEX(PFL_Schutz_Drop_Down56[noch nicht gewählt],_xlfn.AGGREGATE(15,6,ROW(PFL_Schutz_Drop_Down56[noch nicht gewählt])-3/(--(SEARCH($A$71,PFL_Schutz_Drop_Down56[noch nicht gewählt])&gt;0)),ROW()-3)),"")</f>
        <v/>
      </c>
      <c r="AY36" s="2200" t="str">
        <f>IFERROR(INDEX(PFL_Schutz_Drop_Down56[noch nicht gewählt],_xlfn.AGGREGATE(15,6,ROW(PFL_Schutz_Drop_Down56[noch nicht gewählt])-3/(--(SEARCH($A$73,PFL_Schutz_Drop_Down56[noch nicht gewählt])&gt;0)),ROW()-3)),"")</f>
        <v/>
      </c>
      <c r="AZ36" s="2201" t="str">
        <f>IFERROR(INDEX(PFL_Schutz_Drop_Down56[noch nicht gewählt],_xlfn.AGGREGATE(15,6,ROW(PFL_Schutz_Drop_Down56[noch nicht gewählt])-3/(--(SEARCH($A$75,PFL_Schutz_Drop_Down56[noch nicht gewählt])&gt;0)),ROW()-3)),"")</f>
        <v/>
      </c>
    </row>
    <row r="37" spans="1:52" ht="19.5" customHeight="1">
      <c r="A37" s="3098"/>
      <c r="B37" s="3102"/>
      <c r="C37" s="3102"/>
      <c r="D37" s="3087">
        <f>SUMIF(Pfl_Schutz!$E$4:$E$77,A37,Pfl_Schutz!$H$4:$H$77)</f>
        <v>0</v>
      </c>
      <c r="E37" s="3089" t="str">
        <f t="shared" si="17"/>
        <v/>
      </c>
      <c r="F37" s="3091">
        <f t="shared" ref="F37" si="19">IF(SUM(B37:C38)&gt;0,IF(ISBLANK(A37),"",B37+C37-D37),0)</f>
        <v>0</v>
      </c>
      <c r="G37" s="3095"/>
      <c r="H37" s="3096"/>
      <c r="I37" s="3097"/>
      <c r="R37" s="2195">
        <f>Pfl_Schutz!E37</f>
        <v>0</v>
      </c>
      <c r="S37" s="2202">
        <f>COUNTIF($R$4:PFL_Schutz_Drop_Down56[[#This Row],[Produktname]],PFL_Schutz_Drop_Down56[[#This Row],[Produktname]])</f>
        <v>34</v>
      </c>
      <c r="T37" s="2203" t="str">
        <f>IFERROR(INDEX(R:R,_xlfn.AGGREGATE(15,6,ROW(PFL_Schutz_Drop_Down56[Produktname])/(PFL_Schutz_Drop_Down56[Auftretend]=1),ROW()-3)),"")</f>
        <v/>
      </c>
      <c r="U37" s="2198" t="str">
        <f>IF(COUNTIF($A$17:$A$76,PFL_Schutz_Drop_Down56[[#This Row],[Produktname eindeutig]])&gt;=1,"",ROW())</f>
        <v/>
      </c>
      <c r="V37" s="2198" t="str">
        <f t="shared" si="0"/>
        <v/>
      </c>
      <c r="W37" s="2199" t="str">
        <f>IFERROR(INDEX(PFL_Schutz_Drop_Down56[noch nicht gewählt],_xlfn.AGGREGATE(15,6,ROW(PFL_Schutz_Drop_Down56[noch nicht gewählt])-3/(--(SEARCH($A$17,PFL_Schutz_Drop_Down56[noch nicht gewählt])&gt;0)),ROW()-3)),"")</f>
        <v/>
      </c>
      <c r="X37" s="2175" t="str">
        <f>IFERROR(INDEX(PFL_Schutz_Drop_Down56[noch nicht gewählt],_xlfn.AGGREGATE(15,6,ROW(PFL_Schutz_Drop_Down56[noch nicht gewählt])-3/(--(SEARCH($A$19,PFL_Schutz_Drop_Down56[noch nicht gewählt])&gt;0)),ROW()-3)),"")</f>
        <v/>
      </c>
      <c r="Y37" s="2175" t="str">
        <f>IFERROR(INDEX(PFL_Schutz_Drop_Down56[noch nicht gewählt],_xlfn.AGGREGATE(15,6,ROW(PFL_Schutz_Drop_Down56[noch nicht gewählt])-3/(--(SEARCH($A$21,PFL_Schutz_Drop_Down56[noch nicht gewählt])&gt;0)),ROW()-3)),"")</f>
        <v/>
      </c>
      <c r="Z37" s="2200" t="str">
        <f>IFERROR(INDEX(PFL_Schutz_Drop_Down56[noch nicht gewählt],_xlfn.AGGREGATE(15,6,ROW(PFL_Schutz_Drop_Down56[noch nicht gewählt])-3/(--(SEARCH($A$23,PFL_Schutz_Drop_Down56[noch nicht gewählt])&gt;0)),ROW()-3)),"")</f>
        <v/>
      </c>
      <c r="AA37" s="2200" t="str">
        <f>IFERROR(INDEX(PFL_Schutz_Drop_Down56[noch nicht gewählt],_xlfn.AGGREGATE(15,6,ROW(PFL_Schutz_Drop_Down56[noch nicht gewählt])-3/(--(SEARCH($A$25,PFL_Schutz_Drop_Down56[noch nicht gewählt])&gt;0)),ROW()-3)),"")</f>
        <v/>
      </c>
      <c r="AB37" s="2200" t="str">
        <f>IFERROR(INDEX(PFL_Schutz_Drop_Down56[noch nicht gewählt],_xlfn.AGGREGATE(15,6,ROW(PFL_Schutz_Drop_Down56[noch nicht gewählt])-3/(--(SEARCH($A$27,PFL_Schutz_Drop_Down56[noch nicht gewählt])&gt;0)),ROW()-3)),"")</f>
        <v/>
      </c>
      <c r="AC37" s="2200" t="str">
        <f>IFERROR(INDEX(PFL_Schutz_Drop_Down56[noch nicht gewählt],_xlfn.AGGREGATE(15,6,ROW(PFL_Schutz_Drop_Down56[noch nicht gewählt])-3/(--(SEARCH($A$29,PFL_Schutz_Drop_Down56[noch nicht gewählt])&gt;0)),ROW()-3)),"")</f>
        <v/>
      </c>
      <c r="AD37" s="2200" t="str">
        <f>IFERROR(INDEX(PFL_Schutz_Drop_Down56[noch nicht gewählt],_xlfn.AGGREGATE(15,6,ROW(PFL_Schutz_Drop_Down56[noch nicht gewählt])-3/(--(SEARCH($A$31,PFL_Schutz_Drop_Down56[noch nicht gewählt])&gt;0)),ROW()-3)),"")</f>
        <v/>
      </c>
      <c r="AE37" s="2200" t="str">
        <f>IFERROR(INDEX(PFL_Schutz_Drop_Down56[noch nicht gewählt],_xlfn.AGGREGATE(15,6,ROW(PFL_Schutz_Drop_Down56[noch nicht gewählt])-3/(--(SEARCH($A$33,PFL_Schutz_Drop_Down56[noch nicht gewählt])&gt;0)),ROW()-3)),"")</f>
        <v/>
      </c>
      <c r="AF37" s="2200" t="str">
        <f>IFERROR(INDEX(PFL_Schutz_Drop_Down56[noch nicht gewählt],_xlfn.AGGREGATE(15,6,ROW(PFL_Schutz_Drop_Down56[noch nicht gewählt])-3/(--(SEARCH($A$35,PFL_Schutz_Drop_Down56[noch nicht gewählt])&gt;0)),ROW()-3)),"")</f>
        <v/>
      </c>
      <c r="AG37" s="2200" t="str">
        <f>IFERROR(INDEX(PFL_Schutz_Drop_Down56[noch nicht gewählt],_xlfn.AGGREGATE(15,6,ROW(PFL_Schutz_Drop_Down56[noch nicht gewählt])-3/(--(SEARCH($A$37,PFL_Schutz_Drop_Down56[noch nicht gewählt])&gt;0)),ROW()-3)),"")</f>
        <v/>
      </c>
      <c r="AH37" s="2200" t="str">
        <f>IFERROR(INDEX(PFL_Schutz_Drop_Down56[noch nicht gewählt],_xlfn.AGGREGATE(15,6,ROW(PFL_Schutz_Drop_Down56[noch nicht gewählt])-3/(--(SEARCH($A$39,PFL_Schutz_Drop_Down56[noch nicht gewählt])&gt;0)),ROW()-3)),"")</f>
        <v/>
      </c>
      <c r="AI37" s="2200" t="str">
        <f>IFERROR(INDEX(PFL_Schutz_Drop_Down56[noch nicht gewählt],_xlfn.AGGREGATE(15,6,ROW(PFL_Schutz_Drop_Down56[noch nicht gewählt])-3/(--(SEARCH($A$41,PFL_Schutz_Drop_Down56[noch nicht gewählt])&gt;0)),ROW()-3)),"")</f>
        <v/>
      </c>
      <c r="AJ37" s="2200" t="str">
        <f>IFERROR(INDEX(PFL_Schutz_Drop_Down56[noch nicht gewählt],_xlfn.AGGREGATE(15,6,ROW(PFL_Schutz_Drop_Down56[noch nicht gewählt])-3/(--(SEARCH($A$43,PFL_Schutz_Drop_Down56[noch nicht gewählt])&gt;0)),ROW()-3)),"")</f>
        <v/>
      </c>
      <c r="AK37" s="2200" t="str">
        <f>IFERROR(INDEX(PFL_Schutz_Drop_Down56[noch nicht gewählt],_xlfn.AGGREGATE(15,6,ROW(PFL_Schutz_Drop_Down56[noch nicht gewählt])-3/(--(SEARCH($A$45,PFL_Schutz_Drop_Down56[noch nicht gewählt])&gt;0)),ROW()-3)),"")</f>
        <v/>
      </c>
      <c r="AL37" s="2200" t="str">
        <f>IFERROR(INDEX(PFL_Schutz_Drop_Down56[noch nicht gewählt],_xlfn.AGGREGATE(15,6,ROW(PFL_Schutz_Drop_Down56[noch nicht gewählt])-3/(--(SEARCH($A$47,PFL_Schutz_Drop_Down56[noch nicht gewählt])&gt;0)),ROW()-3)),"")</f>
        <v/>
      </c>
      <c r="AM37" s="2200" t="str">
        <f>IFERROR(INDEX(PFL_Schutz_Drop_Down56[noch nicht gewählt],_xlfn.AGGREGATE(15,6,ROW(PFL_Schutz_Drop_Down56[noch nicht gewählt])-3/(--(SEARCH($A$49,PFL_Schutz_Drop_Down56[noch nicht gewählt])&gt;0)),ROW()-3)),"")</f>
        <v/>
      </c>
      <c r="AN37" s="2200" t="str">
        <f>IFERROR(INDEX(PFL_Schutz_Drop_Down56[noch nicht gewählt],_xlfn.AGGREGATE(15,6,ROW(PFL_Schutz_Drop_Down56[noch nicht gewählt])-3/(--(SEARCH($A$51,PFL_Schutz_Drop_Down56[noch nicht gewählt])&gt;0)),ROW()-3)),"")</f>
        <v/>
      </c>
      <c r="AO37" s="2200" t="str">
        <f>IFERROR(INDEX(PFL_Schutz_Drop_Down56[noch nicht gewählt],_xlfn.AGGREGATE(15,6,ROW(PFL_Schutz_Drop_Down56[noch nicht gewählt])-3/(--(SEARCH($A$53,PFL_Schutz_Drop_Down56[noch nicht gewählt])&gt;0)),ROW()-3)),"")</f>
        <v/>
      </c>
      <c r="AP37" s="2200" t="str">
        <f>IFERROR(INDEX(PFL_Schutz_Drop_Down56[noch nicht gewählt],_xlfn.AGGREGATE(15,6,ROW(PFL_Schutz_Drop_Down56[noch nicht gewählt])-3/(--(SEARCH($A$55,PFL_Schutz_Drop_Down56[noch nicht gewählt])&gt;0)),ROW()-3)),"")</f>
        <v/>
      </c>
      <c r="AQ37" s="2200" t="str">
        <f>IFERROR(INDEX(PFL_Schutz_Drop_Down56[noch nicht gewählt],_xlfn.AGGREGATE(15,6,ROW(PFL_Schutz_Drop_Down56[noch nicht gewählt])-3/(--(SEARCH($A$57,PFL_Schutz_Drop_Down56[noch nicht gewählt])&gt;0)),ROW()-3)),"")</f>
        <v/>
      </c>
      <c r="AR37" s="2200" t="str">
        <f>IFERROR(INDEX(PFL_Schutz_Drop_Down56[noch nicht gewählt],_xlfn.AGGREGATE(15,6,ROW(PFL_Schutz_Drop_Down56[noch nicht gewählt])-3/(--(SEARCH($A$59,PFL_Schutz_Drop_Down56[noch nicht gewählt])&gt;0)),ROW()-3)),"")</f>
        <v/>
      </c>
      <c r="AS37" s="2200" t="str">
        <f>IFERROR(INDEX(PFL_Schutz_Drop_Down56[noch nicht gewählt],_xlfn.AGGREGATE(15,6,ROW(PFL_Schutz_Drop_Down56[noch nicht gewählt])-3/(--(SEARCH($A$61,PFL_Schutz_Drop_Down56[noch nicht gewählt])&gt;0)),ROW()-3)),"")</f>
        <v/>
      </c>
      <c r="AT37" s="2200" t="str">
        <f>IFERROR(INDEX(PFL_Schutz_Drop_Down56[noch nicht gewählt],_xlfn.AGGREGATE(15,6,ROW(PFL_Schutz_Drop_Down56[noch nicht gewählt])-3/(--(SEARCH($A$63,PFL_Schutz_Drop_Down56[noch nicht gewählt])&gt;0)),ROW()-3)),"")</f>
        <v/>
      </c>
      <c r="AU37" s="2200" t="str">
        <f>IFERROR(INDEX(PFL_Schutz_Drop_Down56[noch nicht gewählt],_xlfn.AGGREGATE(15,6,ROW(PFL_Schutz_Drop_Down56[noch nicht gewählt])-3/(--(SEARCH($A$65,PFL_Schutz_Drop_Down56[noch nicht gewählt])&gt;0)),ROW()-3)),"")</f>
        <v/>
      </c>
      <c r="AV37" s="2200" t="str">
        <f>IFERROR(INDEX(PFL_Schutz_Drop_Down56[noch nicht gewählt],_xlfn.AGGREGATE(15,6,ROW(PFL_Schutz_Drop_Down56[noch nicht gewählt])-3/(--(SEARCH($A$67,PFL_Schutz_Drop_Down56[noch nicht gewählt])&gt;0)),ROW()-3)),"")</f>
        <v/>
      </c>
      <c r="AW37" s="2200" t="str">
        <f>IFERROR(INDEX(PFL_Schutz_Drop_Down56[noch nicht gewählt],_xlfn.AGGREGATE(15,6,ROW(PFL_Schutz_Drop_Down56[noch nicht gewählt])-3/(--(SEARCH($A$69,PFL_Schutz_Drop_Down56[noch nicht gewählt])&gt;0)),ROW()-3)),"")</f>
        <v/>
      </c>
      <c r="AX37" s="2200" t="str">
        <f>IFERROR(INDEX(PFL_Schutz_Drop_Down56[noch nicht gewählt],_xlfn.AGGREGATE(15,6,ROW(PFL_Schutz_Drop_Down56[noch nicht gewählt])-3/(--(SEARCH($A$71,PFL_Schutz_Drop_Down56[noch nicht gewählt])&gt;0)),ROW()-3)),"")</f>
        <v/>
      </c>
      <c r="AY37" s="2200" t="str">
        <f>IFERROR(INDEX(PFL_Schutz_Drop_Down56[noch nicht gewählt],_xlfn.AGGREGATE(15,6,ROW(PFL_Schutz_Drop_Down56[noch nicht gewählt])-3/(--(SEARCH($A$73,PFL_Schutz_Drop_Down56[noch nicht gewählt])&gt;0)),ROW()-3)),"")</f>
        <v/>
      </c>
      <c r="AZ37" s="2201" t="str">
        <f>IFERROR(INDEX(PFL_Schutz_Drop_Down56[noch nicht gewählt],_xlfn.AGGREGATE(15,6,ROW(PFL_Schutz_Drop_Down56[noch nicht gewählt])-3/(--(SEARCH($A$75,PFL_Schutz_Drop_Down56[noch nicht gewählt])&gt;0)),ROW()-3)),"")</f>
        <v/>
      </c>
    </row>
    <row r="38" spans="1:52" ht="19.5" customHeight="1">
      <c r="A38" s="3099"/>
      <c r="B38" s="3103"/>
      <c r="C38" s="3103"/>
      <c r="D38" s="3087"/>
      <c r="E38" s="3089"/>
      <c r="F38" s="3091"/>
      <c r="G38" s="3095"/>
      <c r="H38" s="3096"/>
      <c r="I38" s="3097"/>
      <c r="R38" s="2195">
        <f>Pfl_Schutz!E38</f>
        <v>0</v>
      </c>
      <c r="S38" s="2202">
        <f>COUNTIF($R$4:PFL_Schutz_Drop_Down56[[#This Row],[Produktname]],PFL_Schutz_Drop_Down56[[#This Row],[Produktname]])</f>
        <v>35</v>
      </c>
      <c r="T38" s="2203" t="str">
        <f>IFERROR(INDEX(R:R,_xlfn.AGGREGATE(15,6,ROW(PFL_Schutz_Drop_Down56[Produktname])/(PFL_Schutz_Drop_Down56[Auftretend]=1),ROW()-3)),"")</f>
        <v/>
      </c>
      <c r="U38" s="2198" t="str">
        <f>IF(COUNTIF($A$17:$A$76,PFL_Schutz_Drop_Down56[[#This Row],[Produktname eindeutig]])&gt;=1,"",ROW())</f>
        <v/>
      </c>
      <c r="V38" s="2198" t="str">
        <f t="shared" si="0"/>
        <v/>
      </c>
      <c r="W38" s="2199" t="str">
        <f>IFERROR(INDEX(PFL_Schutz_Drop_Down56[noch nicht gewählt],_xlfn.AGGREGATE(15,6,ROW(PFL_Schutz_Drop_Down56[noch nicht gewählt])-3/(--(SEARCH($A$17,PFL_Schutz_Drop_Down56[noch nicht gewählt])&gt;0)),ROW()-3)),"")</f>
        <v/>
      </c>
      <c r="X38" s="2175" t="str">
        <f>IFERROR(INDEX(PFL_Schutz_Drop_Down56[noch nicht gewählt],_xlfn.AGGREGATE(15,6,ROW(PFL_Schutz_Drop_Down56[noch nicht gewählt])-3/(--(SEARCH($A$19,PFL_Schutz_Drop_Down56[noch nicht gewählt])&gt;0)),ROW()-3)),"")</f>
        <v/>
      </c>
      <c r="Y38" s="2175" t="str">
        <f>IFERROR(INDEX(PFL_Schutz_Drop_Down56[noch nicht gewählt],_xlfn.AGGREGATE(15,6,ROW(PFL_Schutz_Drop_Down56[noch nicht gewählt])-3/(--(SEARCH($A$21,PFL_Schutz_Drop_Down56[noch nicht gewählt])&gt;0)),ROW()-3)),"")</f>
        <v/>
      </c>
      <c r="Z38" s="2200" t="str">
        <f>IFERROR(INDEX(PFL_Schutz_Drop_Down56[noch nicht gewählt],_xlfn.AGGREGATE(15,6,ROW(PFL_Schutz_Drop_Down56[noch nicht gewählt])-3/(--(SEARCH($A$23,PFL_Schutz_Drop_Down56[noch nicht gewählt])&gt;0)),ROW()-3)),"")</f>
        <v/>
      </c>
      <c r="AA38" s="2200" t="str">
        <f>IFERROR(INDEX(PFL_Schutz_Drop_Down56[noch nicht gewählt],_xlfn.AGGREGATE(15,6,ROW(PFL_Schutz_Drop_Down56[noch nicht gewählt])-3/(--(SEARCH($A$25,PFL_Schutz_Drop_Down56[noch nicht gewählt])&gt;0)),ROW()-3)),"")</f>
        <v/>
      </c>
      <c r="AB38" s="2200" t="str">
        <f>IFERROR(INDEX(PFL_Schutz_Drop_Down56[noch nicht gewählt],_xlfn.AGGREGATE(15,6,ROW(PFL_Schutz_Drop_Down56[noch nicht gewählt])-3/(--(SEARCH($A$27,PFL_Schutz_Drop_Down56[noch nicht gewählt])&gt;0)),ROW()-3)),"")</f>
        <v/>
      </c>
      <c r="AC38" s="2200" t="str">
        <f>IFERROR(INDEX(PFL_Schutz_Drop_Down56[noch nicht gewählt],_xlfn.AGGREGATE(15,6,ROW(PFL_Schutz_Drop_Down56[noch nicht gewählt])-3/(--(SEARCH($A$29,PFL_Schutz_Drop_Down56[noch nicht gewählt])&gt;0)),ROW()-3)),"")</f>
        <v/>
      </c>
      <c r="AD38" s="2200" t="str">
        <f>IFERROR(INDEX(PFL_Schutz_Drop_Down56[noch nicht gewählt],_xlfn.AGGREGATE(15,6,ROW(PFL_Schutz_Drop_Down56[noch nicht gewählt])-3/(--(SEARCH($A$31,PFL_Schutz_Drop_Down56[noch nicht gewählt])&gt;0)),ROW()-3)),"")</f>
        <v/>
      </c>
      <c r="AE38" s="2200" t="str">
        <f>IFERROR(INDEX(PFL_Schutz_Drop_Down56[noch nicht gewählt],_xlfn.AGGREGATE(15,6,ROW(PFL_Schutz_Drop_Down56[noch nicht gewählt])-3/(--(SEARCH($A$33,PFL_Schutz_Drop_Down56[noch nicht gewählt])&gt;0)),ROW()-3)),"")</f>
        <v/>
      </c>
      <c r="AF38" s="2200" t="str">
        <f>IFERROR(INDEX(PFL_Schutz_Drop_Down56[noch nicht gewählt],_xlfn.AGGREGATE(15,6,ROW(PFL_Schutz_Drop_Down56[noch nicht gewählt])-3/(--(SEARCH($A$35,PFL_Schutz_Drop_Down56[noch nicht gewählt])&gt;0)),ROW()-3)),"")</f>
        <v/>
      </c>
      <c r="AG38" s="2200" t="str">
        <f>IFERROR(INDEX(PFL_Schutz_Drop_Down56[noch nicht gewählt],_xlfn.AGGREGATE(15,6,ROW(PFL_Schutz_Drop_Down56[noch nicht gewählt])-3/(--(SEARCH($A$37,PFL_Schutz_Drop_Down56[noch nicht gewählt])&gt;0)),ROW()-3)),"")</f>
        <v/>
      </c>
      <c r="AH38" s="2200" t="str">
        <f>IFERROR(INDEX(PFL_Schutz_Drop_Down56[noch nicht gewählt],_xlfn.AGGREGATE(15,6,ROW(PFL_Schutz_Drop_Down56[noch nicht gewählt])-3/(--(SEARCH($A$39,PFL_Schutz_Drop_Down56[noch nicht gewählt])&gt;0)),ROW()-3)),"")</f>
        <v/>
      </c>
      <c r="AI38" s="2200" t="str">
        <f>IFERROR(INDEX(PFL_Schutz_Drop_Down56[noch nicht gewählt],_xlfn.AGGREGATE(15,6,ROW(PFL_Schutz_Drop_Down56[noch nicht gewählt])-3/(--(SEARCH($A$41,PFL_Schutz_Drop_Down56[noch nicht gewählt])&gt;0)),ROW()-3)),"")</f>
        <v/>
      </c>
      <c r="AJ38" s="2200" t="str">
        <f>IFERROR(INDEX(PFL_Schutz_Drop_Down56[noch nicht gewählt],_xlfn.AGGREGATE(15,6,ROW(PFL_Schutz_Drop_Down56[noch nicht gewählt])-3/(--(SEARCH($A$43,PFL_Schutz_Drop_Down56[noch nicht gewählt])&gt;0)),ROW()-3)),"")</f>
        <v/>
      </c>
      <c r="AK38" s="2200" t="str">
        <f>IFERROR(INDEX(PFL_Schutz_Drop_Down56[noch nicht gewählt],_xlfn.AGGREGATE(15,6,ROW(PFL_Schutz_Drop_Down56[noch nicht gewählt])-3/(--(SEARCH($A$45,PFL_Schutz_Drop_Down56[noch nicht gewählt])&gt;0)),ROW()-3)),"")</f>
        <v/>
      </c>
      <c r="AL38" s="2200" t="str">
        <f>IFERROR(INDEX(PFL_Schutz_Drop_Down56[noch nicht gewählt],_xlfn.AGGREGATE(15,6,ROW(PFL_Schutz_Drop_Down56[noch nicht gewählt])-3/(--(SEARCH($A$47,PFL_Schutz_Drop_Down56[noch nicht gewählt])&gt;0)),ROW()-3)),"")</f>
        <v/>
      </c>
      <c r="AM38" s="2200" t="str">
        <f>IFERROR(INDEX(PFL_Schutz_Drop_Down56[noch nicht gewählt],_xlfn.AGGREGATE(15,6,ROW(PFL_Schutz_Drop_Down56[noch nicht gewählt])-3/(--(SEARCH($A$49,PFL_Schutz_Drop_Down56[noch nicht gewählt])&gt;0)),ROW()-3)),"")</f>
        <v/>
      </c>
      <c r="AN38" s="2200" t="str">
        <f>IFERROR(INDEX(PFL_Schutz_Drop_Down56[noch nicht gewählt],_xlfn.AGGREGATE(15,6,ROW(PFL_Schutz_Drop_Down56[noch nicht gewählt])-3/(--(SEARCH($A$51,PFL_Schutz_Drop_Down56[noch nicht gewählt])&gt;0)),ROW()-3)),"")</f>
        <v/>
      </c>
      <c r="AO38" s="2200" t="str">
        <f>IFERROR(INDEX(PFL_Schutz_Drop_Down56[noch nicht gewählt],_xlfn.AGGREGATE(15,6,ROW(PFL_Schutz_Drop_Down56[noch nicht gewählt])-3/(--(SEARCH($A$53,PFL_Schutz_Drop_Down56[noch nicht gewählt])&gt;0)),ROW()-3)),"")</f>
        <v/>
      </c>
      <c r="AP38" s="2200" t="str">
        <f>IFERROR(INDEX(PFL_Schutz_Drop_Down56[noch nicht gewählt],_xlfn.AGGREGATE(15,6,ROW(PFL_Schutz_Drop_Down56[noch nicht gewählt])-3/(--(SEARCH($A$55,PFL_Schutz_Drop_Down56[noch nicht gewählt])&gt;0)),ROW()-3)),"")</f>
        <v/>
      </c>
      <c r="AQ38" s="2200" t="str">
        <f>IFERROR(INDEX(PFL_Schutz_Drop_Down56[noch nicht gewählt],_xlfn.AGGREGATE(15,6,ROW(PFL_Schutz_Drop_Down56[noch nicht gewählt])-3/(--(SEARCH($A$57,PFL_Schutz_Drop_Down56[noch nicht gewählt])&gt;0)),ROW()-3)),"")</f>
        <v/>
      </c>
      <c r="AR38" s="2200" t="str">
        <f>IFERROR(INDEX(PFL_Schutz_Drop_Down56[noch nicht gewählt],_xlfn.AGGREGATE(15,6,ROW(PFL_Schutz_Drop_Down56[noch nicht gewählt])-3/(--(SEARCH($A$59,PFL_Schutz_Drop_Down56[noch nicht gewählt])&gt;0)),ROW()-3)),"")</f>
        <v/>
      </c>
      <c r="AS38" s="2200" t="str">
        <f>IFERROR(INDEX(PFL_Schutz_Drop_Down56[noch nicht gewählt],_xlfn.AGGREGATE(15,6,ROW(PFL_Schutz_Drop_Down56[noch nicht gewählt])-3/(--(SEARCH($A$61,PFL_Schutz_Drop_Down56[noch nicht gewählt])&gt;0)),ROW()-3)),"")</f>
        <v/>
      </c>
      <c r="AT38" s="2200" t="str">
        <f>IFERROR(INDEX(PFL_Schutz_Drop_Down56[noch nicht gewählt],_xlfn.AGGREGATE(15,6,ROW(PFL_Schutz_Drop_Down56[noch nicht gewählt])-3/(--(SEARCH($A$63,PFL_Schutz_Drop_Down56[noch nicht gewählt])&gt;0)),ROW()-3)),"")</f>
        <v/>
      </c>
      <c r="AU38" s="2200" t="str">
        <f>IFERROR(INDEX(PFL_Schutz_Drop_Down56[noch nicht gewählt],_xlfn.AGGREGATE(15,6,ROW(PFL_Schutz_Drop_Down56[noch nicht gewählt])-3/(--(SEARCH($A$65,PFL_Schutz_Drop_Down56[noch nicht gewählt])&gt;0)),ROW()-3)),"")</f>
        <v/>
      </c>
      <c r="AV38" s="2200" t="str">
        <f>IFERROR(INDEX(PFL_Schutz_Drop_Down56[noch nicht gewählt],_xlfn.AGGREGATE(15,6,ROW(PFL_Schutz_Drop_Down56[noch nicht gewählt])-3/(--(SEARCH($A$67,PFL_Schutz_Drop_Down56[noch nicht gewählt])&gt;0)),ROW()-3)),"")</f>
        <v/>
      </c>
      <c r="AW38" s="2200" t="str">
        <f>IFERROR(INDEX(PFL_Schutz_Drop_Down56[noch nicht gewählt],_xlfn.AGGREGATE(15,6,ROW(PFL_Schutz_Drop_Down56[noch nicht gewählt])-3/(--(SEARCH($A$69,PFL_Schutz_Drop_Down56[noch nicht gewählt])&gt;0)),ROW()-3)),"")</f>
        <v/>
      </c>
      <c r="AX38" s="2200" t="str">
        <f>IFERROR(INDEX(PFL_Schutz_Drop_Down56[noch nicht gewählt],_xlfn.AGGREGATE(15,6,ROW(PFL_Schutz_Drop_Down56[noch nicht gewählt])-3/(--(SEARCH($A$71,PFL_Schutz_Drop_Down56[noch nicht gewählt])&gt;0)),ROW()-3)),"")</f>
        <v/>
      </c>
      <c r="AY38" s="2200" t="str">
        <f>IFERROR(INDEX(PFL_Schutz_Drop_Down56[noch nicht gewählt],_xlfn.AGGREGATE(15,6,ROW(PFL_Schutz_Drop_Down56[noch nicht gewählt])-3/(--(SEARCH($A$73,PFL_Schutz_Drop_Down56[noch nicht gewählt])&gt;0)),ROW()-3)),"")</f>
        <v/>
      </c>
      <c r="AZ38" s="2201" t="str">
        <f>IFERROR(INDEX(PFL_Schutz_Drop_Down56[noch nicht gewählt],_xlfn.AGGREGATE(15,6,ROW(PFL_Schutz_Drop_Down56[noch nicht gewählt])-3/(--(SEARCH($A$75,PFL_Schutz_Drop_Down56[noch nicht gewählt])&gt;0)),ROW()-3)),"")</f>
        <v/>
      </c>
    </row>
    <row r="39" spans="1:52" ht="19.5" customHeight="1">
      <c r="A39" s="3098"/>
      <c r="B39" s="3102"/>
      <c r="C39" s="3102"/>
      <c r="D39" s="3087">
        <f>SUMIF(Pfl_Schutz!$E$4:$E$77,A39,Pfl_Schutz!$H$4:$H$77)</f>
        <v>0</v>
      </c>
      <c r="E39" s="3089" t="str">
        <f t="shared" si="17"/>
        <v/>
      </c>
      <c r="F39" s="3091">
        <f t="shared" ref="F39" si="20">IF(SUM(B39:C40)&gt;0,IF(ISBLANK(A39),"",B39+C39-D39),0)</f>
        <v>0</v>
      </c>
      <c r="G39" s="3095"/>
      <c r="H39" s="3096"/>
      <c r="I39" s="3097"/>
      <c r="R39" s="2195">
        <f>Pfl_Schutz!E39</f>
        <v>0</v>
      </c>
      <c r="S39" s="2202">
        <f>COUNTIF($R$4:PFL_Schutz_Drop_Down56[[#This Row],[Produktname]],PFL_Schutz_Drop_Down56[[#This Row],[Produktname]])</f>
        <v>36</v>
      </c>
      <c r="T39" s="2203" t="str">
        <f>IFERROR(INDEX(R:R,_xlfn.AGGREGATE(15,6,ROW(PFL_Schutz_Drop_Down56[Produktname])/(PFL_Schutz_Drop_Down56[Auftretend]=1),ROW()-3)),"")</f>
        <v/>
      </c>
      <c r="U39" s="2198" t="str">
        <f>IF(COUNTIF($A$17:$A$76,PFL_Schutz_Drop_Down56[[#This Row],[Produktname eindeutig]])&gt;=1,"",ROW())</f>
        <v/>
      </c>
      <c r="V39" s="2198" t="str">
        <f t="shared" si="0"/>
        <v/>
      </c>
      <c r="W39" s="2199" t="str">
        <f>IFERROR(INDEX(PFL_Schutz_Drop_Down56[noch nicht gewählt],_xlfn.AGGREGATE(15,6,ROW(PFL_Schutz_Drop_Down56[noch nicht gewählt])-3/(--(SEARCH($A$17,PFL_Schutz_Drop_Down56[noch nicht gewählt])&gt;0)),ROW()-3)),"")</f>
        <v/>
      </c>
      <c r="X39" s="2175" t="str">
        <f>IFERROR(INDEX(PFL_Schutz_Drop_Down56[noch nicht gewählt],_xlfn.AGGREGATE(15,6,ROW(PFL_Schutz_Drop_Down56[noch nicht gewählt])-3/(--(SEARCH($A$19,PFL_Schutz_Drop_Down56[noch nicht gewählt])&gt;0)),ROW()-3)),"")</f>
        <v/>
      </c>
      <c r="Y39" s="2175" t="str">
        <f>IFERROR(INDEX(PFL_Schutz_Drop_Down56[noch nicht gewählt],_xlfn.AGGREGATE(15,6,ROW(PFL_Schutz_Drop_Down56[noch nicht gewählt])-3/(--(SEARCH($A$21,PFL_Schutz_Drop_Down56[noch nicht gewählt])&gt;0)),ROW()-3)),"")</f>
        <v/>
      </c>
      <c r="Z39" s="2200" t="str">
        <f>IFERROR(INDEX(PFL_Schutz_Drop_Down56[noch nicht gewählt],_xlfn.AGGREGATE(15,6,ROW(PFL_Schutz_Drop_Down56[noch nicht gewählt])-3/(--(SEARCH($A$23,PFL_Schutz_Drop_Down56[noch nicht gewählt])&gt;0)),ROW()-3)),"")</f>
        <v/>
      </c>
      <c r="AA39" s="2200" t="str">
        <f>IFERROR(INDEX(PFL_Schutz_Drop_Down56[noch nicht gewählt],_xlfn.AGGREGATE(15,6,ROW(PFL_Schutz_Drop_Down56[noch nicht gewählt])-3/(--(SEARCH($A$25,PFL_Schutz_Drop_Down56[noch nicht gewählt])&gt;0)),ROW()-3)),"")</f>
        <v/>
      </c>
      <c r="AB39" s="2200" t="str">
        <f>IFERROR(INDEX(PFL_Schutz_Drop_Down56[noch nicht gewählt],_xlfn.AGGREGATE(15,6,ROW(PFL_Schutz_Drop_Down56[noch nicht gewählt])-3/(--(SEARCH($A$27,PFL_Schutz_Drop_Down56[noch nicht gewählt])&gt;0)),ROW()-3)),"")</f>
        <v/>
      </c>
      <c r="AC39" s="2200" t="str">
        <f>IFERROR(INDEX(PFL_Schutz_Drop_Down56[noch nicht gewählt],_xlfn.AGGREGATE(15,6,ROW(PFL_Schutz_Drop_Down56[noch nicht gewählt])-3/(--(SEARCH($A$29,PFL_Schutz_Drop_Down56[noch nicht gewählt])&gt;0)),ROW()-3)),"")</f>
        <v/>
      </c>
      <c r="AD39" s="2200" t="str">
        <f>IFERROR(INDEX(PFL_Schutz_Drop_Down56[noch nicht gewählt],_xlfn.AGGREGATE(15,6,ROW(PFL_Schutz_Drop_Down56[noch nicht gewählt])-3/(--(SEARCH($A$31,PFL_Schutz_Drop_Down56[noch nicht gewählt])&gt;0)),ROW()-3)),"")</f>
        <v/>
      </c>
      <c r="AE39" s="2200" t="str">
        <f>IFERROR(INDEX(PFL_Schutz_Drop_Down56[noch nicht gewählt],_xlfn.AGGREGATE(15,6,ROW(PFL_Schutz_Drop_Down56[noch nicht gewählt])-3/(--(SEARCH($A$33,PFL_Schutz_Drop_Down56[noch nicht gewählt])&gt;0)),ROW()-3)),"")</f>
        <v/>
      </c>
      <c r="AF39" s="2200" t="str">
        <f>IFERROR(INDEX(PFL_Schutz_Drop_Down56[noch nicht gewählt],_xlfn.AGGREGATE(15,6,ROW(PFL_Schutz_Drop_Down56[noch nicht gewählt])-3/(--(SEARCH($A$35,PFL_Schutz_Drop_Down56[noch nicht gewählt])&gt;0)),ROW()-3)),"")</f>
        <v/>
      </c>
      <c r="AG39" s="2200" t="str">
        <f>IFERROR(INDEX(PFL_Schutz_Drop_Down56[noch nicht gewählt],_xlfn.AGGREGATE(15,6,ROW(PFL_Schutz_Drop_Down56[noch nicht gewählt])-3/(--(SEARCH($A$37,PFL_Schutz_Drop_Down56[noch nicht gewählt])&gt;0)),ROW()-3)),"")</f>
        <v/>
      </c>
      <c r="AH39" s="2200" t="str">
        <f>IFERROR(INDEX(PFL_Schutz_Drop_Down56[noch nicht gewählt],_xlfn.AGGREGATE(15,6,ROW(PFL_Schutz_Drop_Down56[noch nicht gewählt])-3/(--(SEARCH($A$39,PFL_Schutz_Drop_Down56[noch nicht gewählt])&gt;0)),ROW()-3)),"")</f>
        <v/>
      </c>
      <c r="AI39" s="2200" t="str">
        <f>IFERROR(INDEX(PFL_Schutz_Drop_Down56[noch nicht gewählt],_xlfn.AGGREGATE(15,6,ROW(PFL_Schutz_Drop_Down56[noch nicht gewählt])-3/(--(SEARCH($A$41,PFL_Schutz_Drop_Down56[noch nicht gewählt])&gt;0)),ROW()-3)),"")</f>
        <v/>
      </c>
      <c r="AJ39" s="2200" t="str">
        <f>IFERROR(INDEX(PFL_Schutz_Drop_Down56[noch nicht gewählt],_xlfn.AGGREGATE(15,6,ROW(PFL_Schutz_Drop_Down56[noch nicht gewählt])-3/(--(SEARCH($A$43,PFL_Schutz_Drop_Down56[noch nicht gewählt])&gt;0)),ROW()-3)),"")</f>
        <v/>
      </c>
      <c r="AK39" s="2200" t="str">
        <f>IFERROR(INDEX(PFL_Schutz_Drop_Down56[noch nicht gewählt],_xlfn.AGGREGATE(15,6,ROW(PFL_Schutz_Drop_Down56[noch nicht gewählt])-3/(--(SEARCH($A$45,PFL_Schutz_Drop_Down56[noch nicht gewählt])&gt;0)),ROW()-3)),"")</f>
        <v/>
      </c>
      <c r="AL39" s="2200" t="str">
        <f>IFERROR(INDEX(PFL_Schutz_Drop_Down56[noch nicht gewählt],_xlfn.AGGREGATE(15,6,ROW(PFL_Schutz_Drop_Down56[noch nicht gewählt])-3/(--(SEARCH($A$47,PFL_Schutz_Drop_Down56[noch nicht gewählt])&gt;0)),ROW()-3)),"")</f>
        <v/>
      </c>
      <c r="AM39" s="2200" t="str">
        <f>IFERROR(INDEX(PFL_Schutz_Drop_Down56[noch nicht gewählt],_xlfn.AGGREGATE(15,6,ROW(PFL_Schutz_Drop_Down56[noch nicht gewählt])-3/(--(SEARCH($A$49,PFL_Schutz_Drop_Down56[noch nicht gewählt])&gt;0)),ROW()-3)),"")</f>
        <v/>
      </c>
      <c r="AN39" s="2200" t="str">
        <f>IFERROR(INDEX(PFL_Schutz_Drop_Down56[noch nicht gewählt],_xlfn.AGGREGATE(15,6,ROW(PFL_Schutz_Drop_Down56[noch nicht gewählt])-3/(--(SEARCH($A$51,PFL_Schutz_Drop_Down56[noch nicht gewählt])&gt;0)),ROW()-3)),"")</f>
        <v/>
      </c>
      <c r="AO39" s="2200" t="str">
        <f>IFERROR(INDEX(PFL_Schutz_Drop_Down56[noch nicht gewählt],_xlfn.AGGREGATE(15,6,ROW(PFL_Schutz_Drop_Down56[noch nicht gewählt])-3/(--(SEARCH($A$53,PFL_Schutz_Drop_Down56[noch nicht gewählt])&gt;0)),ROW()-3)),"")</f>
        <v/>
      </c>
      <c r="AP39" s="2200" t="str">
        <f>IFERROR(INDEX(PFL_Schutz_Drop_Down56[noch nicht gewählt],_xlfn.AGGREGATE(15,6,ROW(PFL_Schutz_Drop_Down56[noch nicht gewählt])-3/(--(SEARCH($A$55,PFL_Schutz_Drop_Down56[noch nicht gewählt])&gt;0)),ROW()-3)),"")</f>
        <v/>
      </c>
      <c r="AQ39" s="2200" t="str">
        <f>IFERROR(INDEX(PFL_Schutz_Drop_Down56[noch nicht gewählt],_xlfn.AGGREGATE(15,6,ROW(PFL_Schutz_Drop_Down56[noch nicht gewählt])-3/(--(SEARCH($A$57,PFL_Schutz_Drop_Down56[noch nicht gewählt])&gt;0)),ROW()-3)),"")</f>
        <v/>
      </c>
      <c r="AR39" s="2200" t="str">
        <f>IFERROR(INDEX(PFL_Schutz_Drop_Down56[noch nicht gewählt],_xlfn.AGGREGATE(15,6,ROW(PFL_Schutz_Drop_Down56[noch nicht gewählt])-3/(--(SEARCH($A$59,PFL_Schutz_Drop_Down56[noch nicht gewählt])&gt;0)),ROW()-3)),"")</f>
        <v/>
      </c>
      <c r="AS39" s="2200" t="str">
        <f>IFERROR(INDEX(PFL_Schutz_Drop_Down56[noch nicht gewählt],_xlfn.AGGREGATE(15,6,ROW(PFL_Schutz_Drop_Down56[noch nicht gewählt])-3/(--(SEARCH($A$61,PFL_Schutz_Drop_Down56[noch nicht gewählt])&gt;0)),ROW()-3)),"")</f>
        <v/>
      </c>
      <c r="AT39" s="2200" t="str">
        <f>IFERROR(INDEX(PFL_Schutz_Drop_Down56[noch nicht gewählt],_xlfn.AGGREGATE(15,6,ROW(PFL_Schutz_Drop_Down56[noch nicht gewählt])-3/(--(SEARCH($A$63,PFL_Schutz_Drop_Down56[noch nicht gewählt])&gt;0)),ROW()-3)),"")</f>
        <v/>
      </c>
      <c r="AU39" s="2200" t="str">
        <f>IFERROR(INDEX(PFL_Schutz_Drop_Down56[noch nicht gewählt],_xlfn.AGGREGATE(15,6,ROW(PFL_Schutz_Drop_Down56[noch nicht gewählt])-3/(--(SEARCH($A$65,PFL_Schutz_Drop_Down56[noch nicht gewählt])&gt;0)),ROW()-3)),"")</f>
        <v/>
      </c>
      <c r="AV39" s="2200" t="str">
        <f>IFERROR(INDEX(PFL_Schutz_Drop_Down56[noch nicht gewählt],_xlfn.AGGREGATE(15,6,ROW(PFL_Schutz_Drop_Down56[noch nicht gewählt])-3/(--(SEARCH($A$67,PFL_Schutz_Drop_Down56[noch nicht gewählt])&gt;0)),ROW()-3)),"")</f>
        <v/>
      </c>
      <c r="AW39" s="2200" t="str">
        <f>IFERROR(INDEX(PFL_Schutz_Drop_Down56[noch nicht gewählt],_xlfn.AGGREGATE(15,6,ROW(PFL_Schutz_Drop_Down56[noch nicht gewählt])-3/(--(SEARCH($A$69,PFL_Schutz_Drop_Down56[noch nicht gewählt])&gt;0)),ROW()-3)),"")</f>
        <v/>
      </c>
      <c r="AX39" s="2200" t="str">
        <f>IFERROR(INDEX(PFL_Schutz_Drop_Down56[noch nicht gewählt],_xlfn.AGGREGATE(15,6,ROW(PFL_Schutz_Drop_Down56[noch nicht gewählt])-3/(--(SEARCH($A$71,PFL_Schutz_Drop_Down56[noch nicht gewählt])&gt;0)),ROW()-3)),"")</f>
        <v/>
      </c>
      <c r="AY39" s="2200" t="str">
        <f>IFERROR(INDEX(PFL_Schutz_Drop_Down56[noch nicht gewählt],_xlfn.AGGREGATE(15,6,ROW(PFL_Schutz_Drop_Down56[noch nicht gewählt])-3/(--(SEARCH($A$73,PFL_Schutz_Drop_Down56[noch nicht gewählt])&gt;0)),ROW()-3)),"")</f>
        <v/>
      </c>
      <c r="AZ39" s="2201" t="str">
        <f>IFERROR(INDEX(PFL_Schutz_Drop_Down56[noch nicht gewählt],_xlfn.AGGREGATE(15,6,ROW(PFL_Schutz_Drop_Down56[noch nicht gewählt])-3/(--(SEARCH($A$75,PFL_Schutz_Drop_Down56[noch nicht gewählt])&gt;0)),ROW()-3)),"")</f>
        <v/>
      </c>
    </row>
    <row r="40" spans="1:52" ht="19.5" customHeight="1">
      <c r="A40" s="3099"/>
      <c r="B40" s="3103"/>
      <c r="C40" s="3103"/>
      <c r="D40" s="3087"/>
      <c r="E40" s="3089"/>
      <c r="F40" s="3091"/>
      <c r="G40" s="3095"/>
      <c r="H40" s="3096"/>
      <c r="I40" s="3097"/>
      <c r="R40" s="2195">
        <f>Pfl_Schutz!E40</f>
        <v>0</v>
      </c>
      <c r="S40" s="2202">
        <f>COUNTIF($R$4:PFL_Schutz_Drop_Down56[[#This Row],[Produktname]],PFL_Schutz_Drop_Down56[[#This Row],[Produktname]])</f>
        <v>37</v>
      </c>
      <c r="T40" s="2203" t="str">
        <f>IFERROR(INDEX(R:R,_xlfn.AGGREGATE(15,6,ROW(PFL_Schutz_Drop_Down56[Produktname])/(PFL_Schutz_Drop_Down56[Auftretend]=1),ROW()-3)),"")</f>
        <v/>
      </c>
      <c r="U40" s="2198" t="str">
        <f>IF(COUNTIF($A$17:$A$76,PFL_Schutz_Drop_Down56[[#This Row],[Produktname eindeutig]])&gt;=1,"",ROW())</f>
        <v/>
      </c>
      <c r="V40" s="2198" t="str">
        <f t="shared" si="0"/>
        <v/>
      </c>
      <c r="W40" s="2199" t="str">
        <f>IFERROR(INDEX(PFL_Schutz_Drop_Down56[noch nicht gewählt],_xlfn.AGGREGATE(15,6,ROW(PFL_Schutz_Drop_Down56[noch nicht gewählt])-3/(--(SEARCH($A$17,PFL_Schutz_Drop_Down56[noch nicht gewählt])&gt;0)),ROW()-3)),"")</f>
        <v/>
      </c>
      <c r="X40" s="2175" t="str">
        <f>IFERROR(INDEX(PFL_Schutz_Drop_Down56[noch nicht gewählt],_xlfn.AGGREGATE(15,6,ROW(PFL_Schutz_Drop_Down56[noch nicht gewählt])-3/(--(SEARCH($A$19,PFL_Schutz_Drop_Down56[noch nicht gewählt])&gt;0)),ROW()-3)),"")</f>
        <v/>
      </c>
      <c r="Y40" s="2175" t="str">
        <f>IFERROR(INDEX(PFL_Schutz_Drop_Down56[noch nicht gewählt],_xlfn.AGGREGATE(15,6,ROW(PFL_Schutz_Drop_Down56[noch nicht gewählt])-3/(--(SEARCH($A$21,PFL_Schutz_Drop_Down56[noch nicht gewählt])&gt;0)),ROW()-3)),"")</f>
        <v/>
      </c>
      <c r="Z40" s="2200" t="str">
        <f>IFERROR(INDEX(PFL_Schutz_Drop_Down56[noch nicht gewählt],_xlfn.AGGREGATE(15,6,ROW(PFL_Schutz_Drop_Down56[noch nicht gewählt])-3/(--(SEARCH($A$23,PFL_Schutz_Drop_Down56[noch nicht gewählt])&gt;0)),ROW()-3)),"")</f>
        <v/>
      </c>
      <c r="AA40" s="2200" t="str">
        <f>IFERROR(INDEX(PFL_Schutz_Drop_Down56[noch nicht gewählt],_xlfn.AGGREGATE(15,6,ROW(PFL_Schutz_Drop_Down56[noch nicht gewählt])-3/(--(SEARCH($A$25,PFL_Schutz_Drop_Down56[noch nicht gewählt])&gt;0)),ROW()-3)),"")</f>
        <v/>
      </c>
      <c r="AB40" s="2200" t="str">
        <f>IFERROR(INDEX(PFL_Schutz_Drop_Down56[noch nicht gewählt],_xlfn.AGGREGATE(15,6,ROW(PFL_Schutz_Drop_Down56[noch nicht gewählt])-3/(--(SEARCH($A$27,PFL_Schutz_Drop_Down56[noch nicht gewählt])&gt;0)),ROW()-3)),"")</f>
        <v/>
      </c>
      <c r="AC40" s="2200" t="str">
        <f>IFERROR(INDEX(PFL_Schutz_Drop_Down56[noch nicht gewählt],_xlfn.AGGREGATE(15,6,ROW(PFL_Schutz_Drop_Down56[noch nicht gewählt])-3/(--(SEARCH($A$29,PFL_Schutz_Drop_Down56[noch nicht gewählt])&gt;0)),ROW()-3)),"")</f>
        <v/>
      </c>
      <c r="AD40" s="2200" t="str">
        <f>IFERROR(INDEX(PFL_Schutz_Drop_Down56[noch nicht gewählt],_xlfn.AGGREGATE(15,6,ROW(PFL_Schutz_Drop_Down56[noch nicht gewählt])-3/(--(SEARCH($A$31,PFL_Schutz_Drop_Down56[noch nicht gewählt])&gt;0)),ROW()-3)),"")</f>
        <v/>
      </c>
      <c r="AE40" s="2200" t="str">
        <f>IFERROR(INDEX(PFL_Schutz_Drop_Down56[noch nicht gewählt],_xlfn.AGGREGATE(15,6,ROW(PFL_Schutz_Drop_Down56[noch nicht gewählt])-3/(--(SEARCH($A$33,PFL_Schutz_Drop_Down56[noch nicht gewählt])&gt;0)),ROW()-3)),"")</f>
        <v/>
      </c>
      <c r="AF40" s="2200" t="str">
        <f>IFERROR(INDEX(PFL_Schutz_Drop_Down56[noch nicht gewählt],_xlfn.AGGREGATE(15,6,ROW(PFL_Schutz_Drop_Down56[noch nicht gewählt])-3/(--(SEARCH($A$35,PFL_Schutz_Drop_Down56[noch nicht gewählt])&gt;0)),ROW()-3)),"")</f>
        <v/>
      </c>
      <c r="AG40" s="2200" t="str">
        <f>IFERROR(INDEX(PFL_Schutz_Drop_Down56[noch nicht gewählt],_xlfn.AGGREGATE(15,6,ROW(PFL_Schutz_Drop_Down56[noch nicht gewählt])-3/(--(SEARCH($A$37,PFL_Schutz_Drop_Down56[noch nicht gewählt])&gt;0)),ROW()-3)),"")</f>
        <v/>
      </c>
      <c r="AH40" s="2200" t="str">
        <f>IFERROR(INDEX(PFL_Schutz_Drop_Down56[noch nicht gewählt],_xlfn.AGGREGATE(15,6,ROW(PFL_Schutz_Drop_Down56[noch nicht gewählt])-3/(--(SEARCH($A$39,PFL_Schutz_Drop_Down56[noch nicht gewählt])&gt;0)),ROW()-3)),"")</f>
        <v/>
      </c>
      <c r="AI40" s="2200" t="str">
        <f>IFERROR(INDEX(PFL_Schutz_Drop_Down56[noch nicht gewählt],_xlfn.AGGREGATE(15,6,ROW(PFL_Schutz_Drop_Down56[noch nicht gewählt])-3/(--(SEARCH($A$41,PFL_Schutz_Drop_Down56[noch nicht gewählt])&gt;0)),ROW()-3)),"")</f>
        <v/>
      </c>
      <c r="AJ40" s="2200" t="str">
        <f>IFERROR(INDEX(PFL_Schutz_Drop_Down56[noch nicht gewählt],_xlfn.AGGREGATE(15,6,ROW(PFL_Schutz_Drop_Down56[noch nicht gewählt])-3/(--(SEARCH($A$43,PFL_Schutz_Drop_Down56[noch nicht gewählt])&gt;0)),ROW()-3)),"")</f>
        <v/>
      </c>
      <c r="AK40" s="2200" t="str">
        <f>IFERROR(INDEX(PFL_Schutz_Drop_Down56[noch nicht gewählt],_xlfn.AGGREGATE(15,6,ROW(PFL_Schutz_Drop_Down56[noch nicht gewählt])-3/(--(SEARCH($A$45,PFL_Schutz_Drop_Down56[noch nicht gewählt])&gt;0)),ROW()-3)),"")</f>
        <v/>
      </c>
      <c r="AL40" s="2200" t="str">
        <f>IFERROR(INDEX(PFL_Schutz_Drop_Down56[noch nicht gewählt],_xlfn.AGGREGATE(15,6,ROW(PFL_Schutz_Drop_Down56[noch nicht gewählt])-3/(--(SEARCH($A$47,PFL_Schutz_Drop_Down56[noch nicht gewählt])&gt;0)),ROW()-3)),"")</f>
        <v/>
      </c>
      <c r="AM40" s="2200" t="str">
        <f>IFERROR(INDEX(PFL_Schutz_Drop_Down56[noch nicht gewählt],_xlfn.AGGREGATE(15,6,ROW(PFL_Schutz_Drop_Down56[noch nicht gewählt])-3/(--(SEARCH($A$49,PFL_Schutz_Drop_Down56[noch nicht gewählt])&gt;0)),ROW()-3)),"")</f>
        <v/>
      </c>
      <c r="AN40" s="2200" t="str">
        <f>IFERROR(INDEX(PFL_Schutz_Drop_Down56[noch nicht gewählt],_xlfn.AGGREGATE(15,6,ROW(PFL_Schutz_Drop_Down56[noch nicht gewählt])-3/(--(SEARCH($A$51,PFL_Schutz_Drop_Down56[noch nicht gewählt])&gt;0)),ROW()-3)),"")</f>
        <v/>
      </c>
      <c r="AO40" s="2200" t="str">
        <f>IFERROR(INDEX(PFL_Schutz_Drop_Down56[noch nicht gewählt],_xlfn.AGGREGATE(15,6,ROW(PFL_Schutz_Drop_Down56[noch nicht gewählt])-3/(--(SEARCH($A$53,PFL_Schutz_Drop_Down56[noch nicht gewählt])&gt;0)),ROW()-3)),"")</f>
        <v/>
      </c>
      <c r="AP40" s="2200" t="str">
        <f>IFERROR(INDEX(PFL_Schutz_Drop_Down56[noch nicht gewählt],_xlfn.AGGREGATE(15,6,ROW(PFL_Schutz_Drop_Down56[noch nicht gewählt])-3/(--(SEARCH($A$55,PFL_Schutz_Drop_Down56[noch nicht gewählt])&gt;0)),ROW()-3)),"")</f>
        <v/>
      </c>
      <c r="AQ40" s="2200" t="str">
        <f>IFERROR(INDEX(PFL_Schutz_Drop_Down56[noch nicht gewählt],_xlfn.AGGREGATE(15,6,ROW(PFL_Schutz_Drop_Down56[noch nicht gewählt])-3/(--(SEARCH($A$57,PFL_Schutz_Drop_Down56[noch nicht gewählt])&gt;0)),ROW()-3)),"")</f>
        <v/>
      </c>
      <c r="AR40" s="2200" t="str">
        <f>IFERROR(INDEX(PFL_Schutz_Drop_Down56[noch nicht gewählt],_xlfn.AGGREGATE(15,6,ROW(PFL_Schutz_Drop_Down56[noch nicht gewählt])-3/(--(SEARCH($A$59,PFL_Schutz_Drop_Down56[noch nicht gewählt])&gt;0)),ROW()-3)),"")</f>
        <v/>
      </c>
      <c r="AS40" s="2200" t="str">
        <f>IFERROR(INDEX(PFL_Schutz_Drop_Down56[noch nicht gewählt],_xlfn.AGGREGATE(15,6,ROW(PFL_Schutz_Drop_Down56[noch nicht gewählt])-3/(--(SEARCH($A$61,PFL_Schutz_Drop_Down56[noch nicht gewählt])&gt;0)),ROW()-3)),"")</f>
        <v/>
      </c>
      <c r="AT40" s="2200" t="str">
        <f>IFERROR(INDEX(PFL_Schutz_Drop_Down56[noch nicht gewählt],_xlfn.AGGREGATE(15,6,ROW(PFL_Schutz_Drop_Down56[noch nicht gewählt])-3/(--(SEARCH($A$63,PFL_Schutz_Drop_Down56[noch nicht gewählt])&gt;0)),ROW()-3)),"")</f>
        <v/>
      </c>
      <c r="AU40" s="2200" t="str">
        <f>IFERROR(INDEX(PFL_Schutz_Drop_Down56[noch nicht gewählt],_xlfn.AGGREGATE(15,6,ROW(PFL_Schutz_Drop_Down56[noch nicht gewählt])-3/(--(SEARCH($A$65,PFL_Schutz_Drop_Down56[noch nicht gewählt])&gt;0)),ROW()-3)),"")</f>
        <v/>
      </c>
      <c r="AV40" s="2200" t="str">
        <f>IFERROR(INDEX(PFL_Schutz_Drop_Down56[noch nicht gewählt],_xlfn.AGGREGATE(15,6,ROW(PFL_Schutz_Drop_Down56[noch nicht gewählt])-3/(--(SEARCH($A$67,PFL_Schutz_Drop_Down56[noch nicht gewählt])&gt;0)),ROW()-3)),"")</f>
        <v/>
      </c>
      <c r="AW40" s="2200" t="str">
        <f>IFERROR(INDEX(PFL_Schutz_Drop_Down56[noch nicht gewählt],_xlfn.AGGREGATE(15,6,ROW(PFL_Schutz_Drop_Down56[noch nicht gewählt])-3/(--(SEARCH($A$69,PFL_Schutz_Drop_Down56[noch nicht gewählt])&gt;0)),ROW()-3)),"")</f>
        <v/>
      </c>
      <c r="AX40" s="2200" t="str">
        <f>IFERROR(INDEX(PFL_Schutz_Drop_Down56[noch nicht gewählt],_xlfn.AGGREGATE(15,6,ROW(PFL_Schutz_Drop_Down56[noch nicht gewählt])-3/(--(SEARCH($A$71,PFL_Schutz_Drop_Down56[noch nicht gewählt])&gt;0)),ROW()-3)),"")</f>
        <v/>
      </c>
      <c r="AY40" s="2200" t="str">
        <f>IFERROR(INDEX(PFL_Schutz_Drop_Down56[noch nicht gewählt],_xlfn.AGGREGATE(15,6,ROW(PFL_Schutz_Drop_Down56[noch nicht gewählt])-3/(--(SEARCH($A$73,PFL_Schutz_Drop_Down56[noch nicht gewählt])&gt;0)),ROW()-3)),"")</f>
        <v/>
      </c>
      <c r="AZ40" s="2201" t="str">
        <f>IFERROR(INDEX(PFL_Schutz_Drop_Down56[noch nicht gewählt],_xlfn.AGGREGATE(15,6,ROW(PFL_Schutz_Drop_Down56[noch nicht gewählt])-3/(--(SEARCH($A$75,PFL_Schutz_Drop_Down56[noch nicht gewählt])&gt;0)),ROW()-3)),"")</f>
        <v/>
      </c>
    </row>
    <row r="41" spans="1:52" ht="19.5" customHeight="1">
      <c r="A41" s="3098"/>
      <c r="B41" s="3102"/>
      <c r="C41" s="3102"/>
      <c r="D41" s="3087">
        <f>SUMIF(Pfl_Schutz!$E$4:$E$77,A41,Pfl_Schutz!$H$4:$H$77)</f>
        <v>0</v>
      </c>
      <c r="E41" s="3089" t="str">
        <f t="shared" si="17"/>
        <v/>
      </c>
      <c r="F41" s="3091">
        <f t="shared" ref="F41" si="21">IF(SUM(B41:C42)&gt;0,IF(ISBLANK(A41),"",B41+C41-D41),0)</f>
        <v>0</v>
      </c>
      <c r="G41" s="3095"/>
      <c r="H41" s="3096"/>
      <c r="I41" s="3097"/>
      <c r="R41" s="2195">
        <f>Pfl_Schutz!E41</f>
        <v>0</v>
      </c>
      <c r="S41" s="2202">
        <f>COUNTIF($R$4:PFL_Schutz_Drop_Down56[[#This Row],[Produktname]],PFL_Schutz_Drop_Down56[[#This Row],[Produktname]])</f>
        <v>38</v>
      </c>
      <c r="T41" s="2203" t="str">
        <f>IFERROR(INDEX(R:R,_xlfn.AGGREGATE(15,6,ROW(PFL_Schutz_Drop_Down56[Produktname])/(PFL_Schutz_Drop_Down56[Auftretend]=1),ROW()-3)),"")</f>
        <v/>
      </c>
      <c r="U41" s="2198" t="str">
        <f>IF(COUNTIF($A$17:$A$76,PFL_Schutz_Drop_Down56[[#This Row],[Produktname eindeutig]])&gt;=1,"",ROW())</f>
        <v/>
      </c>
      <c r="V41" s="2198" t="str">
        <f t="shared" si="0"/>
        <v/>
      </c>
      <c r="W41" s="2199" t="str">
        <f>IFERROR(INDEX(PFL_Schutz_Drop_Down56[noch nicht gewählt],_xlfn.AGGREGATE(15,6,ROW(PFL_Schutz_Drop_Down56[noch nicht gewählt])-3/(--(SEARCH($A$17,PFL_Schutz_Drop_Down56[noch nicht gewählt])&gt;0)),ROW()-3)),"")</f>
        <v/>
      </c>
      <c r="X41" s="2175" t="str">
        <f>IFERROR(INDEX(PFL_Schutz_Drop_Down56[noch nicht gewählt],_xlfn.AGGREGATE(15,6,ROW(PFL_Schutz_Drop_Down56[noch nicht gewählt])-3/(--(SEARCH($A$19,PFL_Schutz_Drop_Down56[noch nicht gewählt])&gt;0)),ROW()-3)),"")</f>
        <v/>
      </c>
      <c r="Y41" s="2175" t="str">
        <f>IFERROR(INDEX(PFL_Schutz_Drop_Down56[noch nicht gewählt],_xlfn.AGGREGATE(15,6,ROW(PFL_Schutz_Drop_Down56[noch nicht gewählt])-3/(--(SEARCH($A$21,PFL_Schutz_Drop_Down56[noch nicht gewählt])&gt;0)),ROW()-3)),"")</f>
        <v/>
      </c>
      <c r="Z41" s="2200" t="str">
        <f>IFERROR(INDEX(PFL_Schutz_Drop_Down56[noch nicht gewählt],_xlfn.AGGREGATE(15,6,ROW(PFL_Schutz_Drop_Down56[noch nicht gewählt])-3/(--(SEARCH($A$23,PFL_Schutz_Drop_Down56[noch nicht gewählt])&gt;0)),ROW()-3)),"")</f>
        <v/>
      </c>
      <c r="AA41" s="2200" t="str">
        <f>IFERROR(INDEX(PFL_Schutz_Drop_Down56[noch nicht gewählt],_xlfn.AGGREGATE(15,6,ROW(PFL_Schutz_Drop_Down56[noch nicht gewählt])-3/(--(SEARCH($A$25,PFL_Schutz_Drop_Down56[noch nicht gewählt])&gt;0)),ROW()-3)),"")</f>
        <v/>
      </c>
      <c r="AB41" s="2200" t="str">
        <f>IFERROR(INDEX(PFL_Schutz_Drop_Down56[noch nicht gewählt],_xlfn.AGGREGATE(15,6,ROW(PFL_Schutz_Drop_Down56[noch nicht gewählt])-3/(--(SEARCH($A$27,PFL_Schutz_Drop_Down56[noch nicht gewählt])&gt;0)),ROW()-3)),"")</f>
        <v/>
      </c>
      <c r="AC41" s="2200" t="str">
        <f>IFERROR(INDEX(PFL_Schutz_Drop_Down56[noch nicht gewählt],_xlfn.AGGREGATE(15,6,ROW(PFL_Schutz_Drop_Down56[noch nicht gewählt])-3/(--(SEARCH($A$29,PFL_Schutz_Drop_Down56[noch nicht gewählt])&gt;0)),ROW()-3)),"")</f>
        <v/>
      </c>
      <c r="AD41" s="2200" t="str">
        <f>IFERROR(INDEX(PFL_Schutz_Drop_Down56[noch nicht gewählt],_xlfn.AGGREGATE(15,6,ROW(PFL_Schutz_Drop_Down56[noch nicht gewählt])-3/(--(SEARCH($A$31,PFL_Schutz_Drop_Down56[noch nicht gewählt])&gt;0)),ROW()-3)),"")</f>
        <v/>
      </c>
      <c r="AE41" s="2200" t="str">
        <f>IFERROR(INDEX(PFL_Schutz_Drop_Down56[noch nicht gewählt],_xlfn.AGGREGATE(15,6,ROW(PFL_Schutz_Drop_Down56[noch nicht gewählt])-3/(--(SEARCH($A$33,PFL_Schutz_Drop_Down56[noch nicht gewählt])&gt;0)),ROW()-3)),"")</f>
        <v/>
      </c>
      <c r="AF41" s="2200" t="str">
        <f>IFERROR(INDEX(PFL_Schutz_Drop_Down56[noch nicht gewählt],_xlfn.AGGREGATE(15,6,ROW(PFL_Schutz_Drop_Down56[noch nicht gewählt])-3/(--(SEARCH($A$35,PFL_Schutz_Drop_Down56[noch nicht gewählt])&gt;0)),ROW()-3)),"")</f>
        <v/>
      </c>
      <c r="AG41" s="2200" t="str">
        <f>IFERROR(INDEX(PFL_Schutz_Drop_Down56[noch nicht gewählt],_xlfn.AGGREGATE(15,6,ROW(PFL_Schutz_Drop_Down56[noch nicht gewählt])-3/(--(SEARCH($A$37,PFL_Schutz_Drop_Down56[noch nicht gewählt])&gt;0)),ROW()-3)),"")</f>
        <v/>
      </c>
      <c r="AH41" s="2200" t="str">
        <f>IFERROR(INDEX(PFL_Schutz_Drop_Down56[noch nicht gewählt],_xlfn.AGGREGATE(15,6,ROW(PFL_Schutz_Drop_Down56[noch nicht gewählt])-3/(--(SEARCH($A$39,PFL_Schutz_Drop_Down56[noch nicht gewählt])&gt;0)),ROW()-3)),"")</f>
        <v/>
      </c>
      <c r="AI41" s="2200" t="str">
        <f>IFERROR(INDEX(PFL_Schutz_Drop_Down56[noch nicht gewählt],_xlfn.AGGREGATE(15,6,ROW(PFL_Schutz_Drop_Down56[noch nicht gewählt])-3/(--(SEARCH($A$41,PFL_Schutz_Drop_Down56[noch nicht gewählt])&gt;0)),ROW()-3)),"")</f>
        <v/>
      </c>
      <c r="AJ41" s="2200" t="str">
        <f>IFERROR(INDEX(PFL_Schutz_Drop_Down56[noch nicht gewählt],_xlfn.AGGREGATE(15,6,ROW(PFL_Schutz_Drop_Down56[noch nicht gewählt])-3/(--(SEARCH($A$43,PFL_Schutz_Drop_Down56[noch nicht gewählt])&gt;0)),ROW()-3)),"")</f>
        <v/>
      </c>
      <c r="AK41" s="2200" t="str">
        <f>IFERROR(INDEX(PFL_Schutz_Drop_Down56[noch nicht gewählt],_xlfn.AGGREGATE(15,6,ROW(PFL_Schutz_Drop_Down56[noch nicht gewählt])-3/(--(SEARCH($A$45,PFL_Schutz_Drop_Down56[noch nicht gewählt])&gt;0)),ROW()-3)),"")</f>
        <v/>
      </c>
      <c r="AL41" s="2200" t="str">
        <f>IFERROR(INDEX(PFL_Schutz_Drop_Down56[noch nicht gewählt],_xlfn.AGGREGATE(15,6,ROW(PFL_Schutz_Drop_Down56[noch nicht gewählt])-3/(--(SEARCH($A$47,PFL_Schutz_Drop_Down56[noch nicht gewählt])&gt;0)),ROW()-3)),"")</f>
        <v/>
      </c>
      <c r="AM41" s="2200" t="str">
        <f>IFERROR(INDEX(PFL_Schutz_Drop_Down56[noch nicht gewählt],_xlfn.AGGREGATE(15,6,ROW(PFL_Schutz_Drop_Down56[noch nicht gewählt])-3/(--(SEARCH($A$49,PFL_Schutz_Drop_Down56[noch nicht gewählt])&gt;0)),ROW()-3)),"")</f>
        <v/>
      </c>
      <c r="AN41" s="2200" t="str">
        <f>IFERROR(INDEX(PFL_Schutz_Drop_Down56[noch nicht gewählt],_xlfn.AGGREGATE(15,6,ROW(PFL_Schutz_Drop_Down56[noch nicht gewählt])-3/(--(SEARCH($A$51,PFL_Schutz_Drop_Down56[noch nicht gewählt])&gt;0)),ROW()-3)),"")</f>
        <v/>
      </c>
      <c r="AO41" s="2200" t="str">
        <f>IFERROR(INDEX(PFL_Schutz_Drop_Down56[noch nicht gewählt],_xlfn.AGGREGATE(15,6,ROW(PFL_Schutz_Drop_Down56[noch nicht gewählt])-3/(--(SEARCH($A$53,PFL_Schutz_Drop_Down56[noch nicht gewählt])&gt;0)),ROW()-3)),"")</f>
        <v/>
      </c>
      <c r="AP41" s="2200" t="str">
        <f>IFERROR(INDEX(PFL_Schutz_Drop_Down56[noch nicht gewählt],_xlfn.AGGREGATE(15,6,ROW(PFL_Schutz_Drop_Down56[noch nicht gewählt])-3/(--(SEARCH($A$55,PFL_Schutz_Drop_Down56[noch nicht gewählt])&gt;0)),ROW()-3)),"")</f>
        <v/>
      </c>
      <c r="AQ41" s="2200" t="str">
        <f>IFERROR(INDEX(PFL_Schutz_Drop_Down56[noch nicht gewählt],_xlfn.AGGREGATE(15,6,ROW(PFL_Schutz_Drop_Down56[noch nicht gewählt])-3/(--(SEARCH($A$57,PFL_Schutz_Drop_Down56[noch nicht gewählt])&gt;0)),ROW()-3)),"")</f>
        <v/>
      </c>
      <c r="AR41" s="2200" t="str">
        <f>IFERROR(INDEX(PFL_Schutz_Drop_Down56[noch nicht gewählt],_xlfn.AGGREGATE(15,6,ROW(PFL_Schutz_Drop_Down56[noch nicht gewählt])-3/(--(SEARCH($A$59,PFL_Schutz_Drop_Down56[noch nicht gewählt])&gt;0)),ROW()-3)),"")</f>
        <v/>
      </c>
      <c r="AS41" s="2200" t="str">
        <f>IFERROR(INDEX(PFL_Schutz_Drop_Down56[noch nicht gewählt],_xlfn.AGGREGATE(15,6,ROW(PFL_Schutz_Drop_Down56[noch nicht gewählt])-3/(--(SEARCH($A$61,PFL_Schutz_Drop_Down56[noch nicht gewählt])&gt;0)),ROW()-3)),"")</f>
        <v/>
      </c>
      <c r="AT41" s="2200" t="str">
        <f>IFERROR(INDEX(PFL_Schutz_Drop_Down56[noch nicht gewählt],_xlfn.AGGREGATE(15,6,ROW(PFL_Schutz_Drop_Down56[noch nicht gewählt])-3/(--(SEARCH($A$63,PFL_Schutz_Drop_Down56[noch nicht gewählt])&gt;0)),ROW()-3)),"")</f>
        <v/>
      </c>
      <c r="AU41" s="2200" t="str">
        <f>IFERROR(INDEX(PFL_Schutz_Drop_Down56[noch nicht gewählt],_xlfn.AGGREGATE(15,6,ROW(PFL_Schutz_Drop_Down56[noch nicht gewählt])-3/(--(SEARCH($A$65,PFL_Schutz_Drop_Down56[noch nicht gewählt])&gt;0)),ROW()-3)),"")</f>
        <v/>
      </c>
      <c r="AV41" s="2200" t="str">
        <f>IFERROR(INDEX(PFL_Schutz_Drop_Down56[noch nicht gewählt],_xlfn.AGGREGATE(15,6,ROW(PFL_Schutz_Drop_Down56[noch nicht gewählt])-3/(--(SEARCH($A$67,PFL_Schutz_Drop_Down56[noch nicht gewählt])&gt;0)),ROW()-3)),"")</f>
        <v/>
      </c>
      <c r="AW41" s="2200" t="str">
        <f>IFERROR(INDEX(PFL_Schutz_Drop_Down56[noch nicht gewählt],_xlfn.AGGREGATE(15,6,ROW(PFL_Schutz_Drop_Down56[noch nicht gewählt])-3/(--(SEARCH($A$69,PFL_Schutz_Drop_Down56[noch nicht gewählt])&gt;0)),ROW()-3)),"")</f>
        <v/>
      </c>
      <c r="AX41" s="2200" t="str">
        <f>IFERROR(INDEX(PFL_Schutz_Drop_Down56[noch nicht gewählt],_xlfn.AGGREGATE(15,6,ROW(PFL_Schutz_Drop_Down56[noch nicht gewählt])-3/(--(SEARCH($A$71,PFL_Schutz_Drop_Down56[noch nicht gewählt])&gt;0)),ROW()-3)),"")</f>
        <v/>
      </c>
      <c r="AY41" s="2200" t="str">
        <f>IFERROR(INDEX(PFL_Schutz_Drop_Down56[noch nicht gewählt],_xlfn.AGGREGATE(15,6,ROW(PFL_Schutz_Drop_Down56[noch nicht gewählt])-3/(--(SEARCH($A$73,PFL_Schutz_Drop_Down56[noch nicht gewählt])&gt;0)),ROW()-3)),"")</f>
        <v/>
      </c>
      <c r="AZ41" s="2201" t="str">
        <f>IFERROR(INDEX(PFL_Schutz_Drop_Down56[noch nicht gewählt],_xlfn.AGGREGATE(15,6,ROW(PFL_Schutz_Drop_Down56[noch nicht gewählt])-3/(--(SEARCH($A$75,PFL_Schutz_Drop_Down56[noch nicht gewählt])&gt;0)),ROW()-3)),"")</f>
        <v/>
      </c>
    </row>
    <row r="42" spans="1:52" ht="19.5" customHeight="1">
      <c r="A42" s="3099"/>
      <c r="B42" s="3103"/>
      <c r="C42" s="3103"/>
      <c r="D42" s="3087"/>
      <c r="E42" s="3089"/>
      <c r="F42" s="3091"/>
      <c r="G42" s="3095"/>
      <c r="H42" s="3096"/>
      <c r="I42" s="3097"/>
      <c r="L42" s="2207"/>
      <c r="R42" s="2195">
        <f>Pfl_Schutz!E42</f>
        <v>0</v>
      </c>
      <c r="S42" s="2202">
        <f>COUNTIF($R$4:PFL_Schutz_Drop_Down56[[#This Row],[Produktname]],PFL_Schutz_Drop_Down56[[#This Row],[Produktname]])</f>
        <v>39</v>
      </c>
      <c r="T42" s="2203" t="str">
        <f>IFERROR(INDEX(R:R,_xlfn.AGGREGATE(15,6,ROW(PFL_Schutz_Drop_Down56[Produktname])/(PFL_Schutz_Drop_Down56[Auftretend]=1),ROW()-3)),"")</f>
        <v/>
      </c>
      <c r="U42" s="2198" t="str">
        <f>IF(COUNTIF($A$17:$A$76,PFL_Schutz_Drop_Down56[[#This Row],[Produktname eindeutig]])&gt;=1,"",ROW())</f>
        <v/>
      </c>
      <c r="V42" s="2198" t="str">
        <f t="shared" si="0"/>
        <v/>
      </c>
      <c r="W42" s="2199" t="str">
        <f>IFERROR(INDEX(PFL_Schutz_Drop_Down56[noch nicht gewählt],_xlfn.AGGREGATE(15,6,ROW(PFL_Schutz_Drop_Down56[noch nicht gewählt])-3/(--(SEARCH($A$17,PFL_Schutz_Drop_Down56[noch nicht gewählt])&gt;0)),ROW()-3)),"")</f>
        <v/>
      </c>
      <c r="X42" s="2175" t="str">
        <f>IFERROR(INDEX(PFL_Schutz_Drop_Down56[noch nicht gewählt],_xlfn.AGGREGATE(15,6,ROW(PFL_Schutz_Drop_Down56[noch nicht gewählt])-3/(--(SEARCH($A$19,PFL_Schutz_Drop_Down56[noch nicht gewählt])&gt;0)),ROW()-3)),"")</f>
        <v/>
      </c>
      <c r="Y42" s="2175" t="str">
        <f>IFERROR(INDEX(PFL_Schutz_Drop_Down56[noch nicht gewählt],_xlfn.AGGREGATE(15,6,ROW(PFL_Schutz_Drop_Down56[noch nicht gewählt])-3/(--(SEARCH($A$21,PFL_Schutz_Drop_Down56[noch nicht gewählt])&gt;0)),ROW()-3)),"")</f>
        <v/>
      </c>
      <c r="Z42" s="2200" t="str">
        <f>IFERROR(INDEX(PFL_Schutz_Drop_Down56[noch nicht gewählt],_xlfn.AGGREGATE(15,6,ROW(PFL_Schutz_Drop_Down56[noch nicht gewählt])-3/(--(SEARCH($A$23,PFL_Schutz_Drop_Down56[noch nicht gewählt])&gt;0)),ROW()-3)),"")</f>
        <v/>
      </c>
      <c r="AA42" s="2200" t="str">
        <f>IFERROR(INDEX(PFL_Schutz_Drop_Down56[noch nicht gewählt],_xlfn.AGGREGATE(15,6,ROW(PFL_Schutz_Drop_Down56[noch nicht gewählt])-3/(--(SEARCH($A$25,PFL_Schutz_Drop_Down56[noch nicht gewählt])&gt;0)),ROW()-3)),"")</f>
        <v/>
      </c>
      <c r="AB42" s="2200" t="str">
        <f>IFERROR(INDEX(PFL_Schutz_Drop_Down56[noch nicht gewählt],_xlfn.AGGREGATE(15,6,ROW(PFL_Schutz_Drop_Down56[noch nicht gewählt])-3/(--(SEARCH($A$27,PFL_Schutz_Drop_Down56[noch nicht gewählt])&gt;0)),ROW()-3)),"")</f>
        <v/>
      </c>
      <c r="AC42" s="2200" t="str">
        <f>IFERROR(INDEX(PFL_Schutz_Drop_Down56[noch nicht gewählt],_xlfn.AGGREGATE(15,6,ROW(PFL_Schutz_Drop_Down56[noch nicht gewählt])-3/(--(SEARCH($A$29,PFL_Schutz_Drop_Down56[noch nicht gewählt])&gt;0)),ROW()-3)),"")</f>
        <v/>
      </c>
      <c r="AD42" s="2200" t="str">
        <f>IFERROR(INDEX(PFL_Schutz_Drop_Down56[noch nicht gewählt],_xlfn.AGGREGATE(15,6,ROW(PFL_Schutz_Drop_Down56[noch nicht gewählt])-3/(--(SEARCH($A$31,PFL_Schutz_Drop_Down56[noch nicht gewählt])&gt;0)),ROW()-3)),"")</f>
        <v/>
      </c>
      <c r="AE42" s="2200" t="str">
        <f>IFERROR(INDEX(PFL_Schutz_Drop_Down56[noch nicht gewählt],_xlfn.AGGREGATE(15,6,ROW(PFL_Schutz_Drop_Down56[noch nicht gewählt])-3/(--(SEARCH($A$33,PFL_Schutz_Drop_Down56[noch nicht gewählt])&gt;0)),ROW()-3)),"")</f>
        <v/>
      </c>
      <c r="AF42" s="2200" t="str">
        <f>IFERROR(INDEX(PFL_Schutz_Drop_Down56[noch nicht gewählt],_xlfn.AGGREGATE(15,6,ROW(PFL_Schutz_Drop_Down56[noch nicht gewählt])-3/(--(SEARCH($A$35,PFL_Schutz_Drop_Down56[noch nicht gewählt])&gt;0)),ROW()-3)),"")</f>
        <v/>
      </c>
      <c r="AG42" s="2200" t="str">
        <f>IFERROR(INDEX(PFL_Schutz_Drop_Down56[noch nicht gewählt],_xlfn.AGGREGATE(15,6,ROW(PFL_Schutz_Drop_Down56[noch nicht gewählt])-3/(--(SEARCH($A$37,PFL_Schutz_Drop_Down56[noch nicht gewählt])&gt;0)),ROW()-3)),"")</f>
        <v/>
      </c>
      <c r="AH42" s="2200" t="str">
        <f>IFERROR(INDEX(PFL_Schutz_Drop_Down56[noch nicht gewählt],_xlfn.AGGREGATE(15,6,ROW(PFL_Schutz_Drop_Down56[noch nicht gewählt])-3/(--(SEARCH($A$39,PFL_Schutz_Drop_Down56[noch nicht gewählt])&gt;0)),ROW()-3)),"")</f>
        <v/>
      </c>
      <c r="AI42" s="2200" t="str">
        <f>IFERROR(INDEX(PFL_Schutz_Drop_Down56[noch nicht gewählt],_xlfn.AGGREGATE(15,6,ROW(PFL_Schutz_Drop_Down56[noch nicht gewählt])-3/(--(SEARCH($A$41,PFL_Schutz_Drop_Down56[noch nicht gewählt])&gt;0)),ROW()-3)),"")</f>
        <v/>
      </c>
      <c r="AJ42" s="2200" t="str">
        <f>IFERROR(INDEX(PFL_Schutz_Drop_Down56[noch nicht gewählt],_xlfn.AGGREGATE(15,6,ROW(PFL_Schutz_Drop_Down56[noch nicht gewählt])-3/(--(SEARCH($A$43,PFL_Schutz_Drop_Down56[noch nicht gewählt])&gt;0)),ROW()-3)),"")</f>
        <v/>
      </c>
      <c r="AK42" s="2200" t="str">
        <f>IFERROR(INDEX(PFL_Schutz_Drop_Down56[noch nicht gewählt],_xlfn.AGGREGATE(15,6,ROW(PFL_Schutz_Drop_Down56[noch nicht gewählt])-3/(--(SEARCH($A$45,PFL_Schutz_Drop_Down56[noch nicht gewählt])&gt;0)),ROW()-3)),"")</f>
        <v/>
      </c>
      <c r="AL42" s="2200" t="str">
        <f>IFERROR(INDEX(PFL_Schutz_Drop_Down56[noch nicht gewählt],_xlfn.AGGREGATE(15,6,ROW(PFL_Schutz_Drop_Down56[noch nicht gewählt])-3/(--(SEARCH($A$47,PFL_Schutz_Drop_Down56[noch nicht gewählt])&gt;0)),ROW()-3)),"")</f>
        <v/>
      </c>
      <c r="AM42" s="2200" t="str">
        <f>IFERROR(INDEX(PFL_Schutz_Drop_Down56[noch nicht gewählt],_xlfn.AGGREGATE(15,6,ROW(PFL_Schutz_Drop_Down56[noch nicht gewählt])-3/(--(SEARCH($A$49,PFL_Schutz_Drop_Down56[noch nicht gewählt])&gt;0)),ROW()-3)),"")</f>
        <v/>
      </c>
      <c r="AN42" s="2200" t="str">
        <f>IFERROR(INDEX(PFL_Schutz_Drop_Down56[noch nicht gewählt],_xlfn.AGGREGATE(15,6,ROW(PFL_Schutz_Drop_Down56[noch nicht gewählt])-3/(--(SEARCH($A$51,PFL_Schutz_Drop_Down56[noch nicht gewählt])&gt;0)),ROW()-3)),"")</f>
        <v/>
      </c>
      <c r="AO42" s="2200" t="str">
        <f>IFERROR(INDEX(PFL_Schutz_Drop_Down56[noch nicht gewählt],_xlfn.AGGREGATE(15,6,ROW(PFL_Schutz_Drop_Down56[noch nicht gewählt])-3/(--(SEARCH($A$53,PFL_Schutz_Drop_Down56[noch nicht gewählt])&gt;0)),ROW()-3)),"")</f>
        <v/>
      </c>
      <c r="AP42" s="2200" t="str">
        <f>IFERROR(INDEX(PFL_Schutz_Drop_Down56[noch nicht gewählt],_xlfn.AGGREGATE(15,6,ROW(PFL_Schutz_Drop_Down56[noch nicht gewählt])-3/(--(SEARCH($A$55,PFL_Schutz_Drop_Down56[noch nicht gewählt])&gt;0)),ROW()-3)),"")</f>
        <v/>
      </c>
      <c r="AQ42" s="2200" t="str">
        <f>IFERROR(INDEX(PFL_Schutz_Drop_Down56[noch nicht gewählt],_xlfn.AGGREGATE(15,6,ROW(PFL_Schutz_Drop_Down56[noch nicht gewählt])-3/(--(SEARCH($A$57,PFL_Schutz_Drop_Down56[noch nicht gewählt])&gt;0)),ROW()-3)),"")</f>
        <v/>
      </c>
      <c r="AR42" s="2200" t="str">
        <f>IFERROR(INDEX(PFL_Schutz_Drop_Down56[noch nicht gewählt],_xlfn.AGGREGATE(15,6,ROW(PFL_Schutz_Drop_Down56[noch nicht gewählt])-3/(--(SEARCH($A$59,PFL_Schutz_Drop_Down56[noch nicht gewählt])&gt;0)),ROW()-3)),"")</f>
        <v/>
      </c>
      <c r="AS42" s="2200" t="str">
        <f>IFERROR(INDEX(PFL_Schutz_Drop_Down56[noch nicht gewählt],_xlfn.AGGREGATE(15,6,ROW(PFL_Schutz_Drop_Down56[noch nicht gewählt])-3/(--(SEARCH($A$61,PFL_Schutz_Drop_Down56[noch nicht gewählt])&gt;0)),ROW()-3)),"")</f>
        <v/>
      </c>
      <c r="AT42" s="2200" t="str">
        <f>IFERROR(INDEX(PFL_Schutz_Drop_Down56[noch nicht gewählt],_xlfn.AGGREGATE(15,6,ROW(PFL_Schutz_Drop_Down56[noch nicht gewählt])-3/(--(SEARCH($A$63,PFL_Schutz_Drop_Down56[noch nicht gewählt])&gt;0)),ROW()-3)),"")</f>
        <v/>
      </c>
      <c r="AU42" s="2200" t="str">
        <f>IFERROR(INDEX(PFL_Schutz_Drop_Down56[noch nicht gewählt],_xlfn.AGGREGATE(15,6,ROW(PFL_Schutz_Drop_Down56[noch nicht gewählt])-3/(--(SEARCH($A$65,PFL_Schutz_Drop_Down56[noch nicht gewählt])&gt;0)),ROW()-3)),"")</f>
        <v/>
      </c>
      <c r="AV42" s="2200" t="str">
        <f>IFERROR(INDEX(PFL_Schutz_Drop_Down56[noch nicht gewählt],_xlfn.AGGREGATE(15,6,ROW(PFL_Schutz_Drop_Down56[noch nicht gewählt])-3/(--(SEARCH($A$67,PFL_Schutz_Drop_Down56[noch nicht gewählt])&gt;0)),ROW()-3)),"")</f>
        <v/>
      </c>
      <c r="AW42" s="2200" t="str">
        <f>IFERROR(INDEX(PFL_Schutz_Drop_Down56[noch nicht gewählt],_xlfn.AGGREGATE(15,6,ROW(PFL_Schutz_Drop_Down56[noch nicht gewählt])-3/(--(SEARCH($A$69,PFL_Schutz_Drop_Down56[noch nicht gewählt])&gt;0)),ROW()-3)),"")</f>
        <v/>
      </c>
      <c r="AX42" s="2200" t="str">
        <f>IFERROR(INDEX(PFL_Schutz_Drop_Down56[noch nicht gewählt],_xlfn.AGGREGATE(15,6,ROW(PFL_Schutz_Drop_Down56[noch nicht gewählt])-3/(--(SEARCH($A$71,PFL_Schutz_Drop_Down56[noch nicht gewählt])&gt;0)),ROW()-3)),"")</f>
        <v/>
      </c>
      <c r="AY42" s="2200" t="str">
        <f>IFERROR(INDEX(PFL_Schutz_Drop_Down56[noch nicht gewählt],_xlfn.AGGREGATE(15,6,ROW(PFL_Schutz_Drop_Down56[noch nicht gewählt])-3/(--(SEARCH($A$73,PFL_Schutz_Drop_Down56[noch nicht gewählt])&gt;0)),ROW()-3)),"")</f>
        <v/>
      </c>
      <c r="AZ42" s="2201" t="str">
        <f>IFERROR(INDEX(PFL_Schutz_Drop_Down56[noch nicht gewählt],_xlfn.AGGREGATE(15,6,ROW(PFL_Schutz_Drop_Down56[noch nicht gewählt])-3/(--(SEARCH($A$75,PFL_Schutz_Drop_Down56[noch nicht gewählt])&gt;0)),ROW()-3)),"")</f>
        <v/>
      </c>
    </row>
    <row r="43" spans="1:52" ht="19.5" customHeight="1">
      <c r="A43" s="3098"/>
      <c r="B43" s="3102"/>
      <c r="C43" s="3102"/>
      <c r="D43" s="3087">
        <f>SUMIF(Pfl_Schutz!$E$4:$E$77,A43,Pfl_Schutz!$H$4:$H$77)</f>
        <v>0</v>
      </c>
      <c r="E43" s="3089" t="str">
        <f t="shared" si="17"/>
        <v/>
      </c>
      <c r="F43" s="3091">
        <f t="shared" ref="F43" si="22">IF(SUM(B43:C44)&gt;0,IF(ISBLANK(A43),"",B43+C43-D43),0)</f>
        <v>0</v>
      </c>
      <c r="G43" s="3095"/>
      <c r="H43" s="3096"/>
      <c r="I43" s="3097"/>
      <c r="R43" s="2195">
        <f>Pfl_Schutz!E43</f>
        <v>0</v>
      </c>
      <c r="S43" s="2202">
        <f>COUNTIF($R$4:PFL_Schutz_Drop_Down56[[#This Row],[Produktname]],PFL_Schutz_Drop_Down56[[#This Row],[Produktname]])</f>
        <v>40</v>
      </c>
      <c r="T43" s="2203" t="str">
        <f>IFERROR(INDEX(R:R,_xlfn.AGGREGATE(15,6,ROW(PFL_Schutz_Drop_Down56[Produktname])/(PFL_Schutz_Drop_Down56[Auftretend]=1),ROW()-3)),"")</f>
        <v/>
      </c>
      <c r="U43" s="2198" t="str">
        <f>IF(COUNTIF($A$17:$A$76,PFL_Schutz_Drop_Down56[[#This Row],[Produktname eindeutig]])&gt;=1,"",ROW())</f>
        <v/>
      </c>
      <c r="V43" s="2198" t="str">
        <f t="shared" si="0"/>
        <v/>
      </c>
      <c r="W43" s="2199" t="str">
        <f>IFERROR(INDEX(PFL_Schutz_Drop_Down56[noch nicht gewählt],_xlfn.AGGREGATE(15,6,ROW(PFL_Schutz_Drop_Down56[noch nicht gewählt])-3/(--(SEARCH($A$17,PFL_Schutz_Drop_Down56[noch nicht gewählt])&gt;0)),ROW()-3)),"")</f>
        <v/>
      </c>
      <c r="X43" s="2175" t="str">
        <f>IFERROR(INDEX(PFL_Schutz_Drop_Down56[noch nicht gewählt],_xlfn.AGGREGATE(15,6,ROW(PFL_Schutz_Drop_Down56[noch nicht gewählt])-3/(--(SEARCH($A$19,PFL_Schutz_Drop_Down56[noch nicht gewählt])&gt;0)),ROW()-3)),"")</f>
        <v/>
      </c>
      <c r="Y43" s="2175" t="str">
        <f>IFERROR(INDEX(PFL_Schutz_Drop_Down56[noch nicht gewählt],_xlfn.AGGREGATE(15,6,ROW(PFL_Schutz_Drop_Down56[noch nicht gewählt])-3/(--(SEARCH($A$21,PFL_Schutz_Drop_Down56[noch nicht gewählt])&gt;0)),ROW()-3)),"")</f>
        <v/>
      </c>
      <c r="Z43" s="2200" t="str">
        <f>IFERROR(INDEX(PFL_Schutz_Drop_Down56[noch nicht gewählt],_xlfn.AGGREGATE(15,6,ROW(PFL_Schutz_Drop_Down56[noch nicht gewählt])-3/(--(SEARCH($A$23,PFL_Schutz_Drop_Down56[noch nicht gewählt])&gt;0)),ROW()-3)),"")</f>
        <v/>
      </c>
      <c r="AA43" s="2200" t="str">
        <f>IFERROR(INDEX(PFL_Schutz_Drop_Down56[noch nicht gewählt],_xlfn.AGGREGATE(15,6,ROW(PFL_Schutz_Drop_Down56[noch nicht gewählt])-3/(--(SEARCH($A$25,PFL_Schutz_Drop_Down56[noch nicht gewählt])&gt;0)),ROW()-3)),"")</f>
        <v/>
      </c>
      <c r="AB43" s="2200" t="str">
        <f>IFERROR(INDEX(PFL_Schutz_Drop_Down56[noch nicht gewählt],_xlfn.AGGREGATE(15,6,ROW(PFL_Schutz_Drop_Down56[noch nicht gewählt])-3/(--(SEARCH($A$27,PFL_Schutz_Drop_Down56[noch nicht gewählt])&gt;0)),ROW()-3)),"")</f>
        <v/>
      </c>
      <c r="AC43" s="2200" t="str">
        <f>IFERROR(INDEX(PFL_Schutz_Drop_Down56[noch nicht gewählt],_xlfn.AGGREGATE(15,6,ROW(PFL_Schutz_Drop_Down56[noch nicht gewählt])-3/(--(SEARCH($A$29,PFL_Schutz_Drop_Down56[noch nicht gewählt])&gt;0)),ROW()-3)),"")</f>
        <v/>
      </c>
      <c r="AD43" s="2200" t="str">
        <f>IFERROR(INDEX(PFL_Schutz_Drop_Down56[noch nicht gewählt],_xlfn.AGGREGATE(15,6,ROW(PFL_Schutz_Drop_Down56[noch nicht gewählt])-3/(--(SEARCH($A$31,PFL_Schutz_Drop_Down56[noch nicht gewählt])&gt;0)),ROW()-3)),"")</f>
        <v/>
      </c>
      <c r="AE43" s="2200" t="str">
        <f>IFERROR(INDEX(PFL_Schutz_Drop_Down56[noch nicht gewählt],_xlfn.AGGREGATE(15,6,ROW(PFL_Schutz_Drop_Down56[noch nicht gewählt])-3/(--(SEARCH($A$33,PFL_Schutz_Drop_Down56[noch nicht gewählt])&gt;0)),ROW()-3)),"")</f>
        <v/>
      </c>
      <c r="AF43" s="2200" t="str">
        <f>IFERROR(INDEX(PFL_Schutz_Drop_Down56[noch nicht gewählt],_xlfn.AGGREGATE(15,6,ROW(PFL_Schutz_Drop_Down56[noch nicht gewählt])-3/(--(SEARCH($A$35,PFL_Schutz_Drop_Down56[noch nicht gewählt])&gt;0)),ROW()-3)),"")</f>
        <v/>
      </c>
      <c r="AG43" s="2200" t="str">
        <f>IFERROR(INDEX(PFL_Schutz_Drop_Down56[noch nicht gewählt],_xlfn.AGGREGATE(15,6,ROW(PFL_Schutz_Drop_Down56[noch nicht gewählt])-3/(--(SEARCH($A$37,PFL_Schutz_Drop_Down56[noch nicht gewählt])&gt;0)),ROW()-3)),"")</f>
        <v/>
      </c>
      <c r="AH43" s="2200" t="str">
        <f>IFERROR(INDEX(PFL_Schutz_Drop_Down56[noch nicht gewählt],_xlfn.AGGREGATE(15,6,ROW(PFL_Schutz_Drop_Down56[noch nicht gewählt])-3/(--(SEARCH($A$39,PFL_Schutz_Drop_Down56[noch nicht gewählt])&gt;0)),ROW()-3)),"")</f>
        <v/>
      </c>
      <c r="AI43" s="2200" t="str">
        <f>IFERROR(INDEX(PFL_Schutz_Drop_Down56[noch nicht gewählt],_xlfn.AGGREGATE(15,6,ROW(PFL_Schutz_Drop_Down56[noch nicht gewählt])-3/(--(SEARCH($A$41,PFL_Schutz_Drop_Down56[noch nicht gewählt])&gt;0)),ROW()-3)),"")</f>
        <v/>
      </c>
      <c r="AJ43" s="2200" t="str">
        <f>IFERROR(INDEX(PFL_Schutz_Drop_Down56[noch nicht gewählt],_xlfn.AGGREGATE(15,6,ROW(PFL_Schutz_Drop_Down56[noch nicht gewählt])-3/(--(SEARCH($A$43,PFL_Schutz_Drop_Down56[noch nicht gewählt])&gt;0)),ROW()-3)),"")</f>
        <v/>
      </c>
      <c r="AK43" s="2200" t="str">
        <f>IFERROR(INDEX(PFL_Schutz_Drop_Down56[noch nicht gewählt],_xlfn.AGGREGATE(15,6,ROW(PFL_Schutz_Drop_Down56[noch nicht gewählt])-3/(--(SEARCH($A$45,PFL_Schutz_Drop_Down56[noch nicht gewählt])&gt;0)),ROW()-3)),"")</f>
        <v/>
      </c>
      <c r="AL43" s="2200" t="str">
        <f>IFERROR(INDEX(PFL_Schutz_Drop_Down56[noch nicht gewählt],_xlfn.AGGREGATE(15,6,ROW(PFL_Schutz_Drop_Down56[noch nicht gewählt])-3/(--(SEARCH($A$47,PFL_Schutz_Drop_Down56[noch nicht gewählt])&gt;0)),ROW()-3)),"")</f>
        <v/>
      </c>
      <c r="AM43" s="2200" t="str">
        <f>IFERROR(INDEX(PFL_Schutz_Drop_Down56[noch nicht gewählt],_xlfn.AGGREGATE(15,6,ROW(PFL_Schutz_Drop_Down56[noch nicht gewählt])-3/(--(SEARCH($A$49,PFL_Schutz_Drop_Down56[noch nicht gewählt])&gt;0)),ROW()-3)),"")</f>
        <v/>
      </c>
      <c r="AN43" s="2200" t="str">
        <f>IFERROR(INDEX(PFL_Schutz_Drop_Down56[noch nicht gewählt],_xlfn.AGGREGATE(15,6,ROW(PFL_Schutz_Drop_Down56[noch nicht gewählt])-3/(--(SEARCH($A$51,PFL_Schutz_Drop_Down56[noch nicht gewählt])&gt;0)),ROW()-3)),"")</f>
        <v/>
      </c>
      <c r="AO43" s="2200" t="str">
        <f>IFERROR(INDEX(PFL_Schutz_Drop_Down56[noch nicht gewählt],_xlfn.AGGREGATE(15,6,ROW(PFL_Schutz_Drop_Down56[noch nicht gewählt])-3/(--(SEARCH($A$53,PFL_Schutz_Drop_Down56[noch nicht gewählt])&gt;0)),ROW()-3)),"")</f>
        <v/>
      </c>
      <c r="AP43" s="2200" t="str">
        <f>IFERROR(INDEX(PFL_Schutz_Drop_Down56[noch nicht gewählt],_xlfn.AGGREGATE(15,6,ROW(PFL_Schutz_Drop_Down56[noch nicht gewählt])-3/(--(SEARCH($A$55,PFL_Schutz_Drop_Down56[noch nicht gewählt])&gt;0)),ROW()-3)),"")</f>
        <v/>
      </c>
      <c r="AQ43" s="2200" t="str">
        <f>IFERROR(INDEX(PFL_Schutz_Drop_Down56[noch nicht gewählt],_xlfn.AGGREGATE(15,6,ROW(PFL_Schutz_Drop_Down56[noch nicht gewählt])-3/(--(SEARCH($A$57,PFL_Schutz_Drop_Down56[noch nicht gewählt])&gt;0)),ROW()-3)),"")</f>
        <v/>
      </c>
      <c r="AR43" s="2200" t="str">
        <f>IFERROR(INDEX(PFL_Schutz_Drop_Down56[noch nicht gewählt],_xlfn.AGGREGATE(15,6,ROW(PFL_Schutz_Drop_Down56[noch nicht gewählt])-3/(--(SEARCH($A$59,PFL_Schutz_Drop_Down56[noch nicht gewählt])&gt;0)),ROW()-3)),"")</f>
        <v/>
      </c>
      <c r="AS43" s="2200" t="str">
        <f>IFERROR(INDEX(PFL_Schutz_Drop_Down56[noch nicht gewählt],_xlfn.AGGREGATE(15,6,ROW(PFL_Schutz_Drop_Down56[noch nicht gewählt])-3/(--(SEARCH($A$61,PFL_Schutz_Drop_Down56[noch nicht gewählt])&gt;0)),ROW()-3)),"")</f>
        <v/>
      </c>
      <c r="AT43" s="2200" t="str">
        <f>IFERROR(INDEX(PFL_Schutz_Drop_Down56[noch nicht gewählt],_xlfn.AGGREGATE(15,6,ROW(PFL_Schutz_Drop_Down56[noch nicht gewählt])-3/(--(SEARCH($A$63,PFL_Schutz_Drop_Down56[noch nicht gewählt])&gt;0)),ROW()-3)),"")</f>
        <v/>
      </c>
      <c r="AU43" s="2200" t="str">
        <f>IFERROR(INDEX(PFL_Schutz_Drop_Down56[noch nicht gewählt],_xlfn.AGGREGATE(15,6,ROW(PFL_Schutz_Drop_Down56[noch nicht gewählt])-3/(--(SEARCH($A$65,PFL_Schutz_Drop_Down56[noch nicht gewählt])&gt;0)),ROW()-3)),"")</f>
        <v/>
      </c>
      <c r="AV43" s="2200" t="str">
        <f>IFERROR(INDEX(PFL_Schutz_Drop_Down56[noch nicht gewählt],_xlfn.AGGREGATE(15,6,ROW(PFL_Schutz_Drop_Down56[noch nicht gewählt])-3/(--(SEARCH($A$67,PFL_Schutz_Drop_Down56[noch nicht gewählt])&gt;0)),ROW()-3)),"")</f>
        <v/>
      </c>
      <c r="AW43" s="2200" t="str">
        <f>IFERROR(INDEX(PFL_Schutz_Drop_Down56[noch nicht gewählt],_xlfn.AGGREGATE(15,6,ROW(PFL_Schutz_Drop_Down56[noch nicht gewählt])-3/(--(SEARCH($A$69,PFL_Schutz_Drop_Down56[noch nicht gewählt])&gt;0)),ROW()-3)),"")</f>
        <v/>
      </c>
      <c r="AX43" s="2200" t="str">
        <f>IFERROR(INDEX(PFL_Schutz_Drop_Down56[noch nicht gewählt],_xlfn.AGGREGATE(15,6,ROW(PFL_Schutz_Drop_Down56[noch nicht gewählt])-3/(--(SEARCH($A$71,PFL_Schutz_Drop_Down56[noch nicht gewählt])&gt;0)),ROW()-3)),"")</f>
        <v/>
      </c>
      <c r="AY43" s="2200" t="str">
        <f>IFERROR(INDEX(PFL_Schutz_Drop_Down56[noch nicht gewählt],_xlfn.AGGREGATE(15,6,ROW(PFL_Schutz_Drop_Down56[noch nicht gewählt])-3/(--(SEARCH($A$73,PFL_Schutz_Drop_Down56[noch nicht gewählt])&gt;0)),ROW()-3)),"")</f>
        <v/>
      </c>
      <c r="AZ43" s="2201" t="str">
        <f>IFERROR(INDEX(PFL_Schutz_Drop_Down56[noch nicht gewählt],_xlfn.AGGREGATE(15,6,ROW(PFL_Schutz_Drop_Down56[noch nicht gewählt])-3/(--(SEARCH($A$75,PFL_Schutz_Drop_Down56[noch nicht gewählt])&gt;0)),ROW()-3)),"")</f>
        <v/>
      </c>
    </row>
    <row r="44" spans="1:52" ht="19.5" customHeight="1">
      <c r="A44" s="3099"/>
      <c r="B44" s="3103"/>
      <c r="C44" s="3103"/>
      <c r="D44" s="3087"/>
      <c r="E44" s="3089"/>
      <c r="F44" s="3091"/>
      <c r="G44" s="3095"/>
      <c r="H44" s="3096"/>
      <c r="I44" s="3097"/>
      <c r="R44" s="2195">
        <f>Pfl_Schutz!E44</f>
        <v>0</v>
      </c>
      <c r="S44" s="2202">
        <f>COUNTIF($R$4:PFL_Schutz_Drop_Down56[[#This Row],[Produktname]],PFL_Schutz_Drop_Down56[[#This Row],[Produktname]])</f>
        <v>41</v>
      </c>
      <c r="T44" s="2203" t="str">
        <f>IFERROR(INDEX(R:R,_xlfn.AGGREGATE(15,6,ROW(PFL_Schutz_Drop_Down56[Produktname])/(PFL_Schutz_Drop_Down56[Auftretend]=1),ROW()-3)),"")</f>
        <v/>
      </c>
      <c r="U44" s="2198" t="str">
        <f>IF(COUNTIF($A$17:$A$76,PFL_Schutz_Drop_Down56[[#This Row],[Produktname eindeutig]])&gt;=1,"",ROW())</f>
        <v/>
      </c>
      <c r="V44" s="2198" t="str">
        <f t="shared" si="0"/>
        <v/>
      </c>
      <c r="W44" s="2199" t="str">
        <f>IFERROR(INDEX(PFL_Schutz_Drop_Down56[noch nicht gewählt],_xlfn.AGGREGATE(15,6,ROW(PFL_Schutz_Drop_Down56[noch nicht gewählt])-3/(--(SEARCH($A$17,PFL_Schutz_Drop_Down56[noch nicht gewählt])&gt;0)),ROW()-3)),"")</f>
        <v/>
      </c>
      <c r="X44" s="2175" t="str">
        <f>IFERROR(INDEX(PFL_Schutz_Drop_Down56[noch nicht gewählt],_xlfn.AGGREGATE(15,6,ROW(PFL_Schutz_Drop_Down56[noch nicht gewählt])-3/(--(SEARCH($A$19,PFL_Schutz_Drop_Down56[noch nicht gewählt])&gt;0)),ROW()-3)),"")</f>
        <v/>
      </c>
      <c r="Y44" s="2175" t="str">
        <f>IFERROR(INDEX(PFL_Schutz_Drop_Down56[noch nicht gewählt],_xlfn.AGGREGATE(15,6,ROW(PFL_Schutz_Drop_Down56[noch nicht gewählt])-3/(--(SEARCH($A$21,PFL_Schutz_Drop_Down56[noch nicht gewählt])&gt;0)),ROW()-3)),"")</f>
        <v/>
      </c>
      <c r="Z44" s="2200" t="str">
        <f>IFERROR(INDEX(PFL_Schutz_Drop_Down56[noch nicht gewählt],_xlfn.AGGREGATE(15,6,ROW(PFL_Schutz_Drop_Down56[noch nicht gewählt])-3/(--(SEARCH($A$23,PFL_Schutz_Drop_Down56[noch nicht gewählt])&gt;0)),ROW()-3)),"")</f>
        <v/>
      </c>
      <c r="AA44" s="2200" t="str">
        <f>IFERROR(INDEX(PFL_Schutz_Drop_Down56[noch nicht gewählt],_xlfn.AGGREGATE(15,6,ROW(PFL_Schutz_Drop_Down56[noch nicht gewählt])-3/(--(SEARCH($A$25,PFL_Schutz_Drop_Down56[noch nicht gewählt])&gt;0)),ROW()-3)),"")</f>
        <v/>
      </c>
      <c r="AB44" s="2200" t="str">
        <f>IFERROR(INDEX(PFL_Schutz_Drop_Down56[noch nicht gewählt],_xlfn.AGGREGATE(15,6,ROW(PFL_Schutz_Drop_Down56[noch nicht gewählt])-3/(--(SEARCH($A$27,PFL_Schutz_Drop_Down56[noch nicht gewählt])&gt;0)),ROW()-3)),"")</f>
        <v/>
      </c>
      <c r="AC44" s="2200" t="str">
        <f>IFERROR(INDEX(PFL_Schutz_Drop_Down56[noch nicht gewählt],_xlfn.AGGREGATE(15,6,ROW(PFL_Schutz_Drop_Down56[noch nicht gewählt])-3/(--(SEARCH($A$29,PFL_Schutz_Drop_Down56[noch nicht gewählt])&gt;0)),ROW()-3)),"")</f>
        <v/>
      </c>
      <c r="AD44" s="2200" t="str">
        <f>IFERROR(INDEX(PFL_Schutz_Drop_Down56[noch nicht gewählt],_xlfn.AGGREGATE(15,6,ROW(PFL_Schutz_Drop_Down56[noch nicht gewählt])-3/(--(SEARCH($A$31,PFL_Schutz_Drop_Down56[noch nicht gewählt])&gt;0)),ROW()-3)),"")</f>
        <v/>
      </c>
      <c r="AE44" s="2200" t="str">
        <f>IFERROR(INDEX(PFL_Schutz_Drop_Down56[noch nicht gewählt],_xlfn.AGGREGATE(15,6,ROW(PFL_Schutz_Drop_Down56[noch nicht gewählt])-3/(--(SEARCH($A$33,PFL_Schutz_Drop_Down56[noch nicht gewählt])&gt;0)),ROW()-3)),"")</f>
        <v/>
      </c>
      <c r="AF44" s="2200" t="str">
        <f>IFERROR(INDEX(PFL_Schutz_Drop_Down56[noch nicht gewählt],_xlfn.AGGREGATE(15,6,ROW(PFL_Schutz_Drop_Down56[noch nicht gewählt])-3/(--(SEARCH($A$35,PFL_Schutz_Drop_Down56[noch nicht gewählt])&gt;0)),ROW()-3)),"")</f>
        <v/>
      </c>
      <c r="AG44" s="2200" t="str">
        <f>IFERROR(INDEX(PFL_Schutz_Drop_Down56[noch nicht gewählt],_xlfn.AGGREGATE(15,6,ROW(PFL_Schutz_Drop_Down56[noch nicht gewählt])-3/(--(SEARCH($A$37,PFL_Schutz_Drop_Down56[noch nicht gewählt])&gt;0)),ROW()-3)),"")</f>
        <v/>
      </c>
      <c r="AH44" s="2200" t="str">
        <f>IFERROR(INDEX(PFL_Schutz_Drop_Down56[noch nicht gewählt],_xlfn.AGGREGATE(15,6,ROW(PFL_Schutz_Drop_Down56[noch nicht gewählt])-3/(--(SEARCH($A$39,PFL_Schutz_Drop_Down56[noch nicht gewählt])&gt;0)),ROW()-3)),"")</f>
        <v/>
      </c>
      <c r="AI44" s="2200" t="str">
        <f>IFERROR(INDEX(PFL_Schutz_Drop_Down56[noch nicht gewählt],_xlfn.AGGREGATE(15,6,ROW(PFL_Schutz_Drop_Down56[noch nicht gewählt])-3/(--(SEARCH($A$41,PFL_Schutz_Drop_Down56[noch nicht gewählt])&gt;0)),ROW()-3)),"")</f>
        <v/>
      </c>
      <c r="AJ44" s="2200" t="str">
        <f>IFERROR(INDEX(PFL_Schutz_Drop_Down56[noch nicht gewählt],_xlfn.AGGREGATE(15,6,ROW(PFL_Schutz_Drop_Down56[noch nicht gewählt])-3/(--(SEARCH($A$43,PFL_Schutz_Drop_Down56[noch nicht gewählt])&gt;0)),ROW()-3)),"")</f>
        <v/>
      </c>
      <c r="AK44" s="2200" t="str">
        <f>IFERROR(INDEX(PFL_Schutz_Drop_Down56[noch nicht gewählt],_xlfn.AGGREGATE(15,6,ROW(PFL_Schutz_Drop_Down56[noch nicht gewählt])-3/(--(SEARCH($A$45,PFL_Schutz_Drop_Down56[noch nicht gewählt])&gt;0)),ROW()-3)),"")</f>
        <v/>
      </c>
      <c r="AL44" s="2200" t="str">
        <f>IFERROR(INDEX(PFL_Schutz_Drop_Down56[noch nicht gewählt],_xlfn.AGGREGATE(15,6,ROW(PFL_Schutz_Drop_Down56[noch nicht gewählt])-3/(--(SEARCH($A$47,PFL_Schutz_Drop_Down56[noch nicht gewählt])&gt;0)),ROW()-3)),"")</f>
        <v/>
      </c>
      <c r="AM44" s="2200" t="str">
        <f>IFERROR(INDEX(PFL_Schutz_Drop_Down56[noch nicht gewählt],_xlfn.AGGREGATE(15,6,ROW(PFL_Schutz_Drop_Down56[noch nicht gewählt])-3/(--(SEARCH($A$49,PFL_Schutz_Drop_Down56[noch nicht gewählt])&gt;0)),ROW()-3)),"")</f>
        <v/>
      </c>
      <c r="AN44" s="2200" t="str">
        <f>IFERROR(INDEX(PFL_Schutz_Drop_Down56[noch nicht gewählt],_xlfn.AGGREGATE(15,6,ROW(PFL_Schutz_Drop_Down56[noch nicht gewählt])-3/(--(SEARCH($A$51,PFL_Schutz_Drop_Down56[noch nicht gewählt])&gt;0)),ROW()-3)),"")</f>
        <v/>
      </c>
      <c r="AO44" s="2200" t="str">
        <f>IFERROR(INDEX(PFL_Schutz_Drop_Down56[noch nicht gewählt],_xlfn.AGGREGATE(15,6,ROW(PFL_Schutz_Drop_Down56[noch nicht gewählt])-3/(--(SEARCH($A$53,PFL_Schutz_Drop_Down56[noch nicht gewählt])&gt;0)),ROW()-3)),"")</f>
        <v/>
      </c>
      <c r="AP44" s="2200" t="str">
        <f>IFERROR(INDEX(PFL_Schutz_Drop_Down56[noch nicht gewählt],_xlfn.AGGREGATE(15,6,ROW(PFL_Schutz_Drop_Down56[noch nicht gewählt])-3/(--(SEARCH($A$55,PFL_Schutz_Drop_Down56[noch nicht gewählt])&gt;0)),ROW()-3)),"")</f>
        <v/>
      </c>
      <c r="AQ44" s="2200" t="str">
        <f>IFERROR(INDEX(PFL_Schutz_Drop_Down56[noch nicht gewählt],_xlfn.AGGREGATE(15,6,ROW(PFL_Schutz_Drop_Down56[noch nicht gewählt])-3/(--(SEARCH($A$57,PFL_Schutz_Drop_Down56[noch nicht gewählt])&gt;0)),ROW()-3)),"")</f>
        <v/>
      </c>
      <c r="AR44" s="2200" t="str">
        <f>IFERROR(INDEX(PFL_Schutz_Drop_Down56[noch nicht gewählt],_xlfn.AGGREGATE(15,6,ROW(PFL_Schutz_Drop_Down56[noch nicht gewählt])-3/(--(SEARCH($A$59,PFL_Schutz_Drop_Down56[noch nicht gewählt])&gt;0)),ROW()-3)),"")</f>
        <v/>
      </c>
      <c r="AS44" s="2200" t="str">
        <f>IFERROR(INDEX(PFL_Schutz_Drop_Down56[noch nicht gewählt],_xlfn.AGGREGATE(15,6,ROW(PFL_Schutz_Drop_Down56[noch nicht gewählt])-3/(--(SEARCH($A$61,PFL_Schutz_Drop_Down56[noch nicht gewählt])&gt;0)),ROW()-3)),"")</f>
        <v/>
      </c>
      <c r="AT44" s="2200" t="str">
        <f>IFERROR(INDEX(PFL_Schutz_Drop_Down56[noch nicht gewählt],_xlfn.AGGREGATE(15,6,ROW(PFL_Schutz_Drop_Down56[noch nicht gewählt])-3/(--(SEARCH($A$63,PFL_Schutz_Drop_Down56[noch nicht gewählt])&gt;0)),ROW()-3)),"")</f>
        <v/>
      </c>
      <c r="AU44" s="2200" t="str">
        <f>IFERROR(INDEX(PFL_Schutz_Drop_Down56[noch nicht gewählt],_xlfn.AGGREGATE(15,6,ROW(PFL_Schutz_Drop_Down56[noch nicht gewählt])-3/(--(SEARCH($A$65,PFL_Schutz_Drop_Down56[noch nicht gewählt])&gt;0)),ROW()-3)),"")</f>
        <v/>
      </c>
      <c r="AV44" s="2200" t="str">
        <f>IFERROR(INDEX(PFL_Schutz_Drop_Down56[noch nicht gewählt],_xlfn.AGGREGATE(15,6,ROW(PFL_Schutz_Drop_Down56[noch nicht gewählt])-3/(--(SEARCH($A$67,PFL_Schutz_Drop_Down56[noch nicht gewählt])&gt;0)),ROW()-3)),"")</f>
        <v/>
      </c>
      <c r="AW44" s="2200" t="str">
        <f>IFERROR(INDEX(PFL_Schutz_Drop_Down56[noch nicht gewählt],_xlfn.AGGREGATE(15,6,ROW(PFL_Schutz_Drop_Down56[noch nicht gewählt])-3/(--(SEARCH($A$69,PFL_Schutz_Drop_Down56[noch nicht gewählt])&gt;0)),ROW()-3)),"")</f>
        <v/>
      </c>
      <c r="AX44" s="2200" t="str">
        <f>IFERROR(INDEX(PFL_Schutz_Drop_Down56[noch nicht gewählt],_xlfn.AGGREGATE(15,6,ROW(PFL_Schutz_Drop_Down56[noch nicht gewählt])-3/(--(SEARCH($A$71,PFL_Schutz_Drop_Down56[noch nicht gewählt])&gt;0)),ROW()-3)),"")</f>
        <v/>
      </c>
      <c r="AY44" s="2200" t="str">
        <f>IFERROR(INDEX(PFL_Schutz_Drop_Down56[noch nicht gewählt],_xlfn.AGGREGATE(15,6,ROW(PFL_Schutz_Drop_Down56[noch nicht gewählt])-3/(--(SEARCH($A$73,PFL_Schutz_Drop_Down56[noch nicht gewählt])&gt;0)),ROW()-3)),"")</f>
        <v/>
      </c>
      <c r="AZ44" s="2201" t="str">
        <f>IFERROR(INDEX(PFL_Schutz_Drop_Down56[noch nicht gewählt],_xlfn.AGGREGATE(15,6,ROW(PFL_Schutz_Drop_Down56[noch nicht gewählt])-3/(--(SEARCH($A$75,PFL_Schutz_Drop_Down56[noch nicht gewählt])&gt;0)),ROW()-3)),"")</f>
        <v/>
      </c>
    </row>
    <row r="45" spans="1:52" ht="19.5" customHeight="1">
      <c r="A45" s="3098"/>
      <c r="B45" s="3105"/>
      <c r="C45" s="3105"/>
      <c r="D45" s="3087">
        <f>SUMIF(Pfl_Schutz!$E$4:$E$77,A45,Pfl_Schutz!$H$4:$H$77)</f>
        <v>0</v>
      </c>
      <c r="E45" s="3106" t="str">
        <f t="shared" ref="E45" si="23">IF(SUM(B45:C46)=0,"",IF(F45&lt;0,"negativer Lagerstand nicht möglich - überprüfen Sie die Eingabewerte auf Vollständigkeit",IF(F45=0,"Produkt aufgebraucht, Lagerstand 0",F45)))</f>
        <v/>
      </c>
      <c r="F45" s="3091">
        <f t="shared" ref="F45" si="24">IF(SUM(B45:C46)&gt;0,IF(ISBLANK(A45),"",B45+C45-D45),0)</f>
        <v>0</v>
      </c>
      <c r="G45" s="3095"/>
      <c r="H45" s="3096"/>
      <c r="I45" s="3097"/>
      <c r="L45" s="2208"/>
      <c r="R45" s="2195">
        <f>Pfl_Schutz!E45</f>
        <v>0</v>
      </c>
      <c r="S45" s="2202">
        <f>COUNTIF($R$4:PFL_Schutz_Drop_Down56[[#This Row],[Produktname]],PFL_Schutz_Drop_Down56[[#This Row],[Produktname]])</f>
        <v>42</v>
      </c>
      <c r="T45" s="2203" t="str">
        <f>IFERROR(INDEX(R:R,_xlfn.AGGREGATE(15,6,ROW(PFL_Schutz_Drop_Down56[Produktname])/(PFL_Schutz_Drop_Down56[Auftretend]=1),ROW()-3)),"")</f>
        <v/>
      </c>
      <c r="U45" s="2198" t="str">
        <f>IF(COUNTIF($A$17:$A$76,PFL_Schutz_Drop_Down56[[#This Row],[Produktname eindeutig]])&gt;=1,"",ROW())</f>
        <v/>
      </c>
      <c r="V45" s="2198" t="str">
        <f t="shared" si="0"/>
        <v/>
      </c>
      <c r="W45" s="2199" t="str">
        <f>IFERROR(INDEX(PFL_Schutz_Drop_Down56[noch nicht gewählt],_xlfn.AGGREGATE(15,6,ROW(PFL_Schutz_Drop_Down56[noch nicht gewählt])-3/(--(SEARCH($A$17,PFL_Schutz_Drop_Down56[noch nicht gewählt])&gt;0)),ROW()-3)),"")</f>
        <v/>
      </c>
      <c r="X45" s="2175" t="str">
        <f>IFERROR(INDEX(PFL_Schutz_Drop_Down56[noch nicht gewählt],_xlfn.AGGREGATE(15,6,ROW(PFL_Schutz_Drop_Down56[noch nicht gewählt])-3/(--(SEARCH($A$19,PFL_Schutz_Drop_Down56[noch nicht gewählt])&gt;0)),ROW()-3)),"")</f>
        <v/>
      </c>
      <c r="Y45" s="2175" t="str">
        <f>IFERROR(INDEX(PFL_Schutz_Drop_Down56[noch nicht gewählt],_xlfn.AGGREGATE(15,6,ROW(PFL_Schutz_Drop_Down56[noch nicht gewählt])-3/(--(SEARCH($A$21,PFL_Schutz_Drop_Down56[noch nicht gewählt])&gt;0)),ROW()-3)),"")</f>
        <v/>
      </c>
      <c r="Z45" s="2200" t="str">
        <f>IFERROR(INDEX(PFL_Schutz_Drop_Down56[noch nicht gewählt],_xlfn.AGGREGATE(15,6,ROW(PFL_Schutz_Drop_Down56[noch nicht gewählt])-3/(--(SEARCH($A$23,PFL_Schutz_Drop_Down56[noch nicht gewählt])&gt;0)),ROW()-3)),"")</f>
        <v/>
      </c>
      <c r="AA45" s="2200" t="str">
        <f>IFERROR(INDEX(PFL_Schutz_Drop_Down56[noch nicht gewählt],_xlfn.AGGREGATE(15,6,ROW(PFL_Schutz_Drop_Down56[noch nicht gewählt])-3/(--(SEARCH($A$25,PFL_Schutz_Drop_Down56[noch nicht gewählt])&gt;0)),ROW()-3)),"")</f>
        <v/>
      </c>
      <c r="AB45" s="2200" t="str">
        <f>IFERROR(INDEX(PFL_Schutz_Drop_Down56[noch nicht gewählt],_xlfn.AGGREGATE(15,6,ROW(PFL_Schutz_Drop_Down56[noch nicht gewählt])-3/(--(SEARCH($A$27,PFL_Schutz_Drop_Down56[noch nicht gewählt])&gt;0)),ROW()-3)),"")</f>
        <v/>
      </c>
      <c r="AC45" s="2200" t="str">
        <f>IFERROR(INDEX(PFL_Schutz_Drop_Down56[noch nicht gewählt],_xlfn.AGGREGATE(15,6,ROW(PFL_Schutz_Drop_Down56[noch nicht gewählt])-3/(--(SEARCH($A$29,PFL_Schutz_Drop_Down56[noch nicht gewählt])&gt;0)),ROW()-3)),"")</f>
        <v/>
      </c>
      <c r="AD45" s="2200" t="str">
        <f>IFERROR(INDEX(PFL_Schutz_Drop_Down56[noch nicht gewählt],_xlfn.AGGREGATE(15,6,ROW(PFL_Schutz_Drop_Down56[noch nicht gewählt])-3/(--(SEARCH($A$31,PFL_Schutz_Drop_Down56[noch nicht gewählt])&gt;0)),ROW()-3)),"")</f>
        <v/>
      </c>
      <c r="AE45" s="2200" t="str">
        <f>IFERROR(INDEX(PFL_Schutz_Drop_Down56[noch nicht gewählt],_xlfn.AGGREGATE(15,6,ROW(PFL_Schutz_Drop_Down56[noch nicht gewählt])-3/(--(SEARCH($A$33,PFL_Schutz_Drop_Down56[noch nicht gewählt])&gt;0)),ROW()-3)),"")</f>
        <v/>
      </c>
      <c r="AF45" s="2200" t="str">
        <f>IFERROR(INDEX(PFL_Schutz_Drop_Down56[noch nicht gewählt],_xlfn.AGGREGATE(15,6,ROW(PFL_Schutz_Drop_Down56[noch nicht gewählt])-3/(--(SEARCH($A$35,PFL_Schutz_Drop_Down56[noch nicht gewählt])&gt;0)),ROW()-3)),"")</f>
        <v/>
      </c>
      <c r="AG45" s="2200" t="str">
        <f>IFERROR(INDEX(PFL_Schutz_Drop_Down56[noch nicht gewählt],_xlfn.AGGREGATE(15,6,ROW(PFL_Schutz_Drop_Down56[noch nicht gewählt])-3/(--(SEARCH($A$37,PFL_Schutz_Drop_Down56[noch nicht gewählt])&gt;0)),ROW()-3)),"")</f>
        <v/>
      </c>
      <c r="AH45" s="2200" t="str">
        <f>IFERROR(INDEX(PFL_Schutz_Drop_Down56[noch nicht gewählt],_xlfn.AGGREGATE(15,6,ROW(PFL_Schutz_Drop_Down56[noch nicht gewählt])-3/(--(SEARCH($A$39,PFL_Schutz_Drop_Down56[noch nicht gewählt])&gt;0)),ROW()-3)),"")</f>
        <v/>
      </c>
      <c r="AI45" s="2200" t="str">
        <f>IFERROR(INDEX(PFL_Schutz_Drop_Down56[noch nicht gewählt],_xlfn.AGGREGATE(15,6,ROW(PFL_Schutz_Drop_Down56[noch nicht gewählt])-3/(--(SEARCH($A$41,PFL_Schutz_Drop_Down56[noch nicht gewählt])&gt;0)),ROW()-3)),"")</f>
        <v/>
      </c>
      <c r="AJ45" s="2200" t="str">
        <f>IFERROR(INDEX(PFL_Schutz_Drop_Down56[noch nicht gewählt],_xlfn.AGGREGATE(15,6,ROW(PFL_Schutz_Drop_Down56[noch nicht gewählt])-3/(--(SEARCH($A$43,PFL_Schutz_Drop_Down56[noch nicht gewählt])&gt;0)),ROW()-3)),"")</f>
        <v/>
      </c>
      <c r="AK45" s="2200" t="str">
        <f>IFERROR(INDEX(PFL_Schutz_Drop_Down56[noch nicht gewählt],_xlfn.AGGREGATE(15,6,ROW(PFL_Schutz_Drop_Down56[noch nicht gewählt])-3/(--(SEARCH($A$45,PFL_Schutz_Drop_Down56[noch nicht gewählt])&gt;0)),ROW()-3)),"")</f>
        <v/>
      </c>
      <c r="AL45" s="2200" t="str">
        <f>IFERROR(INDEX(PFL_Schutz_Drop_Down56[noch nicht gewählt],_xlfn.AGGREGATE(15,6,ROW(PFL_Schutz_Drop_Down56[noch nicht gewählt])-3/(--(SEARCH($A$47,PFL_Schutz_Drop_Down56[noch nicht gewählt])&gt;0)),ROW()-3)),"")</f>
        <v/>
      </c>
      <c r="AM45" s="2200" t="str">
        <f>IFERROR(INDEX(PFL_Schutz_Drop_Down56[noch nicht gewählt],_xlfn.AGGREGATE(15,6,ROW(PFL_Schutz_Drop_Down56[noch nicht gewählt])-3/(--(SEARCH($A$49,PFL_Schutz_Drop_Down56[noch nicht gewählt])&gt;0)),ROW()-3)),"")</f>
        <v/>
      </c>
      <c r="AN45" s="2200" t="str">
        <f>IFERROR(INDEX(PFL_Schutz_Drop_Down56[noch nicht gewählt],_xlfn.AGGREGATE(15,6,ROW(PFL_Schutz_Drop_Down56[noch nicht gewählt])-3/(--(SEARCH($A$51,PFL_Schutz_Drop_Down56[noch nicht gewählt])&gt;0)),ROW()-3)),"")</f>
        <v/>
      </c>
      <c r="AO45" s="2200" t="str">
        <f>IFERROR(INDEX(PFL_Schutz_Drop_Down56[noch nicht gewählt],_xlfn.AGGREGATE(15,6,ROW(PFL_Schutz_Drop_Down56[noch nicht gewählt])-3/(--(SEARCH($A$53,PFL_Schutz_Drop_Down56[noch nicht gewählt])&gt;0)),ROW()-3)),"")</f>
        <v/>
      </c>
      <c r="AP45" s="2200" t="str">
        <f>IFERROR(INDEX(PFL_Schutz_Drop_Down56[noch nicht gewählt],_xlfn.AGGREGATE(15,6,ROW(PFL_Schutz_Drop_Down56[noch nicht gewählt])-3/(--(SEARCH($A$55,PFL_Schutz_Drop_Down56[noch nicht gewählt])&gt;0)),ROW()-3)),"")</f>
        <v/>
      </c>
      <c r="AQ45" s="2200" t="str">
        <f>IFERROR(INDEX(PFL_Schutz_Drop_Down56[noch nicht gewählt],_xlfn.AGGREGATE(15,6,ROW(PFL_Schutz_Drop_Down56[noch nicht gewählt])-3/(--(SEARCH($A$57,PFL_Schutz_Drop_Down56[noch nicht gewählt])&gt;0)),ROW()-3)),"")</f>
        <v/>
      </c>
      <c r="AR45" s="2200" t="str">
        <f>IFERROR(INDEX(PFL_Schutz_Drop_Down56[noch nicht gewählt],_xlfn.AGGREGATE(15,6,ROW(PFL_Schutz_Drop_Down56[noch nicht gewählt])-3/(--(SEARCH($A$59,PFL_Schutz_Drop_Down56[noch nicht gewählt])&gt;0)),ROW()-3)),"")</f>
        <v/>
      </c>
      <c r="AS45" s="2200" t="str">
        <f>IFERROR(INDEX(PFL_Schutz_Drop_Down56[noch nicht gewählt],_xlfn.AGGREGATE(15,6,ROW(PFL_Schutz_Drop_Down56[noch nicht gewählt])-3/(--(SEARCH($A$61,PFL_Schutz_Drop_Down56[noch nicht gewählt])&gt;0)),ROW()-3)),"")</f>
        <v/>
      </c>
      <c r="AT45" s="2200" t="str">
        <f>IFERROR(INDEX(PFL_Schutz_Drop_Down56[noch nicht gewählt],_xlfn.AGGREGATE(15,6,ROW(PFL_Schutz_Drop_Down56[noch nicht gewählt])-3/(--(SEARCH($A$63,PFL_Schutz_Drop_Down56[noch nicht gewählt])&gt;0)),ROW()-3)),"")</f>
        <v/>
      </c>
      <c r="AU45" s="2200" t="str">
        <f>IFERROR(INDEX(PFL_Schutz_Drop_Down56[noch nicht gewählt],_xlfn.AGGREGATE(15,6,ROW(PFL_Schutz_Drop_Down56[noch nicht gewählt])-3/(--(SEARCH($A$65,PFL_Schutz_Drop_Down56[noch nicht gewählt])&gt;0)),ROW()-3)),"")</f>
        <v/>
      </c>
      <c r="AV45" s="2200" t="str">
        <f>IFERROR(INDEX(PFL_Schutz_Drop_Down56[noch nicht gewählt],_xlfn.AGGREGATE(15,6,ROW(PFL_Schutz_Drop_Down56[noch nicht gewählt])-3/(--(SEARCH($A$67,PFL_Schutz_Drop_Down56[noch nicht gewählt])&gt;0)),ROW()-3)),"")</f>
        <v/>
      </c>
      <c r="AW45" s="2200" t="str">
        <f>IFERROR(INDEX(PFL_Schutz_Drop_Down56[noch nicht gewählt],_xlfn.AGGREGATE(15,6,ROW(PFL_Schutz_Drop_Down56[noch nicht gewählt])-3/(--(SEARCH($A$69,PFL_Schutz_Drop_Down56[noch nicht gewählt])&gt;0)),ROW()-3)),"")</f>
        <v/>
      </c>
      <c r="AX45" s="2200" t="str">
        <f>IFERROR(INDEX(PFL_Schutz_Drop_Down56[noch nicht gewählt],_xlfn.AGGREGATE(15,6,ROW(PFL_Schutz_Drop_Down56[noch nicht gewählt])-3/(--(SEARCH($A$71,PFL_Schutz_Drop_Down56[noch nicht gewählt])&gt;0)),ROW()-3)),"")</f>
        <v/>
      </c>
      <c r="AY45" s="2200" t="str">
        <f>IFERROR(INDEX(PFL_Schutz_Drop_Down56[noch nicht gewählt],_xlfn.AGGREGATE(15,6,ROW(PFL_Schutz_Drop_Down56[noch nicht gewählt])-3/(--(SEARCH($A$73,PFL_Schutz_Drop_Down56[noch nicht gewählt])&gt;0)),ROW()-3)),"")</f>
        <v/>
      </c>
      <c r="AZ45" s="2201" t="str">
        <f>IFERROR(INDEX(PFL_Schutz_Drop_Down56[noch nicht gewählt],_xlfn.AGGREGATE(15,6,ROW(PFL_Schutz_Drop_Down56[noch nicht gewählt])-3/(--(SEARCH($A$75,PFL_Schutz_Drop_Down56[noch nicht gewählt])&gt;0)),ROW()-3)),"")</f>
        <v/>
      </c>
    </row>
    <row r="46" spans="1:52" ht="19.5" customHeight="1">
      <c r="A46" s="3104"/>
      <c r="B46" s="3103"/>
      <c r="C46" s="3103"/>
      <c r="D46" s="3087"/>
      <c r="E46" s="3089"/>
      <c r="F46" s="3091"/>
      <c r="G46" s="3095"/>
      <c r="H46" s="3096"/>
      <c r="I46" s="3097"/>
      <c r="R46" s="2195">
        <f>Pfl_Schutz!E46</f>
        <v>0</v>
      </c>
      <c r="S46" s="2202">
        <f>COUNTIF($R$4:PFL_Schutz_Drop_Down56[[#This Row],[Produktname]],PFL_Schutz_Drop_Down56[[#This Row],[Produktname]])</f>
        <v>43</v>
      </c>
      <c r="T46" s="2203" t="str">
        <f>IFERROR(INDEX(R:R,_xlfn.AGGREGATE(15,6,ROW(PFL_Schutz_Drop_Down56[Produktname])/(PFL_Schutz_Drop_Down56[Auftretend]=1),ROW()-3)),"")</f>
        <v/>
      </c>
      <c r="U46" s="2198" t="str">
        <f>IF(COUNTIF($A$17:$A$76,PFL_Schutz_Drop_Down56[[#This Row],[Produktname eindeutig]])&gt;=1,"",ROW())</f>
        <v/>
      </c>
      <c r="V46" s="2198" t="str">
        <f t="shared" si="0"/>
        <v/>
      </c>
      <c r="W46" s="2199" t="str">
        <f>IFERROR(INDEX(PFL_Schutz_Drop_Down56[noch nicht gewählt],_xlfn.AGGREGATE(15,6,ROW(PFL_Schutz_Drop_Down56[noch nicht gewählt])-3/(--(SEARCH($A$17,PFL_Schutz_Drop_Down56[noch nicht gewählt])&gt;0)),ROW()-3)),"")</f>
        <v/>
      </c>
      <c r="X46" s="2175" t="str">
        <f>IFERROR(INDEX(PFL_Schutz_Drop_Down56[noch nicht gewählt],_xlfn.AGGREGATE(15,6,ROW(PFL_Schutz_Drop_Down56[noch nicht gewählt])-3/(--(SEARCH($A$19,PFL_Schutz_Drop_Down56[noch nicht gewählt])&gt;0)),ROW()-3)),"")</f>
        <v/>
      </c>
      <c r="Y46" s="2175" t="str">
        <f>IFERROR(INDEX(PFL_Schutz_Drop_Down56[noch nicht gewählt],_xlfn.AGGREGATE(15,6,ROW(PFL_Schutz_Drop_Down56[noch nicht gewählt])-3/(--(SEARCH($A$21,PFL_Schutz_Drop_Down56[noch nicht gewählt])&gt;0)),ROW()-3)),"")</f>
        <v/>
      </c>
      <c r="Z46" s="2200" t="str">
        <f>IFERROR(INDEX(PFL_Schutz_Drop_Down56[noch nicht gewählt],_xlfn.AGGREGATE(15,6,ROW(PFL_Schutz_Drop_Down56[noch nicht gewählt])-3/(--(SEARCH($A$23,PFL_Schutz_Drop_Down56[noch nicht gewählt])&gt;0)),ROW()-3)),"")</f>
        <v/>
      </c>
      <c r="AA46" s="2200" t="str">
        <f>IFERROR(INDEX(PFL_Schutz_Drop_Down56[noch nicht gewählt],_xlfn.AGGREGATE(15,6,ROW(PFL_Schutz_Drop_Down56[noch nicht gewählt])-3/(--(SEARCH($A$25,PFL_Schutz_Drop_Down56[noch nicht gewählt])&gt;0)),ROW()-3)),"")</f>
        <v/>
      </c>
      <c r="AB46" s="2200" t="str">
        <f>IFERROR(INDEX(PFL_Schutz_Drop_Down56[noch nicht gewählt],_xlfn.AGGREGATE(15,6,ROW(PFL_Schutz_Drop_Down56[noch nicht gewählt])-3/(--(SEARCH($A$27,PFL_Schutz_Drop_Down56[noch nicht gewählt])&gt;0)),ROW()-3)),"")</f>
        <v/>
      </c>
      <c r="AC46" s="2200" t="str">
        <f>IFERROR(INDEX(PFL_Schutz_Drop_Down56[noch nicht gewählt],_xlfn.AGGREGATE(15,6,ROW(PFL_Schutz_Drop_Down56[noch nicht gewählt])-3/(--(SEARCH($A$29,PFL_Schutz_Drop_Down56[noch nicht gewählt])&gt;0)),ROW()-3)),"")</f>
        <v/>
      </c>
      <c r="AD46" s="2200" t="str">
        <f>IFERROR(INDEX(PFL_Schutz_Drop_Down56[noch nicht gewählt],_xlfn.AGGREGATE(15,6,ROW(PFL_Schutz_Drop_Down56[noch nicht gewählt])-3/(--(SEARCH($A$31,PFL_Schutz_Drop_Down56[noch nicht gewählt])&gt;0)),ROW()-3)),"")</f>
        <v/>
      </c>
      <c r="AE46" s="2200" t="str">
        <f>IFERROR(INDEX(PFL_Schutz_Drop_Down56[noch nicht gewählt],_xlfn.AGGREGATE(15,6,ROW(PFL_Schutz_Drop_Down56[noch nicht gewählt])-3/(--(SEARCH($A$33,PFL_Schutz_Drop_Down56[noch nicht gewählt])&gt;0)),ROW()-3)),"")</f>
        <v/>
      </c>
      <c r="AF46" s="2200" t="str">
        <f>IFERROR(INDEX(PFL_Schutz_Drop_Down56[noch nicht gewählt],_xlfn.AGGREGATE(15,6,ROW(PFL_Schutz_Drop_Down56[noch nicht gewählt])-3/(--(SEARCH($A$35,PFL_Schutz_Drop_Down56[noch nicht gewählt])&gt;0)),ROW()-3)),"")</f>
        <v/>
      </c>
      <c r="AG46" s="2200" t="str">
        <f>IFERROR(INDEX(PFL_Schutz_Drop_Down56[noch nicht gewählt],_xlfn.AGGREGATE(15,6,ROW(PFL_Schutz_Drop_Down56[noch nicht gewählt])-3/(--(SEARCH($A$37,PFL_Schutz_Drop_Down56[noch nicht gewählt])&gt;0)),ROW()-3)),"")</f>
        <v/>
      </c>
      <c r="AH46" s="2200" t="str">
        <f>IFERROR(INDEX(PFL_Schutz_Drop_Down56[noch nicht gewählt],_xlfn.AGGREGATE(15,6,ROW(PFL_Schutz_Drop_Down56[noch nicht gewählt])-3/(--(SEARCH($A$39,PFL_Schutz_Drop_Down56[noch nicht gewählt])&gt;0)),ROW()-3)),"")</f>
        <v/>
      </c>
      <c r="AI46" s="2200" t="str">
        <f>IFERROR(INDEX(PFL_Schutz_Drop_Down56[noch nicht gewählt],_xlfn.AGGREGATE(15,6,ROW(PFL_Schutz_Drop_Down56[noch nicht gewählt])-3/(--(SEARCH($A$41,PFL_Schutz_Drop_Down56[noch nicht gewählt])&gt;0)),ROW()-3)),"")</f>
        <v/>
      </c>
      <c r="AJ46" s="2200" t="str">
        <f>IFERROR(INDEX(PFL_Schutz_Drop_Down56[noch nicht gewählt],_xlfn.AGGREGATE(15,6,ROW(PFL_Schutz_Drop_Down56[noch nicht gewählt])-3/(--(SEARCH($A$43,PFL_Schutz_Drop_Down56[noch nicht gewählt])&gt;0)),ROW()-3)),"")</f>
        <v/>
      </c>
      <c r="AK46" s="2200" t="str">
        <f>IFERROR(INDEX(PFL_Schutz_Drop_Down56[noch nicht gewählt],_xlfn.AGGREGATE(15,6,ROW(PFL_Schutz_Drop_Down56[noch nicht gewählt])-3/(--(SEARCH($A$45,PFL_Schutz_Drop_Down56[noch nicht gewählt])&gt;0)),ROW()-3)),"")</f>
        <v/>
      </c>
      <c r="AL46" s="2200" t="str">
        <f>IFERROR(INDEX(PFL_Schutz_Drop_Down56[noch nicht gewählt],_xlfn.AGGREGATE(15,6,ROW(PFL_Schutz_Drop_Down56[noch nicht gewählt])-3/(--(SEARCH($A$47,PFL_Schutz_Drop_Down56[noch nicht gewählt])&gt;0)),ROW()-3)),"")</f>
        <v/>
      </c>
      <c r="AM46" s="2200" t="str">
        <f>IFERROR(INDEX(PFL_Schutz_Drop_Down56[noch nicht gewählt],_xlfn.AGGREGATE(15,6,ROW(PFL_Schutz_Drop_Down56[noch nicht gewählt])-3/(--(SEARCH($A$49,PFL_Schutz_Drop_Down56[noch nicht gewählt])&gt;0)),ROW()-3)),"")</f>
        <v/>
      </c>
      <c r="AN46" s="2200" t="str">
        <f>IFERROR(INDEX(PFL_Schutz_Drop_Down56[noch nicht gewählt],_xlfn.AGGREGATE(15,6,ROW(PFL_Schutz_Drop_Down56[noch nicht gewählt])-3/(--(SEARCH($A$51,PFL_Schutz_Drop_Down56[noch nicht gewählt])&gt;0)),ROW()-3)),"")</f>
        <v/>
      </c>
      <c r="AO46" s="2200" t="str">
        <f>IFERROR(INDEX(PFL_Schutz_Drop_Down56[noch nicht gewählt],_xlfn.AGGREGATE(15,6,ROW(PFL_Schutz_Drop_Down56[noch nicht gewählt])-3/(--(SEARCH($A$53,PFL_Schutz_Drop_Down56[noch nicht gewählt])&gt;0)),ROW()-3)),"")</f>
        <v/>
      </c>
      <c r="AP46" s="2200" t="str">
        <f>IFERROR(INDEX(PFL_Schutz_Drop_Down56[noch nicht gewählt],_xlfn.AGGREGATE(15,6,ROW(PFL_Schutz_Drop_Down56[noch nicht gewählt])-3/(--(SEARCH($A$55,PFL_Schutz_Drop_Down56[noch nicht gewählt])&gt;0)),ROW()-3)),"")</f>
        <v/>
      </c>
      <c r="AQ46" s="2200" t="str">
        <f>IFERROR(INDEX(PFL_Schutz_Drop_Down56[noch nicht gewählt],_xlfn.AGGREGATE(15,6,ROW(PFL_Schutz_Drop_Down56[noch nicht gewählt])-3/(--(SEARCH($A$57,PFL_Schutz_Drop_Down56[noch nicht gewählt])&gt;0)),ROW()-3)),"")</f>
        <v/>
      </c>
      <c r="AR46" s="2200" t="str">
        <f>IFERROR(INDEX(PFL_Schutz_Drop_Down56[noch nicht gewählt],_xlfn.AGGREGATE(15,6,ROW(PFL_Schutz_Drop_Down56[noch nicht gewählt])-3/(--(SEARCH($A$59,PFL_Schutz_Drop_Down56[noch nicht gewählt])&gt;0)),ROW()-3)),"")</f>
        <v/>
      </c>
      <c r="AS46" s="2200" t="str">
        <f>IFERROR(INDEX(PFL_Schutz_Drop_Down56[noch nicht gewählt],_xlfn.AGGREGATE(15,6,ROW(PFL_Schutz_Drop_Down56[noch nicht gewählt])-3/(--(SEARCH($A$61,PFL_Schutz_Drop_Down56[noch nicht gewählt])&gt;0)),ROW()-3)),"")</f>
        <v/>
      </c>
      <c r="AT46" s="2200" t="str">
        <f>IFERROR(INDEX(PFL_Schutz_Drop_Down56[noch nicht gewählt],_xlfn.AGGREGATE(15,6,ROW(PFL_Schutz_Drop_Down56[noch nicht gewählt])-3/(--(SEARCH($A$63,PFL_Schutz_Drop_Down56[noch nicht gewählt])&gt;0)),ROW()-3)),"")</f>
        <v/>
      </c>
      <c r="AU46" s="2200" t="str">
        <f>IFERROR(INDEX(PFL_Schutz_Drop_Down56[noch nicht gewählt],_xlfn.AGGREGATE(15,6,ROW(PFL_Schutz_Drop_Down56[noch nicht gewählt])-3/(--(SEARCH($A$65,PFL_Schutz_Drop_Down56[noch nicht gewählt])&gt;0)),ROW()-3)),"")</f>
        <v/>
      </c>
      <c r="AV46" s="2200" t="str">
        <f>IFERROR(INDEX(PFL_Schutz_Drop_Down56[noch nicht gewählt],_xlfn.AGGREGATE(15,6,ROW(PFL_Schutz_Drop_Down56[noch nicht gewählt])-3/(--(SEARCH($A$67,PFL_Schutz_Drop_Down56[noch nicht gewählt])&gt;0)),ROW()-3)),"")</f>
        <v/>
      </c>
      <c r="AW46" s="2200" t="str">
        <f>IFERROR(INDEX(PFL_Schutz_Drop_Down56[noch nicht gewählt],_xlfn.AGGREGATE(15,6,ROW(PFL_Schutz_Drop_Down56[noch nicht gewählt])-3/(--(SEARCH($A$69,PFL_Schutz_Drop_Down56[noch nicht gewählt])&gt;0)),ROW()-3)),"")</f>
        <v/>
      </c>
      <c r="AX46" s="2200" t="str">
        <f>IFERROR(INDEX(PFL_Schutz_Drop_Down56[noch nicht gewählt],_xlfn.AGGREGATE(15,6,ROW(PFL_Schutz_Drop_Down56[noch nicht gewählt])-3/(--(SEARCH($A$71,PFL_Schutz_Drop_Down56[noch nicht gewählt])&gt;0)),ROW()-3)),"")</f>
        <v/>
      </c>
      <c r="AY46" s="2200" t="str">
        <f>IFERROR(INDEX(PFL_Schutz_Drop_Down56[noch nicht gewählt],_xlfn.AGGREGATE(15,6,ROW(PFL_Schutz_Drop_Down56[noch nicht gewählt])-3/(--(SEARCH($A$73,PFL_Schutz_Drop_Down56[noch nicht gewählt])&gt;0)),ROW()-3)),"")</f>
        <v/>
      </c>
      <c r="AZ46" s="2201" t="str">
        <f>IFERROR(INDEX(PFL_Schutz_Drop_Down56[noch nicht gewählt],_xlfn.AGGREGATE(15,6,ROW(PFL_Schutz_Drop_Down56[noch nicht gewählt])-3/(--(SEARCH($A$75,PFL_Schutz_Drop_Down56[noch nicht gewählt])&gt;0)),ROW()-3)),"")</f>
        <v/>
      </c>
    </row>
    <row r="47" spans="1:52" ht="19.5" customHeight="1">
      <c r="A47" s="3098"/>
      <c r="B47" s="3102"/>
      <c r="C47" s="3102"/>
      <c r="D47" s="3087">
        <f>SUMIF(Pfl_Schutz!$E$4:$E$77,A47,Pfl_Schutz!$H$4:$H$77)</f>
        <v>0</v>
      </c>
      <c r="E47" s="3089" t="str">
        <f t="shared" ref="E47" si="25">IF(SUM(B47:C48)=0,"",IF(F47&lt;0,"negativer Lagerstand nicht möglich - überprüfen Sie die Eingabewerte auf Vollständigkeit",IF(F47=0,"Produkt aufgebraucht, Lagerstand 0",F47)))</f>
        <v/>
      </c>
      <c r="F47" s="3091">
        <f t="shared" ref="F47" si="26">IF(SUM(B47:C48)&gt;0,IF(ISBLANK(A47),"",B47+C47-D47),0)</f>
        <v>0</v>
      </c>
      <c r="G47" s="3095"/>
      <c r="H47" s="3096"/>
      <c r="I47" s="3097"/>
      <c r="R47" s="2195">
        <f>Pfl_Schutz!E47</f>
        <v>0</v>
      </c>
      <c r="S47" s="2202">
        <f>COUNTIF($R$4:PFL_Schutz_Drop_Down56[[#This Row],[Produktname]],PFL_Schutz_Drop_Down56[[#This Row],[Produktname]])</f>
        <v>44</v>
      </c>
      <c r="T47" s="2203" t="str">
        <f>IFERROR(INDEX(R:R,_xlfn.AGGREGATE(15,6,ROW(PFL_Schutz_Drop_Down56[Produktname])/(PFL_Schutz_Drop_Down56[Auftretend]=1),ROW()-3)),"")</f>
        <v/>
      </c>
      <c r="U47" s="2198" t="str">
        <f>IF(COUNTIF($A$17:$A$76,PFL_Schutz_Drop_Down56[[#This Row],[Produktname eindeutig]])&gt;=1,"",ROW())</f>
        <v/>
      </c>
      <c r="V47" s="2198" t="str">
        <f t="shared" si="0"/>
        <v/>
      </c>
      <c r="W47" s="2199" t="str">
        <f>IFERROR(INDEX(PFL_Schutz_Drop_Down56[noch nicht gewählt],_xlfn.AGGREGATE(15,6,ROW(PFL_Schutz_Drop_Down56[noch nicht gewählt])-3/(--(SEARCH($A$17,PFL_Schutz_Drop_Down56[noch nicht gewählt])&gt;0)),ROW()-3)),"")</f>
        <v/>
      </c>
      <c r="X47" s="2175" t="str">
        <f>IFERROR(INDEX(PFL_Schutz_Drop_Down56[noch nicht gewählt],_xlfn.AGGREGATE(15,6,ROW(PFL_Schutz_Drop_Down56[noch nicht gewählt])-3/(--(SEARCH($A$19,PFL_Schutz_Drop_Down56[noch nicht gewählt])&gt;0)),ROW()-3)),"")</f>
        <v/>
      </c>
      <c r="Y47" s="2175" t="str">
        <f>IFERROR(INDEX(PFL_Schutz_Drop_Down56[noch nicht gewählt],_xlfn.AGGREGATE(15,6,ROW(PFL_Schutz_Drop_Down56[noch nicht gewählt])-3/(--(SEARCH($A$21,PFL_Schutz_Drop_Down56[noch nicht gewählt])&gt;0)),ROW()-3)),"")</f>
        <v/>
      </c>
      <c r="Z47" s="2200" t="str">
        <f>IFERROR(INDEX(PFL_Schutz_Drop_Down56[noch nicht gewählt],_xlfn.AGGREGATE(15,6,ROW(PFL_Schutz_Drop_Down56[noch nicht gewählt])-3/(--(SEARCH($A$23,PFL_Schutz_Drop_Down56[noch nicht gewählt])&gt;0)),ROW()-3)),"")</f>
        <v/>
      </c>
      <c r="AA47" s="2200" t="str">
        <f>IFERROR(INDEX(PFL_Schutz_Drop_Down56[noch nicht gewählt],_xlfn.AGGREGATE(15,6,ROW(PFL_Schutz_Drop_Down56[noch nicht gewählt])-3/(--(SEARCH($A$25,PFL_Schutz_Drop_Down56[noch nicht gewählt])&gt;0)),ROW()-3)),"")</f>
        <v/>
      </c>
      <c r="AB47" s="2200" t="str">
        <f>IFERROR(INDEX(PFL_Schutz_Drop_Down56[noch nicht gewählt],_xlfn.AGGREGATE(15,6,ROW(PFL_Schutz_Drop_Down56[noch nicht gewählt])-3/(--(SEARCH($A$27,PFL_Schutz_Drop_Down56[noch nicht gewählt])&gt;0)),ROW()-3)),"")</f>
        <v/>
      </c>
      <c r="AC47" s="2200" t="str">
        <f>IFERROR(INDEX(PFL_Schutz_Drop_Down56[noch nicht gewählt],_xlfn.AGGREGATE(15,6,ROW(PFL_Schutz_Drop_Down56[noch nicht gewählt])-3/(--(SEARCH($A$29,PFL_Schutz_Drop_Down56[noch nicht gewählt])&gt;0)),ROW()-3)),"")</f>
        <v/>
      </c>
      <c r="AD47" s="2200" t="str">
        <f>IFERROR(INDEX(PFL_Schutz_Drop_Down56[noch nicht gewählt],_xlfn.AGGREGATE(15,6,ROW(PFL_Schutz_Drop_Down56[noch nicht gewählt])-3/(--(SEARCH($A$31,PFL_Schutz_Drop_Down56[noch nicht gewählt])&gt;0)),ROW()-3)),"")</f>
        <v/>
      </c>
      <c r="AE47" s="2200" t="str">
        <f>IFERROR(INDEX(PFL_Schutz_Drop_Down56[noch nicht gewählt],_xlfn.AGGREGATE(15,6,ROW(PFL_Schutz_Drop_Down56[noch nicht gewählt])-3/(--(SEARCH($A$33,PFL_Schutz_Drop_Down56[noch nicht gewählt])&gt;0)),ROW()-3)),"")</f>
        <v/>
      </c>
      <c r="AF47" s="2200" t="str">
        <f>IFERROR(INDEX(PFL_Schutz_Drop_Down56[noch nicht gewählt],_xlfn.AGGREGATE(15,6,ROW(PFL_Schutz_Drop_Down56[noch nicht gewählt])-3/(--(SEARCH($A$35,PFL_Schutz_Drop_Down56[noch nicht gewählt])&gt;0)),ROW()-3)),"")</f>
        <v/>
      </c>
      <c r="AG47" s="2200" t="str">
        <f>IFERROR(INDEX(PFL_Schutz_Drop_Down56[noch nicht gewählt],_xlfn.AGGREGATE(15,6,ROW(PFL_Schutz_Drop_Down56[noch nicht gewählt])-3/(--(SEARCH($A$37,PFL_Schutz_Drop_Down56[noch nicht gewählt])&gt;0)),ROW()-3)),"")</f>
        <v/>
      </c>
      <c r="AH47" s="2200" t="str">
        <f>IFERROR(INDEX(PFL_Schutz_Drop_Down56[noch nicht gewählt],_xlfn.AGGREGATE(15,6,ROW(PFL_Schutz_Drop_Down56[noch nicht gewählt])-3/(--(SEARCH($A$39,PFL_Schutz_Drop_Down56[noch nicht gewählt])&gt;0)),ROW()-3)),"")</f>
        <v/>
      </c>
      <c r="AI47" s="2200" t="str">
        <f>IFERROR(INDEX(PFL_Schutz_Drop_Down56[noch nicht gewählt],_xlfn.AGGREGATE(15,6,ROW(PFL_Schutz_Drop_Down56[noch nicht gewählt])-3/(--(SEARCH($A$41,PFL_Schutz_Drop_Down56[noch nicht gewählt])&gt;0)),ROW()-3)),"")</f>
        <v/>
      </c>
      <c r="AJ47" s="2200" t="str">
        <f>IFERROR(INDEX(PFL_Schutz_Drop_Down56[noch nicht gewählt],_xlfn.AGGREGATE(15,6,ROW(PFL_Schutz_Drop_Down56[noch nicht gewählt])-3/(--(SEARCH($A$43,PFL_Schutz_Drop_Down56[noch nicht gewählt])&gt;0)),ROW()-3)),"")</f>
        <v/>
      </c>
      <c r="AK47" s="2200" t="str">
        <f>IFERROR(INDEX(PFL_Schutz_Drop_Down56[noch nicht gewählt],_xlfn.AGGREGATE(15,6,ROW(PFL_Schutz_Drop_Down56[noch nicht gewählt])-3/(--(SEARCH($A$45,PFL_Schutz_Drop_Down56[noch nicht gewählt])&gt;0)),ROW()-3)),"")</f>
        <v/>
      </c>
      <c r="AL47" s="2200" t="str">
        <f>IFERROR(INDEX(PFL_Schutz_Drop_Down56[noch nicht gewählt],_xlfn.AGGREGATE(15,6,ROW(PFL_Schutz_Drop_Down56[noch nicht gewählt])-3/(--(SEARCH($A$47,PFL_Schutz_Drop_Down56[noch nicht gewählt])&gt;0)),ROW()-3)),"")</f>
        <v/>
      </c>
      <c r="AM47" s="2200" t="str">
        <f>IFERROR(INDEX(PFL_Schutz_Drop_Down56[noch nicht gewählt],_xlfn.AGGREGATE(15,6,ROW(PFL_Schutz_Drop_Down56[noch nicht gewählt])-3/(--(SEARCH($A$49,PFL_Schutz_Drop_Down56[noch nicht gewählt])&gt;0)),ROW()-3)),"")</f>
        <v/>
      </c>
      <c r="AN47" s="2200" t="str">
        <f>IFERROR(INDEX(PFL_Schutz_Drop_Down56[noch nicht gewählt],_xlfn.AGGREGATE(15,6,ROW(PFL_Schutz_Drop_Down56[noch nicht gewählt])-3/(--(SEARCH($A$51,PFL_Schutz_Drop_Down56[noch nicht gewählt])&gt;0)),ROW()-3)),"")</f>
        <v/>
      </c>
      <c r="AO47" s="2200" t="str">
        <f>IFERROR(INDEX(PFL_Schutz_Drop_Down56[noch nicht gewählt],_xlfn.AGGREGATE(15,6,ROW(PFL_Schutz_Drop_Down56[noch nicht gewählt])-3/(--(SEARCH($A$53,PFL_Schutz_Drop_Down56[noch nicht gewählt])&gt;0)),ROW()-3)),"")</f>
        <v/>
      </c>
      <c r="AP47" s="2200" t="str">
        <f>IFERROR(INDEX(PFL_Schutz_Drop_Down56[noch nicht gewählt],_xlfn.AGGREGATE(15,6,ROW(PFL_Schutz_Drop_Down56[noch nicht gewählt])-3/(--(SEARCH($A$55,PFL_Schutz_Drop_Down56[noch nicht gewählt])&gt;0)),ROW()-3)),"")</f>
        <v/>
      </c>
      <c r="AQ47" s="2200" t="str">
        <f>IFERROR(INDEX(PFL_Schutz_Drop_Down56[noch nicht gewählt],_xlfn.AGGREGATE(15,6,ROW(PFL_Schutz_Drop_Down56[noch nicht gewählt])-3/(--(SEARCH($A$57,PFL_Schutz_Drop_Down56[noch nicht gewählt])&gt;0)),ROW()-3)),"")</f>
        <v/>
      </c>
      <c r="AR47" s="2200" t="str">
        <f>IFERROR(INDEX(PFL_Schutz_Drop_Down56[noch nicht gewählt],_xlfn.AGGREGATE(15,6,ROW(PFL_Schutz_Drop_Down56[noch nicht gewählt])-3/(--(SEARCH($A$59,PFL_Schutz_Drop_Down56[noch nicht gewählt])&gt;0)),ROW()-3)),"")</f>
        <v/>
      </c>
      <c r="AS47" s="2200" t="str">
        <f>IFERROR(INDEX(PFL_Schutz_Drop_Down56[noch nicht gewählt],_xlfn.AGGREGATE(15,6,ROW(PFL_Schutz_Drop_Down56[noch nicht gewählt])-3/(--(SEARCH($A$61,PFL_Schutz_Drop_Down56[noch nicht gewählt])&gt;0)),ROW()-3)),"")</f>
        <v/>
      </c>
      <c r="AT47" s="2200" t="str">
        <f>IFERROR(INDEX(PFL_Schutz_Drop_Down56[noch nicht gewählt],_xlfn.AGGREGATE(15,6,ROW(PFL_Schutz_Drop_Down56[noch nicht gewählt])-3/(--(SEARCH($A$63,PFL_Schutz_Drop_Down56[noch nicht gewählt])&gt;0)),ROW()-3)),"")</f>
        <v/>
      </c>
      <c r="AU47" s="2200" t="str">
        <f>IFERROR(INDEX(PFL_Schutz_Drop_Down56[noch nicht gewählt],_xlfn.AGGREGATE(15,6,ROW(PFL_Schutz_Drop_Down56[noch nicht gewählt])-3/(--(SEARCH($A$65,PFL_Schutz_Drop_Down56[noch nicht gewählt])&gt;0)),ROW()-3)),"")</f>
        <v/>
      </c>
      <c r="AV47" s="2200" t="str">
        <f>IFERROR(INDEX(PFL_Schutz_Drop_Down56[noch nicht gewählt],_xlfn.AGGREGATE(15,6,ROW(PFL_Schutz_Drop_Down56[noch nicht gewählt])-3/(--(SEARCH($A$67,PFL_Schutz_Drop_Down56[noch nicht gewählt])&gt;0)),ROW()-3)),"")</f>
        <v/>
      </c>
      <c r="AW47" s="2200" t="str">
        <f>IFERROR(INDEX(PFL_Schutz_Drop_Down56[noch nicht gewählt],_xlfn.AGGREGATE(15,6,ROW(PFL_Schutz_Drop_Down56[noch nicht gewählt])-3/(--(SEARCH($A$69,PFL_Schutz_Drop_Down56[noch nicht gewählt])&gt;0)),ROW()-3)),"")</f>
        <v/>
      </c>
      <c r="AX47" s="2200" t="str">
        <f>IFERROR(INDEX(PFL_Schutz_Drop_Down56[noch nicht gewählt],_xlfn.AGGREGATE(15,6,ROW(PFL_Schutz_Drop_Down56[noch nicht gewählt])-3/(--(SEARCH($A$71,PFL_Schutz_Drop_Down56[noch nicht gewählt])&gt;0)),ROW()-3)),"")</f>
        <v/>
      </c>
      <c r="AY47" s="2200" t="str">
        <f>IFERROR(INDEX(PFL_Schutz_Drop_Down56[noch nicht gewählt],_xlfn.AGGREGATE(15,6,ROW(PFL_Schutz_Drop_Down56[noch nicht gewählt])-3/(--(SEARCH($A$73,PFL_Schutz_Drop_Down56[noch nicht gewählt])&gt;0)),ROW()-3)),"")</f>
        <v/>
      </c>
      <c r="AZ47" s="2201" t="str">
        <f>IFERROR(INDEX(PFL_Schutz_Drop_Down56[noch nicht gewählt],_xlfn.AGGREGATE(15,6,ROW(PFL_Schutz_Drop_Down56[noch nicht gewählt])-3/(--(SEARCH($A$75,PFL_Schutz_Drop_Down56[noch nicht gewählt])&gt;0)),ROW()-3)),"")</f>
        <v/>
      </c>
    </row>
    <row r="48" spans="1:52" ht="19.5" customHeight="1">
      <c r="A48" s="3104"/>
      <c r="B48" s="3103"/>
      <c r="C48" s="3103"/>
      <c r="D48" s="3087"/>
      <c r="E48" s="3089"/>
      <c r="F48" s="3091"/>
      <c r="G48" s="3095"/>
      <c r="H48" s="3096"/>
      <c r="I48" s="3097"/>
      <c r="R48" s="2195">
        <f>Pfl_Schutz!E48</f>
        <v>0</v>
      </c>
      <c r="S48" s="2202">
        <f>COUNTIF($R$4:PFL_Schutz_Drop_Down56[[#This Row],[Produktname]],PFL_Schutz_Drop_Down56[[#This Row],[Produktname]])</f>
        <v>45</v>
      </c>
      <c r="T48" s="2203" t="str">
        <f>IFERROR(INDEX(R:R,_xlfn.AGGREGATE(15,6,ROW(PFL_Schutz_Drop_Down56[Produktname])/(PFL_Schutz_Drop_Down56[Auftretend]=1),ROW()-3)),"")</f>
        <v/>
      </c>
      <c r="U48" s="2198" t="str">
        <f>IF(COUNTIF($A$17:$A$76,PFL_Schutz_Drop_Down56[[#This Row],[Produktname eindeutig]])&gt;=1,"",ROW())</f>
        <v/>
      </c>
      <c r="V48" s="2198" t="str">
        <f t="shared" si="0"/>
        <v/>
      </c>
      <c r="W48" s="2199" t="str">
        <f>IFERROR(INDEX(PFL_Schutz_Drop_Down56[noch nicht gewählt],_xlfn.AGGREGATE(15,6,ROW(PFL_Schutz_Drop_Down56[noch nicht gewählt])-3/(--(SEARCH($A$17,PFL_Schutz_Drop_Down56[noch nicht gewählt])&gt;0)),ROW()-3)),"")</f>
        <v/>
      </c>
      <c r="X48" s="2175" t="str">
        <f>IFERROR(INDEX(PFL_Schutz_Drop_Down56[noch nicht gewählt],_xlfn.AGGREGATE(15,6,ROW(PFL_Schutz_Drop_Down56[noch nicht gewählt])-3/(--(SEARCH($A$19,PFL_Schutz_Drop_Down56[noch nicht gewählt])&gt;0)),ROW()-3)),"")</f>
        <v/>
      </c>
      <c r="Y48" s="2175" t="str">
        <f>IFERROR(INDEX(PFL_Schutz_Drop_Down56[noch nicht gewählt],_xlfn.AGGREGATE(15,6,ROW(PFL_Schutz_Drop_Down56[noch nicht gewählt])-3/(--(SEARCH($A$21,PFL_Schutz_Drop_Down56[noch nicht gewählt])&gt;0)),ROW()-3)),"")</f>
        <v/>
      </c>
      <c r="Z48" s="2200" t="str">
        <f>IFERROR(INDEX(PFL_Schutz_Drop_Down56[noch nicht gewählt],_xlfn.AGGREGATE(15,6,ROW(PFL_Schutz_Drop_Down56[noch nicht gewählt])-3/(--(SEARCH($A$23,PFL_Schutz_Drop_Down56[noch nicht gewählt])&gt;0)),ROW()-3)),"")</f>
        <v/>
      </c>
      <c r="AA48" s="2200" t="str">
        <f>IFERROR(INDEX(PFL_Schutz_Drop_Down56[noch nicht gewählt],_xlfn.AGGREGATE(15,6,ROW(PFL_Schutz_Drop_Down56[noch nicht gewählt])-3/(--(SEARCH($A$25,PFL_Schutz_Drop_Down56[noch nicht gewählt])&gt;0)),ROW()-3)),"")</f>
        <v/>
      </c>
      <c r="AB48" s="2200" t="str">
        <f>IFERROR(INDEX(PFL_Schutz_Drop_Down56[noch nicht gewählt],_xlfn.AGGREGATE(15,6,ROW(PFL_Schutz_Drop_Down56[noch nicht gewählt])-3/(--(SEARCH($A$27,PFL_Schutz_Drop_Down56[noch nicht gewählt])&gt;0)),ROW()-3)),"")</f>
        <v/>
      </c>
      <c r="AC48" s="2200" t="str">
        <f>IFERROR(INDEX(PFL_Schutz_Drop_Down56[noch nicht gewählt],_xlfn.AGGREGATE(15,6,ROW(PFL_Schutz_Drop_Down56[noch nicht gewählt])-3/(--(SEARCH($A$29,PFL_Schutz_Drop_Down56[noch nicht gewählt])&gt;0)),ROW()-3)),"")</f>
        <v/>
      </c>
      <c r="AD48" s="2200" t="str">
        <f>IFERROR(INDEX(PFL_Schutz_Drop_Down56[noch nicht gewählt],_xlfn.AGGREGATE(15,6,ROW(PFL_Schutz_Drop_Down56[noch nicht gewählt])-3/(--(SEARCH($A$31,PFL_Schutz_Drop_Down56[noch nicht gewählt])&gt;0)),ROW()-3)),"")</f>
        <v/>
      </c>
      <c r="AE48" s="2200" t="str">
        <f>IFERROR(INDEX(PFL_Schutz_Drop_Down56[noch nicht gewählt],_xlfn.AGGREGATE(15,6,ROW(PFL_Schutz_Drop_Down56[noch nicht gewählt])-3/(--(SEARCH($A$33,PFL_Schutz_Drop_Down56[noch nicht gewählt])&gt;0)),ROW()-3)),"")</f>
        <v/>
      </c>
      <c r="AF48" s="2200" t="str">
        <f>IFERROR(INDEX(PFL_Schutz_Drop_Down56[noch nicht gewählt],_xlfn.AGGREGATE(15,6,ROW(PFL_Schutz_Drop_Down56[noch nicht gewählt])-3/(--(SEARCH($A$35,PFL_Schutz_Drop_Down56[noch nicht gewählt])&gt;0)),ROW()-3)),"")</f>
        <v/>
      </c>
      <c r="AG48" s="2200" t="str">
        <f>IFERROR(INDEX(PFL_Schutz_Drop_Down56[noch nicht gewählt],_xlfn.AGGREGATE(15,6,ROW(PFL_Schutz_Drop_Down56[noch nicht gewählt])-3/(--(SEARCH($A$37,PFL_Schutz_Drop_Down56[noch nicht gewählt])&gt;0)),ROW()-3)),"")</f>
        <v/>
      </c>
      <c r="AH48" s="2200" t="str">
        <f>IFERROR(INDEX(PFL_Schutz_Drop_Down56[noch nicht gewählt],_xlfn.AGGREGATE(15,6,ROW(PFL_Schutz_Drop_Down56[noch nicht gewählt])-3/(--(SEARCH($A$39,PFL_Schutz_Drop_Down56[noch nicht gewählt])&gt;0)),ROW()-3)),"")</f>
        <v/>
      </c>
      <c r="AI48" s="2200" t="str">
        <f>IFERROR(INDEX(PFL_Schutz_Drop_Down56[noch nicht gewählt],_xlfn.AGGREGATE(15,6,ROW(PFL_Schutz_Drop_Down56[noch nicht gewählt])-3/(--(SEARCH($A$41,PFL_Schutz_Drop_Down56[noch nicht gewählt])&gt;0)),ROW()-3)),"")</f>
        <v/>
      </c>
      <c r="AJ48" s="2200" t="str">
        <f>IFERROR(INDEX(PFL_Schutz_Drop_Down56[noch nicht gewählt],_xlfn.AGGREGATE(15,6,ROW(PFL_Schutz_Drop_Down56[noch nicht gewählt])-3/(--(SEARCH($A$43,PFL_Schutz_Drop_Down56[noch nicht gewählt])&gt;0)),ROW()-3)),"")</f>
        <v/>
      </c>
      <c r="AK48" s="2200" t="str">
        <f>IFERROR(INDEX(PFL_Schutz_Drop_Down56[noch nicht gewählt],_xlfn.AGGREGATE(15,6,ROW(PFL_Schutz_Drop_Down56[noch nicht gewählt])-3/(--(SEARCH($A$45,PFL_Schutz_Drop_Down56[noch nicht gewählt])&gt;0)),ROW()-3)),"")</f>
        <v/>
      </c>
      <c r="AL48" s="2200" t="str">
        <f>IFERROR(INDEX(PFL_Schutz_Drop_Down56[noch nicht gewählt],_xlfn.AGGREGATE(15,6,ROW(PFL_Schutz_Drop_Down56[noch nicht gewählt])-3/(--(SEARCH($A$47,PFL_Schutz_Drop_Down56[noch nicht gewählt])&gt;0)),ROW()-3)),"")</f>
        <v/>
      </c>
      <c r="AM48" s="2200" t="str">
        <f>IFERROR(INDEX(PFL_Schutz_Drop_Down56[noch nicht gewählt],_xlfn.AGGREGATE(15,6,ROW(PFL_Schutz_Drop_Down56[noch nicht gewählt])-3/(--(SEARCH($A$49,PFL_Schutz_Drop_Down56[noch nicht gewählt])&gt;0)),ROW()-3)),"")</f>
        <v/>
      </c>
      <c r="AN48" s="2200" t="str">
        <f>IFERROR(INDEX(PFL_Schutz_Drop_Down56[noch nicht gewählt],_xlfn.AGGREGATE(15,6,ROW(PFL_Schutz_Drop_Down56[noch nicht gewählt])-3/(--(SEARCH($A$51,PFL_Schutz_Drop_Down56[noch nicht gewählt])&gt;0)),ROW()-3)),"")</f>
        <v/>
      </c>
      <c r="AO48" s="2200" t="str">
        <f>IFERROR(INDEX(PFL_Schutz_Drop_Down56[noch nicht gewählt],_xlfn.AGGREGATE(15,6,ROW(PFL_Schutz_Drop_Down56[noch nicht gewählt])-3/(--(SEARCH($A$53,PFL_Schutz_Drop_Down56[noch nicht gewählt])&gt;0)),ROW()-3)),"")</f>
        <v/>
      </c>
      <c r="AP48" s="2200" t="str">
        <f>IFERROR(INDEX(PFL_Schutz_Drop_Down56[noch nicht gewählt],_xlfn.AGGREGATE(15,6,ROW(PFL_Schutz_Drop_Down56[noch nicht gewählt])-3/(--(SEARCH($A$55,PFL_Schutz_Drop_Down56[noch nicht gewählt])&gt;0)),ROW()-3)),"")</f>
        <v/>
      </c>
      <c r="AQ48" s="2200" t="str">
        <f>IFERROR(INDEX(PFL_Schutz_Drop_Down56[noch nicht gewählt],_xlfn.AGGREGATE(15,6,ROW(PFL_Schutz_Drop_Down56[noch nicht gewählt])-3/(--(SEARCH($A$57,PFL_Schutz_Drop_Down56[noch nicht gewählt])&gt;0)),ROW()-3)),"")</f>
        <v/>
      </c>
      <c r="AR48" s="2200" t="str">
        <f>IFERROR(INDEX(PFL_Schutz_Drop_Down56[noch nicht gewählt],_xlfn.AGGREGATE(15,6,ROW(PFL_Schutz_Drop_Down56[noch nicht gewählt])-3/(--(SEARCH($A$59,PFL_Schutz_Drop_Down56[noch nicht gewählt])&gt;0)),ROW()-3)),"")</f>
        <v/>
      </c>
      <c r="AS48" s="2200" t="str">
        <f>IFERROR(INDEX(PFL_Schutz_Drop_Down56[noch nicht gewählt],_xlfn.AGGREGATE(15,6,ROW(PFL_Schutz_Drop_Down56[noch nicht gewählt])-3/(--(SEARCH($A$61,PFL_Schutz_Drop_Down56[noch nicht gewählt])&gt;0)),ROW()-3)),"")</f>
        <v/>
      </c>
      <c r="AT48" s="2200" t="str">
        <f>IFERROR(INDEX(PFL_Schutz_Drop_Down56[noch nicht gewählt],_xlfn.AGGREGATE(15,6,ROW(PFL_Schutz_Drop_Down56[noch nicht gewählt])-3/(--(SEARCH($A$63,PFL_Schutz_Drop_Down56[noch nicht gewählt])&gt;0)),ROW()-3)),"")</f>
        <v/>
      </c>
      <c r="AU48" s="2200" t="str">
        <f>IFERROR(INDEX(PFL_Schutz_Drop_Down56[noch nicht gewählt],_xlfn.AGGREGATE(15,6,ROW(PFL_Schutz_Drop_Down56[noch nicht gewählt])-3/(--(SEARCH($A$65,PFL_Schutz_Drop_Down56[noch nicht gewählt])&gt;0)),ROW()-3)),"")</f>
        <v/>
      </c>
      <c r="AV48" s="2200" t="str">
        <f>IFERROR(INDEX(PFL_Schutz_Drop_Down56[noch nicht gewählt],_xlfn.AGGREGATE(15,6,ROW(PFL_Schutz_Drop_Down56[noch nicht gewählt])-3/(--(SEARCH($A$67,PFL_Schutz_Drop_Down56[noch nicht gewählt])&gt;0)),ROW()-3)),"")</f>
        <v/>
      </c>
      <c r="AW48" s="2200" t="str">
        <f>IFERROR(INDEX(PFL_Schutz_Drop_Down56[noch nicht gewählt],_xlfn.AGGREGATE(15,6,ROW(PFL_Schutz_Drop_Down56[noch nicht gewählt])-3/(--(SEARCH($A$69,PFL_Schutz_Drop_Down56[noch nicht gewählt])&gt;0)),ROW()-3)),"")</f>
        <v/>
      </c>
      <c r="AX48" s="2200" t="str">
        <f>IFERROR(INDEX(PFL_Schutz_Drop_Down56[noch nicht gewählt],_xlfn.AGGREGATE(15,6,ROW(PFL_Schutz_Drop_Down56[noch nicht gewählt])-3/(--(SEARCH($A$71,PFL_Schutz_Drop_Down56[noch nicht gewählt])&gt;0)),ROW()-3)),"")</f>
        <v/>
      </c>
      <c r="AY48" s="2200" t="str">
        <f>IFERROR(INDEX(PFL_Schutz_Drop_Down56[noch nicht gewählt],_xlfn.AGGREGATE(15,6,ROW(PFL_Schutz_Drop_Down56[noch nicht gewählt])-3/(--(SEARCH($A$73,PFL_Schutz_Drop_Down56[noch nicht gewählt])&gt;0)),ROW()-3)),"")</f>
        <v/>
      </c>
      <c r="AZ48" s="2201" t="str">
        <f>IFERROR(INDEX(PFL_Schutz_Drop_Down56[noch nicht gewählt],_xlfn.AGGREGATE(15,6,ROW(PFL_Schutz_Drop_Down56[noch nicht gewählt])-3/(--(SEARCH($A$75,PFL_Schutz_Drop_Down56[noch nicht gewählt])&gt;0)),ROW()-3)),"")</f>
        <v/>
      </c>
    </row>
    <row r="49" spans="1:52" ht="19.5" customHeight="1">
      <c r="A49" s="3098"/>
      <c r="B49" s="3102"/>
      <c r="C49" s="3102"/>
      <c r="D49" s="3087">
        <f>SUMIF(Pfl_Schutz!$E$4:$E$77,A49,Pfl_Schutz!$H$4:$H$77)</f>
        <v>0</v>
      </c>
      <c r="E49" s="3089" t="str">
        <f t="shared" ref="E49" si="27">IF(SUM(B49:C50)=0,"",IF(F49&lt;0,"negativer Lagerstand nicht möglich - überprüfen Sie die Eingabewerte auf Vollständigkeit",IF(F49=0,"Produkt aufgebraucht, Lagerstand 0",F49)))</f>
        <v/>
      </c>
      <c r="F49" s="3091">
        <f t="shared" ref="F49" si="28">IF(SUM(B49:C50)&gt;0,IF(ISBLANK(A49),"",B49+C49-D49),0)</f>
        <v>0</v>
      </c>
      <c r="G49" s="3095"/>
      <c r="H49" s="3096"/>
      <c r="I49" s="3097"/>
      <c r="R49" s="2195">
        <f>Pfl_Schutz!E49</f>
        <v>0</v>
      </c>
      <c r="S49" s="2202">
        <f>COUNTIF($R$4:PFL_Schutz_Drop_Down56[[#This Row],[Produktname]],PFL_Schutz_Drop_Down56[[#This Row],[Produktname]])</f>
        <v>46</v>
      </c>
      <c r="T49" s="2203" t="str">
        <f>IFERROR(INDEX(R:R,_xlfn.AGGREGATE(15,6,ROW(PFL_Schutz_Drop_Down56[Produktname])/(PFL_Schutz_Drop_Down56[Auftretend]=1),ROW()-3)),"")</f>
        <v/>
      </c>
      <c r="U49" s="2198" t="str">
        <f>IF(COUNTIF($A$17:$A$76,PFL_Schutz_Drop_Down56[[#This Row],[Produktname eindeutig]])&gt;=1,"",ROW())</f>
        <v/>
      </c>
      <c r="V49" s="2198" t="str">
        <f t="shared" si="0"/>
        <v/>
      </c>
      <c r="W49" s="2199" t="str">
        <f>IFERROR(INDEX(PFL_Schutz_Drop_Down56[noch nicht gewählt],_xlfn.AGGREGATE(15,6,ROW(PFL_Schutz_Drop_Down56[noch nicht gewählt])-3/(--(SEARCH($A$17,PFL_Schutz_Drop_Down56[noch nicht gewählt])&gt;0)),ROW()-3)),"")</f>
        <v/>
      </c>
      <c r="X49" s="2175" t="str">
        <f>IFERROR(INDEX(PFL_Schutz_Drop_Down56[noch nicht gewählt],_xlfn.AGGREGATE(15,6,ROW(PFL_Schutz_Drop_Down56[noch nicht gewählt])-3/(--(SEARCH($A$19,PFL_Schutz_Drop_Down56[noch nicht gewählt])&gt;0)),ROW()-3)),"")</f>
        <v/>
      </c>
      <c r="Y49" s="2175" t="str">
        <f>IFERROR(INDEX(PFL_Schutz_Drop_Down56[noch nicht gewählt],_xlfn.AGGREGATE(15,6,ROW(PFL_Schutz_Drop_Down56[noch nicht gewählt])-3/(--(SEARCH($A$21,PFL_Schutz_Drop_Down56[noch nicht gewählt])&gt;0)),ROW()-3)),"")</f>
        <v/>
      </c>
      <c r="Z49" s="2200" t="str">
        <f>IFERROR(INDEX(PFL_Schutz_Drop_Down56[noch nicht gewählt],_xlfn.AGGREGATE(15,6,ROW(PFL_Schutz_Drop_Down56[noch nicht gewählt])-3/(--(SEARCH($A$23,PFL_Schutz_Drop_Down56[noch nicht gewählt])&gt;0)),ROW()-3)),"")</f>
        <v/>
      </c>
      <c r="AA49" s="2200" t="str">
        <f>IFERROR(INDEX(PFL_Schutz_Drop_Down56[noch nicht gewählt],_xlfn.AGGREGATE(15,6,ROW(PFL_Schutz_Drop_Down56[noch nicht gewählt])-3/(--(SEARCH($A$25,PFL_Schutz_Drop_Down56[noch nicht gewählt])&gt;0)),ROW()-3)),"")</f>
        <v/>
      </c>
      <c r="AB49" s="2200" t="str">
        <f>IFERROR(INDEX(PFL_Schutz_Drop_Down56[noch nicht gewählt],_xlfn.AGGREGATE(15,6,ROW(PFL_Schutz_Drop_Down56[noch nicht gewählt])-3/(--(SEARCH($A$27,PFL_Schutz_Drop_Down56[noch nicht gewählt])&gt;0)),ROW()-3)),"")</f>
        <v/>
      </c>
      <c r="AC49" s="2200" t="str">
        <f>IFERROR(INDEX(PFL_Schutz_Drop_Down56[noch nicht gewählt],_xlfn.AGGREGATE(15,6,ROW(PFL_Schutz_Drop_Down56[noch nicht gewählt])-3/(--(SEARCH($A$29,PFL_Schutz_Drop_Down56[noch nicht gewählt])&gt;0)),ROW()-3)),"")</f>
        <v/>
      </c>
      <c r="AD49" s="2200" t="str">
        <f>IFERROR(INDEX(PFL_Schutz_Drop_Down56[noch nicht gewählt],_xlfn.AGGREGATE(15,6,ROW(PFL_Schutz_Drop_Down56[noch nicht gewählt])-3/(--(SEARCH($A$31,PFL_Schutz_Drop_Down56[noch nicht gewählt])&gt;0)),ROW()-3)),"")</f>
        <v/>
      </c>
      <c r="AE49" s="2200" t="str">
        <f>IFERROR(INDEX(PFL_Schutz_Drop_Down56[noch nicht gewählt],_xlfn.AGGREGATE(15,6,ROW(PFL_Schutz_Drop_Down56[noch nicht gewählt])-3/(--(SEARCH($A$33,PFL_Schutz_Drop_Down56[noch nicht gewählt])&gt;0)),ROW()-3)),"")</f>
        <v/>
      </c>
      <c r="AF49" s="2200" t="str">
        <f>IFERROR(INDEX(PFL_Schutz_Drop_Down56[noch nicht gewählt],_xlfn.AGGREGATE(15,6,ROW(PFL_Schutz_Drop_Down56[noch nicht gewählt])-3/(--(SEARCH($A$35,PFL_Schutz_Drop_Down56[noch nicht gewählt])&gt;0)),ROW()-3)),"")</f>
        <v/>
      </c>
      <c r="AG49" s="2200" t="str">
        <f>IFERROR(INDEX(PFL_Schutz_Drop_Down56[noch nicht gewählt],_xlfn.AGGREGATE(15,6,ROW(PFL_Schutz_Drop_Down56[noch nicht gewählt])-3/(--(SEARCH($A$37,PFL_Schutz_Drop_Down56[noch nicht gewählt])&gt;0)),ROW()-3)),"")</f>
        <v/>
      </c>
      <c r="AH49" s="2200" t="str">
        <f>IFERROR(INDEX(PFL_Schutz_Drop_Down56[noch nicht gewählt],_xlfn.AGGREGATE(15,6,ROW(PFL_Schutz_Drop_Down56[noch nicht gewählt])-3/(--(SEARCH($A$39,PFL_Schutz_Drop_Down56[noch nicht gewählt])&gt;0)),ROW()-3)),"")</f>
        <v/>
      </c>
      <c r="AI49" s="2200" t="str">
        <f>IFERROR(INDEX(PFL_Schutz_Drop_Down56[noch nicht gewählt],_xlfn.AGGREGATE(15,6,ROW(PFL_Schutz_Drop_Down56[noch nicht gewählt])-3/(--(SEARCH($A$41,PFL_Schutz_Drop_Down56[noch nicht gewählt])&gt;0)),ROW()-3)),"")</f>
        <v/>
      </c>
      <c r="AJ49" s="2200" t="str">
        <f>IFERROR(INDEX(PFL_Schutz_Drop_Down56[noch nicht gewählt],_xlfn.AGGREGATE(15,6,ROW(PFL_Schutz_Drop_Down56[noch nicht gewählt])-3/(--(SEARCH($A$43,PFL_Schutz_Drop_Down56[noch nicht gewählt])&gt;0)),ROW()-3)),"")</f>
        <v/>
      </c>
      <c r="AK49" s="2200" t="str">
        <f>IFERROR(INDEX(PFL_Schutz_Drop_Down56[noch nicht gewählt],_xlfn.AGGREGATE(15,6,ROW(PFL_Schutz_Drop_Down56[noch nicht gewählt])-3/(--(SEARCH($A$45,PFL_Schutz_Drop_Down56[noch nicht gewählt])&gt;0)),ROW()-3)),"")</f>
        <v/>
      </c>
      <c r="AL49" s="2200" t="str">
        <f>IFERROR(INDEX(PFL_Schutz_Drop_Down56[noch nicht gewählt],_xlfn.AGGREGATE(15,6,ROW(PFL_Schutz_Drop_Down56[noch nicht gewählt])-3/(--(SEARCH($A$47,PFL_Schutz_Drop_Down56[noch nicht gewählt])&gt;0)),ROW()-3)),"")</f>
        <v/>
      </c>
      <c r="AM49" s="2200" t="str">
        <f>IFERROR(INDEX(PFL_Schutz_Drop_Down56[noch nicht gewählt],_xlfn.AGGREGATE(15,6,ROW(PFL_Schutz_Drop_Down56[noch nicht gewählt])-3/(--(SEARCH($A$49,PFL_Schutz_Drop_Down56[noch nicht gewählt])&gt;0)),ROW()-3)),"")</f>
        <v/>
      </c>
      <c r="AN49" s="2200" t="str">
        <f>IFERROR(INDEX(PFL_Schutz_Drop_Down56[noch nicht gewählt],_xlfn.AGGREGATE(15,6,ROW(PFL_Schutz_Drop_Down56[noch nicht gewählt])-3/(--(SEARCH($A$51,PFL_Schutz_Drop_Down56[noch nicht gewählt])&gt;0)),ROW()-3)),"")</f>
        <v/>
      </c>
      <c r="AO49" s="2200" t="str">
        <f>IFERROR(INDEX(PFL_Schutz_Drop_Down56[noch nicht gewählt],_xlfn.AGGREGATE(15,6,ROW(PFL_Schutz_Drop_Down56[noch nicht gewählt])-3/(--(SEARCH($A$53,PFL_Schutz_Drop_Down56[noch nicht gewählt])&gt;0)),ROW()-3)),"")</f>
        <v/>
      </c>
      <c r="AP49" s="2200" t="str">
        <f>IFERROR(INDEX(PFL_Schutz_Drop_Down56[noch nicht gewählt],_xlfn.AGGREGATE(15,6,ROW(PFL_Schutz_Drop_Down56[noch nicht gewählt])-3/(--(SEARCH($A$55,PFL_Schutz_Drop_Down56[noch nicht gewählt])&gt;0)),ROW()-3)),"")</f>
        <v/>
      </c>
      <c r="AQ49" s="2200" t="str">
        <f>IFERROR(INDEX(PFL_Schutz_Drop_Down56[noch nicht gewählt],_xlfn.AGGREGATE(15,6,ROW(PFL_Schutz_Drop_Down56[noch nicht gewählt])-3/(--(SEARCH($A$57,PFL_Schutz_Drop_Down56[noch nicht gewählt])&gt;0)),ROW()-3)),"")</f>
        <v/>
      </c>
      <c r="AR49" s="2200" t="str">
        <f>IFERROR(INDEX(PFL_Schutz_Drop_Down56[noch nicht gewählt],_xlfn.AGGREGATE(15,6,ROW(PFL_Schutz_Drop_Down56[noch nicht gewählt])-3/(--(SEARCH($A$59,PFL_Schutz_Drop_Down56[noch nicht gewählt])&gt;0)),ROW()-3)),"")</f>
        <v/>
      </c>
      <c r="AS49" s="2200" t="str">
        <f>IFERROR(INDEX(PFL_Schutz_Drop_Down56[noch nicht gewählt],_xlfn.AGGREGATE(15,6,ROW(PFL_Schutz_Drop_Down56[noch nicht gewählt])-3/(--(SEARCH($A$61,PFL_Schutz_Drop_Down56[noch nicht gewählt])&gt;0)),ROW()-3)),"")</f>
        <v/>
      </c>
      <c r="AT49" s="2200" t="str">
        <f>IFERROR(INDEX(PFL_Schutz_Drop_Down56[noch nicht gewählt],_xlfn.AGGREGATE(15,6,ROW(PFL_Schutz_Drop_Down56[noch nicht gewählt])-3/(--(SEARCH($A$63,PFL_Schutz_Drop_Down56[noch nicht gewählt])&gt;0)),ROW()-3)),"")</f>
        <v/>
      </c>
      <c r="AU49" s="2200" t="str">
        <f>IFERROR(INDEX(PFL_Schutz_Drop_Down56[noch nicht gewählt],_xlfn.AGGREGATE(15,6,ROW(PFL_Schutz_Drop_Down56[noch nicht gewählt])-3/(--(SEARCH($A$65,PFL_Schutz_Drop_Down56[noch nicht gewählt])&gt;0)),ROW()-3)),"")</f>
        <v/>
      </c>
      <c r="AV49" s="2200" t="str">
        <f>IFERROR(INDEX(PFL_Schutz_Drop_Down56[noch nicht gewählt],_xlfn.AGGREGATE(15,6,ROW(PFL_Schutz_Drop_Down56[noch nicht gewählt])-3/(--(SEARCH($A$67,PFL_Schutz_Drop_Down56[noch nicht gewählt])&gt;0)),ROW()-3)),"")</f>
        <v/>
      </c>
      <c r="AW49" s="2200" t="str">
        <f>IFERROR(INDEX(PFL_Schutz_Drop_Down56[noch nicht gewählt],_xlfn.AGGREGATE(15,6,ROW(PFL_Schutz_Drop_Down56[noch nicht gewählt])-3/(--(SEARCH($A$69,PFL_Schutz_Drop_Down56[noch nicht gewählt])&gt;0)),ROW()-3)),"")</f>
        <v/>
      </c>
      <c r="AX49" s="2200" t="str">
        <f>IFERROR(INDEX(PFL_Schutz_Drop_Down56[noch nicht gewählt],_xlfn.AGGREGATE(15,6,ROW(PFL_Schutz_Drop_Down56[noch nicht gewählt])-3/(--(SEARCH($A$71,PFL_Schutz_Drop_Down56[noch nicht gewählt])&gt;0)),ROW()-3)),"")</f>
        <v/>
      </c>
      <c r="AY49" s="2200" t="str">
        <f>IFERROR(INDEX(PFL_Schutz_Drop_Down56[noch nicht gewählt],_xlfn.AGGREGATE(15,6,ROW(PFL_Schutz_Drop_Down56[noch nicht gewählt])-3/(--(SEARCH($A$73,PFL_Schutz_Drop_Down56[noch nicht gewählt])&gt;0)),ROW()-3)),"")</f>
        <v/>
      </c>
      <c r="AZ49" s="2201" t="str">
        <f>IFERROR(INDEX(PFL_Schutz_Drop_Down56[noch nicht gewählt],_xlfn.AGGREGATE(15,6,ROW(PFL_Schutz_Drop_Down56[noch nicht gewählt])-3/(--(SEARCH($A$75,PFL_Schutz_Drop_Down56[noch nicht gewählt])&gt;0)),ROW()-3)),"")</f>
        <v/>
      </c>
    </row>
    <row r="50" spans="1:52" ht="19.5" customHeight="1">
      <c r="A50" s="3104"/>
      <c r="B50" s="3103"/>
      <c r="C50" s="3103"/>
      <c r="D50" s="3087"/>
      <c r="E50" s="3089"/>
      <c r="F50" s="3091"/>
      <c r="G50" s="3095"/>
      <c r="H50" s="3096"/>
      <c r="I50" s="3097"/>
      <c r="R50" s="2195">
        <f>Pfl_Schutz!E50</f>
        <v>0</v>
      </c>
      <c r="S50" s="2202">
        <f>COUNTIF($R$4:PFL_Schutz_Drop_Down56[[#This Row],[Produktname]],PFL_Schutz_Drop_Down56[[#This Row],[Produktname]])</f>
        <v>47</v>
      </c>
      <c r="T50" s="2203" t="str">
        <f>IFERROR(INDEX(R:R,_xlfn.AGGREGATE(15,6,ROW(PFL_Schutz_Drop_Down56[Produktname])/(PFL_Schutz_Drop_Down56[Auftretend]=1),ROW()-3)),"")</f>
        <v/>
      </c>
      <c r="U50" s="2198" t="str">
        <f>IF(COUNTIF($A$17:$A$76,PFL_Schutz_Drop_Down56[[#This Row],[Produktname eindeutig]])&gt;=1,"",ROW())</f>
        <v/>
      </c>
      <c r="V50" s="2198" t="str">
        <f t="shared" si="0"/>
        <v/>
      </c>
      <c r="W50" s="2199" t="str">
        <f>IFERROR(INDEX(PFL_Schutz_Drop_Down56[noch nicht gewählt],_xlfn.AGGREGATE(15,6,ROW(PFL_Schutz_Drop_Down56[noch nicht gewählt])-3/(--(SEARCH($A$17,PFL_Schutz_Drop_Down56[noch nicht gewählt])&gt;0)),ROW()-3)),"")</f>
        <v/>
      </c>
      <c r="X50" s="2175" t="str">
        <f>IFERROR(INDEX(PFL_Schutz_Drop_Down56[noch nicht gewählt],_xlfn.AGGREGATE(15,6,ROW(PFL_Schutz_Drop_Down56[noch nicht gewählt])-3/(--(SEARCH($A$19,PFL_Schutz_Drop_Down56[noch nicht gewählt])&gt;0)),ROW()-3)),"")</f>
        <v/>
      </c>
      <c r="Y50" s="2175" t="str">
        <f>IFERROR(INDEX(PFL_Schutz_Drop_Down56[noch nicht gewählt],_xlfn.AGGREGATE(15,6,ROW(PFL_Schutz_Drop_Down56[noch nicht gewählt])-3/(--(SEARCH($A$21,PFL_Schutz_Drop_Down56[noch nicht gewählt])&gt;0)),ROW()-3)),"")</f>
        <v/>
      </c>
      <c r="Z50" s="2200" t="str">
        <f>IFERROR(INDEX(PFL_Schutz_Drop_Down56[noch nicht gewählt],_xlfn.AGGREGATE(15,6,ROW(PFL_Schutz_Drop_Down56[noch nicht gewählt])-3/(--(SEARCH($A$23,PFL_Schutz_Drop_Down56[noch nicht gewählt])&gt;0)),ROW()-3)),"")</f>
        <v/>
      </c>
      <c r="AA50" s="2200" t="str">
        <f>IFERROR(INDEX(PFL_Schutz_Drop_Down56[noch nicht gewählt],_xlfn.AGGREGATE(15,6,ROW(PFL_Schutz_Drop_Down56[noch nicht gewählt])-3/(--(SEARCH($A$25,PFL_Schutz_Drop_Down56[noch nicht gewählt])&gt;0)),ROW()-3)),"")</f>
        <v/>
      </c>
      <c r="AB50" s="2200" t="str">
        <f>IFERROR(INDEX(PFL_Schutz_Drop_Down56[noch nicht gewählt],_xlfn.AGGREGATE(15,6,ROW(PFL_Schutz_Drop_Down56[noch nicht gewählt])-3/(--(SEARCH($A$27,PFL_Schutz_Drop_Down56[noch nicht gewählt])&gt;0)),ROW()-3)),"")</f>
        <v/>
      </c>
      <c r="AC50" s="2200" t="str">
        <f>IFERROR(INDEX(PFL_Schutz_Drop_Down56[noch nicht gewählt],_xlfn.AGGREGATE(15,6,ROW(PFL_Schutz_Drop_Down56[noch nicht gewählt])-3/(--(SEARCH($A$29,PFL_Schutz_Drop_Down56[noch nicht gewählt])&gt;0)),ROW()-3)),"")</f>
        <v/>
      </c>
      <c r="AD50" s="2200" t="str">
        <f>IFERROR(INDEX(PFL_Schutz_Drop_Down56[noch nicht gewählt],_xlfn.AGGREGATE(15,6,ROW(PFL_Schutz_Drop_Down56[noch nicht gewählt])-3/(--(SEARCH($A$31,PFL_Schutz_Drop_Down56[noch nicht gewählt])&gt;0)),ROW()-3)),"")</f>
        <v/>
      </c>
      <c r="AE50" s="2200" t="str">
        <f>IFERROR(INDEX(PFL_Schutz_Drop_Down56[noch nicht gewählt],_xlfn.AGGREGATE(15,6,ROW(PFL_Schutz_Drop_Down56[noch nicht gewählt])-3/(--(SEARCH($A$33,PFL_Schutz_Drop_Down56[noch nicht gewählt])&gt;0)),ROW()-3)),"")</f>
        <v/>
      </c>
      <c r="AF50" s="2200" t="str">
        <f>IFERROR(INDEX(PFL_Schutz_Drop_Down56[noch nicht gewählt],_xlfn.AGGREGATE(15,6,ROW(PFL_Schutz_Drop_Down56[noch nicht gewählt])-3/(--(SEARCH($A$35,PFL_Schutz_Drop_Down56[noch nicht gewählt])&gt;0)),ROW()-3)),"")</f>
        <v/>
      </c>
      <c r="AG50" s="2200" t="str">
        <f>IFERROR(INDEX(PFL_Schutz_Drop_Down56[noch nicht gewählt],_xlfn.AGGREGATE(15,6,ROW(PFL_Schutz_Drop_Down56[noch nicht gewählt])-3/(--(SEARCH($A$37,PFL_Schutz_Drop_Down56[noch nicht gewählt])&gt;0)),ROW()-3)),"")</f>
        <v/>
      </c>
      <c r="AH50" s="2200" t="str">
        <f>IFERROR(INDEX(PFL_Schutz_Drop_Down56[noch nicht gewählt],_xlfn.AGGREGATE(15,6,ROW(PFL_Schutz_Drop_Down56[noch nicht gewählt])-3/(--(SEARCH($A$39,PFL_Schutz_Drop_Down56[noch nicht gewählt])&gt;0)),ROW()-3)),"")</f>
        <v/>
      </c>
      <c r="AI50" s="2200" t="str">
        <f>IFERROR(INDEX(PFL_Schutz_Drop_Down56[noch nicht gewählt],_xlfn.AGGREGATE(15,6,ROW(PFL_Schutz_Drop_Down56[noch nicht gewählt])-3/(--(SEARCH($A$41,PFL_Schutz_Drop_Down56[noch nicht gewählt])&gt;0)),ROW()-3)),"")</f>
        <v/>
      </c>
      <c r="AJ50" s="2200" t="str">
        <f>IFERROR(INDEX(PFL_Schutz_Drop_Down56[noch nicht gewählt],_xlfn.AGGREGATE(15,6,ROW(PFL_Schutz_Drop_Down56[noch nicht gewählt])-3/(--(SEARCH($A$43,PFL_Schutz_Drop_Down56[noch nicht gewählt])&gt;0)),ROW()-3)),"")</f>
        <v/>
      </c>
      <c r="AK50" s="2200" t="str">
        <f>IFERROR(INDEX(PFL_Schutz_Drop_Down56[noch nicht gewählt],_xlfn.AGGREGATE(15,6,ROW(PFL_Schutz_Drop_Down56[noch nicht gewählt])-3/(--(SEARCH($A$45,PFL_Schutz_Drop_Down56[noch nicht gewählt])&gt;0)),ROW()-3)),"")</f>
        <v/>
      </c>
      <c r="AL50" s="2200" t="str">
        <f>IFERROR(INDEX(PFL_Schutz_Drop_Down56[noch nicht gewählt],_xlfn.AGGREGATE(15,6,ROW(PFL_Schutz_Drop_Down56[noch nicht gewählt])-3/(--(SEARCH($A$47,PFL_Schutz_Drop_Down56[noch nicht gewählt])&gt;0)),ROW()-3)),"")</f>
        <v/>
      </c>
      <c r="AM50" s="2200" t="str">
        <f>IFERROR(INDEX(PFL_Schutz_Drop_Down56[noch nicht gewählt],_xlfn.AGGREGATE(15,6,ROW(PFL_Schutz_Drop_Down56[noch nicht gewählt])-3/(--(SEARCH($A$49,PFL_Schutz_Drop_Down56[noch nicht gewählt])&gt;0)),ROW()-3)),"")</f>
        <v/>
      </c>
      <c r="AN50" s="2200" t="str">
        <f>IFERROR(INDEX(PFL_Schutz_Drop_Down56[noch nicht gewählt],_xlfn.AGGREGATE(15,6,ROW(PFL_Schutz_Drop_Down56[noch nicht gewählt])-3/(--(SEARCH($A$51,PFL_Schutz_Drop_Down56[noch nicht gewählt])&gt;0)),ROW()-3)),"")</f>
        <v/>
      </c>
      <c r="AO50" s="2200" t="str">
        <f>IFERROR(INDEX(PFL_Schutz_Drop_Down56[noch nicht gewählt],_xlfn.AGGREGATE(15,6,ROW(PFL_Schutz_Drop_Down56[noch nicht gewählt])-3/(--(SEARCH($A$53,PFL_Schutz_Drop_Down56[noch nicht gewählt])&gt;0)),ROW()-3)),"")</f>
        <v/>
      </c>
      <c r="AP50" s="2200" t="str">
        <f>IFERROR(INDEX(PFL_Schutz_Drop_Down56[noch nicht gewählt],_xlfn.AGGREGATE(15,6,ROW(PFL_Schutz_Drop_Down56[noch nicht gewählt])-3/(--(SEARCH($A$55,PFL_Schutz_Drop_Down56[noch nicht gewählt])&gt;0)),ROW()-3)),"")</f>
        <v/>
      </c>
      <c r="AQ50" s="2200" t="str">
        <f>IFERROR(INDEX(PFL_Schutz_Drop_Down56[noch nicht gewählt],_xlfn.AGGREGATE(15,6,ROW(PFL_Schutz_Drop_Down56[noch nicht gewählt])-3/(--(SEARCH($A$57,PFL_Schutz_Drop_Down56[noch nicht gewählt])&gt;0)),ROW()-3)),"")</f>
        <v/>
      </c>
      <c r="AR50" s="2200" t="str">
        <f>IFERROR(INDEX(PFL_Schutz_Drop_Down56[noch nicht gewählt],_xlfn.AGGREGATE(15,6,ROW(PFL_Schutz_Drop_Down56[noch nicht gewählt])-3/(--(SEARCH($A$59,PFL_Schutz_Drop_Down56[noch nicht gewählt])&gt;0)),ROW()-3)),"")</f>
        <v/>
      </c>
      <c r="AS50" s="2200" t="str">
        <f>IFERROR(INDEX(PFL_Schutz_Drop_Down56[noch nicht gewählt],_xlfn.AGGREGATE(15,6,ROW(PFL_Schutz_Drop_Down56[noch nicht gewählt])-3/(--(SEARCH($A$61,PFL_Schutz_Drop_Down56[noch nicht gewählt])&gt;0)),ROW()-3)),"")</f>
        <v/>
      </c>
      <c r="AT50" s="2200" t="str">
        <f>IFERROR(INDEX(PFL_Schutz_Drop_Down56[noch nicht gewählt],_xlfn.AGGREGATE(15,6,ROW(PFL_Schutz_Drop_Down56[noch nicht gewählt])-3/(--(SEARCH($A$63,PFL_Schutz_Drop_Down56[noch nicht gewählt])&gt;0)),ROW()-3)),"")</f>
        <v/>
      </c>
      <c r="AU50" s="2200" t="str">
        <f>IFERROR(INDEX(PFL_Schutz_Drop_Down56[noch nicht gewählt],_xlfn.AGGREGATE(15,6,ROW(PFL_Schutz_Drop_Down56[noch nicht gewählt])-3/(--(SEARCH($A$65,PFL_Schutz_Drop_Down56[noch nicht gewählt])&gt;0)),ROW()-3)),"")</f>
        <v/>
      </c>
      <c r="AV50" s="2200" t="str">
        <f>IFERROR(INDEX(PFL_Schutz_Drop_Down56[noch nicht gewählt],_xlfn.AGGREGATE(15,6,ROW(PFL_Schutz_Drop_Down56[noch nicht gewählt])-3/(--(SEARCH($A$67,PFL_Schutz_Drop_Down56[noch nicht gewählt])&gt;0)),ROW()-3)),"")</f>
        <v/>
      </c>
      <c r="AW50" s="2200" t="str">
        <f>IFERROR(INDEX(PFL_Schutz_Drop_Down56[noch nicht gewählt],_xlfn.AGGREGATE(15,6,ROW(PFL_Schutz_Drop_Down56[noch nicht gewählt])-3/(--(SEARCH($A$69,PFL_Schutz_Drop_Down56[noch nicht gewählt])&gt;0)),ROW()-3)),"")</f>
        <v/>
      </c>
      <c r="AX50" s="2200" t="str">
        <f>IFERROR(INDEX(PFL_Schutz_Drop_Down56[noch nicht gewählt],_xlfn.AGGREGATE(15,6,ROW(PFL_Schutz_Drop_Down56[noch nicht gewählt])-3/(--(SEARCH($A$71,PFL_Schutz_Drop_Down56[noch nicht gewählt])&gt;0)),ROW()-3)),"")</f>
        <v/>
      </c>
      <c r="AY50" s="2200" t="str">
        <f>IFERROR(INDEX(PFL_Schutz_Drop_Down56[noch nicht gewählt],_xlfn.AGGREGATE(15,6,ROW(PFL_Schutz_Drop_Down56[noch nicht gewählt])-3/(--(SEARCH($A$73,PFL_Schutz_Drop_Down56[noch nicht gewählt])&gt;0)),ROW()-3)),"")</f>
        <v/>
      </c>
      <c r="AZ50" s="2201" t="str">
        <f>IFERROR(INDEX(PFL_Schutz_Drop_Down56[noch nicht gewählt],_xlfn.AGGREGATE(15,6,ROW(PFL_Schutz_Drop_Down56[noch nicht gewählt])-3/(--(SEARCH($A$75,PFL_Schutz_Drop_Down56[noch nicht gewählt])&gt;0)),ROW()-3)),"")</f>
        <v/>
      </c>
    </row>
    <row r="51" spans="1:52" ht="19.5" customHeight="1">
      <c r="A51" s="3098"/>
      <c r="B51" s="3102"/>
      <c r="C51" s="3102"/>
      <c r="D51" s="3087">
        <f>SUMIF(Pfl_Schutz!$E$4:$E$77,A51,Pfl_Schutz!$H$4:$H$77)</f>
        <v>0</v>
      </c>
      <c r="E51" s="3089" t="str">
        <f t="shared" ref="E51" si="29">IF(SUM(B51:C52)=0,"",IF(F51&lt;0,"negativer Lagerstand nicht möglich - überprüfen Sie die Eingabewerte auf Vollständigkeit",IF(F51=0,"Produkt aufgebraucht, Lagerstand 0",F51)))</f>
        <v/>
      </c>
      <c r="F51" s="3091">
        <f t="shared" ref="F51" si="30">IF(SUM(B51:C52)&gt;0,IF(ISBLANK(A51),"",B51+C51-D51),0)</f>
        <v>0</v>
      </c>
      <c r="G51" s="3095"/>
      <c r="H51" s="3096"/>
      <c r="I51" s="3097"/>
      <c r="R51" s="2195">
        <f>Pfl_Schutz!E51</f>
        <v>0</v>
      </c>
      <c r="S51" s="2202">
        <f>COUNTIF($R$4:PFL_Schutz_Drop_Down56[[#This Row],[Produktname]],PFL_Schutz_Drop_Down56[[#This Row],[Produktname]])</f>
        <v>48</v>
      </c>
      <c r="T51" s="2203" t="str">
        <f>IFERROR(INDEX(R:R,_xlfn.AGGREGATE(15,6,ROW(PFL_Schutz_Drop_Down56[Produktname])/(PFL_Schutz_Drop_Down56[Auftretend]=1),ROW()-3)),"")</f>
        <v/>
      </c>
      <c r="U51" s="2198" t="str">
        <f>IF(COUNTIF($A$17:$A$76,PFL_Schutz_Drop_Down56[[#This Row],[Produktname eindeutig]])&gt;=1,"",ROW())</f>
        <v/>
      </c>
      <c r="V51" s="2198" t="str">
        <f t="shared" si="0"/>
        <v/>
      </c>
      <c r="W51" s="2199" t="str">
        <f>IFERROR(INDEX(PFL_Schutz_Drop_Down56[noch nicht gewählt],_xlfn.AGGREGATE(15,6,ROW(PFL_Schutz_Drop_Down56[noch nicht gewählt])-3/(--(SEARCH($A$17,PFL_Schutz_Drop_Down56[noch nicht gewählt])&gt;0)),ROW()-3)),"")</f>
        <v/>
      </c>
      <c r="X51" s="2175" t="str">
        <f>IFERROR(INDEX(PFL_Schutz_Drop_Down56[noch nicht gewählt],_xlfn.AGGREGATE(15,6,ROW(PFL_Schutz_Drop_Down56[noch nicht gewählt])-3/(--(SEARCH($A$19,PFL_Schutz_Drop_Down56[noch nicht gewählt])&gt;0)),ROW()-3)),"")</f>
        <v/>
      </c>
      <c r="Y51" s="2175" t="str">
        <f>IFERROR(INDEX(PFL_Schutz_Drop_Down56[noch nicht gewählt],_xlfn.AGGREGATE(15,6,ROW(PFL_Schutz_Drop_Down56[noch nicht gewählt])-3/(--(SEARCH($A$21,PFL_Schutz_Drop_Down56[noch nicht gewählt])&gt;0)),ROW()-3)),"")</f>
        <v/>
      </c>
      <c r="Z51" s="2200" t="str">
        <f>IFERROR(INDEX(PFL_Schutz_Drop_Down56[noch nicht gewählt],_xlfn.AGGREGATE(15,6,ROW(PFL_Schutz_Drop_Down56[noch nicht gewählt])-3/(--(SEARCH($A$23,PFL_Schutz_Drop_Down56[noch nicht gewählt])&gt;0)),ROW()-3)),"")</f>
        <v/>
      </c>
      <c r="AA51" s="2200" t="str">
        <f>IFERROR(INDEX(PFL_Schutz_Drop_Down56[noch nicht gewählt],_xlfn.AGGREGATE(15,6,ROW(PFL_Schutz_Drop_Down56[noch nicht gewählt])-3/(--(SEARCH($A$25,PFL_Schutz_Drop_Down56[noch nicht gewählt])&gt;0)),ROW()-3)),"")</f>
        <v/>
      </c>
      <c r="AB51" s="2200" t="str">
        <f>IFERROR(INDEX(PFL_Schutz_Drop_Down56[noch nicht gewählt],_xlfn.AGGREGATE(15,6,ROW(PFL_Schutz_Drop_Down56[noch nicht gewählt])-3/(--(SEARCH($A$27,PFL_Schutz_Drop_Down56[noch nicht gewählt])&gt;0)),ROW()-3)),"")</f>
        <v/>
      </c>
      <c r="AC51" s="2200" t="str">
        <f>IFERROR(INDEX(PFL_Schutz_Drop_Down56[noch nicht gewählt],_xlfn.AGGREGATE(15,6,ROW(PFL_Schutz_Drop_Down56[noch nicht gewählt])-3/(--(SEARCH($A$29,PFL_Schutz_Drop_Down56[noch nicht gewählt])&gt;0)),ROW()-3)),"")</f>
        <v/>
      </c>
      <c r="AD51" s="2200" t="str">
        <f>IFERROR(INDEX(PFL_Schutz_Drop_Down56[noch nicht gewählt],_xlfn.AGGREGATE(15,6,ROW(PFL_Schutz_Drop_Down56[noch nicht gewählt])-3/(--(SEARCH($A$31,PFL_Schutz_Drop_Down56[noch nicht gewählt])&gt;0)),ROW()-3)),"")</f>
        <v/>
      </c>
      <c r="AE51" s="2200" t="str">
        <f>IFERROR(INDEX(PFL_Schutz_Drop_Down56[noch nicht gewählt],_xlfn.AGGREGATE(15,6,ROW(PFL_Schutz_Drop_Down56[noch nicht gewählt])-3/(--(SEARCH($A$33,PFL_Schutz_Drop_Down56[noch nicht gewählt])&gt;0)),ROW()-3)),"")</f>
        <v/>
      </c>
      <c r="AF51" s="2200" t="str">
        <f>IFERROR(INDEX(PFL_Schutz_Drop_Down56[noch nicht gewählt],_xlfn.AGGREGATE(15,6,ROW(PFL_Schutz_Drop_Down56[noch nicht gewählt])-3/(--(SEARCH($A$35,PFL_Schutz_Drop_Down56[noch nicht gewählt])&gt;0)),ROW()-3)),"")</f>
        <v/>
      </c>
      <c r="AG51" s="2200" t="str">
        <f>IFERROR(INDEX(PFL_Schutz_Drop_Down56[noch nicht gewählt],_xlfn.AGGREGATE(15,6,ROW(PFL_Schutz_Drop_Down56[noch nicht gewählt])-3/(--(SEARCH($A$37,PFL_Schutz_Drop_Down56[noch nicht gewählt])&gt;0)),ROW()-3)),"")</f>
        <v/>
      </c>
      <c r="AH51" s="2200" t="str">
        <f>IFERROR(INDEX(PFL_Schutz_Drop_Down56[noch nicht gewählt],_xlfn.AGGREGATE(15,6,ROW(PFL_Schutz_Drop_Down56[noch nicht gewählt])-3/(--(SEARCH($A$39,PFL_Schutz_Drop_Down56[noch nicht gewählt])&gt;0)),ROW()-3)),"")</f>
        <v/>
      </c>
      <c r="AI51" s="2200" t="str">
        <f>IFERROR(INDEX(PFL_Schutz_Drop_Down56[noch nicht gewählt],_xlfn.AGGREGATE(15,6,ROW(PFL_Schutz_Drop_Down56[noch nicht gewählt])-3/(--(SEARCH($A$41,PFL_Schutz_Drop_Down56[noch nicht gewählt])&gt;0)),ROW()-3)),"")</f>
        <v/>
      </c>
      <c r="AJ51" s="2200" t="str">
        <f>IFERROR(INDEX(PFL_Schutz_Drop_Down56[noch nicht gewählt],_xlfn.AGGREGATE(15,6,ROW(PFL_Schutz_Drop_Down56[noch nicht gewählt])-3/(--(SEARCH($A$43,PFL_Schutz_Drop_Down56[noch nicht gewählt])&gt;0)),ROW()-3)),"")</f>
        <v/>
      </c>
      <c r="AK51" s="2200" t="str">
        <f>IFERROR(INDEX(PFL_Schutz_Drop_Down56[noch nicht gewählt],_xlfn.AGGREGATE(15,6,ROW(PFL_Schutz_Drop_Down56[noch nicht gewählt])-3/(--(SEARCH($A$45,PFL_Schutz_Drop_Down56[noch nicht gewählt])&gt;0)),ROW()-3)),"")</f>
        <v/>
      </c>
      <c r="AL51" s="2200" t="str">
        <f>IFERROR(INDEX(PFL_Schutz_Drop_Down56[noch nicht gewählt],_xlfn.AGGREGATE(15,6,ROW(PFL_Schutz_Drop_Down56[noch nicht gewählt])-3/(--(SEARCH($A$47,PFL_Schutz_Drop_Down56[noch nicht gewählt])&gt;0)),ROW()-3)),"")</f>
        <v/>
      </c>
      <c r="AM51" s="2200" t="str">
        <f>IFERROR(INDEX(PFL_Schutz_Drop_Down56[noch nicht gewählt],_xlfn.AGGREGATE(15,6,ROW(PFL_Schutz_Drop_Down56[noch nicht gewählt])-3/(--(SEARCH($A$49,PFL_Schutz_Drop_Down56[noch nicht gewählt])&gt;0)),ROW()-3)),"")</f>
        <v/>
      </c>
      <c r="AN51" s="2200" t="str">
        <f>IFERROR(INDEX(PFL_Schutz_Drop_Down56[noch nicht gewählt],_xlfn.AGGREGATE(15,6,ROW(PFL_Schutz_Drop_Down56[noch nicht gewählt])-3/(--(SEARCH($A$51,PFL_Schutz_Drop_Down56[noch nicht gewählt])&gt;0)),ROW()-3)),"")</f>
        <v/>
      </c>
      <c r="AO51" s="2200" t="str">
        <f>IFERROR(INDEX(PFL_Schutz_Drop_Down56[noch nicht gewählt],_xlfn.AGGREGATE(15,6,ROW(PFL_Schutz_Drop_Down56[noch nicht gewählt])-3/(--(SEARCH($A$53,PFL_Schutz_Drop_Down56[noch nicht gewählt])&gt;0)),ROW()-3)),"")</f>
        <v/>
      </c>
      <c r="AP51" s="2200" t="str">
        <f>IFERROR(INDEX(PFL_Schutz_Drop_Down56[noch nicht gewählt],_xlfn.AGGREGATE(15,6,ROW(PFL_Schutz_Drop_Down56[noch nicht gewählt])-3/(--(SEARCH($A$55,PFL_Schutz_Drop_Down56[noch nicht gewählt])&gt;0)),ROW()-3)),"")</f>
        <v/>
      </c>
      <c r="AQ51" s="2200" t="str">
        <f>IFERROR(INDEX(PFL_Schutz_Drop_Down56[noch nicht gewählt],_xlfn.AGGREGATE(15,6,ROW(PFL_Schutz_Drop_Down56[noch nicht gewählt])-3/(--(SEARCH($A$57,PFL_Schutz_Drop_Down56[noch nicht gewählt])&gt;0)),ROW()-3)),"")</f>
        <v/>
      </c>
      <c r="AR51" s="2200" t="str">
        <f>IFERROR(INDEX(PFL_Schutz_Drop_Down56[noch nicht gewählt],_xlfn.AGGREGATE(15,6,ROW(PFL_Schutz_Drop_Down56[noch nicht gewählt])-3/(--(SEARCH($A$59,PFL_Schutz_Drop_Down56[noch nicht gewählt])&gt;0)),ROW()-3)),"")</f>
        <v/>
      </c>
      <c r="AS51" s="2200" t="str">
        <f>IFERROR(INDEX(PFL_Schutz_Drop_Down56[noch nicht gewählt],_xlfn.AGGREGATE(15,6,ROW(PFL_Schutz_Drop_Down56[noch nicht gewählt])-3/(--(SEARCH($A$61,PFL_Schutz_Drop_Down56[noch nicht gewählt])&gt;0)),ROW()-3)),"")</f>
        <v/>
      </c>
      <c r="AT51" s="2200" t="str">
        <f>IFERROR(INDEX(PFL_Schutz_Drop_Down56[noch nicht gewählt],_xlfn.AGGREGATE(15,6,ROW(PFL_Schutz_Drop_Down56[noch nicht gewählt])-3/(--(SEARCH($A$63,PFL_Schutz_Drop_Down56[noch nicht gewählt])&gt;0)),ROW()-3)),"")</f>
        <v/>
      </c>
      <c r="AU51" s="2200" t="str">
        <f>IFERROR(INDEX(PFL_Schutz_Drop_Down56[noch nicht gewählt],_xlfn.AGGREGATE(15,6,ROW(PFL_Schutz_Drop_Down56[noch nicht gewählt])-3/(--(SEARCH($A$65,PFL_Schutz_Drop_Down56[noch nicht gewählt])&gt;0)),ROW()-3)),"")</f>
        <v/>
      </c>
      <c r="AV51" s="2200" t="str">
        <f>IFERROR(INDEX(PFL_Schutz_Drop_Down56[noch nicht gewählt],_xlfn.AGGREGATE(15,6,ROW(PFL_Schutz_Drop_Down56[noch nicht gewählt])-3/(--(SEARCH($A$67,PFL_Schutz_Drop_Down56[noch nicht gewählt])&gt;0)),ROW()-3)),"")</f>
        <v/>
      </c>
      <c r="AW51" s="2200" t="str">
        <f>IFERROR(INDEX(PFL_Schutz_Drop_Down56[noch nicht gewählt],_xlfn.AGGREGATE(15,6,ROW(PFL_Schutz_Drop_Down56[noch nicht gewählt])-3/(--(SEARCH($A$69,PFL_Schutz_Drop_Down56[noch nicht gewählt])&gt;0)),ROW()-3)),"")</f>
        <v/>
      </c>
      <c r="AX51" s="2200" t="str">
        <f>IFERROR(INDEX(PFL_Schutz_Drop_Down56[noch nicht gewählt],_xlfn.AGGREGATE(15,6,ROW(PFL_Schutz_Drop_Down56[noch nicht gewählt])-3/(--(SEARCH($A$71,PFL_Schutz_Drop_Down56[noch nicht gewählt])&gt;0)),ROW()-3)),"")</f>
        <v/>
      </c>
      <c r="AY51" s="2200" t="str">
        <f>IFERROR(INDEX(PFL_Schutz_Drop_Down56[noch nicht gewählt],_xlfn.AGGREGATE(15,6,ROW(PFL_Schutz_Drop_Down56[noch nicht gewählt])-3/(--(SEARCH($A$73,PFL_Schutz_Drop_Down56[noch nicht gewählt])&gt;0)),ROW()-3)),"")</f>
        <v/>
      </c>
      <c r="AZ51" s="2201" t="str">
        <f>IFERROR(INDEX(PFL_Schutz_Drop_Down56[noch nicht gewählt],_xlfn.AGGREGATE(15,6,ROW(PFL_Schutz_Drop_Down56[noch nicht gewählt])-3/(--(SEARCH($A$75,PFL_Schutz_Drop_Down56[noch nicht gewählt])&gt;0)),ROW()-3)),"")</f>
        <v/>
      </c>
    </row>
    <row r="52" spans="1:52" ht="19.5" customHeight="1">
      <c r="A52" s="3104"/>
      <c r="B52" s="3103"/>
      <c r="C52" s="3103"/>
      <c r="D52" s="3087"/>
      <c r="E52" s="3089"/>
      <c r="F52" s="3091"/>
      <c r="G52" s="3095"/>
      <c r="H52" s="3096"/>
      <c r="I52" s="3097"/>
      <c r="R52" s="2195">
        <f>Pfl_Schutz!E52</f>
        <v>0</v>
      </c>
      <c r="S52" s="2202">
        <f>COUNTIF($R$4:PFL_Schutz_Drop_Down56[[#This Row],[Produktname]],PFL_Schutz_Drop_Down56[[#This Row],[Produktname]])</f>
        <v>49</v>
      </c>
      <c r="T52" s="2203" t="str">
        <f>IFERROR(INDEX(R:R,_xlfn.AGGREGATE(15,6,ROW(PFL_Schutz_Drop_Down56[Produktname])/(PFL_Schutz_Drop_Down56[Auftretend]=1),ROW()-3)),"")</f>
        <v/>
      </c>
      <c r="U52" s="2198" t="str">
        <f>IF(COUNTIF($A$17:$A$76,PFL_Schutz_Drop_Down56[[#This Row],[Produktname eindeutig]])&gt;=1,"",ROW())</f>
        <v/>
      </c>
      <c r="V52" s="2198" t="str">
        <f t="shared" si="0"/>
        <v/>
      </c>
      <c r="W52" s="2199" t="str">
        <f>IFERROR(INDEX(PFL_Schutz_Drop_Down56[noch nicht gewählt],_xlfn.AGGREGATE(15,6,ROW(PFL_Schutz_Drop_Down56[noch nicht gewählt])-3/(--(SEARCH($A$17,PFL_Schutz_Drop_Down56[noch nicht gewählt])&gt;0)),ROW()-3)),"")</f>
        <v/>
      </c>
      <c r="X52" s="2175" t="str">
        <f>IFERROR(INDEX(PFL_Schutz_Drop_Down56[noch nicht gewählt],_xlfn.AGGREGATE(15,6,ROW(PFL_Schutz_Drop_Down56[noch nicht gewählt])-3/(--(SEARCH($A$19,PFL_Schutz_Drop_Down56[noch nicht gewählt])&gt;0)),ROW()-3)),"")</f>
        <v/>
      </c>
      <c r="Y52" s="2175" t="str">
        <f>IFERROR(INDEX(PFL_Schutz_Drop_Down56[noch nicht gewählt],_xlfn.AGGREGATE(15,6,ROW(PFL_Schutz_Drop_Down56[noch nicht gewählt])-3/(--(SEARCH($A$21,PFL_Schutz_Drop_Down56[noch nicht gewählt])&gt;0)),ROW()-3)),"")</f>
        <v/>
      </c>
      <c r="Z52" s="2200" t="str">
        <f>IFERROR(INDEX(PFL_Schutz_Drop_Down56[noch nicht gewählt],_xlfn.AGGREGATE(15,6,ROW(PFL_Schutz_Drop_Down56[noch nicht gewählt])-3/(--(SEARCH($A$23,PFL_Schutz_Drop_Down56[noch nicht gewählt])&gt;0)),ROW()-3)),"")</f>
        <v/>
      </c>
      <c r="AA52" s="2200" t="str">
        <f>IFERROR(INDEX(PFL_Schutz_Drop_Down56[noch nicht gewählt],_xlfn.AGGREGATE(15,6,ROW(PFL_Schutz_Drop_Down56[noch nicht gewählt])-3/(--(SEARCH($A$25,PFL_Schutz_Drop_Down56[noch nicht gewählt])&gt;0)),ROW()-3)),"")</f>
        <v/>
      </c>
      <c r="AB52" s="2200" t="str">
        <f>IFERROR(INDEX(PFL_Schutz_Drop_Down56[noch nicht gewählt],_xlfn.AGGREGATE(15,6,ROW(PFL_Schutz_Drop_Down56[noch nicht gewählt])-3/(--(SEARCH($A$27,PFL_Schutz_Drop_Down56[noch nicht gewählt])&gt;0)),ROW()-3)),"")</f>
        <v/>
      </c>
      <c r="AC52" s="2200" t="str">
        <f>IFERROR(INDEX(PFL_Schutz_Drop_Down56[noch nicht gewählt],_xlfn.AGGREGATE(15,6,ROW(PFL_Schutz_Drop_Down56[noch nicht gewählt])-3/(--(SEARCH($A$29,PFL_Schutz_Drop_Down56[noch nicht gewählt])&gt;0)),ROW()-3)),"")</f>
        <v/>
      </c>
      <c r="AD52" s="2200" t="str">
        <f>IFERROR(INDEX(PFL_Schutz_Drop_Down56[noch nicht gewählt],_xlfn.AGGREGATE(15,6,ROW(PFL_Schutz_Drop_Down56[noch nicht gewählt])-3/(--(SEARCH($A$31,PFL_Schutz_Drop_Down56[noch nicht gewählt])&gt;0)),ROW()-3)),"")</f>
        <v/>
      </c>
      <c r="AE52" s="2200" t="str">
        <f>IFERROR(INDEX(PFL_Schutz_Drop_Down56[noch nicht gewählt],_xlfn.AGGREGATE(15,6,ROW(PFL_Schutz_Drop_Down56[noch nicht gewählt])-3/(--(SEARCH($A$33,PFL_Schutz_Drop_Down56[noch nicht gewählt])&gt;0)),ROW()-3)),"")</f>
        <v/>
      </c>
      <c r="AF52" s="2200" t="str">
        <f>IFERROR(INDEX(PFL_Schutz_Drop_Down56[noch nicht gewählt],_xlfn.AGGREGATE(15,6,ROW(PFL_Schutz_Drop_Down56[noch nicht gewählt])-3/(--(SEARCH($A$35,PFL_Schutz_Drop_Down56[noch nicht gewählt])&gt;0)),ROW()-3)),"")</f>
        <v/>
      </c>
      <c r="AG52" s="2200" t="str">
        <f>IFERROR(INDEX(PFL_Schutz_Drop_Down56[noch nicht gewählt],_xlfn.AGGREGATE(15,6,ROW(PFL_Schutz_Drop_Down56[noch nicht gewählt])-3/(--(SEARCH($A$37,PFL_Schutz_Drop_Down56[noch nicht gewählt])&gt;0)),ROW()-3)),"")</f>
        <v/>
      </c>
      <c r="AH52" s="2200" t="str">
        <f>IFERROR(INDEX(PFL_Schutz_Drop_Down56[noch nicht gewählt],_xlfn.AGGREGATE(15,6,ROW(PFL_Schutz_Drop_Down56[noch nicht gewählt])-3/(--(SEARCH($A$39,PFL_Schutz_Drop_Down56[noch nicht gewählt])&gt;0)),ROW()-3)),"")</f>
        <v/>
      </c>
      <c r="AI52" s="2200" t="str">
        <f>IFERROR(INDEX(PFL_Schutz_Drop_Down56[noch nicht gewählt],_xlfn.AGGREGATE(15,6,ROW(PFL_Schutz_Drop_Down56[noch nicht gewählt])-3/(--(SEARCH($A$41,PFL_Schutz_Drop_Down56[noch nicht gewählt])&gt;0)),ROW()-3)),"")</f>
        <v/>
      </c>
      <c r="AJ52" s="2200" t="str">
        <f>IFERROR(INDEX(PFL_Schutz_Drop_Down56[noch nicht gewählt],_xlfn.AGGREGATE(15,6,ROW(PFL_Schutz_Drop_Down56[noch nicht gewählt])-3/(--(SEARCH($A$43,PFL_Schutz_Drop_Down56[noch nicht gewählt])&gt;0)),ROW()-3)),"")</f>
        <v/>
      </c>
      <c r="AK52" s="2200" t="str">
        <f>IFERROR(INDEX(PFL_Schutz_Drop_Down56[noch nicht gewählt],_xlfn.AGGREGATE(15,6,ROW(PFL_Schutz_Drop_Down56[noch nicht gewählt])-3/(--(SEARCH($A$45,PFL_Schutz_Drop_Down56[noch nicht gewählt])&gt;0)),ROW()-3)),"")</f>
        <v/>
      </c>
      <c r="AL52" s="2200" t="str">
        <f>IFERROR(INDEX(PFL_Schutz_Drop_Down56[noch nicht gewählt],_xlfn.AGGREGATE(15,6,ROW(PFL_Schutz_Drop_Down56[noch nicht gewählt])-3/(--(SEARCH($A$47,PFL_Schutz_Drop_Down56[noch nicht gewählt])&gt;0)),ROW()-3)),"")</f>
        <v/>
      </c>
      <c r="AM52" s="2200" t="str">
        <f>IFERROR(INDEX(PFL_Schutz_Drop_Down56[noch nicht gewählt],_xlfn.AGGREGATE(15,6,ROW(PFL_Schutz_Drop_Down56[noch nicht gewählt])-3/(--(SEARCH($A$49,PFL_Schutz_Drop_Down56[noch nicht gewählt])&gt;0)),ROW()-3)),"")</f>
        <v/>
      </c>
      <c r="AN52" s="2200" t="str">
        <f>IFERROR(INDEX(PFL_Schutz_Drop_Down56[noch nicht gewählt],_xlfn.AGGREGATE(15,6,ROW(PFL_Schutz_Drop_Down56[noch nicht gewählt])-3/(--(SEARCH($A$51,PFL_Schutz_Drop_Down56[noch nicht gewählt])&gt;0)),ROW()-3)),"")</f>
        <v/>
      </c>
      <c r="AO52" s="2200" t="str">
        <f>IFERROR(INDEX(PFL_Schutz_Drop_Down56[noch nicht gewählt],_xlfn.AGGREGATE(15,6,ROW(PFL_Schutz_Drop_Down56[noch nicht gewählt])-3/(--(SEARCH($A$53,PFL_Schutz_Drop_Down56[noch nicht gewählt])&gt;0)),ROW()-3)),"")</f>
        <v/>
      </c>
      <c r="AP52" s="2200" t="str">
        <f>IFERROR(INDEX(PFL_Schutz_Drop_Down56[noch nicht gewählt],_xlfn.AGGREGATE(15,6,ROW(PFL_Schutz_Drop_Down56[noch nicht gewählt])-3/(--(SEARCH($A$55,PFL_Schutz_Drop_Down56[noch nicht gewählt])&gt;0)),ROW()-3)),"")</f>
        <v/>
      </c>
      <c r="AQ52" s="2200" t="str">
        <f>IFERROR(INDEX(PFL_Schutz_Drop_Down56[noch nicht gewählt],_xlfn.AGGREGATE(15,6,ROW(PFL_Schutz_Drop_Down56[noch nicht gewählt])-3/(--(SEARCH($A$57,PFL_Schutz_Drop_Down56[noch nicht gewählt])&gt;0)),ROW()-3)),"")</f>
        <v/>
      </c>
      <c r="AR52" s="2200" t="str">
        <f>IFERROR(INDEX(PFL_Schutz_Drop_Down56[noch nicht gewählt],_xlfn.AGGREGATE(15,6,ROW(PFL_Schutz_Drop_Down56[noch nicht gewählt])-3/(--(SEARCH($A$59,PFL_Schutz_Drop_Down56[noch nicht gewählt])&gt;0)),ROW()-3)),"")</f>
        <v/>
      </c>
      <c r="AS52" s="2200" t="str">
        <f>IFERROR(INDEX(PFL_Schutz_Drop_Down56[noch nicht gewählt],_xlfn.AGGREGATE(15,6,ROW(PFL_Schutz_Drop_Down56[noch nicht gewählt])-3/(--(SEARCH($A$61,PFL_Schutz_Drop_Down56[noch nicht gewählt])&gt;0)),ROW()-3)),"")</f>
        <v/>
      </c>
      <c r="AT52" s="2200" t="str">
        <f>IFERROR(INDEX(PFL_Schutz_Drop_Down56[noch nicht gewählt],_xlfn.AGGREGATE(15,6,ROW(PFL_Schutz_Drop_Down56[noch nicht gewählt])-3/(--(SEARCH($A$63,PFL_Schutz_Drop_Down56[noch nicht gewählt])&gt;0)),ROW()-3)),"")</f>
        <v/>
      </c>
      <c r="AU52" s="2200" t="str">
        <f>IFERROR(INDEX(PFL_Schutz_Drop_Down56[noch nicht gewählt],_xlfn.AGGREGATE(15,6,ROW(PFL_Schutz_Drop_Down56[noch nicht gewählt])-3/(--(SEARCH($A$65,PFL_Schutz_Drop_Down56[noch nicht gewählt])&gt;0)),ROW()-3)),"")</f>
        <v/>
      </c>
      <c r="AV52" s="2200" t="str">
        <f>IFERROR(INDEX(PFL_Schutz_Drop_Down56[noch nicht gewählt],_xlfn.AGGREGATE(15,6,ROW(PFL_Schutz_Drop_Down56[noch nicht gewählt])-3/(--(SEARCH($A$67,PFL_Schutz_Drop_Down56[noch nicht gewählt])&gt;0)),ROW()-3)),"")</f>
        <v/>
      </c>
      <c r="AW52" s="2200" t="str">
        <f>IFERROR(INDEX(PFL_Schutz_Drop_Down56[noch nicht gewählt],_xlfn.AGGREGATE(15,6,ROW(PFL_Schutz_Drop_Down56[noch nicht gewählt])-3/(--(SEARCH($A$69,PFL_Schutz_Drop_Down56[noch nicht gewählt])&gt;0)),ROW()-3)),"")</f>
        <v/>
      </c>
      <c r="AX52" s="2200" t="str">
        <f>IFERROR(INDEX(PFL_Schutz_Drop_Down56[noch nicht gewählt],_xlfn.AGGREGATE(15,6,ROW(PFL_Schutz_Drop_Down56[noch nicht gewählt])-3/(--(SEARCH($A$71,PFL_Schutz_Drop_Down56[noch nicht gewählt])&gt;0)),ROW()-3)),"")</f>
        <v/>
      </c>
      <c r="AY52" s="2200" t="str">
        <f>IFERROR(INDEX(PFL_Schutz_Drop_Down56[noch nicht gewählt],_xlfn.AGGREGATE(15,6,ROW(PFL_Schutz_Drop_Down56[noch nicht gewählt])-3/(--(SEARCH($A$73,PFL_Schutz_Drop_Down56[noch nicht gewählt])&gt;0)),ROW()-3)),"")</f>
        <v/>
      </c>
      <c r="AZ52" s="2201" t="str">
        <f>IFERROR(INDEX(PFL_Schutz_Drop_Down56[noch nicht gewählt],_xlfn.AGGREGATE(15,6,ROW(PFL_Schutz_Drop_Down56[noch nicht gewählt])-3/(--(SEARCH($A$75,PFL_Schutz_Drop_Down56[noch nicht gewählt])&gt;0)),ROW()-3)),"")</f>
        <v/>
      </c>
    </row>
    <row r="53" spans="1:52" ht="19.5" customHeight="1">
      <c r="A53" s="3098"/>
      <c r="B53" s="3102"/>
      <c r="C53" s="3102"/>
      <c r="D53" s="3087">
        <f>SUMIF(Pfl_Schutz!$E$4:$E$77,A53,Pfl_Schutz!$H$4:$H$77)</f>
        <v>0</v>
      </c>
      <c r="E53" s="3089" t="str">
        <f t="shared" ref="E53" si="31">IF(SUM(B53:C54)=0,"",IF(F53&lt;0,"negativer Lagerstand nicht möglich - überprüfen Sie die Eingabewerte auf Vollständigkeit",IF(F53=0,"Produkt aufgebraucht, Lagerstand 0",F53)))</f>
        <v/>
      </c>
      <c r="F53" s="3091">
        <f t="shared" ref="F53" si="32">IF(SUM(B53:C54)&gt;0,IF(ISBLANK(A53),"",B53+C53-D53),0)</f>
        <v>0</v>
      </c>
      <c r="G53" s="3095"/>
      <c r="H53" s="3096"/>
      <c r="I53" s="3097"/>
      <c r="R53" s="2195">
        <f>Pfl_Schutz!E53</f>
        <v>0</v>
      </c>
      <c r="S53" s="2202">
        <f>COUNTIF($R$4:PFL_Schutz_Drop_Down56[[#This Row],[Produktname]],PFL_Schutz_Drop_Down56[[#This Row],[Produktname]])</f>
        <v>50</v>
      </c>
      <c r="T53" s="2203" t="str">
        <f>IFERROR(INDEX(R:R,_xlfn.AGGREGATE(15,6,ROW(PFL_Schutz_Drop_Down56[Produktname])/(PFL_Schutz_Drop_Down56[Auftretend]=1),ROW()-3)),"")</f>
        <v/>
      </c>
      <c r="U53" s="2198" t="str">
        <f>IF(COUNTIF($A$17:$A$76,PFL_Schutz_Drop_Down56[[#This Row],[Produktname eindeutig]])&gt;=1,"",ROW())</f>
        <v/>
      </c>
      <c r="V53" s="2198" t="str">
        <f t="shared" si="0"/>
        <v/>
      </c>
      <c r="W53" s="2199" t="str">
        <f>IFERROR(INDEX(PFL_Schutz_Drop_Down56[noch nicht gewählt],_xlfn.AGGREGATE(15,6,ROW(PFL_Schutz_Drop_Down56[noch nicht gewählt])-3/(--(SEARCH($A$17,PFL_Schutz_Drop_Down56[noch nicht gewählt])&gt;0)),ROW()-3)),"")</f>
        <v/>
      </c>
      <c r="X53" s="2175" t="str">
        <f>IFERROR(INDEX(PFL_Schutz_Drop_Down56[noch nicht gewählt],_xlfn.AGGREGATE(15,6,ROW(PFL_Schutz_Drop_Down56[noch nicht gewählt])-3/(--(SEARCH($A$19,PFL_Schutz_Drop_Down56[noch nicht gewählt])&gt;0)),ROW()-3)),"")</f>
        <v/>
      </c>
      <c r="Y53" s="2175" t="str">
        <f>IFERROR(INDEX(PFL_Schutz_Drop_Down56[noch nicht gewählt],_xlfn.AGGREGATE(15,6,ROW(PFL_Schutz_Drop_Down56[noch nicht gewählt])-3/(--(SEARCH($A$21,PFL_Schutz_Drop_Down56[noch nicht gewählt])&gt;0)),ROW()-3)),"")</f>
        <v/>
      </c>
      <c r="Z53" s="2200" t="str">
        <f>IFERROR(INDEX(PFL_Schutz_Drop_Down56[noch nicht gewählt],_xlfn.AGGREGATE(15,6,ROW(PFL_Schutz_Drop_Down56[noch nicht gewählt])-3/(--(SEARCH($A$23,PFL_Schutz_Drop_Down56[noch nicht gewählt])&gt;0)),ROW()-3)),"")</f>
        <v/>
      </c>
      <c r="AA53" s="2200" t="str">
        <f>IFERROR(INDEX(PFL_Schutz_Drop_Down56[noch nicht gewählt],_xlfn.AGGREGATE(15,6,ROW(PFL_Schutz_Drop_Down56[noch nicht gewählt])-3/(--(SEARCH($A$25,PFL_Schutz_Drop_Down56[noch nicht gewählt])&gt;0)),ROW()-3)),"")</f>
        <v/>
      </c>
      <c r="AB53" s="2200" t="str">
        <f>IFERROR(INDEX(PFL_Schutz_Drop_Down56[noch nicht gewählt],_xlfn.AGGREGATE(15,6,ROW(PFL_Schutz_Drop_Down56[noch nicht gewählt])-3/(--(SEARCH($A$27,PFL_Schutz_Drop_Down56[noch nicht gewählt])&gt;0)),ROW()-3)),"")</f>
        <v/>
      </c>
      <c r="AC53" s="2200" t="str">
        <f>IFERROR(INDEX(PFL_Schutz_Drop_Down56[noch nicht gewählt],_xlfn.AGGREGATE(15,6,ROW(PFL_Schutz_Drop_Down56[noch nicht gewählt])-3/(--(SEARCH($A$29,PFL_Schutz_Drop_Down56[noch nicht gewählt])&gt;0)),ROW()-3)),"")</f>
        <v/>
      </c>
      <c r="AD53" s="2200" t="str">
        <f>IFERROR(INDEX(PFL_Schutz_Drop_Down56[noch nicht gewählt],_xlfn.AGGREGATE(15,6,ROW(PFL_Schutz_Drop_Down56[noch nicht gewählt])-3/(--(SEARCH($A$31,PFL_Schutz_Drop_Down56[noch nicht gewählt])&gt;0)),ROW()-3)),"")</f>
        <v/>
      </c>
      <c r="AE53" s="2200" t="str">
        <f>IFERROR(INDEX(PFL_Schutz_Drop_Down56[noch nicht gewählt],_xlfn.AGGREGATE(15,6,ROW(PFL_Schutz_Drop_Down56[noch nicht gewählt])-3/(--(SEARCH($A$33,PFL_Schutz_Drop_Down56[noch nicht gewählt])&gt;0)),ROW()-3)),"")</f>
        <v/>
      </c>
      <c r="AF53" s="2200" t="str">
        <f>IFERROR(INDEX(PFL_Schutz_Drop_Down56[noch nicht gewählt],_xlfn.AGGREGATE(15,6,ROW(PFL_Schutz_Drop_Down56[noch nicht gewählt])-3/(--(SEARCH($A$35,PFL_Schutz_Drop_Down56[noch nicht gewählt])&gt;0)),ROW()-3)),"")</f>
        <v/>
      </c>
      <c r="AG53" s="2200" t="str">
        <f>IFERROR(INDEX(PFL_Schutz_Drop_Down56[noch nicht gewählt],_xlfn.AGGREGATE(15,6,ROW(PFL_Schutz_Drop_Down56[noch nicht gewählt])-3/(--(SEARCH($A$37,PFL_Schutz_Drop_Down56[noch nicht gewählt])&gt;0)),ROW()-3)),"")</f>
        <v/>
      </c>
      <c r="AH53" s="2200" t="str">
        <f>IFERROR(INDEX(PFL_Schutz_Drop_Down56[noch nicht gewählt],_xlfn.AGGREGATE(15,6,ROW(PFL_Schutz_Drop_Down56[noch nicht gewählt])-3/(--(SEARCH($A$39,PFL_Schutz_Drop_Down56[noch nicht gewählt])&gt;0)),ROW()-3)),"")</f>
        <v/>
      </c>
      <c r="AI53" s="2200" t="str">
        <f>IFERROR(INDEX(PFL_Schutz_Drop_Down56[noch nicht gewählt],_xlfn.AGGREGATE(15,6,ROW(PFL_Schutz_Drop_Down56[noch nicht gewählt])-3/(--(SEARCH($A$41,PFL_Schutz_Drop_Down56[noch nicht gewählt])&gt;0)),ROW()-3)),"")</f>
        <v/>
      </c>
      <c r="AJ53" s="2200" t="str">
        <f>IFERROR(INDEX(PFL_Schutz_Drop_Down56[noch nicht gewählt],_xlfn.AGGREGATE(15,6,ROW(PFL_Schutz_Drop_Down56[noch nicht gewählt])-3/(--(SEARCH($A$43,PFL_Schutz_Drop_Down56[noch nicht gewählt])&gt;0)),ROW()-3)),"")</f>
        <v/>
      </c>
      <c r="AK53" s="2200" t="str">
        <f>IFERROR(INDEX(PFL_Schutz_Drop_Down56[noch nicht gewählt],_xlfn.AGGREGATE(15,6,ROW(PFL_Schutz_Drop_Down56[noch nicht gewählt])-3/(--(SEARCH($A$45,PFL_Schutz_Drop_Down56[noch nicht gewählt])&gt;0)),ROW()-3)),"")</f>
        <v/>
      </c>
      <c r="AL53" s="2200" t="str">
        <f>IFERROR(INDEX(PFL_Schutz_Drop_Down56[noch nicht gewählt],_xlfn.AGGREGATE(15,6,ROW(PFL_Schutz_Drop_Down56[noch nicht gewählt])-3/(--(SEARCH($A$47,PFL_Schutz_Drop_Down56[noch nicht gewählt])&gt;0)),ROW()-3)),"")</f>
        <v/>
      </c>
      <c r="AM53" s="2200" t="str">
        <f>IFERROR(INDEX(PFL_Schutz_Drop_Down56[noch nicht gewählt],_xlfn.AGGREGATE(15,6,ROW(PFL_Schutz_Drop_Down56[noch nicht gewählt])-3/(--(SEARCH($A$49,PFL_Schutz_Drop_Down56[noch nicht gewählt])&gt;0)),ROW()-3)),"")</f>
        <v/>
      </c>
      <c r="AN53" s="2200" t="str">
        <f>IFERROR(INDEX(PFL_Schutz_Drop_Down56[noch nicht gewählt],_xlfn.AGGREGATE(15,6,ROW(PFL_Schutz_Drop_Down56[noch nicht gewählt])-3/(--(SEARCH($A$51,PFL_Schutz_Drop_Down56[noch nicht gewählt])&gt;0)),ROW()-3)),"")</f>
        <v/>
      </c>
      <c r="AO53" s="2200" t="str">
        <f>IFERROR(INDEX(PFL_Schutz_Drop_Down56[noch nicht gewählt],_xlfn.AGGREGATE(15,6,ROW(PFL_Schutz_Drop_Down56[noch nicht gewählt])-3/(--(SEARCH($A$53,PFL_Schutz_Drop_Down56[noch nicht gewählt])&gt;0)),ROW()-3)),"")</f>
        <v/>
      </c>
      <c r="AP53" s="2200" t="str">
        <f>IFERROR(INDEX(PFL_Schutz_Drop_Down56[noch nicht gewählt],_xlfn.AGGREGATE(15,6,ROW(PFL_Schutz_Drop_Down56[noch nicht gewählt])-3/(--(SEARCH($A$55,PFL_Schutz_Drop_Down56[noch nicht gewählt])&gt;0)),ROW()-3)),"")</f>
        <v/>
      </c>
      <c r="AQ53" s="2200" t="str">
        <f>IFERROR(INDEX(PFL_Schutz_Drop_Down56[noch nicht gewählt],_xlfn.AGGREGATE(15,6,ROW(PFL_Schutz_Drop_Down56[noch nicht gewählt])-3/(--(SEARCH($A$57,PFL_Schutz_Drop_Down56[noch nicht gewählt])&gt;0)),ROW()-3)),"")</f>
        <v/>
      </c>
      <c r="AR53" s="2200" t="str">
        <f>IFERROR(INDEX(PFL_Schutz_Drop_Down56[noch nicht gewählt],_xlfn.AGGREGATE(15,6,ROW(PFL_Schutz_Drop_Down56[noch nicht gewählt])-3/(--(SEARCH($A$59,PFL_Schutz_Drop_Down56[noch nicht gewählt])&gt;0)),ROW()-3)),"")</f>
        <v/>
      </c>
      <c r="AS53" s="2200" t="str">
        <f>IFERROR(INDEX(PFL_Schutz_Drop_Down56[noch nicht gewählt],_xlfn.AGGREGATE(15,6,ROW(PFL_Schutz_Drop_Down56[noch nicht gewählt])-3/(--(SEARCH($A$61,PFL_Schutz_Drop_Down56[noch nicht gewählt])&gt;0)),ROW()-3)),"")</f>
        <v/>
      </c>
      <c r="AT53" s="2200" t="str">
        <f>IFERROR(INDEX(PFL_Schutz_Drop_Down56[noch nicht gewählt],_xlfn.AGGREGATE(15,6,ROW(PFL_Schutz_Drop_Down56[noch nicht gewählt])-3/(--(SEARCH($A$63,PFL_Schutz_Drop_Down56[noch nicht gewählt])&gt;0)),ROW()-3)),"")</f>
        <v/>
      </c>
      <c r="AU53" s="2200" t="str">
        <f>IFERROR(INDEX(PFL_Schutz_Drop_Down56[noch nicht gewählt],_xlfn.AGGREGATE(15,6,ROW(PFL_Schutz_Drop_Down56[noch nicht gewählt])-3/(--(SEARCH($A$65,PFL_Schutz_Drop_Down56[noch nicht gewählt])&gt;0)),ROW()-3)),"")</f>
        <v/>
      </c>
      <c r="AV53" s="2200" t="str">
        <f>IFERROR(INDEX(PFL_Schutz_Drop_Down56[noch nicht gewählt],_xlfn.AGGREGATE(15,6,ROW(PFL_Schutz_Drop_Down56[noch nicht gewählt])-3/(--(SEARCH($A$67,PFL_Schutz_Drop_Down56[noch nicht gewählt])&gt;0)),ROW()-3)),"")</f>
        <v/>
      </c>
      <c r="AW53" s="2200" t="str">
        <f>IFERROR(INDEX(PFL_Schutz_Drop_Down56[noch nicht gewählt],_xlfn.AGGREGATE(15,6,ROW(PFL_Schutz_Drop_Down56[noch nicht gewählt])-3/(--(SEARCH($A$69,PFL_Schutz_Drop_Down56[noch nicht gewählt])&gt;0)),ROW()-3)),"")</f>
        <v/>
      </c>
      <c r="AX53" s="2200" t="str">
        <f>IFERROR(INDEX(PFL_Schutz_Drop_Down56[noch nicht gewählt],_xlfn.AGGREGATE(15,6,ROW(PFL_Schutz_Drop_Down56[noch nicht gewählt])-3/(--(SEARCH($A$71,PFL_Schutz_Drop_Down56[noch nicht gewählt])&gt;0)),ROW()-3)),"")</f>
        <v/>
      </c>
      <c r="AY53" s="2200" t="str">
        <f>IFERROR(INDEX(PFL_Schutz_Drop_Down56[noch nicht gewählt],_xlfn.AGGREGATE(15,6,ROW(PFL_Schutz_Drop_Down56[noch nicht gewählt])-3/(--(SEARCH($A$73,PFL_Schutz_Drop_Down56[noch nicht gewählt])&gt;0)),ROW()-3)),"")</f>
        <v/>
      </c>
      <c r="AZ53" s="2201" t="str">
        <f>IFERROR(INDEX(PFL_Schutz_Drop_Down56[noch nicht gewählt],_xlfn.AGGREGATE(15,6,ROW(PFL_Schutz_Drop_Down56[noch nicht gewählt])-3/(--(SEARCH($A$75,PFL_Schutz_Drop_Down56[noch nicht gewählt])&gt;0)),ROW()-3)),"")</f>
        <v/>
      </c>
    </row>
    <row r="54" spans="1:52" ht="19.5" customHeight="1">
      <c r="A54" s="3104"/>
      <c r="B54" s="3103"/>
      <c r="C54" s="3103"/>
      <c r="D54" s="3087"/>
      <c r="E54" s="3089"/>
      <c r="F54" s="3091"/>
      <c r="G54" s="3095"/>
      <c r="H54" s="3096"/>
      <c r="I54" s="3097"/>
      <c r="R54" s="2195">
        <f>Pfl_Schutz!E54</f>
        <v>0</v>
      </c>
      <c r="S54" s="2202">
        <f>COUNTIF($R$4:PFL_Schutz_Drop_Down56[[#This Row],[Produktname]],PFL_Schutz_Drop_Down56[[#This Row],[Produktname]])</f>
        <v>51</v>
      </c>
      <c r="T54" s="2203" t="str">
        <f>IFERROR(INDEX(R:R,_xlfn.AGGREGATE(15,6,ROW(PFL_Schutz_Drop_Down56[Produktname])/(PFL_Schutz_Drop_Down56[Auftretend]=1),ROW()-3)),"")</f>
        <v/>
      </c>
      <c r="U54" s="2198" t="str">
        <f>IF(COUNTIF($A$17:$A$76,PFL_Schutz_Drop_Down56[[#This Row],[Produktname eindeutig]])&gt;=1,"",ROW())</f>
        <v/>
      </c>
      <c r="V54" s="2198" t="str">
        <f t="shared" si="0"/>
        <v/>
      </c>
      <c r="W54" s="2199" t="str">
        <f>IFERROR(INDEX(PFL_Schutz_Drop_Down56[noch nicht gewählt],_xlfn.AGGREGATE(15,6,ROW(PFL_Schutz_Drop_Down56[noch nicht gewählt])-3/(--(SEARCH($A$17,PFL_Schutz_Drop_Down56[noch nicht gewählt])&gt;0)),ROW()-3)),"")</f>
        <v/>
      </c>
      <c r="X54" s="2175" t="str">
        <f>IFERROR(INDEX(PFL_Schutz_Drop_Down56[noch nicht gewählt],_xlfn.AGGREGATE(15,6,ROW(PFL_Schutz_Drop_Down56[noch nicht gewählt])-3/(--(SEARCH($A$19,PFL_Schutz_Drop_Down56[noch nicht gewählt])&gt;0)),ROW()-3)),"")</f>
        <v/>
      </c>
      <c r="Y54" s="2175" t="str">
        <f>IFERROR(INDEX(PFL_Schutz_Drop_Down56[noch nicht gewählt],_xlfn.AGGREGATE(15,6,ROW(PFL_Schutz_Drop_Down56[noch nicht gewählt])-3/(--(SEARCH($A$21,PFL_Schutz_Drop_Down56[noch nicht gewählt])&gt;0)),ROW()-3)),"")</f>
        <v/>
      </c>
      <c r="Z54" s="2200" t="str">
        <f>IFERROR(INDEX(PFL_Schutz_Drop_Down56[noch nicht gewählt],_xlfn.AGGREGATE(15,6,ROW(PFL_Schutz_Drop_Down56[noch nicht gewählt])-3/(--(SEARCH($A$23,PFL_Schutz_Drop_Down56[noch nicht gewählt])&gt;0)),ROW()-3)),"")</f>
        <v/>
      </c>
      <c r="AA54" s="2200" t="str">
        <f>IFERROR(INDEX(PFL_Schutz_Drop_Down56[noch nicht gewählt],_xlfn.AGGREGATE(15,6,ROW(PFL_Schutz_Drop_Down56[noch nicht gewählt])-3/(--(SEARCH($A$25,PFL_Schutz_Drop_Down56[noch nicht gewählt])&gt;0)),ROW()-3)),"")</f>
        <v/>
      </c>
      <c r="AB54" s="2200" t="str">
        <f>IFERROR(INDEX(PFL_Schutz_Drop_Down56[noch nicht gewählt],_xlfn.AGGREGATE(15,6,ROW(PFL_Schutz_Drop_Down56[noch nicht gewählt])-3/(--(SEARCH($A$27,PFL_Schutz_Drop_Down56[noch nicht gewählt])&gt;0)),ROW()-3)),"")</f>
        <v/>
      </c>
      <c r="AC54" s="2200" t="str">
        <f>IFERROR(INDEX(PFL_Schutz_Drop_Down56[noch nicht gewählt],_xlfn.AGGREGATE(15,6,ROW(PFL_Schutz_Drop_Down56[noch nicht gewählt])-3/(--(SEARCH($A$29,PFL_Schutz_Drop_Down56[noch nicht gewählt])&gt;0)),ROW()-3)),"")</f>
        <v/>
      </c>
      <c r="AD54" s="2200" t="str">
        <f>IFERROR(INDEX(PFL_Schutz_Drop_Down56[noch nicht gewählt],_xlfn.AGGREGATE(15,6,ROW(PFL_Schutz_Drop_Down56[noch nicht gewählt])-3/(--(SEARCH($A$31,PFL_Schutz_Drop_Down56[noch nicht gewählt])&gt;0)),ROW()-3)),"")</f>
        <v/>
      </c>
      <c r="AE54" s="2200" t="str">
        <f>IFERROR(INDEX(PFL_Schutz_Drop_Down56[noch nicht gewählt],_xlfn.AGGREGATE(15,6,ROW(PFL_Schutz_Drop_Down56[noch nicht gewählt])-3/(--(SEARCH($A$33,PFL_Schutz_Drop_Down56[noch nicht gewählt])&gt;0)),ROW()-3)),"")</f>
        <v/>
      </c>
      <c r="AF54" s="2200" t="str">
        <f>IFERROR(INDEX(PFL_Schutz_Drop_Down56[noch nicht gewählt],_xlfn.AGGREGATE(15,6,ROW(PFL_Schutz_Drop_Down56[noch nicht gewählt])-3/(--(SEARCH($A$35,PFL_Schutz_Drop_Down56[noch nicht gewählt])&gt;0)),ROW()-3)),"")</f>
        <v/>
      </c>
      <c r="AG54" s="2200" t="str">
        <f>IFERROR(INDEX(PFL_Schutz_Drop_Down56[noch nicht gewählt],_xlfn.AGGREGATE(15,6,ROW(PFL_Schutz_Drop_Down56[noch nicht gewählt])-3/(--(SEARCH($A$37,PFL_Schutz_Drop_Down56[noch nicht gewählt])&gt;0)),ROW()-3)),"")</f>
        <v/>
      </c>
      <c r="AH54" s="2200" t="str">
        <f>IFERROR(INDEX(PFL_Schutz_Drop_Down56[noch nicht gewählt],_xlfn.AGGREGATE(15,6,ROW(PFL_Schutz_Drop_Down56[noch nicht gewählt])-3/(--(SEARCH($A$39,PFL_Schutz_Drop_Down56[noch nicht gewählt])&gt;0)),ROW()-3)),"")</f>
        <v/>
      </c>
      <c r="AI54" s="2200" t="str">
        <f>IFERROR(INDEX(PFL_Schutz_Drop_Down56[noch nicht gewählt],_xlfn.AGGREGATE(15,6,ROW(PFL_Schutz_Drop_Down56[noch nicht gewählt])-3/(--(SEARCH($A$41,PFL_Schutz_Drop_Down56[noch nicht gewählt])&gt;0)),ROW()-3)),"")</f>
        <v/>
      </c>
      <c r="AJ54" s="2200" t="str">
        <f>IFERROR(INDEX(PFL_Schutz_Drop_Down56[noch nicht gewählt],_xlfn.AGGREGATE(15,6,ROW(PFL_Schutz_Drop_Down56[noch nicht gewählt])-3/(--(SEARCH($A$43,PFL_Schutz_Drop_Down56[noch nicht gewählt])&gt;0)),ROW()-3)),"")</f>
        <v/>
      </c>
      <c r="AK54" s="2200" t="str">
        <f>IFERROR(INDEX(PFL_Schutz_Drop_Down56[noch nicht gewählt],_xlfn.AGGREGATE(15,6,ROW(PFL_Schutz_Drop_Down56[noch nicht gewählt])-3/(--(SEARCH($A$45,PFL_Schutz_Drop_Down56[noch nicht gewählt])&gt;0)),ROW()-3)),"")</f>
        <v/>
      </c>
      <c r="AL54" s="2200" t="str">
        <f>IFERROR(INDEX(PFL_Schutz_Drop_Down56[noch nicht gewählt],_xlfn.AGGREGATE(15,6,ROW(PFL_Schutz_Drop_Down56[noch nicht gewählt])-3/(--(SEARCH($A$47,PFL_Schutz_Drop_Down56[noch nicht gewählt])&gt;0)),ROW()-3)),"")</f>
        <v/>
      </c>
      <c r="AM54" s="2200" t="str">
        <f>IFERROR(INDEX(PFL_Schutz_Drop_Down56[noch nicht gewählt],_xlfn.AGGREGATE(15,6,ROW(PFL_Schutz_Drop_Down56[noch nicht gewählt])-3/(--(SEARCH($A$49,PFL_Schutz_Drop_Down56[noch nicht gewählt])&gt;0)),ROW()-3)),"")</f>
        <v/>
      </c>
      <c r="AN54" s="2200" t="str">
        <f>IFERROR(INDEX(PFL_Schutz_Drop_Down56[noch nicht gewählt],_xlfn.AGGREGATE(15,6,ROW(PFL_Schutz_Drop_Down56[noch nicht gewählt])-3/(--(SEARCH($A$51,PFL_Schutz_Drop_Down56[noch nicht gewählt])&gt;0)),ROW()-3)),"")</f>
        <v/>
      </c>
      <c r="AO54" s="2200" t="str">
        <f>IFERROR(INDEX(PFL_Schutz_Drop_Down56[noch nicht gewählt],_xlfn.AGGREGATE(15,6,ROW(PFL_Schutz_Drop_Down56[noch nicht gewählt])-3/(--(SEARCH($A$53,PFL_Schutz_Drop_Down56[noch nicht gewählt])&gt;0)),ROW()-3)),"")</f>
        <v/>
      </c>
      <c r="AP54" s="2200" t="str">
        <f>IFERROR(INDEX(PFL_Schutz_Drop_Down56[noch nicht gewählt],_xlfn.AGGREGATE(15,6,ROW(PFL_Schutz_Drop_Down56[noch nicht gewählt])-3/(--(SEARCH($A$55,PFL_Schutz_Drop_Down56[noch nicht gewählt])&gt;0)),ROW()-3)),"")</f>
        <v/>
      </c>
      <c r="AQ54" s="2200" t="str">
        <f>IFERROR(INDEX(PFL_Schutz_Drop_Down56[noch nicht gewählt],_xlfn.AGGREGATE(15,6,ROW(PFL_Schutz_Drop_Down56[noch nicht gewählt])-3/(--(SEARCH($A$57,PFL_Schutz_Drop_Down56[noch nicht gewählt])&gt;0)),ROW()-3)),"")</f>
        <v/>
      </c>
      <c r="AR54" s="2200" t="str">
        <f>IFERROR(INDEX(PFL_Schutz_Drop_Down56[noch nicht gewählt],_xlfn.AGGREGATE(15,6,ROW(PFL_Schutz_Drop_Down56[noch nicht gewählt])-3/(--(SEARCH($A$59,PFL_Schutz_Drop_Down56[noch nicht gewählt])&gt;0)),ROW()-3)),"")</f>
        <v/>
      </c>
      <c r="AS54" s="2200" t="str">
        <f>IFERROR(INDEX(PFL_Schutz_Drop_Down56[noch nicht gewählt],_xlfn.AGGREGATE(15,6,ROW(PFL_Schutz_Drop_Down56[noch nicht gewählt])-3/(--(SEARCH($A$61,PFL_Schutz_Drop_Down56[noch nicht gewählt])&gt;0)),ROW()-3)),"")</f>
        <v/>
      </c>
      <c r="AT54" s="2200" t="str">
        <f>IFERROR(INDEX(PFL_Schutz_Drop_Down56[noch nicht gewählt],_xlfn.AGGREGATE(15,6,ROW(PFL_Schutz_Drop_Down56[noch nicht gewählt])-3/(--(SEARCH($A$63,PFL_Schutz_Drop_Down56[noch nicht gewählt])&gt;0)),ROW()-3)),"")</f>
        <v/>
      </c>
      <c r="AU54" s="2200" t="str">
        <f>IFERROR(INDEX(PFL_Schutz_Drop_Down56[noch nicht gewählt],_xlfn.AGGREGATE(15,6,ROW(PFL_Schutz_Drop_Down56[noch nicht gewählt])-3/(--(SEARCH($A$65,PFL_Schutz_Drop_Down56[noch nicht gewählt])&gt;0)),ROW()-3)),"")</f>
        <v/>
      </c>
      <c r="AV54" s="2200" t="str">
        <f>IFERROR(INDEX(PFL_Schutz_Drop_Down56[noch nicht gewählt],_xlfn.AGGREGATE(15,6,ROW(PFL_Schutz_Drop_Down56[noch nicht gewählt])-3/(--(SEARCH($A$67,PFL_Schutz_Drop_Down56[noch nicht gewählt])&gt;0)),ROW()-3)),"")</f>
        <v/>
      </c>
      <c r="AW54" s="2200" t="str">
        <f>IFERROR(INDEX(PFL_Schutz_Drop_Down56[noch nicht gewählt],_xlfn.AGGREGATE(15,6,ROW(PFL_Schutz_Drop_Down56[noch nicht gewählt])-3/(--(SEARCH($A$69,PFL_Schutz_Drop_Down56[noch nicht gewählt])&gt;0)),ROW()-3)),"")</f>
        <v/>
      </c>
      <c r="AX54" s="2200" t="str">
        <f>IFERROR(INDEX(PFL_Schutz_Drop_Down56[noch nicht gewählt],_xlfn.AGGREGATE(15,6,ROW(PFL_Schutz_Drop_Down56[noch nicht gewählt])-3/(--(SEARCH($A$71,PFL_Schutz_Drop_Down56[noch nicht gewählt])&gt;0)),ROW()-3)),"")</f>
        <v/>
      </c>
      <c r="AY54" s="2200" t="str">
        <f>IFERROR(INDEX(PFL_Schutz_Drop_Down56[noch nicht gewählt],_xlfn.AGGREGATE(15,6,ROW(PFL_Schutz_Drop_Down56[noch nicht gewählt])-3/(--(SEARCH($A$73,PFL_Schutz_Drop_Down56[noch nicht gewählt])&gt;0)),ROW()-3)),"")</f>
        <v/>
      </c>
      <c r="AZ54" s="2201" t="str">
        <f>IFERROR(INDEX(PFL_Schutz_Drop_Down56[noch nicht gewählt],_xlfn.AGGREGATE(15,6,ROW(PFL_Schutz_Drop_Down56[noch nicht gewählt])-3/(--(SEARCH($A$75,PFL_Schutz_Drop_Down56[noch nicht gewählt])&gt;0)),ROW()-3)),"")</f>
        <v/>
      </c>
    </row>
    <row r="55" spans="1:52" ht="19.5" customHeight="1">
      <c r="A55" s="3098"/>
      <c r="B55" s="3102"/>
      <c r="C55" s="3102"/>
      <c r="D55" s="3087">
        <f>SUMIF(Pfl_Schutz!$E$4:$E$77,A55,Pfl_Schutz!$H$4:$H$77)</f>
        <v>0</v>
      </c>
      <c r="E55" s="3089" t="str">
        <f t="shared" ref="E55" si="33">IF(SUM(B55:C56)=0,"",IF(F55&lt;0,"negativer Lagerstand nicht möglich - überprüfen Sie die Eingabewerte auf Vollständigkeit",IF(F55=0,"Produkt aufgebraucht, Lagerstand 0",F55)))</f>
        <v/>
      </c>
      <c r="F55" s="3091">
        <f t="shared" ref="F55" si="34">IF(SUM(B55:C56)&gt;0,IF(ISBLANK(A55),"",B55+C55-D55),0)</f>
        <v>0</v>
      </c>
      <c r="G55" s="3095"/>
      <c r="H55" s="3096"/>
      <c r="I55" s="3097"/>
      <c r="R55" s="2195">
        <f>Pfl_Schutz!E55</f>
        <v>0</v>
      </c>
      <c r="S55" s="2202">
        <f>COUNTIF($R$4:PFL_Schutz_Drop_Down56[[#This Row],[Produktname]],PFL_Schutz_Drop_Down56[[#This Row],[Produktname]])</f>
        <v>52</v>
      </c>
      <c r="T55" s="2203" t="str">
        <f>IFERROR(INDEX(R:R,_xlfn.AGGREGATE(15,6,ROW(PFL_Schutz_Drop_Down56[Produktname])/(PFL_Schutz_Drop_Down56[Auftretend]=1),ROW()-3)),"")</f>
        <v/>
      </c>
      <c r="U55" s="2198" t="str">
        <f>IF(COUNTIF($A$17:$A$76,PFL_Schutz_Drop_Down56[[#This Row],[Produktname eindeutig]])&gt;=1,"",ROW())</f>
        <v/>
      </c>
      <c r="V55" s="2198" t="str">
        <f t="shared" si="0"/>
        <v/>
      </c>
      <c r="W55" s="2199" t="str">
        <f>IFERROR(INDEX(PFL_Schutz_Drop_Down56[noch nicht gewählt],_xlfn.AGGREGATE(15,6,ROW(PFL_Schutz_Drop_Down56[noch nicht gewählt])-3/(--(SEARCH($A$17,PFL_Schutz_Drop_Down56[noch nicht gewählt])&gt;0)),ROW()-3)),"")</f>
        <v/>
      </c>
      <c r="X55" s="2175" t="str">
        <f>IFERROR(INDEX(PFL_Schutz_Drop_Down56[noch nicht gewählt],_xlfn.AGGREGATE(15,6,ROW(PFL_Schutz_Drop_Down56[noch nicht gewählt])-3/(--(SEARCH($A$19,PFL_Schutz_Drop_Down56[noch nicht gewählt])&gt;0)),ROW()-3)),"")</f>
        <v/>
      </c>
      <c r="Y55" s="2175" t="str">
        <f>IFERROR(INDEX(PFL_Schutz_Drop_Down56[noch nicht gewählt],_xlfn.AGGREGATE(15,6,ROW(PFL_Schutz_Drop_Down56[noch nicht gewählt])-3/(--(SEARCH($A$21,PFL_Schutz_Drop_Down56[noch nicht gewählt])&gt;0)),ROW()-3)),"")</f>
        <v/>
      </c>
      <c r="Z55" s="2200" t="str">
        <f>IFERROR(INDEX(PFL_Schutz_Drop_Down56[noch nicht gewählt],_xlfn.AGGREGATE(15,6,ROW(PFL_Schutz_Drop_Down56[noch nicht gewählt])-3/(--(SEARCH($A$23,PFL_Schutz_Drop_Down56[noch nicht gewählt])&gt;0)),ROW()-3)),"")</f>
        <v/>
      </c>
      <c r="AA55" s="2200" t="str">
        <f>IFERROR(INDEX(PFL_Schutz_Drop_Down56[noch nicht gewählt],_xlfn.AGGREGATE(15,6,ROW(PFL_Schutz_Drop_Down56[noch nicht gewählt])-3/(--(SEARCH($A$25,PFL_Schutz_Drop_Down56[noch nicht gewählt])&gt;0)),ROW()-3)),"")</f>
        <v/>
      </c>
      <c r="AB55" s="2200" t="str">
        <f>IFERROR(INDEX(PFL_Schutz_Drop_Down56[noch nicht gewählt],_xlfn.AGGREGATE(15,6,ROW(PFL_Schutz_Drop_Down56[noch nicht gewählt])-3/(--(SEARCH($A$27,PFL_Schutz_Drop_Down56[noch nicht gewählt])&gt;0)),ROW()-3)),"")</f>
        <v/>
      </c>
      <c r="AC55" s="2200" t="str">
        <f>IFERROR(INDEX(PFL_Schutz_Drop_Down56[noch nicht gewählt],_xlfn.AGGREGATE(15,6,ROW(PFL_Schutz_Drop_Down56[noch nicht gewählt])-3/(--(SEARCH($A$29,PFL_Schutz_Drop_Down56[noch nicht gewählt])&gt;0)),ROW()-3)),"")</f>
        <v/>
      </c>
      <c r="AD55" s="2200" t="str">
        <f>IFERROR(INDEX(PFL_Schutz_Drop_Down56[noch nicht gewählt],_xlfn.AGGREGATE(15,6,ROW(PFL_Schutz_Drop_Down56[noch nicht gewählt])-3/(--(SEARCH($A$31,PFL_Schutz_Drop_Down56[noch nicht gewählt])&gt;0)),ROW()-3)),"")</f>
        <v/>
      </c>
      <c r="AE55" s="2200" t="str">
        <f>IFERROR(INDEX(PFL_Schutz_Drop_Down56[noch nicht gewählt],_xlfn.AGGREGATE(15,6,ROW(PFL_Schutz_Drop_Down56[noch nicht gewählt])-3/(--(SEARCH($A$33,PFL_Schutz_Drop_Down56[noch nicht gewählt])&gt;0)),ROW()-3)),"")</f>
        <v/>
      </c>
      <c r="AF55" s="2200" t="str">
        <f>IFERROR(INDEX(PFL_Schutz_Drop_Down56[noch nicht gewählt],_xlfn.AGGREGATE(15,6,ROW(PFL_Schutz_Drop_Down56[noch nicht gewählt])-3/(--(SEARCH($A$35,PFL_Schutz_Drop_Down56[noch nicht gewählt])&gt;0)),ROW()-3)),"")</f>
        <v/>
      </c>
      <c r="AG55" s="2200" t="str">
        <f>IFERROR(INDEX(PFL_Schutz_Drop_Down56[noch nicht gewählt],_xlfn.AGGREGATE(15,6,ROW(PFL_Schutz_Drop_Down56[noch nicht gewählt])-3/(--(SEARCH($A$37,PFL_Schutz_Drop_Down56[noch nicht gewählt])&gt;0)),ROW()-3)),"")</f>
        <v/>
      </c>
      <c r="AH55" s="2200" t="str">
        <f>IFERROR(INDEX(PFL_Schutz_Drop_Down56[noch nicht gewählt],_xlfn.AGGREGATE(15,6,ROW(PFL_Schutz_Drop_Down56[noch nicht gewählt])-3/(--(SEARCH($A$39,PFL_Schutz_Drop_Down56[noch nicht gewählt])&gt;0)),ROW()-3)),"")</f>
        <v/>
      </c>
      <c r="AI55" s="2200" t="str">
        <f>IFERROR(INDEX(PFL_Schutz_Drop_Down56[noch nicht gewählt],_xlfn.AGGREGATE(15,6,ROW(PFL_Schutz_Drop_Down56[noch nicht gewählt])-3/(--(SEARCH($A$41,PFL_Schutz_Drop_Down56[noch nicht gewählt])&gt;0)),ROW()-3)),"")</f>
        <v/>
      </c>
      <c r="AJ55" s="2200" t="str">
        <f>IFERROR(INDEX(PFL_Schutz_Drop_Down56[noch nicht gewählt],_xlfn.AGGREGATE(15,6,ROW(PFL_Schutz_Drop_Down56[noch nicht gewählt])-3/(--(SEARCH($A$43,PFL_Schutz_Drop_Down56[noch nicht gewählt])&gt;0)),ROW()-3)),"")</f>
        <v/>
      </c>
      <c r="AK55" s="2200" t="str">
        <f>IFERROR(INDEX(PFL_Schutz_Drop_Down56[noch nicht gewählt],_xlfn.AGGREGATE(15,6,ROW(PFL_Schutz_Drop_Down56[noch nicht gewählt])-3/(--(SEARCH($A$45,PFL_Schutz_Drop_Down56[noch nicht gewählt])&gt;0)),ROW()-3)),"")</f>
        <v/>
      </c>
      <c r="AL55" s="2200" t="str">
        <f>IFERROR(INDEX(PFL_Schutz_Drop_Down56[noch nicht gewählt],_xlfn.AGGREGATE(15,6,ROW(PFL_Schutz_Drop_Down56[noch nicht gewählt])-3/(--(SEARCH($A$47,PFL_Schutz_Drop_Down56[noch nicht gewählt])&gt;0)),ROW()-3)),"")</f>
        <v/>
      </c>
      <c r="AM55" s="2200" t="str">
        <f>IFERROR(INDEX(PFL_Schutz_Drop_Down56[noch nicht gewählt],_xlfn.AGGREGATE(15,6,ROW(PFL_Schutz_Drop_Down56[noch nicht gewählt])-3/(--(SEARCH($A$49,PFL_Schutz_Drop_Down56[noch nicht gewählt])&gt;0)),ROW()-3)),"")</f>
        <v/>
      </c>
      <c r="AN55" s="2200" t="str">
        <f>IFERROR(INDEX(PFL_Schutz_Drop_Down56[noch nicht gewählt],_xlfn.AGGREGATE(15,6,ROW(PFL_Schutz_Drop_Down56[noch nicht gewählt])-3/(--(SEARCH($A$51,PFL_Schutz_Drop_Down56[noch nicht gewählt])&gt;0)),ROW()-3)),"")</f>
        <v/>
      </c>
      <c r="AO55" s="2200" t="str">
        <f>IFERROR(INDEX(PFL_Schutz_Drop_Down56[noch nicht gewählt],_xlfn.AGGREGATE(15,6,ROW(PFL_Schutz_Drop_Down56[noch nicht gewählt])-3/(--(SEARCH($A$53,PFL_Schutz_Drop_Down56[noch nicht gewählt])&gt;0)),ROW()-3)),"")</f>
        <v/>
      </c>
      <c r="AP55" s="2200" t="str">
        <f>IFERROR(INDEX(PFL_Schutz_Drop_Down56[noch nicht gewählt],_xlfn.AGGREGATE(15,6,ROW(PFL_Schutz_Drop_Down56[noch nicht gewählt])-3/(--(SEARCH($A$55,PFL_Schutz_Drop_Down56[noch nicht gewählt])&gt;0)),ROW()-3)),"")</f>
        <v/>
      </c>
      <c r="AQ55" s="2200" t="str">
        <f>IFERROR(INDEX(PFL_Schutz_Drop_Down56[noch nicht gewählt],_xlfn.AGGREGATE(15,6,ROW(PFL_Schutz_Drop_Down56[noch nicht gewählt])-3/(--(SEARCH($A$57,PFL_Schutz_Drop_Down56[noch nicht gewählt])&gt;0)),ROW()-3)),"")</f>
        <v/>
      </c>
      <c r="AR55" s="2200" t="str">
        <f>IFERROR(INDEX(PFL_Schutz_Drop_Down56[noch nicht gewählt],_xlfn.AGGREGATE(15,6,ROW(PFL_Schutz_Drop_Down56[noch nicht gewählt])-3/(--(SEARCH($A$59,PFL_Schutz_Drop_Down56[noch nicht gewählt])&gt;0)),ROW()-3)),"")</f>
        <v/>
      </c>
      <c r="AS55" s="2200" t="str">
        <f>IFERROR(INDEX(PFL_Schutz_Drop_Down56[noch nicht gewählt],_xlfn.AGGREGATE(15,6,ROW(PFL_Schutz_Drop_Down56[noch nicht gewählt])-3/(--(SEARCH($A$61,PFL_Schutz_Drop_Down56[noch nicht gewählt])&gt;0)),ROW()-3)),"")</f>
        <v/>
      </c>
      <c r="AT55" s="2200" t="str">
        <f>IFERROR(INDEX(PFL_Schutz_Drop_Down56[noch nicht gewählt],_xlfn.AGGREGATE(15,6,ROW(PFL_Schutz_Drop_Down56[noch nicht gewählt])-3/(--(SEARCH($A$63,PFL_Schutz_Drop_Down56[noch nicht gewählt])&gt;0)),ROW()-3)),"")</f>
        <v/>
      </c>
      <c r="AU55" s="2200" t="str">
        <f>IFERROR(INDEX(PFL_Schutz_Drop_Down56[noch nicht gewählt],_xlfn.AGGREGATE(15,6,ROW(PFL_Schutz_Drop_Down56[noch nicht gewählt])-3/(--(SEARCH($A$65,PFL_Schutz_Drop_Down56[noch nicht gewählt])&gt;0)),ROW()-3)),"")</f>
        <v/>
      </c>
      <c r="AV55" s="2200" t="str">
        <f>IFERROR(INDEX(PFL_Schutz_Drop_Down56[noch nicht gewählt],_xlfn.AGGREGATE(15,6,ROW(PFL_Schutz_Drop_Down56[noch nicht gewählt])-3/(--(SEARCH($A$67,PFL_Schutz_Drop_Down56[noch nicht gewählt])&gt;0)),ROW()-3)),"")</f>
        <v/>
      </c>
      <c r="AW55" s="2200" t="str">
        <f>IFERROR(INDEX(PFL_Schutz_Drop_Down56[noch nicht gewählt],_xlfn.AGGREGATE(15,6,ROW(PFL_Schutz_Drop_Down56[noch nicht gewählt])-3/(--(SEARCH($A$69,PFL_Schutz_Drop_Down56[noch nicht gewählt])&gt;0)),ROW()-3)),"")</f>
        <v/>
      </c>
      <c r="AX55" s="2200" t="str">
        <f>IFERROR(INDEX(PFL_Schutz_Drop_Down56[noch nicht gewählt],_xlfn.AGGREGATE(15,6,ROW(PFL_Schutz_Drop_Down56[noch nicht gewählt])-3/(--(SEARCH($A$71,PFL_Schutz_Drop_Down56[noch nicht gewählt])&gt;0)),ROW()-3)),"")</f>
        <v/>
      </c>
      <c r="AY55" s="2200" t="str">
        <f>IFERROR(INDEX(PFL_Schutz_Drop_Down56[noch nicht gewählt],_xlfn.AGGREGATE(15,6,ROW(PFL_Schutz_Drop_Down56[noch nicht gewählt])-3/(--(SEARCH($A$73,PFL_Schutz_Drop_Down56[noch nicht gewählt])&gt;0)),ROW()-3)),"")</f>
        <v/>
      </c>
      <c r="AZ55" s="2201" t="str">
        <f>IFERROR(INDEX(PFL_Schutz_Drop_Down56[noch nicht gewählt],_xlfn.AGGREGATE(15,6,ROW(PFL_Schutz_Drop_Down56[noch nicht gewählt])-3/(--(SEARCH($A$75,PFL_Schutz_Drop_Down56[noch nicht gewählt])&gt;0)),ROW()-3)),"")</f>
        <v/>
      </c>
    </row>
    <row r="56" spans="1:52" ht="19.5" customHeight="1">
      <c r="A56" s="3104"/>
      <c r="B56" s="3103"/>
      <c r="C56" s="3103"/>
      <c r="D56" s="3087"/>
      <c r="E56" s="3089"/>
      <c r="F56" s="3091"/>
      <c r="G56" s="3095"/>
      <c r="H56" s="3096"/>
      <c r="I56" s="3097"/>
      <c r="R56" s="2195">
        <f>Pfl_Schutz!E56</f>
        <v>0</v>
      </c>
      <c r="S56" s="2202">
        <f>COUNTIF($R$4:PFL_Schutz_Drop_Down56[[#This Row],[Produktname]],PFL_Schutz_Drop_Down56[[#This Row],[Produktname]])</f>
        <v>53</v>
      </c>
      <c r="T56" s="2203" t="str">
        <f>IFERROR(INDEX(R:R,_xlfn.AGGREGATE(15,6,ROW(PFL_Schutz_Drop_Down56[Produktname])/(PFL_Schutz_Drop_Down56[Auftretend]=1),ROW()-3)),"")</f>
        <v/>
      </c>
      <c r="U56" s="2198" t="str">
        <f>IF(COUNTIF($A$17:$A$76,PFL_Schutz_Drop_Down56[[#This Row],[Produktname eindeutig]])&gt;=1,"",ROW())</f>
        <v/>
      </c>
      <c r="V56" s="2198" t="str">
        <f t="shared" si="0"/>
        <v/>
      </c>
      <c r="W56" s="2199" t="str">
        <f>IFERROR(INDEX(PFL_Schutz_Drop_Down56[noch nicht gewählt],_xlfn.AGGREGATE(15,6,ROW(PFL_Schutz_Drop_Down56[noch nicht gewählt])-3/(--(SEARCH($A$17,PFL_Schutz_Drop_Down56[noch nicht gewählt])&gt;0)),ROW()-3)),"")</f>
        <v/>
      </c>
      <c r="X56" s="2175" t="str">
        <f>IFERROR(INDEX(PFL_Schutz_Drop_Down56[noch nicht gewählt],_xlfn.AGGREGATE(15,6,ROW(PFL_Schutz_Drop_Down56[noch nicht gewählt])-3/(--(SEARCH($A$19,PFL_Schutz_Drop_Down56[noch nicht gewählt])&gt;0)),ROW()-3)),"")</f>
        <v/>
      </c>
      <c r="Y56" s="2175" t="str">
        <f>IFERROR(INDEX(PFL_Schutz_Drop_Down56[noch nicht gewählt],_xlfn.AGGREGATE(15,6,ROW(PFL_Schutz_Drop_Down56[noch nicht gewählt])-3/(--(SEARCH($A$21,PFL_Schutz_Drop_Down56[noch nicht gewählt])&gt;0)),ROW()-3)),"")</f>
        <v/>
      </c>
      <c r="Z56" s="2200" t="str">
        <f>IFERROR(INDEX(PFL_Schutz_Drop_Down56[noch nicht gewählt],_xlfn.AGGREGATE(15,6,ROW(PFL_Schutz_Drop_Down56[noch nicht gewählt])-3/(--(SEARCH($A$23,PFL_Schutz_Drop_Down56[noch nicht gewählt])&gt;0)),ROW()-3)),"")</f>
        <v/>
      </c>
      <c r="AA56" s="2200" t="str">
        <f>IFERROR(INDEX(PFL_Schutz_Drop_Down56[noch nicht gewählt],_xlfn.AGGREGATE(15,6,ROW(PFL_Schutz_Drop_Down56[noch nicht gewählt])-3/(--(SEARCH($A$25,PFL_Schutz_Drop_Down56[noch nicht gewählt])&gt;0)),ROW()-3)),"")</f>
        <v/>
      </c>
      <c r="AB56" s="2200" t="str">
        <f>IFERROR(INDEX(PFL_Schutz_Drop_Down56[noch nicht gewählt],_xlfn.AGGREGATE(15,6,ROW(PFL_Schutz_Drop_Down56[noch nicht gewählt])-3/(--(SEARCH($A$27,PFL_Schutz_Drop_Down56[noch nicht gewählt])&gt;0)),ROW()-3)),"")</f>
        <v/>
      </c>
      <c r="AC56" s="2200" t="str">
        <f>IFERROR(INDEX(PFL_Schutz_Drop_Down56[noch nicht gewählt],_xlfn.AGGREGATE(15,6,ROW(PFL_Schutz_Drop_Down56[noch nicht gewählt])-3/(--(SEARCH($A$29,PFL_Schutz_Drop_Down56[noch nicht gewählt])&gt;0)),ROW()-3)),"")</f>
        <v/>
      </c>
      <c r="AD56" s="2200" t="str">
        <f>IFERROR(INDEX(PFL_Schutz_Drop_Down56[noch nicht gewählt],_xlfn.AGGREGATE(15,6,ROW(PFL_Schutz_Drop_Down56[noch nicht gewählt])-3/(--(SEARCH($A$31,PFL_Schutz_Drop_Down56[noch nicht gewählt])&gt;0)),ROW()-3)),"")</f>
        <v/>
      </c>
      <c r="AE56" s="2200" t="str">
        <f>IFERROR(INDEX(PFL_Schutz_Drop_Down56[noch nicht gewählt],_xlfn.AGGREGATE(15,6,ROW(PFL_Schutz_Drop_Down56[noch nicht gewählt])-3/(--(SEARCH($A$33,PFL_Schutz_Drop_Down56[noch nicht gewählt])&gt;0)),ROW()-3)),"")</f>
        <v/>
      </c>
      <c r="AF56" s="2200" t="str">
        <f>IFERROR(INDEX(PFL_Schutz_Drop_Down56[noch nicht gewählt],_xlfn.AGGREGATE(15,6,ROW(PFL_Schutz_Drop_Down56[noch nicht gewählt])-3/(--(SEARCH($A$35,PFL_Schutz_Drop_Down56[noch nicht gewählt])&gt;0)),ROW()-3)),"")</f>
        <v/>
      </c>
      <c r="AG56" s="2200" t="str">
        <f>IFERROR(INDEX(PFL_Schutz_Drop_Down56[noch nicht gewählt],_xlfn.AGGREGATE(15,6,ROW(PFL_Schutz_Drop_Down56[noch nicht gewählt])-3/(--(SEARCH($A$37,PFL_Schutz_Drop_Down56[noch nicht gewählt])&gt;0)),ROW()-3)),"")</f>
        <v/>
      </c>
      <c r="AH56" s="2200" t="str">
        <f>IFERROR(INDEX(PFL_Schutz_Drop_Down56[noch nicht gewählt],_xlfn.AGGREGATE(15,6,ROW(PFL_Schutz_Drop_Down56[noch nicht gewählt])-3/(--(SEARCH($A$39,PFL_Schutz_Drop_Down56[noch nicht gewählt])&gt;0)),ROW()-3)),"")</f>
        <v/>
      </c>
      <c r="AI56" s="2200" t="str">
        <f>IFERROR(INDEX(PFL_Schutz_Drop_Down56[noch nicht gewählt],_xlfn.AGGREGATE(15,6,ROW(PFL_Schutz_Drop_Down56[noch nicht gewählt])-3/(--(SEARCH($A$41,PFL_Schutz_Drop_Down56[noch nicht gewählt])&gt;0)),ROW()-3)),"")</f>
        <v/>
      </c>
      <c r="AJ56" s="2200" t="str">
        <f>IFERROR(INDEX(PFL_Schutz_Drop_Down56[noch nicht gewählt],_xlfn.AGGREGATE(15,6,ROW(PFL_Schutz_Drop_Down56[noch nicht gewählt])-3/(--(SEARCH($A$43,PFL_Schutz_Drop_Down56[noch nicht gewählt])&gt;0)),ROW()-3)),"")</f>
        <v/>
      </c>
      <c r="AK56" s="2200" t="str">
        <f>IFERROR(INDEX(PFL_Schutz_Drop_Down56[noch nicht gewählt],_xlfn.AGGREGATE(15,6,ROW(PFL_Schutz_Drop_Down56[noch nicht gewählt])-3/(--(SEARCH($A$45,PFL_Schutz_Drop_Down56[noch nicht gewählt])&gt;0)),ROW()-3)),"")</f>
        <v/>
      </c>
      <c r="AL56" s="2200" t="str">
        <f>IFERROR(INDEX(PFL_Schutz_Drop_Down56[noch nicht gewählt],_xlfn.AGGREGATE(15,6,ROW(PFL_Schutz_Drop_Down56[noch nicht gewählt])-3/(--(SEARCH($A$47,PFL_Schutz_Drop_Down56[noch nicht gewählt])&gt;0)),ROW()-3)),"")</f>
        <v/>
      </c>
      <c r="AM56" s="2200" t="str">
        <f>IFERROR(INDEX(PFL_Schutz_Drop_Down56[noch nicht gewählt],_xlfn.AGGREGATE(15,6,ROW(PFL_Schutz_Drop_Down56[noch nicht gewählt])-3/(--(SEARCH($A$49,PFL_Schutz_Drop_Down56[noch nicht gewählt])&gt;0)),ROW()-3)),"")</f>
        <v/>
      </c>
      <c r="AN56" s="2200" t="str">
        <f>IFERROR(INDEX(PFL_Schutz_Drop_Down56[noch nicht gewählt],_xlfn.AGGREGATE(15,6,ROW(PFL_Schutz_Drop_Down56[noch nicht gewählt])-3/(--(SEARCH($A$51,PFL_Schutz_Drop_Down56[noch nicht gewählt])&gt;0)),ROW()-3)),"")</f>
        <v/>
      </c>
      <c r="AO56" s="2200" t="str">
        <f>IFERROR(INDEX(PFL_Schutz_Drop_Down56[noch nicht gewählt],_xlfn.AGGREGATE(15,6,ROW(PFL_Schutz_Drop_Down56[noch nicht gewählt])-3/(--(SEARCH($A$53,PFL_Schutz_Drop_Down56[noch nicht gewählt])&gt;0)),ROW()-3)),"")</f>
        <v/>
      </c>
      <c r="AP56" s="2200" t="str">
        <f>IFERROR(INDEX(PFL_Schutz_Drop_Down56[noch nicht gewählt],_xlfn.AGGREGATE(15,6,ROW(PFL_Schutz_Drop_Down56[noch nicht gewählt])-3/(--(SEARCH($A$55,PFL_Schutz_Drop_Down56[noch nicht gewählt])&gt;0)),ROW()-3)),"")</f>
        <v/>
      </c>
      <c r="AQ56" s="2200" t="str">
        <f>IFERROR(INDEX(PFL_Schutz_Drop_Down56[noch nicht gewählt],_xlfn.AGGREGATE(15,6,ROW(PFL_Schutz_Drop_Down56[noch nicht gewählt])-3/(--(SEARCH($A$57,PFL_Schutz_Drop_Down56[noch nicht gewählt])&gt;0)),ROW()-3)),"")</f>
        <v/>
      </c>
      <c r="AR56" s="2200" t="str">
        <f>IFERROR(INDEX(PFL_Schutz_Drop_Down56[noch nicht gewählt],_xlfn.AGGREGATE(15,6,ROW(PFL_Schutz_Drop_Down56[noch nicht gewählt])-3/(--(SEARCH($A$59,PFL_Schutz_Drop_Down56[noch nicht gewählt])&gt;0)),ROW()-3)),"")</f>
        <v/>
      </c>
      <c r="AS56" s="2200" t="str">
        <f>IFERROR(INDEX(PFL_Schutz_Drop_Down56[noch nicht gewählt],_xlfn.AGGREGATE(15,6,ROW(PFL_Schutz_Drop_Down56[noch nicht gewählt])-3/(--(SEARCH($A$61,PFL_Schutz_Drop_Down56[noch nicht gewählt])&gt;0)),ROW()-3)),"")</f>
        <v/>
      </c>
      <c r="AT56" s="2200" t="str">
        <f>IFERROR(INDEX(PFL_Schutz_Drop_Down56[noch nicht gewählt],_xlfn.AGGREGATE(15,6,ROW(PFL_Schutz_Drop_Down56[noch nicht gewählt])-3/(--(SEARCH($A$63,PFL_Schutz_Drop_Down56[noch nicht gewählt])&gt;0)),ROW()-3)),"")</f>
        <v/>
      </c>
      <c r="AU56" s="2200" t="str">
        <f>IFERROR(INDEX(PFL_Schutz_Drop_Down56[noch nicht gewählt],_xlfn.AGGREGATE(15,6,ROW(PFL_Schutz_Drop_Down56[noch nicht gewählt])-3/(--(SEARCH($A$65,PFL_Schutz_Drop_Down56[noch nicht gewählt])&gt;0)),ROW()-3)),"")</f>
        <v/>
      </c>
      <c r="AV56" s="2200" t="str">
        <f>IFERROR(INDEX(PFL_Schutz_Drop_Down56[noch nicht gewählt],_xlfn.AGGREGATE(15,6,ROW(PFL_Schutz_Drop_Down56[noch nicht gewählt])-3/(--(SEARCH($A$67,PFL_Schutz_Drop_Down56[noch nicht gewählt])&gt;0)),ROW()-3)),"")</f>
        <v/>
      </c>
      <c r="AW56" s="2200" t="str">
        <f>IFERROR(INDEX(PFL_Schutz_Drop_Down56[noch nicht gewählt],_xlfn.AGGREGATE(15,6,ROW(PFL_Schutz_Drop_Down56[noch nicht gewählt])-3/(--(SEARCH($A$69,PFL_Schutz_Drop_Down56[noch nicht gewählt])&gt;0)),ROW()-3)),"")</f>
        <v/>
      </c>
      <c r="AX56" s="2200" t="str">
        <f>IFERROR(INDEX(PFL_Schutz_Drop_Down56[noch nicht gewählt],_xlfn.AGGREGATE(15,6,ROW(PFL_Schutz_Drop_Down56[noch nicht gewählt])-3/(--(SEARCH($A$71,PFL_Schutz_Drop_Down56[noch nicht gewählt])&gt;0)),ROW()-3)),"")</f>
        <v/>
      </c>
      <c r="AY56" s="2200" t="str">
        <f>IFERROR(INDEX(PFL_Schutz_Drop_Down56[noch nicht gewählt],_xlfn.AGGREGATE(15,6,ROW(PFL_Schutz_Drop_Down56[noch nicht gewählt])-3/(--(SEARCH($A$73,PFL_Schutz_Drop_Down56[noch nicht gewählt])&gt;0)),ROW()-3)),"")</f>
        <v/>
      </c>
      <c r="AZ56" s="2201" t="str">
        <f>IFERROR(INDEX(PFL_Schutz_Drop_Down56[noch nicht gewählt],_xlfn.AGGREGATE(15,6,ROW(PFL_Schutz_Drop_Down56[noch nicht gewählt])-3/(--(SEARCH($A$75,PFL_Schutz_Drop_Down56[noch nicht gewählt])&gt;0)),ROW()-3)),"")</f>
        <v/>
      </c>
    </row>
    <row r="57" spans="1:52" ht="19.5" customHeight="1">
      <c r="A57" s="3098"/>
      <c r="B57" s="3102"/>
      <c r="C57" s="3102"/>
      <c r="D57" s="3087">
        <f>SUMIF(Pfl_Schutz!$E$4:$E$77,A57,Pfl_Schutz!$H$4:$H$77)</f>
        <v>0</v>
      </c>
      <c r="E57" s="3089" t="str">
        <f t="shared" ref="E57" si="35">IF(SUM(B57:C58)=0,"",IF(F57&lt;0,"negativer Lagerstand nicht möglich - überprüfen Sie die Eingabewerte auf Vollständigkeit",IF(F57=0,"Produkt aufgebraucht, Lagerstand 0",F57)))</f>
        <v/>
      </c>
      <c r="F57" s="3091">
        <f t="shared" ref="F57" si="36">IF(SUM(B57:C58)&gt;0,IF(ISBLANK(A57),"",B57+C57-D57),0)</f>
        <v>0</v>
      </c>
      <c r="G57" s="3095"/>
      <c r="H57" s="3096"/>
      <c r="I57" s="3097"/>
      <c r="R57" s="2195">
        <f>Pfl_Schutz!E57</f>
        <v>0</v>
      </c>
      <c r="S57" s="2202">
        <f>COUNTIF($R$4:PFL_Schutz_Drop_Down56[[#This Row],[Produktname]],PFL_Schutz_Drop_Down56[[#This Row],[Produktname]])</f>
        <v>54</v>
      </c>
      <c r="T57" s="2203" t="str">
        <f>IFERROR(INDEX(R:R,_xlfn.AGGREGATE(15,6,ROW(PFL_Schutz_Drop_Down56[Produktname])/(PFL_Schutz_Drop_Down56[Auftretend]=1),ROW()-3)),"")</f>
        <v/>
      </c>
      <c r="U57" s="2198" t="str">
        <f>IF(COUNTIF($A$17:$A$76,PFL_Schutz_Drop_Down56[[#This Row],[Produktname eindeutig]])&gt;=1,"",ROW())</f>
        <v/>
      </c>
      <c r="V57" s="2198" t="str">
        <f t="shared" si="0"/>
        <v/>
      </c>
      <c r="W57" s="2199" t="str">
        <f>IFERROR(INDEX(PFL_Schutz_Drop_Down56[noch nicht gewählt],_xlfn.AGGREGATE(15,6,ROW(PFL_Schutz_Drop_Down56[noch nicht gewählt])-3/(--(SEARCH($A$17,PFL_Schutz_Drop_Down56[noch nicht gewählt])&gt;0)),ROW()-3)),"")</f>
        <v/>
      </c>
      <c r="X57" s="2175" t="str">
        <f>IFERROR(INDEX(PFL_Schutz_Drop_Down56[noch nicht gewählt],_xlfn.AGGREGATE(15,6,ROW(PFL_Schutz_Drop_Down56[noch nicht gewählt])-3/(--(SEARCH($A$19,PFL_Schutz_Drop_Down56[noch nicht gewählt])&gt;0)),ROW()-3)),"")</f>
        <v/>
      </c>
      <c r="Y57" s="2175" t="str">
        <f>IFERROR(INDEX(PFL_Schutz_Drop_Down56[noch nicht gewählt],_xlfn.AGGREGATE(15,6,ROW(PFL_Schutz_Drop_Down56[noch nicht gewählt])-3/(--(SEARCH($A$21,PFL_Schutz_Drop_Down56[noch nicht gewählt])&gt;0)),ROW()-3)),"")</f>
        <v/>
      </c>
      <c r="Z57" s="2200" t="str">
        <f>IFERROR(INDEX(PFL_Schutz_Drop_Down56[noch nicht gewählt],_xlfn.AGGREGATE(15,6,ROW(PFL_Schutz_Drop_Down56[noch nicht gewählt])-3/(--(SEARCH($A$23,PFL_Schutz_Drop_Down56[noch nicht gewählt])&gt;0)),ROW()-3)),"")</f>
        <v/>
      </c>
      <c r="AA57" s="2200" t="str">
        <f>IFERROR(INDEX(PFL_Schutz_Drop_Down56[noch nicht gewählt],_xlfn.AGGREGATE(15,6,ROW(PFL_Schutz_Drop_Down56[noch nicht gewählt])-3/(--(SEARCH($A$25,PFL_Schutz_Drop_Down56[noch nicht gewählt])&gt;0)),ROW()-3)),"")</f>
        <v/>
      </c>
      <c r="AB57" s="2200" t="str">
        <f>IFERROR(INDEX(PFL_Schutz_Drop_Down56[noch nicht gewählt],_xlfn.AGGREGATE(15,6,ROW(PFL_Schutz_Drop_Down56[noch nicht gewählt])-3/(--(SEARCH($A$27,PFL_Schutz_Drop_Down56[noch nicht gewählt])&gt;0)),ROW()-3)),"")</f>
        <v/>
      </c>
      <c r="AC57" s="2200" t="str">
        <f>IFERROR(INDEX(PFL_Schutz_Drop_Down56[noch nicht gewählt],_xlfn.AGGREGATE(15,6,ROW(PFL_Schutz_Drop_Down56[noch nicht gewählt])-3/(--(SEARCH($A$29,PFL_Schutz_Drop_Down56[noch nicht gewählt])&gt;0)),ROW()-3)),"")</f>
        <v/>
      </c>
      <c r="AD57" s="2200" t="str">
        <f>IFERROR(INDEX(PFL_Schutz_Drop_Down56[noch nicht gewählt],_xlfn.AGGREGATE(15,6,ROW(PFL_Schutz_Drop_Down56[noch nicht gewählt])-3/(--(SEARCH($A$31,PFL_Schutz_Drop_Down56[noch nicht gewählt])&gt;0)),ROW()-3)),"")</f>
        <v/>
      </c>
      <c r="AE57" s="2200" t="str">
        <f>IFERROR(INDEX(PFL_Schutz_Drop_Down56[noch nicht gewählt],_xlfn.AGGREGATE(15,6,ROW(PFL_Schutz_Drop_Down56[noch nicht gewählt])-3/(--(SEARCH($A$33,PFL_Schutz_Drop_Down56[noch nicht gewählt])&gt;0)),ROW()-3)),"")</f>
        <v/>
      </c>
      <c r="AF57" s="2200" t="str">
        <f>IFERROR(INDEX(PFL_Schutz_Drop_Down56[noch nicht gewählt],_xlfn.AGGREGATE(15,6,ROW(PFL_Schutz_Drop_Down56[noch nicht gewählt])-3/(--(SEARCH($A$35,PFL_Schutz_Drop_Down56[noch nicht gewählt])&gt;0)),ROW()-3)),"")</f>
        <v/>
      </c>
      <c r="AG57" s="2200" t="str">
        <f>IFERROR(INDEX(PFL_Schutz_Drop_Down56[noch nicht gewählt],_xlfn.AGGREGATE(15,6,ROW(PFL_Schutz_Drop_Down56[noch nicht gewählt])-3/(--(SEARCH($A$37,PFL_Schutz_Drop_Down56[noch nicht gewählt])&gt;0)),ROW()-3)),"")</f>
        <v/>
      </c>
      <c r="AH57" s="2200" t="str">
        <f>IFERROR(INDEX(PFL_Schutz_Drop_Down56[noch nicht gewählt],_xlfn.AGGREGATE(15,6,ROW(PFL_Schutz_Drop_Down56[noch nicht gewählt])-3/(--(SEARCH($A$39,PFL_Schutz_Drop_Down56[noch nicht gewählt])&gt;0)),ROW()-3)),"")</f>
        <v/>
      </c>
      <c r="AI57" s="2200" t="str">
        <f>IFERROR(INDEX(PFL_Schutz_Drop_Down56[noch nicht gewählt],_xlfn.AGGREGATE(15,6,ROW(PFL_Schutz_Drop_Down56[noch nicht gewählt])-3/(--(SEARCH($A$41,PFL_Schutz_Drop_Down56[noch nicht gewählt])&gt;0)),ROW()-3)),"")</f>
        <v/>
      </c>
      <c r="AJ57" s="2200" t="str">
        <f>IFERROR(INDEX(PFL_Schutz_Drop_Down56[noch nicht gewählt],_xlfn.AGGREGATE(15,6,ROW(PFL_Schutz_Drop_Down56[noch nicht gewählt])-3/(--(SEARCH($A$43,PFL_Schutz_Drop_Down56[noch nicht gewählt])&gt;0)),ROW()-3)),"")</f>
        <v/>
      </c>
      <c r="AK57" s="2200" t="str">
        <f>IFERROR(INDEX(PFL_Schutz_Drop_Down56[noch nicht gewählt],_xlfn.AGGREGATE(15,6,ROW(PFL_Schutz_Drop_Down56[noch nicht gewählt])-3/(--(SEARCH($A$45,PFL_Schutz_Drop_Down56[noch nicht gewählt])&gt;0)),ROW()-3)),"")</f>
        <v/>
      </c>
      <c r="AL57" s="2200" t="str">
        <f>IFERROR(INDEX(PFL_Schutz_Drop_Down56[noch nicht gewählt],_xlfn.AGGREGATE(15,6,ROW(PFL_Schutz_Drop_Down56[noch nicht gewählt])-3/(--(SEARCH($A$47,PFL_Schutz_Drop_Down56[noch nicht gewählt])&gt;0)),ROW()-3)),"")</f>
        <v/>
      </c>
      <c r="AM57" s="2200" t="str">
        <f>IFERROR(INDEX(PFL_Schutz_Drop_Down56[noch nicht gewählt],_xlfn.AGGREGATE(15,6,ROW(PFL_Schutz_Drop_Down56[noch nicht gewählt])-3/(--(SEARCH($A$49,PFL_Schutz_Drop_Down56[noch nicht gewählt])&gt;0)),ROW()-3)),"")</f>
        <v/>
      </c>
      <c r="AN57" s="2200" t="str">
        <f>IFERROR(INDEX(PFL_Schutz_Drop_Down56[noch nicht gewählt],_xlfn.AGGREGATE(15,6,ROW(PFL_Schutz_Drop_Down56[noch nicht gewählt])-3/(--(SEARCH($A$51,PFL_Schutz_Drop_Down56[noch nicht gewählt])&gt;0)),ROW()-3)),"")</f>
        <v/>
      </c>
      <c r="AO57" s="2200" t="str">
        <f>IFERROR(INDEX(PFL_Schutz_Drop_Down56[noch nicht gewählt],_xlfn.AGGREGATE(15,6,ROW(PFL_Schutz_Drop_Down56[noch nicht gewählt])-3/(--(SEARCH($A$53,PFL_Schutz_Drop_Down56[noch nicht gewählt])&gt;0)),ROW()-3)),"")</f>
        <v/>
      </c>
      <c r="AP57" s="2200" t="str">
        <f>IFERROR(INDEX(PFL_Schutz_Drop_Down56[noch nicht gewählt],_xlfn.AGGREGATE(15,6,ROW(PFL_Schutz_Drop_Down56[noch nicht gewählt])-3/(--(SEARCH($A$55,PFL_Schutz_Drop_Down56[noch nicht gewählt])&gt;0)),ROW()-3)),"")</f>
        <v/>
      </c>
      <c r="AQ57" s="2200" t="str">
        <f>IFERROR(INDEX(PFL_Schutz_Drop_Down56[noch nicht gewählt],_xlfn.AGGREGATE(15,6,ROW(PFL_Schutz_Drop_Down56[noch nicht gewählt])-3/(--(SEARCH($A$57,PFL_Schutz_Drop_Down56[noch nicht gewählt])&gt;0)),ROW()-3)),"")</f>
        <v/>
      </c>
      <c r="AR57" s="2200" t="str">
        <f>IFERROR(INDEX(PFL_Schutz_Drop_Down56[noch nicht gewählt],_xlfn.AGGREGATE(15,6,ROW(PFL_Schutz_Drop_Down56[noch nicht gewählt])-3/(--(SEARCH($A$59,PFL_Schutz_Drop_Down56[noch nicht gewählt])&gt;0)),ROW()-3)),"")</f>
        <v/>
      </c>
      <c r="AS57" s="2200" t="str">
        <f>IFERROR(INDEX(PFL_Schutz_Drop_Down56[noch nicht gewählt],_xlfn.AGGREGATE(15,6,ROW(PFL_Schutz_Drop_Down56[noch nicht gewählt])-3/(--(SEARCH($A$61,PFL_Schutz_Drop_Down56[noch nicht gewählt])&gt;0)),ROW()-3)),"")</f>
        <v/>
      </c>
      <c r="AT57" s="2200" t="str">
        <f>IFERROR(INDEX(PFL_Schutz_Drop_Down56[noch nicht gewählt],_xlfn.AGGREGATE(15,6,ROW(PFL_Schutz_Drop_Down56[noch nicht gewählt])-3/(--(SEARCH($A$63,PFL_Schutz_Drop_Down56[noch nicht gewählt])&gt;0)),ROW()-3)),"")</f>
        <v/>
      </c>
      <c r="AU57" s="2200" t="str">
        <f>IFERROR(INDEX(PFL_Schutz_Drop_Down56[noch nicht gewählt],_xlfn.AGGREGATE(15,6,ROW(PFL_Schutz_Drop_Down56[noch nicht gewählt])-3/(--(SEARCH($A$65,PFL_Schutz_Drop_Down56[noch nicht gewählt])&gt;0)),ROW()-3)),"")</f>
        <v/>
      </c>
      <c r="AV57" s="2200" t="str">
        <f>IFERROR(INDEX(PFL_Schutz_Drop_Down56[noch nicht gewählt],_xlfn.AGGREGATE(15,6,ROW(PFL_Schutz_Drop_Down56[noch nicht gewählt])-3/(--(SEARCH($A$67,PFL_Schutz_Drop_Down56[noch nicht gewählt])&gt;0)),ROW()-3)),"")</f>
        <v/>
      </c>
      <c r="AW57" s="2200" t="str">
        <f>IFERROR(INDEX(PFL_Schutz_Drop_Down56[noch nicht gewählt],_xlfn.AGGREGATE(15,6,ROW(PFL_Schutz_Drop_Down56[noch nicht gewählt])-3/(--(SEARCH($A$69,PFL_Schutz_Drop_Down56[noch nicht gewählt])&gt;0)),ROW()-3)),"")</f>
        <v/>
      </c>
      <c r="AX57" s="2200" t="str">
        <f>IFERROR(INDEX(PFL_Schutz_Drop_Down56[noch nicht gewählt],_xlfn.AGGREGATE(15,6,ROW(PFL_Schutz_Drop_Down56[noch nicht gewählt])-3/(--(SEARCH($A$71,PFL_Schutz_Drop_Down56[noch nicht gewählt])&gt;0)),ROW()-3)),"")</f>
        <v/>
      </c>
      <c r="AY57" s="2200" t="str">
        <f>IFERROR(INDEX(PFL_Schutz_Drop_Down56[noch nicht gewählt],_xlfn.AGGREGATE(15,6,ROW(PFL_Schutz_Drop_Down56[noch nicht gewählt])-3/(--(SEARCH($A$73,PFL_Schutz_Drop_Down56[noch nicht gewählt])&gt;0)),ROW()-3)),"")</f>
        <v/>
      </c>
      <c r="AZ57" s="2201" t="str">
        <f>IFERROR(INDEX(PFL_Schutz_Drop_Down56[noch nicht gewählt],_xlfn.AGGREGATE(15,6,ROW(PFL_Schutz_Drop_Down56[noch nicht gewählt])-3/(--(SEARCH($A$75,PFL_Schutz_Drop_Down56[noch nicht gewählt])&gt;0)),ROW()-3)),"")</f>
        <v/>
      </c>
    </row>
    <row r="58" spans="1:52" ht="19.5" customHeight="1">
      <c r="A58" s="3104"/>
      <c r="B58" s="3103"/>
      <c r="C58" s="3103"/>
      <c r="D58" s="3087"/>
      <c r="E58" s="3089"/>
      <c r="F58" s="3091"/>
      <c r="G58" s="3095"/>
      <c r="H58" s="3096"/>
      <c r="I58" s="3097"/>
      <c r="R58" s="2195">
        <f>Pfl_Schutz!E58</f>
        <v>0</v>
      </c>
      <c r="S58" s="2202">
        <f>COUNTIF($R$4:PFL_Schutz_Drop_Down56[[#This Row],[Produktname]],PFL_Schutz_Drop_Down56[[#This Row],[Produktname]])</f>
        <v>55</v>
      </c>
      <c r="T58" s="2203" t="str">
        <f>IFERROR(INDEX(R:R,_xlfn.AGGREGATE(15,6,ROW(PFL_Schutz_Drop_Down56[Produktname])/(PFL_Schutz_Drop_Down56[Auftretend]=1),ROW()-3)),"")</f>
        <v/>
      </c>
      <c r="U58" s="2198" t="str">
        <f>IF(COUNTIF($A$17:$A$76,PFL_Schutz_Drop_Down56[[#This Row],[Produktname eindeutig]])&gt;=1,"",ROW())</f>
        <v/>
      </c>
      <c r="V58" s="2198" t="str">
        <f t="shared" si="0"/>
        <v/>
      </c>
      <c r="W58" s="2199" t="str">
        <f>IFERROR(INDEX(PFL_Schutz_Drop_Down56[noch nicht gewählt],_xlfn.AGGREGATE(15,6,ROW(PFL_Schutz_Drop_Down56[noch nicht gewählt])-3/(--(SEARCH($A$17,PFL_Schutz_Drop_Down56[noch nicht gewählt])&gt;0)),ROW()-3)),"")</f>
        <v/>
      </c>
      <c r="X58" s="2175" t="str">
        <f>IFERROR(INDEX(PFL_Schutz_Drop_Down56[noch nicht gewählt],_xlfn.AGGREGATE(15,6,ROW(PFL_Schutz_Drop_Down56[noch nicht gewählt])-3/(--(SEARCH($A$19,PFL_Schutz_Drop_Down56[noch nicht gewählt])&gt;0)),ROW()-3)),"")</f>
        <v/>
      </c>
      <c r="Y58" s="2175" t="str">
        <f>IFERROR(INDEX(PFL_Schutz_Drop_Down56[noch nicht gewählt],_xlfn.AGGREGATE(15,6,ROW(PFL_Schutz_Drop_Down56[noch nicht gewählt])-3/(--(SEARCH($A$21,PFL_Schutz_Drop_Down56[noch nicht gewählt])&gt;0)),ROW()-3)),"")</f>
        <v/>
      </c>
      <c r="Z58" s="2200" t="str">
        <f>IFERROR(INDEX(PFL_Schutz_Drop_Down56[noch nicht gewählt],_xlfn.AGGREGATE(15,6,ROW(PFL_Schutz_Drop_Down56[noch nicht gewählt])-3/(--(SEARCH($A$23,PFL_Schutz_Drop_Down56[noch nicht gewählt])&gt;0)),ROW()-3)),"")</f>
        <v/>
      </c>
      <c r="AA58" s="2200" t="str">
        <f>IFERROR(INDEX(PFL_Schutz_Drop_Down56[noch nicht gewählt],_xlfn.AGGREGATE(15,6,ROW(PFL_Schutz_Drop_Down56[noch nicht gewählt])-3/(--(SEARCH($A$25,PFL_Schutz_Drop_Down56[noch nicht gewählt])&gt;0)),ROW()-3)),"")</f>
        <v/>
      </c>
      <c r="AB58" s="2200" t="str">
        <f>IFERROR(INDEX(PFL_Schutz_Drop_Down56[noch nicht gewählt],_xlfn.AGGREGATE(15,6,ROW(PFL_Schutz_Drop_Down56[noch nicht gewählt])-3/(--(SEARCH($A$27,PFL_Schutz_Drop_Down56[noch nicht gewählt])&gt;0)),ROW()-3)),"")</f>
        <v/>
      </c>
      <c r="AC58" s="2200" t="str">
        <f>IFERROR(INDEX(PFL_Schutz_Drop_Down56[noch nicht gewählt],_xlfn.AGGREGATE(15,6,ROW(PFL_Schutz_Drop_Down56[noch nicht gewählt])-3/(--(SEARCH($A$29,PFL_Schutz_Drop_Down56[noch nicht gewählt])&gt;0)),ROW()-3)),"")</f>
        <v/>
      </c>
      <c r="AD58" s="2200" t="str">
        <f>IFERROR(INDEX(PFL_Schutz_Drop_Down56[noch nicht gewählt],_xlfn.AGGREGATE(15,6,ROW(PFL_Schutz_Drop_Down56[noch nicht gewählt])-3/(--(SEARCH($A$31,PFL_Schutz_Drop_Down56[noch nicht gewählt])&gt;0)),ROW()-3)),"")</f>
        <v/>
      </c>
      <c r="AE58" s="2200" t="str">
        <f>IFERROR(INDEX(PFL_Schutz_Drop_Down56[noch nicht gewählt],_xlfn.AGGREGATE(15,6,ROW(PFL_Schutz_Drop_Down56[noch nicht gewählt])-3/(--(SEARCH($A$33,PFL_Schutz_Drop_Down56[noch nicht gewählt])&gt;0)),ROW()-3)),"")</f>
        <v/>
      </c>
      <c r="AF58" s="2200" t="str">
        <f>IFERROR(INDEX(PFL_Schutz_Drop_Down56[noch nicht gewählt],_xlfn.AGGREGATE(15,6,ROW(PFL_Schutz_Drop_Down56[noch nicht gewählt])-3/(--(SEARCH($A$35,PFL_Schutz_Drop_Down56[noch nicht gewählt])&gt;0)),ROW()-3)),"")</f>
        <v/>
      </c>
      <c r="AG58" s="2200" t="str">
        <f>IFERROR(INDEX(PFL_Schutz_Drop_Down56[noch nicht gewählt],_xlfn.AGGREGATE(15,6,ROW(PFL_Schutz_Drop_Down56[noch nicht gewählt])-3/(--(SEARCH($A$37,PFL_Schutz_Drop_Down56[noch nicht gewählt])&gt;0)),ROW()-3)),"")</f>
        <v/>
      </c>
      <c r="AH58" s="2200" t="str">
        <f>IFERROR(INDEX(PFL_Schutz_Drop_Down56[noch nicht gewählt],_xlfn.AGGREGATE(15,6,ROW(PFL_Schutz_Drop_Down56[noch nicht gewählt])-3/(--(SEARCH($A$39,PFL_Schutz_Drop_Down56[noch nicht gewählt])&gt;0)),ROW()-3)),"")</f>
        <v/>
      </c>
      <c r="AI58" s="2200" t="str">
        <f>IFERROR(INDEX(PFL_Schutz_Drop_Down56[noch nicht gewählt],_xlfn.AGGREGATE(15,6,ROW(PFL_Schutz_Drop_Down56[noch nicht gewählt])-3/(--(SEARCH($A$41,PFL_Schutz_Drop_Down56[noch nicht gewählt])&gt;0)),ROW()-3)),"")</f>
        <v/>
      </c>
      <c r="AJ58" s="2200" t="str">
        <f>IFERROR(INDEX(PFL_Schutz_Drop_Down56[noch nicht gewählt],_xlfn.AGGREGATE(15,6,ROW(PFL_Schutz_Drop_Down56[noch nicht gewählt])-3/(--(SEARCH($A$43,PFL_Schutz_Drop_Down56[noch nicht gewählt])&gt;0)),ROW()-3)),"")</f>
        <v/>
      </c>
      <c r="AK58" s="2200" t="str">
        <f>IFERROR(INDEX(PFL_Schutz_Drop_Down56[noch nicht gewählt],_xlfn.AGGREGATE(15,6,ROW(PFL_Schutz_Drop_Down56[noch nicht gewählt])-3/(--(SEARCH($A$45,PFL_Schutz_Drop_Down56[noch nicht gewählt])&gt;0)),ROW()-3)),"")</f>
        <v/>
      </c>
      <c r="AL58" s="2200" t="str">
        <f>IFERROR(INDEX(PFL_Schutz_Drop_Down56[noch nicht gewählt],_xlfn.AGGREGATE(15,6,ROW(PFL_Schutz_Drop_Down56[noch nicht gewählt])-3/(--(SEARCH($A$47,PFL_Schutz_Drop_Down56[noch nicht gewählt])&gt;0)),ROW()-3)),"")</f>
        <v/>
      </c>
      <c r="AM58" s="2200" t="str">
        <f>IFERROR(INDEX(PFL_Schutz_Drop_Down56[noch nicht gewählt],_xlfn.AGGREGATE(15,6,ROW(PFL_Schutz_Drop_Down56[noch nicht gewählt])-3/(--(SEARCH($A$49,PFL_Schutz_Drop_Down56[noch nicht gewählt])&gt;0)),ROW()-3)),"")</f>
        <v/>
      </c>
      <c r="AN58" s="2200" t="str">
        <f>IFERROR(INDEX(PFL_Schutz_Drop_Down56[noch nicht gewählt],_xlfn.AGGREGATE(15,6,ROW(PFL_Schutz_Drop_Down56[noch nicht gewählt])-3/(--(SEARCH($A$51,PFL_Schutz_Drop_Down56[noch nicht gewählt])&gt;0)),ROW()-3)),"")</f>
        <v/>
      </c>
      <c r="AO58" s="2200" t="str">
        <f>IFERROR(INDEX(PFL_Schutz_Drop_Down56[noch nicht gewählt],_xlfn.AGGREGATE(15,6,ROW(PFL_Schutz_Drop_Down56[noch nicht gewählt])-3/(--(SEARCH($A$53,PFL_Schutz_Drop_Down56[noch nicht gewählt])&gt;0)),ROW()-3)),"")</f>
        <v/>
      </c>
      <c r="AP58" s="2200" t="str">
        <f>IFERROR(INDEX(PFL_Schutz_Drop_Down56[noch nicht gewählt],_xlfn.AGGREGATE(15,6,ROW(PFL_Schutz_Drop_Down56[noch nicht gewählt])-3/(--(SEARCH($A$55,PFL_Schutz_Drop_Down56[noch nicht gewählt])&gt;0)),ROW()-3)),"")</f>
        <v/>
      </c>
      <c r="AQ58" s="2200" t="str">
        <f>IFERROR(INDEX(PFL_Schutz_Drop_Down56[noch nicht gewählt],_xlfn.AGGREGATE(15,6,ROW(PFL_Schutz_Drop_Down56[noch nicht gewählt])-3/(--(SEARCH($A$57,PFL_Schutz_Drop_Down56[noch nicht gewählt])&gt;0)),ROW()-3)),"")</f>
        <v/>
      </c>
      <c r="AR58" s="2200" t="str">
        <f>IFERROR(INDEX(PFL_Schutz_Drop_Down56[noch nicht gewählt],_xlfn.AGGREGATE(15,6,ROW(PFL_Schutz_Drop_Down56[noch nicht gewählt])-3/(--(SEARCH($A$59,PFL_Schutz_Drop_Down56[noch nicht gewählt])&gt;0)),ROW()-3)),"")</f>
        <v/>
      </c>
      <c r="AS58" s="2200" t="str">
        <f>IFERROR(INDEX(PFL_Schutz_Drop_Down56[noch nicht gewählt],_xlfn.AGGREGATE(15,6,ROW(PFL_Schutz_Drop_Down56[noch nicht gewählt])-3/(--(SEARCH($A$61,PFL_Schutz_Drop_Down56[noch nicht gewählt])&gt;0)),ROW()-3)),"")</f>
        <v/>
      </c>
      <c r="AT58" s="2200" t="str">
        <f>IFERROR(INDEX(PFL_Schutz_Drop_Down56[noch nicht gewählt],_xlfn.AGGREGATE(15,6,ROW(PFL_Schutz_Drop_Down56[noch nicht gewählt])-3/(--(SEARCH($A$63,PFL_Schutz_Drop_Down56[noch nicht gewählt])&gt;0)),ROW()-3)),"")</f>
        <v/>
      </c>
      <c r="AU58" s="2200" t="str">
        <f>IFERROR(INDEX(PFL_Schutz_Drop_Down56[noch nicht gewählt],_xlfn.AGGREGATE(15,6,ROW(PFL_Schutz_Drop_Down56[noch nicht gewählt])-3/(--(SEARCH($A$65,PFL_Schutz_Drop_Down56[noch nicht gewählt])&gt;0)),ROW()-3)),"")</f>
        <v/>
      </c>
      <c r="AV58" s="2200" t="str">
        <f>IFERROR(INDEX(PFL_Schutz_Drop_Down56[noch nicht gewählt],_xlfn.AGGREGATE(15,6,ROW(PFL_Schutz_Drop_Down56[noch nicht gewählt])-3/(--(SEARCH($A$67,PFL_Schutz_Drop_Down56[noch nicht gewählt])&gt;0)),ROW()-3)),"")</f>
        <v/>
      </c>
      <c r="AW58" s="2200" t="str">
        <f>IFERROR(INDEX(PFL_Schutz_Drop_Down56[noch nicht gewählt],_xlfn.AGGREGATE(15,6,ROW(PFL_Schutz_Drop_Down56[noch nicht gewählt])-3/(--(SEARCH($A$69,PFL_Schutz_Drop_Down56[noch nicht gewählt])&gt;0)),ROW()-3)),"")</f>
        <v/>
      </c>
      <c r="AX58" s="2200" t="str">
        <f>IFERROR(INDEX(PFL_Schutz_Drop_Down56[noch nicht gewählt],_xlfn.AGGREGATE(15,6,ROW(PFL_Schutz_Drop_Down56[noch nicht gewählt])-3/(--(SEARCH($A$71,PFL_Schutz_Drop_Down56[noch nicht gewählt])&gt;0)),ROW()-3)),"")</f>
        <v/>
      </c>
      <c r="AY58" s="2200" t="str">
        <f>IFERROR(INDEX(PFL_Schutz_Drop_Down56[noch nicht gewählt],_xlfn.AGGREGATE(15,6,ROW(PFL_Schutz_Drop_Down56[noch nicht gewählt])-3/(--(SEARCH($A$73,PFL_Schutz_Drop_Down56[noch nicht gewählt])&gt;0)),ROW()-3)),"")</f>
        <v/>
      </c>
      <c r="AZ58" s="2201" t="str">
        <f>IFERROR(INDEX(PFL_Schutz_Drop_Down56[noch nicht gewählt],_xlfn.AGGREGATE(15,6,ROW(PFL_Schutz_Drop_Down56[noch nicht gewählt])-3/(--(SEARCH($A$75,PFL_Schutz_Drop_Down56[noch nicht gewählt])&gt;0)),ROW()-3)),"")</f>
        <v/>
      </c>
    </row>
    <row r="59" spans="1:52" ht="19.5" customHeight="1">
      <c r="A59" s="3098"/>
      <c r="B59" s="3102"/>
      <c r="C59" s="3102"/>
      <c r="D59" s="3087">
        <f>SUMIF(Pfl_Schutz!$E$4:$E$77,A59,Pfl_Schutz!$H$4:$H$77)</f>
        <v>0</v>
      </c>
      <c r="E59" s="3089" t="str">
        <f t="shared" ref="E59" si="37">IF(SUM(B59:C60)=0,"",IF(F59&lt;0,"negativer Lagerstand nicht möglich - überprüfen Sie die Eingabewerte auf Vollständigkeit",IF(F59=0,"Produkt aufgebraucht, Lagerstand 0",F59)))</f>
        <v/>
      </c>
      <c r="F59" s="3091">
        <f t="shared" ref="F59" si="38">IF(SUM(B59:C60)&gt;0,IF(ISBLANK(A59),"",B59+C59-D59),0)</f>
        <v>0</v>
      </c>
      <c r="G59" s="3095"/>
      <c r="H59" s="3096"/>
      <c r="I59" s="3097"/>
      <c r="R59" s="2195">
        <f>Pfl_Schutz!E59</f>
        <v>0</v>
      </c>
      <c r="S59" s="2202">
        <f>COUNTIF($R$4:PFL_Schutz_Drop_Down56[[#This Row],[Produktname]],PFL_Schutz_Drop_Down56[[#This Row],[Produktname]])</f>
        <v>56</v>
      </c>
      <c r="T59" s="2203" t="str">
        <f>IFERROR(INDEX(R:R,_xlfn.AGGREGATE(15,6,ROW(PFL_Schutz_Drop_Down56[Produktname])/(PFL_Schutz_Drop_Down56[Auftretend]=1),ROW()-3)),"")</f>
        <v/>
      </c>
      <c r="U59" s="2198" t="str">
        <f>IF(COUNTIF($A$17:$A$76,PFL_Schutz_Drop_Down56[[#This Row],[Produktname eindeutig]])&gt;=1,"",ROW())</f>
        <v/>
      </c>
      <c r="V59" s="2198" t="str">
        <f t="shared" si="0"/>
        <v/>
      </c>
      <c r="W59" s="2199" t="str">
        <f>IFERROR(INDEX(PFL_Schutz_Drop_Down56[noch nicht gewählt],_xlfn.AGGREGATE(15,6,ROW(PFL_Schutz_Drop_Down56[noch nicht gewählt])-3/(--(SEARCH($A$17,PFL_Schutz_Drop_Down56[noch nicht gewählt])&gt;0)),ROW()-3)),"")</f>
        <v/>
      </c>
      <c r="X59" s="2175" t="str">
        <f>IFERROR(INDEX(PFL_Schutz_Drop_Down56[noch nicht gewählt],_xlfn.AGGREGATE(15,6,ROW(PFL_Schutz_Drop_Down56[noch nicht gewählt])-3/(--(SEARCH($A$19,PFL_Schutz_Drop_Down56[noch nicht gewählt])&gt;0)),ROW()-3)),"")</f>
        <v/>
      </c>
      <c r="Y59" s="2175" t="str">
        <f>IFERROR(INDEX(PFL_Schutz_Drop_Down56[noch nicht gewählt],_xlfn.AGGREGATE(15,6,ROW(PFL_Schutz_Drop_Down56[noch nicht gewählt])-3/(--(SEARCH($A$21,PFL_Schutz_Drop_Down56[noch nicht gewählt])&gt;0)),ROW()-3)),"")</f>
        <v/>
      </c>
      <c r="Z59" s="2200" t="str">
        <f>IFERROR(INDEX(PFL_Schutz_Drop_Down56[noch nicht gewählt],_xlfn.AGGREGATE(15,6,ROW(PFL_Schutz_Drop_Down56[noch nicht gewählt])-3/(--(SEARCH($A$23,PFL_Schutz_Drop_Down56[noch nicht gewählt])&gt;0)),ROW()-3)),"")</f>
        <v/>
      </c>
      <c r="AA59" s="2200" t="str">
        <f>IFERROR(INDEX(PFL_Schutz_Drop_Down56[noch nicht gewählt],_xlfn.AGGREGATE(15,6,ROW(PFL_Schutz_Drop_Down56[noch nicht gewählt])-3/(--(SEARCH($A$25,PFL_Schutz_Drop_Down56[noch nicht gewählt])&gt;0)),ROW()-3)),"")</f>
        <v/>
      </c>
      <c r="AB59" s="2200" t="str">
        <f>IFERROR(INDEX(PFL_Schutz_Drop_Down56[noch nicht gewählt],_xlfn.AGGREGATE(15,6,ROW(PFL_Schutz_Drop_Down56[noch nicht gewählt])-3/(--(SEARCH($A$27,PFL_Schutz_Drop_Down56[noch nicht gewählt])&gt;0)),ROW()-3)),"")</f>
        <v/>
      </c>
      <c r="AC59" s="2200" t="str">
        <f>IFERROR(INDEX(PFL_Schutz_Drop_Down56[noch nicht gewählt],_xlfn.AGGREGATE(15,6,ROW(PFL_Schutz_Drop_Down56[noch nicht gewählt])-3/(--(SEARCH($A$29,PFL_Schutz_Drop_Down56[noch nicht gewählt])&gt;0)),ROW()-3)),"")</f>
        <v/>
      </c>
      <c r="AD59" s="2200" t="str">
        <f>IFERROR(INDEX(PFL_Schutz_Drop_Down56[noch nicht gewählt],_xlfn.AGGREGATE(15,6,ROW(PFL_Schutz_Drop_Down56[noch nicht gewählt])-3/(--(SEARCH($A$31,PFL_Schutz_Drop_Down56[noch nicht gewählt])&gt;0)),ROW()-3)),"")</f>
        <v/>
      </c>
      <c r="AE59" s="2200" t="str">
        <f>IFERROR(INDEX(PFL_Schutz_Drop_Down56[noch nicht gewählt],_xlfn.AGGREGATE(15,6,ROW(PFL_Schutz_Drop_Down56[noch nicht gewählt])-3/(--(SEARCH($A$33,PFL_Schutz_Drop_Down56[noch nicht gewählt])&gt;0)),ROW()-3)),"")</f>
        <v/>
      </c>
      <c r="AF59" s="2200" t="str">
        <f>IFERROR(INDEX(PFL_Schutz_Drop_Down56[noch nicht gewählt],_xlfn.AGGREGATE(15,6,ROW(PFL_Schutz_Drop_Down56[noch nicht gewählt])-3/(--(SEARCH($A$35,PFL_Schutz_Drop_Down56[noch nicht gewählt])&gt;0)),ROW()-3)),"")</f>
        <v/>
      </c>
      <c r="AG59" s="2200" t="str">
        <f>IFERROR(INDEX(PFL_Schutz_Drop_Down56[noch nicht gewählt],_xlfn.AGGREGATE(15,6,ROW(PFL_Schutz_Drop_Down56[noch nicht gewählt])-3/(--(SEARCH($A$37,PFL_Schutz_Drop_Down56[noch nicht gewählt])&gt;0)),ROW()-3)),"")</f>
        <v/>
      </c>
      <c r="AH59" s="2200" t="str">
        <f>IFERROR(INDEX(PFL_Schutz_Drop_Down56[noch nicht gewählt],_xlfn.AGGREGATE(15,6,ROW(PFL_Schutz_Drop_Down56[noch nicht gewählt])-3/(--(SEARCH($A$39,PFL_Schutz_Drop_Down56[noch nicht gewählt])&gt;0)),ROW()-3)),"")</f>
        <v/>
      </c>
      <c r="AI59" s="2200" t="str">
        <f>IFERROR(INDEX(PFL_Schutz_Drop_Down56[noch nicht gewählt],_xlfn.AGGREGATE(15,6,ROW(PFL_Schutz_Drop_Down56[noch nicht gewählt])-3/(--(SEARCH($A$41,PFL_Schutz_Drop_Down56[noch nicht gewählt])&gt;0)),ROW()-3)),"")</f>
        <v/>
      </c>
      <c r="AJ59" s="2200" t="str">
        <f>IFERROR(INDEX(PFL_Schutz_Drop_Down56[noch nicht gewählt],_xlfn.AGGREGATE(15,6,ROW(PFL_Schutz_Drop_Down56[noch nicht gewählt])-3/(--(SEARCH($A$43,PFL_Schutz_Drop_Down56[noch nicht gewählt])&gt;0)),ROW()-3)),"")</f>
        <v/>
      </c>
      <c r="AK59" s="2200" t="str">
        <f>IFERROR(INDEX(PFL_Schutz_Drop_Down56[noch nicht gewählt],_xlfn.AGGREGATE(15,6,ROW(PFL_Schutz_Drop_Down56[noch nicht gewählt])-3/(--(SEARCH($A$45,PFL_Schutz_Drop_Down56[noch nicht gewählt])&gt;0)),ROW()-3)),"")</f>
        <v/>
      </c>
      <c r="AL59" s="2200" t="str">
        <f>IFERROR(INDEX(PFL_Schutz_Drop_Down56[noch nicht gewählt],_xlfn.AGGREGATE(15,6,ROW(PFL_Schutz_Drop_Down56[noch nicht gewählt])-3/(--(SEARCH($A$47,PFL_Schutz_Drop_Down56[noch nicht gewählt])&gt;0)),ROW()-3)),"")</f>
        <v/>
      </c>
      <c r="AM59" s="2200" t="str">
        <f>IFERROR(INDEX(PFL_Schutz_Drop_Down56[noch nicht gewählt],_xlfn.AGGREGATE(15,6,ROW(PFL_Schutz_Drop_Down56[noch nicht gewählt])-3/(--(SEARCH($A$49,PFL_Schutz_Drop_Down56[noch nicht gewählt])&gt;0)),ROW()-3)),"")</f>
        <v/>
      </c>
      <c r="AN59" s="2200" t="str">
        <f>IFERROR(INDEX(PFL_Schutz_Drop_Down56[noch nicht gewählt],_xlfn.AGGREGATE(15,6,ROW(PFL_Schutz_Drop_Down56[noch nicht gewählt])-3/(--(SEARCH($A$51,PFL_Schutz_Drop_Down56[noch nicht gewählt])&gt;0)),ROW()-3)),"")</f>
        <v/>
      </c>
      <c r="AO59" s="2200" t="str">
        <f>IFERROR(INDEX(PFL_Schutz_Drop_Down56[noch nicht gewählt],_xlfn.AGGREGATE(15,6,ROW(PFL_Schutz_Drop_Down56[noch nicht gewählt])-3/(--(SEARCH($A$53,PFL_Schutz_Drop_Down56[noch nicht gewählt])&gt;0)),ROW()-3)),"")</f>
        <v/>
      </c>
      <c r="AP59" s="2200" t="str">
        <f>IFERROR(INDEX(PFL_Schutz_Drop_Down56[noch nicht gewählt],_xlfn.AGGREGATE(15,6,ROW(PFL_Schutz_Drop_Down56[noch nicht gewählt])-3/(--(SEARCH($A$55,PFL_Schutz_Drop_Down56[noch nicht gewählt])&gt;0)),ROW()-3)),"")</f>
        <v/>
      </c>
      <c r="AQ59" s="2200" t="str">
        <f>IFERROR(INDEX(PFL_Schutz_Drop_Down56[noch nicht gewählt],_xlfn.AGGREGATE(15,6,ROW(PFL_Schutz_Drop_Down56[noch nicht gewählt])-3/(--(SEARCH($A$57,PFL_Schutz_Drop_Down56[noch nicht gewählt])&gt;0)),ROW()-3)),"")</f>
        <v/>
      </c>
      <c r="AR59" s="2200" t="str">
        <f>IFERROR(INDEX(PFL_Schutz_Drop_Down56[noch nicht gewählt],_xlfn.AGGREGATE(15,6,ROW(PFL_Schutz_Drop_Down56[noch nicht gewählt])-3/(--(SEARCH($A$59,PFL_Schutz_Drop_Down56[noch nicht gewählt])&gt;0)),ROW()-3)),"")</f>
        <v/>
      </c>
      <c r="AS59" s="2200" t="str">
        <f>IFERROR(INDEX(PFL_Schutz_Drop_Down56[noch nicht gewählt],_xlfn.AGGREGATE(15,6,ROW(PFL_Schutz_Drop_Down56[noch nicht gewählt])-3/(--(SEARCH($A$61,PFL_Schutz_Drop_Down56[noch nicht gewählt])&gt;0)),ROW()-3)),"")</f>
        <v/>
      </c>
      <c r="AT59" s="2200" t="str">
        <f>IFERROR(INDEX(PFL_Schutz_Drop_Down56[noch nicht gewählt],_xlfn.AGGREGATE(15,6,ROW(PFL_Schutz_Drop_Down56[noch nicht gewählt])-3/(--(SEARCH($A$63,PFL_Schutz_Drop_Down56[noch nicht gewählt])&gt;0)),ROW()-3)),"")</f>
        <v/>
      </c>
      <c r="AU59" s="2200" t="str">
        <f>IFERROR(INDEX(PFL_Schutz_Drop_Down56[noch nicht gewählt],_xlfn.AGGREGATE(15,6,ROW(PFL_Schutz_Drop_Down56[noch nicht gewählt])-3/(--(SEARCH($A$65,PFL_Schutz_Drop_Down56[noch nicht gewählt])&gt;0)),ROW()-3)),"")</f>
        <v/>
      </c>
      <c r="AV59" s="2200" t="str">
        <f>IFERROR(INDEX(PFL_Schutz_Drop_Down56[noch nicht gewählt],_xlfn.AGGREGATE(15,6,ROW(PFL_Schutz_Drop_Down56[noch nicht gewählt])-3/(--(SEARCH($A$67,PFL_Schutz_Drop_Down56[noch nicht gewählt])&gt;0)),ROW()-3)),"")</f>
        <v/>
      </c>
      <c r="AW59" s="2200" t="str">
        <f>IFERROR(INDEX(PFL_Schutz_Drop_Down56[noch nicht gewählt],_xlfn.AGGREGATE(15,6,ROW(PFL_Schutz_Drop_Down56[noch nicht gewählt])-3/(--(SEARCH($A$69,PFL_Schutz_Drop_Down56[noch nicht gewählt])&gt;0)),ROW()-3)),"")</f>
        <v/>
      </c>
      <c r="AX59" s="2200" t="str">
        <f>IFERROR(INDEX(PFL_Schutz_Drop_Down56[noch nicht gewählt],_xlfn.AGGREGATE(15,6,ROW(PFL_Schutz_Drop_Down56[noch nicht gewählt])-3/(--(SEARCH($A$71,PFL_Schutz_Drop_Down56[noch nicht gewählt])&gt;0)),ROW()-3)),"")</f>
        <v/>
      </c>
      <c r="AY59" s="2200" t="str">
        <f>IFERROR(INDEX(PFL_Schutz_Drop_Down56[noch nicht gewählt],_xlfn.AGGREGATE(15,6,ROW(PFL_Schutz_Drop_Down56[noch nicht gewählt])-3/(--(SEARCH($A$73,PFL_Schutz_Drop_Down56[noch nicht gewählt])&gt;0)),ROW()-3)),"")</f>
        <v/>
      </c>
      <c r="AZ59" s="2201" t="str">
        <f>IFERROR(INDEX(PFL_Schutz_Drop_Down56[noch nicht gewählt],_xlfn.AGGREGATE(15,6,ROW(PFL_Schutz_Drop_Down56[noch nicht gewählt])-3/(--(SEARCH($A$75,PFL_Schutz_Drop_Down56[noch nicht gewählt])&gt;0)),ROW()-3)),"")</f>
        <v/>
      </c>
    </row>
    <row r="60" spans="1:52" ht="19.5" customHeight="1">
      <c r="A60" s="3104"/>
      <c r="B60" s="3103"/>
      <c r="C60" s="3103"/>
      <c r="D60" s="3087"/>
      <c r="E60" s="3089"/>
      <c r="F60" s="3091"/>
      <c r="G60" s="3095"/>
      <c r="H60" s="3096"/>
      <c r="I60" s="3097"/>
      <c r="R60" s="2195">
        <f>Pfl_Schutz!E60</f>
        <v>0</v>
      </c>
      <c r="S60" s="2202">
        <f>COUNTIF($R$4:PFL_Schutz_Drop_Down56[[#This Row],[Produktname]],PFL_Schutz_Drop_Down56[[#This Row],[Produktname]])</f>
        <v>57</v>
      </c>
      <c r="T60" s="2203" t="str">
        <f>IFERROR(INDEX(R:R,_xlfn.AGGREGATE(15,6,ROW(PFL_Schutz_Drop_Down56[Produktname])/(PFL_Schutz_Drop_Down56[Auftretend]=1),ROW()-3)),"")</f>
        <v/>
      </c>
      <c r="U60" s="2198" t="str">
        <f>IF(COUNTIF($A$17:$A$76,PFL_Schutz_Drop_Down56[[#This Row],[Produktname eindeutig]])&gt;=1,"",ROW())</f>
        <v/>
      </c>
      <c r="V60" s="2198" t="str">
        <f t="shared" si="0"/>
        <v/>
      </c>
      <c r="W60" s="2199" t="str">
        <f>IFERROR(INDEX(PFL_Schutz_Drop_Down56[noch nicht gewählt],_xlfn.AGGREGATE(15,6,ROW(PFL_Schutz_Drop_Down56[noch nicht gewählt])-3/(--(SEARCH($A$17,PFL_Schutz_Drop_Down56[noch nicht gewählt])&gt;0)),ROW()-3)),"")</f>
        <v/>
      </c>
      <c r="X60" s="2175" t="str">
        <f>IFERROR(INDEX(PFL_Schutz_Drop_Down56[noch nicht gewählt],_xlfn.AGGREGATE(15,6,ROW(PFL_Schutz_Drop_Down56[noch nicht gewählt])-3/(--(SEARCH($A$19,PFL_Schutz_Drop_Down56[noch nicht gewählt])&gt;0)),ROW()-3)),"")</f>
        <v/>
      </c>
      <c r="Y60" s="2175" t="str">
        <f>IFERROR(INDEX(PFL_Schutz_Drop_Down56[noch nicht gewählt],_xlfn.AGGREGATE(15,6,ROW(PFL_Schutz_Drop_Down56[noch nicht gewählt])-3/(--(SEARCH($A$21,PFL_Schutz_Drop_Down56[noch nicht gewählt])&gt;0)),ROW()-3)),"")</f>
        <v/>
      </c>
      <c r="Z60" s="2200" t="str">
        <f>IFERROR(INDEX(PFL_Schutz_Drop_Down56[noch nicht gewählt],_xlfn.AGGREGATE(15,6,ROW(PFL_Schutz_Drop_Down56[noch nicht gewählt])-3/(--(SEARCH($A$23,PFL_Schutz_Drop_Down56[noch nicht gewählt])&gt;0)),ROW()-3)),"")</f>
        <v/>
      </c>
      <c r="AA60" s="2200" t="str">
        <f>IFERROR(INDEX(PFL_Schutz_Drop_Down56[noch nicht gewählt],_xlfn.AGGREGATE(15,6,ROW(PFL_Schutz_Drop_Down56[noch nicht gewählt])-3/(--(SEARCH($A$25,PFL_Schutz_Drop_Down56[noch nicht gewählt])&gt;0)),ROW()-3)),"")</f>
        <v/>
      </c>
      <c r="AB60" s="2200" t="str">
        <f>IFERROR(INDEX(PFL_Schutz_Drop_Down56[noch nicht gewählt],_xlfn.AGGREGATE(15,6,ROW(PFL_Schutz_Drop_Down56[noch nicht gewählt])-3/(--(SEARCH($A$27,PFL_Schutz_Drop_Down56[noch nicht gewählt])&gt;0)),ROW()-3)),"")</f>
        <v/>
      </c>
      <c r="AC60" s="2200" t="str">
        <f>IFERROR(INDEX(PFL_Schutz_Drop_Down56[noch nicht gewählt],_xlfn.AGGREGATE(15,6,ROW(PFL_Schutz_Drop_Down56[noch nicht gewählt])-3/(--(SEARCH($A$29,PFL_Schutz_Drop_Down56[noch nicht gewählt])&gt;0)),ROW()-3)),"")</f>
        <v/>
      </c>
      <c r="AD60" s="2200" t="str">
        <f>IFERROR(INDEX(PFL_Schutz_Drop_Down56[noch nicht gewählt],_xlfn.AGGREGATE(15,6,ROW(PFL_Schutz_Drop_Down56[noch nicht gewählt])-3/(--(SEARCH($A$31,PFL_Schutz_Drop_Down56[noch nicht gewählt])&gt;0)),ROW()-3)),"")</f>
        <v/>
      </c>
      <c r="AE60" s="2200" t="str">
        <f>IFERROR(INDEX(PFL_Schutz_Drop_Down56[noch nicht gewählt],_xlfn.AGGREGATE(15,6,ROW(PFL_Schutz_Drop_Down56[noch nicht gewählt])-3/(--(SEARCH($A$33,PFL_Schutz_Drop_Down56[noch nicht gewählt])&gt;0)),ROW()-3)),"")</f>
        <v/>
      </c>
      <c r="AF60" s="2200" t="str">
        <f>IFERROR(INDEX(PFL_Schutz_Drop_Down56[noch nicht gewählt],_xlfn.AGGREGATE(15,6,ROW(PFL_Schutz_Drop_Down56[noch nicht gewählt])-3/(--(SEARCH($A$35,PFL_Schutz_Drop_Down56[noch nicht gewählt])&gt;0)),ROW()-3)),"")</f>
        <v/>
      </c>
      <c r="AG60" s="2200" t="str">
        <f>IFERROR(INDEX(PFL_Schutz_Drop_Down56[noch nicht gewählt],_xlfn.AGGREGATE(15,6,ROW(PFL_Schutz_Drop_Down56[noch nicht gewählt])-3/(--(SEARCH($A$37,PFL_Schutz_Drop_Down56[noch nicht gewählt])&gt;0)),ROW()-3)),"")</f>
        <v/>
      </c>
      <c r="AH60" s="2200" t="str">
        <f>IFERROR(INDEX(PFL_Schutz_Drop_Down56[noch nicht gewählt],_xlfn.AGGREGATE(15,6,ROW(PFL_Schutz_Drop_Down56[noch nicht gewählt])-3/(--(SEARCH($A$39,PFL_Schutz_Drop_Down56[noch nicht gewählt])&gt;0)),ROW()-3)),"")</f>
        <v/>
      </c>
      <c r="AI60" s="2200" t="str">
        <f>IFERROR(INDEX(PFL_Schutz_Drop_Down56[noch nicht gewählt],_xlfn.AGGREGATE(15,6,ROW(PFL_Schutz_Drop_Down56[noch nicht gewählt])-3/(--(SEARCH($A$41,PFL_Schutz_Drop_Down56[noch nicht gewählt])&gt;0)),ROW()-3)),"")</f>
        <v/>
      </c>
      <c r="AJ60" s="2200" t="str">
        <f>IFERROR(INDEX(PFL_Schutz_Drop_Down56[noch nicht gewählt],_xlfn.AGGREGATE(15,6,ROW(PFL_Schutz_Drop_Down56[noch nicht gewählt])-3/(--(SEARCH($A$43,PFL_Schutz_Drop_Down56[noch nicht gewählt])&gt;0)),ROW()-3)),"")</f>
        <v/>
      </c>
      <c r="AK60" s="2200" t="str">
        <f>IFERROR(INDEX(PFL_Schutz_Drop_Down56[noch nicht gewählt],_xlfn.AGGREGATE(15,6,ROW(PFL_Schutz_Drop_Down56[noch nicht gewählt])-3/(--(SEARCH($A$45,PFL_Schutz_Drop_Down56[noch nicht gewählt])&gt;0)),ROW()-3)),"")</f>
        <v/>
      </c>
      <c r="AL60" s="2200" t="str">
        <f>IFERROR(INDEX(PFL_Schutz_Drop_Down56[noch nicht gewählt],_xlfn.AGGREGATE(15,6,ROW(PFL_Schutz_Drop_Down56[noch nicht gewählt])-3/(--(SEARCH($A$47,PFL_Schutz_Drop_Down56[noch nicht gewählt])&gt;0)),ROW()-3)),"")</f>
        <v/>
      </c>
      <c r="AM60" s="2200" t="str">
        <f>IFERROR(INDEX(PFL_Schutz_Drop_Down56[noch nicht gewählt],_xlfn.AGGREGATE(15,6,ROW(PFL_Schutz_Drop_Down56[noch nicht gewählt])-3/(--(SEARCH($A$49,PFL_Schutz_Drop_Down56[noch nicht gewählt])&gt;0)),ROW()-3)),"")</f>
        <v/>
      </c>
      <c r="AN60" s="2200" t="str">
        <f>IFERROR(INDEX(PFL_Schutz_Drop_Down56[noch nicht gewählt],_xlfn.AGGREGATE(15,6,ROW(PFL_Schutz_Drop_Down56[noch nicht gewählt])-3/(--(SEARCH($A$51,PFL_Schutz_Drop_Down56[noch nicht gewählt])&gt;0)),ROW()-3)),"")</f>
        <v/>
      </c>
      <c r="AO60" s="2200" t="str">
        <f>IFERROR(INDEX(PFL_Schutz_Drop_Down56[noch nicht gewählt],_xlfn.AGGREGATE(15,6,ROW(PFL_Schutz_Drop_Down56[noch nicht gewählt])-3/(--(SEARCH($A$53,PFL_Schutz_Drop_Down56[noch nicht gewählt])&gt;0)),ROW()-3)),"")</f>
        <v/>
      </c>
      <c r="AP60" s="2200" t="str">
        <f>IFERROR(INDEX(PFL_Schutz_Drop_Down56[noch nicht gewählt],_xlfn.AGGREGATE(15,6,ROW(PFL_Schutz_Drop_Down56[noch nicht gewählt])-3/(--(SEARCH($A$55,PFL_Schutz_Drop_Down56[noch nicht gewählt])&gt;0)),ROW()-3)),"")</f>
        <v/>
      </c>
      <c r="AQ60" s="2200" t="str">
        <f>IFERROR(INDEX(PFL_Schutz_Drop_Down56[noch nicht gewählt],_xlfn.AGGREGATE(15,6,ROW(PFL_Schutz_Drop_Down56[noch nicht gewählt])-3/(--(SEARCH($A$57,PFL_Schutz_Drop_Down56[noch nicht gewählt])&gt;0)),ROW()-3)),"")</f>
        <v/>
      </c>
      <c r="AR60" s="2200" t="str">
        <f>IFERROR(INDEX(PFL_Schutz_Drop_Down56[noch nicht gewählt],_xlfn.AGGREGATE(15,6,ROW(PFL_Schutz_Drop_Down56[noch nicht gewählt])-3/(--(SEARCH($A$59,PFL_Schutz_Drop_Down56[noch nicht gewählt])&gt;0)),ROW()-3)),"")</f>
        <v/>
      </c>
      <c r="AS60" s="2200" t="str">
        <f>IFERROR(INDEX(PFL_Schutz_Drop_Down56[noch nicht gewählt],_xlfn.AGGREGATE(15,6,ROW(PFL_Schutz_Drop_Down56[noch nicht gewählt])-3/(--(SEARCH($A$61,PFL_Schutz_Drop_Down56[noch nicht gewählt])&gt;0)),ROW()-3)),"")</f>
        <v/>
      </c>
      <c r="AT60" s="2200" t="str">
        <f>IFERROR(INDEX(PFL_Schutz_Drop_Down56[noch nicht gewählt],_xlfn.AGGREGATE(15,6,ROW(PFL_Schutz_Drop_Down56[noch nicht gewählt])-3/(--(SEARCH($A$63,PFL_Schutz_Drop_Down56[noch nicht gewählt])&gt;0)),ROW()-3)),"")</f>
        <v/>
      </c>
      <c r="AU60" s="2200" t="str">
        <f>IFERROR(INDEX(PFL_Schutz_Drop_Down56[noch nicht gewählt],_xlfn.AGGREGATE(15,6,ROW(PFL_Schutz_Drop_Down56[noch nicht gewählt])-3/(--(SEARCH($A$65,PFL_Schutz_Drop_Down56[noch nicht gewählt])&gt;0)),ROW()-3)),"")</f>
        <v/>
      </c>
      <c r="AV60" s="2200" t="str">
        <f>IFERROR(INDEX(PFL_Schutz_Drop_Down56[noch nicht gewählt],_xlfn.AGGREGATE(15,6,ROW(PFL_Schutz_Drop_Down56[noch nicht gewählt])-3/(--(SEARCH($A$67,PFL_Schutz_Drop_Down56[noch nicht gewählt])&gt;0)),ROW()-3)),"")</f>
        <v/>
      </c>
      <c r="AW60" s="2200" t="str">
        <f>IFERROR(INDEX(PFL_Schutz_Drop_Down56[noch nicht gewählt],_xlfn.AGGREGATE(15,6,ROW(PFL_Schutz_Drop_Down56[noch nicht gewählt])-3/(--(SEARCH($A$69,PFL_Schutz_Drop_Down56[noch nicht gewählt])&gt;0)),ROW()-3)),"")</f>
        <v/>
      </c>
      <c r="AX60" s="2200" t="str">
        <f>IFERROR(INDEX(PFL_Schutz_Drop_Down56[noch nicht gewählt],_xlfn.AGGREGATE(15,6,ROW(PFL_Schutz_Drop_Down56[noch nicht gewählt])-3/(--(SEARCH($A$71,PFL_Schutz_Drop_Down56[noch nicht gewählt])&gt;0)),ROW()-3)),"")</f>
        <v/>
      </c>
      <c r="AY60" s="2200" t="str">
        <f>IFERROR(INDEX(PFL_Schutz_Drop_Down56[noch nicht gewählt],_xlfn.AGGREGATE(15,6,ROW(PFL_Schutz_Drop_Down56[noch nicht gewählt])-3/(--(SEARCH($A$73,PFL_Schutz_Drop_Down56[noch nicht gewählt])&gt;0)),ROW()-3)),"")</f>
        <v/>
      </c>
      <c r="AZ60" s="2201" t="str">
        <f>IFERROR(INDEX(PFL_Schutz_Drop_Down56[noch nicht gewählt],_xlfn.AGGREGATE(15,6,ROW(PFL_Schutz_Drop_Down56[noch nicht gewählt])-3/(--(SEARCH($A$75,PFL_Schutz_Drop_Down56[noch nicht gewählt])&gt;0)),ROW()-3)),"")</f>
        <v/>
      </c>
    </row>
    <row r="61" spans="1:52" ht="19.5" customHeight="1">
      <c r="A61" s="3098"/>
      <c r="B61" s="3102"/>
      <c r="C61" s="3102"/>
      <c r="D61" s="3087">
        <f>SUMIF(Pfl_Schutz!$E$4:$E$77,A61,Pfl_Schutz!$H$4:$H$77)</f>
        <v>0</v>
      </c>
      <c r="E61" s="3089" t="str">
        <f t="shared" ref="E61" si="39">IF(SUM(B61:C62)=0,"",IF(F61&lt;0,"negativer Lagerstand nicht möglich - überprüfen Sie die Eingabewerte auf Vollständigkeit",IF(F61=0,"Produkt aufgebraucht, Lagerstand 0",F61)))</f>
        <v/>
      </c>
      <c r="F61" s="3091">
        <f t="shared" ref="F61" si="40">IF(SUM(B61:C62)&gt;0,IF(ISBLANK(A61),"",B61+C61-D61),0)</f>
        <v>0</v>
      </c>
      <c r="G61" s="3095"/>
      <c r="H61" s="3096"/>
      <c r="I61" s="3097"/>
      <c r="R61" s="2195">
        <f>Pfl_Schutz!E61</f>
        <v>0</v>
      </c>
      <c r="S61" s="2202">
        <f>COUNTIF($R$4:PFL_Schutz_Drop_Down56[[#This Row],[Produktname]],PFL_Schutz_Drop_Down56[[#This Row],[Produktname]])</f>
        <v>58</v>
      </c>
      <c r="T61" s="2203" t="str">
        <f>IFERROR(INDEX(R:R,_xlfn.AGGREGATE(15,6,ROW(PFL_Schutz_Drop_Down56[Produktname])/(PFL_Schutz_Drop_Down56[Auftretend]=1),ROW()-3)),"")</f>
        <v/>
      </c>
      <c r="U61" s="2198" t="str">
        <f>IF(COUNTIF($A$17:$A$76,PFL_Schutz_Drop_Down56[[#This Row],[Produktname eindeutig]])&gt;=1,"",ROW())</f>
        <v/>
      </c>
      <c r="V61" s="2198" t="str">
        <f t="shared" si="0"/>
        <v/>
      </c>
      <c r="W61" s="2199" t="str">
        <f>IFERROR(INDEX(PFL_Schutz_Drop_Down56[noch nicht gewählt],_xlfn.AGGREGATE(15,6,ROW(PFL_Schutz_Drop_Down56[noch nicht gewählt])-3/(--(SEARCH($A$17,PFL_Schutz_Drop_Down56[noch nicht gewählt])&gt;0)),ROW()-3)),"")</f>
        <v/>
      </c>
      <c r="X61" s="2175" t="str">
        <f>IFERROR(INDEX(PFL_Schutz_Drop_Down56[noch nicht gewählt],_xlfn.AGGREGATE(15,6,ROW(PFL_Schutz_Drop_Down56[noch nicht gewählt])-3/(--(SEARCH($A$19,PFL_Schutz_Drop_Down56[noch nicht gewählt])&gt;0)),ROW()-3)),"")</f>
        <v/>
      </c>
      <c r="Y61" s="2175" t="str">
        <f>IFERROR(INDEX(PFL_Schutz_Drop_Down56[noch nicht gewählt],_xlfn.AGGREGATE(15,6,ROW(PFL_Schutz_Drop_Down56[noch nicht gewählt])-3/(--(SEARCH($A$21,PFL_Schutz_Drop_Down56[noch nicht gewählt])&gt;0)),ROW()-3)),"")</f>
        <v/>
      </c>
      <c r="Z61" s="2200" t="str">
        <f>IFERROR(INDEX(PFL_Schutz_Drop_Down56[noch nicht gewählt],_xlfn.AGGREGATE(15,6,ROW(PFL_Schutz_Drop_Down56[noch nicht gewählt])-3/(--(SEARCH($A$23,PFL_Schutz_Drop_Down56[noch nicht gewählt])&gt;0)),ROW()-3)),"")</f>
        <v/>
      </c>
      <c r="AA61" s="2200" t="str">
        <f>IFERROR(INDEX(PFL_Schutz_Drop_Down56[noch nicht gewählt],_xlfn.AGGREGATE(15,6,ROW(PFL_Schutz_Drop_Down56[noch nicht gewählt])-3/(--(SEARCH($A$25,PFL_Schutz_Drop_Down56[noch nicht gewählt])&gt;0)),ROW()-3)),"")</f>
        <v/>
      </c>
      <c r="AB61" s="2200" t="str">
        <f>IFERROR(INDEX(PFL_Schutz_Drop_Down56[noch nicht gewählt],_xlfn.AGGREGATE(15,6,ROW(PFL_Schutz_Drop_Down56[noch nicht gewählt])-3/(--(SEARCH($A$27,PFL_Schutz_Drop_Down56[noch nicht gewählt])&gt;0)),ROW()-3)),"")</f>
        <v/>
      </c>
      <c r="AC61" s="2200" t="str">
        <f>IFERROR(INDEX(PFL_Schutz_Drop_Down56[noch nicht gewählt],_xlfn.AGGREGATE(15,6,ROW(PFL_Schutz_Drop_Down56[noch nicht gewählt])-3/(--(SEARCH($A$29,PFL_Schutz_Drop_Down56[noch nicht gewählt])&gt;0)),ROW()-3)),"")</f>
        <v/>
      </c>
      <c r="AD61" s="2200" t="str">
        <f>IFERROR(INDEX(PFL_Schutz_Drop_Down56[noch nicht gewählt],_xlfn.AGGREGATE(15,6,ROW(PFL_Schutz_Drop_Down56[noch nicht gewählt])-3/(--(SEARCH($A$31,PFL_Schutz_Drop_Down56[noch nicht gewählt])&gt;0)),ROW()-3)),"")</f>
        <v/>
      </c>
      <c r="AE61" s="2200" t="str">
        <f>IFERROR(INDEX(PFL_Schutz_Drop_Down56[noch nicht gewählt],_xlfn.AGGREGATE(15,6,ROW(PFL_Schutz_Drop_Down56[noch nicht gewählt])-3/(--(SEARCH($A$33,PFL_Schutz_Drop_Down56[noch nicht gewählt])&gt;0)),ROW()-3)),"")</f>
        <v/>
      </c>
      <c r="AF61" s="2200" t="str">
        <f>IFERROR(INDEX(PFL_Schutz_Drop_Down56[noch nicht gewählt],_xlfn.AGGREGATE(15,6,ROW(PFL_Schutz_Drop_Down56[noch nicht gewählt])-3/(--(SEARCH($A$35,PFL_Schutz_Drop_Down56[noch nicht gewählt])&gt;0)),ROW()-3)),"")</f>
        <v/>
      </c>
      <c r="AG61" s="2200" t="str">
        <f>IFERROR(INDEX(PFL_Schutz_Drop_Down56[noch nicht gewählt],_xlfn.AGGREGATE(15,6,ROW(PFL_Schutz_Drop_Down56[noch nicht gewählt])-3/(--(SEARCH($A$37,PFL_Schutz_Drop_Down56[noch nicht gewählt])&gt;0)),ROW()-3)),"")</f>
        <v/>
      </c>
      <c r="AH61" s="2200" t="str">
        <f>IFERROR(INDEX(PFL_Schutz_Drop_Down56[noch nicht gewählt],_xlfn.AGGREGATE(15,6,ROW(PFL_Schutz_Drop_Down56[noch nicht gewählt])-3/(--(SEARCH($A$39,PFL_Schutz_Drop_Down56[noch nicht gewählt])&gt;0)),ROW()-3)),"")</f>
        <v/>
      </c>
      <c r="AI61" s="2200" t="str">
        <f>IFERROR(INDEX(PFL_Schutz_Drop_Down56[noch nicht gewählt],_xlfn.AGGREGATE(15,6,ROW(PFL_Schutz_Drop_Down56[noch nicht gewählt])-3/(--(SEARCH($A$41,PFL_Schutz_Drop_Down56[noch nicht gewählt])&gt;0)),ROW()-3)),"")</f>
        <v/>
      </c>
      <c r="AJ61" s="2200" t="str">
        <f>IFERROR(INDEX(PFL_Schutz_Drop_Down56[noch nicht gewählt],_xlfn.AGGREGATE(15,6,ROW(PFL_Schutz_Drop_Down56[noch nicht gewählt])-3/(--(SEARCH($A$43,PFL_Schutz_Drop_Down56[noch nicht gewählt])&gt;0)),ROW()-3)),"")</f>
        <v/>
      </c>
      <c r="AK61" s="2200" t="str">
        <f>IFERROR(INDEX(PFL_Schutz_Drop_Down56[noch nicht gewählt],_xlfn.AGGREGATE(15,6,ROW(PFL_Schutz_Drop_Down56[noch nicht gewählt])-3/(--(SEARCH($A$45,PFL_Schutz_Drop_Down56[noch nicht gewählt])&gt;0)),ROW()-3)),"")</f>
        <v/>
      </c>
      <c r="AL61" s="2200" t="str">
        <f>IFERROR(INDEX(PFL_Schutz_Drop_Down56[noch nicht gewählt],_xlfn.AGGREGATE(15,6,ROW(PFL_Schutz_Drop_Down56[noch nicht gewählt])-3/(--(SEARCH($A$47,PFL_Schutz_Drop_Down56[noch nicht gewählt])&gt;0)),ROW()-3)),"")</f>
        <v/>
      </c>
      <c r="AM61" s="2200" t="str">
        <f>IFERROR(INDEX(PFL_Schutz_Drop_Down56[noch nicht gewählt],_xlfn.AGGREGATE(15,6,ROW(PFL_Schutz_Drop_Down56[noch nicht gewählt])-3/(--(SEARCH($A$49,PFL_Schutz_Drop_Down56[noch nicht gewählt])&gt;0)),ROW()-3)),"")</f>
        <v/>
      </c>
      <c r="AN61" s="2200" t="str">
        <f>IFERROR(INDEX(PFL_Schutz_Drop_Down56[noch nicht gewählt],_xlfn.AGGREGATE(15,6,ROW(PFL_Schutz_Drop_Down56[noch nicht gewählt])-3/(--(SEARCH($A$51,PFL_Schutz_Drop_Down56[noch nicht gewählt])&gt;0)),ROW()-3)),"")</f>
        <v/>
      </c>
      <c r="AO61" s="2200" t="str">
        <f>IFERROR(INDEX(PFL_Schutz_Drop_Down56[noch nicht gewählt],_xlfn.AGGREGATE(15,6,ROW(PFL_Schutz_Drop_Down56[noch nicht gewählt])-3/(--(SEARCH($A$53,PFL_Schutz_Drop_Down56[noch nicht gewählt])&gt;0)),ROW()-3)),"")</f>
        <v/>
      </c>
      <c r="AP61" s="2200" t="str">
        <f>IFERROR(INDEX(PFL_Schutz_Drop_Down56[noch nicht gewählt],_xlfn.AGGREGATE(15,6,ROW(PFL_Schutz_Drop_Down56[noch nicht gewählt])-3/(--(SEARCH($A$55,PFL_Schutz_Drop_Down56[noch nicht gewählt])&gt;0)),ROW()-3)),"")</f>
        <v/>
      </c>
      <c r="AQ61" s="2200" t="str">
        <f>IFERROR(INDEX(PFL_Schutz_Drop_Down56[noch nicht gewählt],_xlfn.AGGREGATE(15,6,ROW(PFL_Schutz_Drop_Down56[noch nicht gewählt])-3/(--(SEARCH($A$57,PFL_Schutz_Drop_Down56[noch nicht gewählt])&gt;0)),ROW()-3)),"")</f>
        <v/>
      </c>
      <c r="AR61" s="2200" t="str">
        <f>IFERROR(INDEX(PFL_Schutz_Drop_Down56[noch nicht gewählt],_xlfn.AGGREGATE(15,6,ROW(PFL_Schutz_Drop_Down56[noch nicht gewählt])-3/(--(SEARCH($A$59,PFL_Schutz_Drop_Down56[noch nicht gewählt])&gt;0)),ROW()-3)),"")</f>
        <v/>
      </c>
      <c r="AS61" s="2200" t="str">
        <f>IFERROR(INDEX(PFL_Schutz_Drop_Down56[noch nicht gewählt],_xlfn.AGGREGATE(15,6,ROW(PFL_Schutz_Drop_Down56[noch nicht gewählt])-3/(--(SEARCH($A$61,PFL_Schutz_Drop_Down56[noch nicht gewählt])&gt;0)),ROW()-3)),"")</f>
        <v/>
      </c>
      <c r="AT61" s="2200" t="str">
        <f>IFERROR(INDEX(PFL_Schutz_Drop_Down56[noch nicht gewählt],_xlfn.AGGREGATE(15,6,ROW(PFL_Schutz_Drop_Down56[noch nicht gewählt])-3/(--(SEARCH($A$63,PFL_Schutz_Drop_Down56[noch nicht gewählt])&gt;0)),ROW()-3)),"")</f>
        <v/>
      </c>
      <c r="AU61" s="2200" t="str">
        <f>IFERROR(INDEX(PFL_Schutz_Drop_Down56[noch nicht gewählt],_xlfn.AGGREGATE(15,6,ROW(PFL_Schutz_Drop_Down56[noch nicht gewählt])-3/(--(SEARCH($A$65,PFL_Schutz_Drop_Down56[noch nicht gewählt])&gt;0)),ROW()-3)),"")</f>
        <v/>
      </c>
      <c r="AV61" s="2200" t="str">
        <f>IFERROR(INDEX(PFL_Schutz_Drop_Down56[noch nicht gewählt],_xlfn.AGGREGATE(15,6,ROW(PFL_Schutz_Drop_Down56[noch nicht gewählt])-3/(--(SEARCH($A$67,PFL_Schutz_Drop_Down56[noch nicht gewählt])&gt;0)),ROW()-3)),"")</f>
        <v/>
      </c>
      <c r="AW61" s="2200" t="str">
        <f>IFERROR(INDEX(PFL_Schutz_Drop_Down56[noch nicht gewählt],_xlfn.AGGREGATE(15,6,ROW(PFL_Schutz_Drop_Down56[noch nicht gewählt])-3/(--(SEARCH($A$69,PFL_Schutz_Drop_Down56[noch nicht gewählt])&gt;0)),ROW()-3)),"")</f>
        <v/>
      </c>
      <c r="AX61" s="2200" t="str">
        <f>IFERROR(INDEX(PFL_Schutz_Drop_Down56[noch nicht gewählt],_xlfn.AGGREGATE(15,6,ROW(PFL_Schutz_Drop_Down56[noch nicht gewählt])-3/(--(SEARCH($A$71,PFL_Schutz_Drop_Down56[noch nicht gewählt])&gt;0)),ROW()-3)),"")</f>
        <v/>
      </c>
      <c r="AY61" s="2200" t="str">
        <f>IFERROR(INDEX(PFL_Schutz_Drop_Down56[noch nicht gewählt],_xlfn.AGGREGATE(15,6,ROW(PFL_Schutz_Drop_Down56[noch nicht gewählt])-3/(--(SEARCH($A$73,PFL_Schutz_Drop_Down56[noch nicht gewählt])&gt;0)),ROW()-3)),"")</f>
        <v/>
      </c>
      <c r="AZ61" s="2201" t="str">
        <f>IFERROR(INDEX(PFL_Schutz_Drop_Down56[noch nicht gewählt],_xlfn.AGGREGATE(15,6,ROW(PFL_Schutz_Drop_Down56[noch nicht gewählt])-3/(--(SEARCH($A$75,PFL_Schutz_Drop_Down56[noch nicht gewählt])&gt;0)),ROW()-3)),"")</f>
        <v/>
      </c>
    </row>
    <row r="62" spans="1:52" ht="19.5" customHeight="1">
      <c r="A62" s="3104"/>
      <c r="B62" s="3103"/>
      <c r="C62" s="3103"/>
      <c r="D62" s="3087"/>
      <c r="E62" s="3089"/>
      <c r="F62" s="3091"/>
      <c r="G62" s="3095"/>
      <c r="H62" s="3096"/>
      <c r="I62" s="3097"/>
      <c r="R62" s="2195">
        <f>Pfl_Schutz!E62</f>
        <v>0</v>
      </c>
      <c r="S62" s="2202">
        <f>COUNTIF($R$4:PFL_Schutz_Drop_Down56[[#This Row],[Produktname]],PFL_Schutz_Drop_Down56[[#This Row],[Produktname]])</f>
        <v>59</v>
      </c>
      <c r="T62" s="2203" t="str">
        <f>IFERROR(INDEX(R:R,_xlfn.AGGREGATE(15,6,ROW(PFL_Schutz_Drop_Down56[Produktname])/(PFL_Schutz_Drop_Down56[Auftretend]=1),ROW()-3)),"")</f>
        <v/>
      </c>
      <c r="U62" s="2198" t="str">
        <f>IF(COUNTIF($A$17:$A$76,PFL_Schutz_Drop_Down56[[#This Row],[Produktname eindeutig]])&gt;=1,"",ROW())</f>
        <v/>
      </c>
      <c r="V62" s="2198" t="str">
        <f t="shared" si="0"/>
        <v/>
      </c>
      <c r="W62" s="2199" t="str">
        <f>IFERROR(INDEX(PFL_Schutz_Drop_Down56[noch nicht gewählt],_xlfn.AGGREGATE(15,6,ROW(PFL_Schutz_Drop_Down56[noch nicht gewählt])-3/(--(SEARCH($A$17,PFL_Schutz_Drop_Down56[noch nicht gewählt])&gt;0)),ROW()-3)),"")</f>
        <v/>
      </c>
      <c r="X62" s="2175" t="str">
        <f>IFERROR(INDEX(PFL_Schutz_Drop_Down56[noch nicht gewählt],_xlfn.AGGREGATE(15,6,ROW(PFL_Schutz_Drop_Down56[noch nicht gewählt])-3/(--(SEARCH($A$19,PFL_Schutz_Drop_Down56[noch nicht gewählt])&gt;0)),ROW()-3)),"")</f>
        <v/>
      </c>
      <c r="Y62" s="2175" t="str">
        <f>IFERROR(INDEX(PFL_Schutz_Drop_Down56[noch nicht gewählt],_xlfn.AGGREGATE(15,6,ROW(PFL_Schutz_Drop_Down56[noch nicht gewählt])-3/(--(SEARCH($A$21,PFL_Schutz_Drop_Down56[noch nicht gewählt])&gt;0)),ROW()-3)),"")</f>
        <v/>
      </c>
      <c r="Z62" s="2200" t="str">
        <f>IFERROR(INDEX(PFL_Schutz_Drop_Down56[noch nicht gewählt],_xlfn.AGGREGATE(15,6,ROW(PFL_Schutz_Drop_Down56[noch nicht gewählt])-3/(--(SEARCH($A$23,PFL_Schutz_Drop_Down56[noch nicht gewählt])&gt;0)),ROW()-3)),"")</f>
        <v/>
      </c>
      <c r="AA62" s="2200" t="str">
        <f>IFERROR(INDEX(PFL_Schutz_Drop_Down56[noch nicht gewählt],_xlfn.AGGREGATE(15,6,ROW(PFL_Schutz_Drop_Down56[noch nicht gewählt])-3/(--(SEARCH($A$25,PFL_Schutz_Drop_Down56[noch nicht gewählt])&gt;0)),ROW()-3)),"")</f>
        <v/>
      </c>
      <c r="AB62" s="2200" t="str">
        <f>IFERROR(INDEX(PFL_Schutz_Drop_Down56[noch nicht gewählt],_xlfn.AGGREGATE(15,6,ROW(PFL_Schutz_Drop_Down56[noch nicht gewählt])-3/(--(SEARCH($A$27,PFL_Schutz_Drop_Down56[noch nicht gewählt])&gt;0)),ROW()-3)),"")</f>
        <v/>
      </c>
      <c r="AC62" s="2200" t="str">
        <f>IFERROR(INDEX(PFL_Schutz_Drop_Down56[noch nicht gewählt],_xlfn.AGGREGATE(15,6,ROW(PFL_Schutz_Drop_Down56[noch nicht gewählt])-3/(--(SEARCH($A$29,PFL_Schutz_Drop_Down56[noch nicht gewählt])&gt;0)),ROW()-3)),"")</f>
        <v/>
      </c>
      <c r="AD62" s="2200" t="str">
        <f>IFERROR(INDEX(PFL_Schutz_Drop_Down56[noch nicht gewählt],_xlfn.AGGREGATE(15,6,ROW(PFL_Schutz_Drop_Down56[noch nicht gewählt])-3/(--(SEARCH($A$31,PFL_Schutz_Drop_Down56[noch nicht gewählt])&gt;0)),ROW()-3)),"")</f>
        <v/>
      </c>
      <c r="AE62" s="2200" t="str">
        <f>IFERROR(INDEX(PFL_Schutz_Drop_Down56[noch nicht gewählt],_xlfn.AGGREGATE(15,6,ROW(PFL_Schutz_Drop_Down56[noch nicht gewählt])-3/(--(SEARCH($A$33,PFL_Schutz_Drop_Down56[noch nicht gewählt])&gt;0)),ROW()-3)),"")</f>
        <v/>
      </c>
      <c r="AF62" s="2200" t="str">
        <f>IFERROR(INDEX(PFL_Schutz_Drop_Down56[noch nicht gewählt],_xlfn.AGGREGATE(15,6,ROW(PFL_Schutz_Drop_Down56[noch nicht gewählt])-3/(--(SEARCH($A$35,PFL_Schutz_Drop_Down56[noch nicht gewählt])&gt;0)),ROW()-3)),"")</f>
        <v/>
      </c>
      <c r="AG62" s="2200" t="str">
        <f>IFERROR(INDEX(PFL_Schutz_Drop_Down56[noch nicht gewählt],_xlfn.AGGREGATE(15,6,ROW(PFL_Schutz_Drop_Down56[noch nicht gewählt])-3/(--(SEARCH($A$37,PFL_Schutz_Drop_Down56[noch nicht gewählt])&gt;0)),ROW()-3)),"")</f>
        <v/>
      </c>
      <c r="AH62" s="2200" t="str">
        <f>IFERROR(INDEX(PFL_Schutz_Drop_Down56[noch nicht gewählt],_xlfn.AGGREGATE(15,6,ROW(PFL_Schutz_Drop_Down56[noch nicht gewählt])-3/(--(SEARCH($A$39,PFL_Schutz_Drop_Down56[noch nicht gewählt])&gt;0)),ROW()-3)),"")</f>
        <v/>
      </c>
      <c r="AI62" s="2200" t="str">
        <f>IFERROR(INDEX(PFL_Schutz_Drop_Down56[noch nicht gewählt],_xlfn.AGGREGATE(15,6,ROW(PFL_Schutz_Drop_Down56[noch nicht gewählt])-3/(--(SEARCH($A$41,PFL_Schutz_Drop_Down56[noch nicht gewählt])&gt;0)),ROW()-3)),"")</f>
        <v/>
      </c>
      <c r="AJ62" s="2200" t="str">
        <f>IFERROR(INDEX(PFL_Schutz_Drop_Down56[noch nicht gewählt],_xlfn.AGGREGATE(15,6,ROW(PFL_Schutz_Drop_Down56[noch nicht gewählt])-3/(--(SEARCH($A$43,PFL_Schutz_Drop_Down56[noch nicht gewählt])&gt;0)),ROW()-3)),"")</f>
        <v/>
      </c>
      <c r="AK62" s="2200" t="str">
        <f>IFERROR(INDEX(PFL_Schutz_Drop_Down56[noch nicht gewählt],_xlfn.AGGREGATE(15,6,ROW(PFL_Schutz_Drop_Down56[noch nicht gewählt])-3/(--(SEARCH($A$45,PFL_Schutz_Drop_Down56[noch nicht gewählt])&gt;0)),ROW()-3)),"")</f>
        <v/>
      </c>
      <c r="AL62" s="2200" t="str">
        <f>IFERROR(INDEX(PFL_Schutz_Drop_Down56[noch nicht gewählt],_xlfn.AGGREGATE(15,6,ROW(PFL_Schutz_Drop_Down56[noch nicht gewählt])-3/(--(SEARCH($A$47,PFL_Schutz_Drop_Down56[noch nicht gewählt])&gt;0)),ROW()-3)),"")</f>
        <v/>
      </c>
      <c r="AM62" s="2200" t="str">
        <f>IFERROR(INDEX(PFL_Schutz_Drop_Down56[noch nicht gewählt],_xlfn.AGGREGATE(15,6,ROW(PFL_Schutz_Drop_Down56[noch nicht gewählt])-3/(--(SEARCH($A$49,PFL_Schutz_Drop_Down56[noch nicht gewählt])&gt;0)),ROW()-3)),"")</f>
        <v/>
      </c>
      <c r="AN62" s="2200" t="str">
        <f>IFERROR(INDEX(PFL_Schutz_Drop_Down56[noch nicht gewählt],_xlfn.AGGREGATE(15,6,ROW(PFL_Schutz_Drop_Down56[noch nicht gewählt])-3/(--(SEARCH($A$51,PFL_Schutz_Drop_Down56[noch nicht gewählt])&gt;0)),ROW()-3)),"")</f>
        <v/>
      </c>
      <c r="AO62" s="2200" t="str">
        <f>IFERROR(INDEX(PFL_Schutz_Drop_Down56[noch nicht gewählt],_xlfn.AGGREGATE(15,6,ROW(PFL_Schutz_Drop_Down56[noch nicht gewählt])-3/(--(SEARCH($A$53,PFL_Schutz_Drop_Down56[noch nicht gewählt])&gt;0)),ROW()-3)),"")</f>
        <v/>
      </c>
      <c r="AP62" s="2200" t="str">
        <f>IFERROR(INDEX(PFL_Schutz_Drop_Down56[noch nicht gewählt],_xlfn.AGGREGATE(15,6,ROW(PFL_Schutz_Drop_Down56[noch nicht gewählt])-3/(--(SEARCH($A$55,PFL_Schutz_Drop_Down56[noch nicht gewählt])&gt;0)),ROW()-3)),"")</f>
        <v/>
      </c>
      <c r="AQ62" s="2200" t="str">
        <f>IFERROR(INDEX(PFL_Schutz_Drop_Down56[noch nicht gewählt],_xlfn.AGGREGATE(15,6,ROW(PFL_Schutz_Drop_Down56[noch nicht gewählt])-3/(--(SEARCH($A$57,PFL_Schutz_Drop_Down56[noch nicht gewählt])&gt;0)),ROW()-3)),"")</f>
        <v/>
      </c>
      <c r="AR62" s="2200" t="str">
        <f>IFERROR(INDEX(PFL_Schutz_Drop_Down56[noch nicht gewählt],_xlfn.AGGREGATE(15,6,ROW(PFL_Schutz_Drop_Down56[noch nicht gewählt])-3/(--(SEARCH($A$59,PFL_Schutz_Drop_Down56[noch nicht gewählt])&gt;0)),ROW()-3)),"")</f>
        <v/>
      </c>
      <c r="AS62" s="2200" t="str">
        <f>IFERROR(INDEX(PFL_Schutz_Drop_Down56[noch nicht gewählt],_xlfn.AGGREGATE(15,6,ROW(PFL_Schutz_Drop_Down56[noch nicht gewählt])-3/(--(SEARCH($A$61,PFL_Schutz_Drop_Down56[noch nicht gewählt])&gt;0)),ROW()-3)),"")</f>
        <v/>
      </c>
      <c r="AT62" s="2200" t="str">
        <f>IFERROR(INDEX(PFL_Schutz_Drop_Down56[noch nicht gewählt],_xlfn.AGGREGATE(15,6,ROW(PFL_Schutz_Drop_Down56[noch nicht gewählt])-3/(--(SEARCH($A$63,PFL_Schutz_Drop_Down56[noch nicht gewählt])&gt;0)),ROW()-3)),"")</f>
        <v/>
      </c>
      <c r="AU62" s="2200" t="str">
        <f>IFERROR(INDEX(PFL_Schutz_Drop_Down56[noch nicht gewählt],_xlfn.AGGREGATE(15,6,ROW(PFL_Schutz_Drop_Down56[noch nicht gewählt])-3/(--(SEARCH($A$65,PFL_Schutz_Drop_Down56[noch nicht gewählt])&gt;0)),ROW()-3)),"")</f>
        <v/>
      </c>
      <c r="AV62" s="2200" t="str">
        <f>IFERROR(INDEX(PFL_Schutz_Drop_Down56[noch nicht gewählt],_xlfn.AGGREGATE(15,6,ROW(PFL_Schutz_Drop_Down56[noch nicht gewählt])-3/(--(SEARCH($A$67,PFL_Schutz_Drop_Down56[noch nicht gewählt])&gt;0)),ROW()-3)),"")</f>
        <v/>
      </c>
      <c r="AW62" s="2200" t="str">
        <f>IFERROR(INDEX(PFL_Schutz_Drop_Down56[noch nicht gewählt],_xlfn.AGGREGATE(15,6,ROW(PFL_Schutz_Drop_Down56[noch nicht gewählt])-3/(--(SEARCH($A$69,PFL_Schutz_Drop_Down56[noch nicht gewählt])&gt;0)),ROW()-3)),"")</f>
        <v/>
      </c>
      <c r="AX62" s="2200" t="str">
        <f>IFERROR(INDEX(PFL_Schutz_Drop_Down56[noch nicht gewählt],_xlfn.AGGREGATE(15,6,ROW(PFL_Schutz_Drop_Down56[noch nicht gewählt])-3/(--(SEARCH($A$71,PFL_Schutz_Drop_Down56[noch nicht gewählt])&gt;0)),ROW()-3)),"")</f>
        <v/>
      </c>
      <c r="AY62" s="2200" t="str">
        <f>IFERROR(INDEX(PFL_Schutz_Drop_Down56[noch nicht gewählt],_xlfn.AGGREGATE(15,6,ROW(PFL_Schutz_Drop_Down56[noch nicht gewählt])-3/(--(SEARCH($A$73,PFL_Schutz_Drop_Down56[noch nicht gewählt])&gt;0)),ROW()-3)),"")</f>
        <v/>
      </c>
      <c r="AZ62" s="2201" t="str">
        <f>IFERROR(INDEX(PFL_Schutz_Drop_Down56[noch nicht gewählt],_xlfn.AGGREGATE(15,6,ROW(PFL_Schutz_Drop_Down56[noch nicht gewählt])-3/(--(SEARCH($A$75,PFL_Schutz_Drop_Down56[noch nicht gewählt])&gt;0)),ROW()-3)),"")</f>
        <v/>
      </c>
    </row>
    <row r="63" spans="1:52" ht="19.5" customHeight="1">
      <c r="A63" s="3098"/>
      <c r="B63" s="3102"/>
      <c r="C63" s="3102"/>
      <c r="D63" s="3087">
        <f>SUMIF(Pfl_Schutz!$E$4:$E$77,A63,Pfl_Schutz!$H$4:$H$77)</f>
        <v>0</v>
      </c>
      <c r="E63" s="3089" t="str">
        <f t="shared" ref="E63" si="41">IF(SUM(B63:C64)=0,"",IF(F63&lt;0,"negativer Lagerstand nicht möglich - überprüfen Sie die Eingabewerte auf Vollständigkeit",IF(F63=0,"Produkt aufgebraucht, Lagerstand 0",F63)))</f>
        <v/>
      </c>
      <c r="F63" s="3091">
        <f t="shared" ref="F63" si="42">IF(SUM(B63:C64)&gt;0,IF(ISBLANK(A63),"",B63+C63-D63),0)</f>
        <v>0</v>
      </c>
      <c r="G63" s="3095"/>
      <c r="H63" s="3096"/>
      <c r="I63" s="3097"/>
      <c r="R63" s="2195">
        <f>Pfl_Schutz!E63</f>
        <v>0</v>
      </c>
      <c r="S63" s="2202">
        <f>COUNTIF($R$4:PFL_Schutz_Drop_Down56[[#This Row],[Produktname]],PFL_Schutz_Drop_Down56[[#This Row],[Produktname]])</f>
        <v>60</v>
      </c>
      <c r="T63" s="2203" t="str">
        <f>IFERROR(INDEX(R:R,_xlfn.AGGREGATE(15,6,ROW(PFL_Schutz_Drop_Down56[Produktname])/(PFL_Schutz_Drop_Down56[Auftretend]=1),ROW()-3)),"")</f>
        <v/>
      </c>
      <c r="U63" s="2198" t="str">
        <f>IF(COUNTIF($A$17:$A$76,PFL_Schutz_Drop_Down56[[#This Row],[Produktname eindeutig]])&gt;=1,"",ROW())</f>
        <v/>
      </c>
      <c r="V63" s="2198" t="str">
        <f t="shared" si="0"/>
        <v/>
      </c>
      <c r="W63" s="2199" t="str">
        <f>IFERROR(INDEX(PFL_Schutz_Drop_Down56[noch nicht gewählt],_xlfn.AGGREGATE(15,6,ROW(PFL_Schutz_Drop_Down56[noch nicht gewählt])-3/(--(SEARCH($A$17,PFL_Schutz_Drop_Down56[noch nicht gewählt])&gt;0)),ROW()-3)),"")</f>
        <v/>
      </c>
      <c r="X63" s="2175" t="str">
        <f>IFERROR(INDEX(PFL_Schutz_Drop_Down56[noch nicht gewählt],_xlfn.AGGREGATE(15,6,ROW(PFL_Schutz_Drop_Down56[noch nicht gewählt])-3/(--(SEARCH($A$19,PFL_Schutz_Drop_Down56[noch nicht gewählt])&gt;0)),ROW()-3)),"")</f>
        <v/>
      </c>
      <c r="Y63" s="2175" t="str">
        <f>IFERROR(INDEX(PFL_Schutz_Drop_Down56[noch nicht gewählt],_xlfn.AGGREGATE(15,6,ROW(PFL_Schutz_Drop_Down56[noch nicht gewählt])-3/(--(SEARCH($A$21,PFL_Schutz_Drop_Down56[noch nicht gewählt])&gt;0)),ROW()-3)),"")</f>
        <v/>
      </c>
      <c r="Z63" s="2200" t="str">
        <f>IFERROR(INDEX(PFL_Schutz_Drop_Down56[noch nicht gewählt],_xlfn.AGGREGATE(15,6,ROW(PFL_Schutz_Drop_Down56[noch nicht gewählt])-3/(--(SEARCH($A$23,PFL_Schutz_Drop_Down56[noch nicht gewählt])&gt;0)),ROW()-3)),"")</f>
        <v/>
      </c>
      <c r="AA63" s="2200" t="str">
        <f>IFERROR(INDEX(PFL_Schutz_Drop_Down56[noch nicht gewählt],_xlfn.AGGREGATE(15,6,ROW(PFL_Schutz_Drop_Down56[noch nicht gewählt])-3/(--(SEARCH($A$25,PFL_Schutz_Drop_Down56[noch nicht gewählt])&gt;0)),ROW()-3)),"")</f>
        <v/>
      </c>
      <c r="AB63" s="2200" t="str">
        <f>IFERROR(INDEX(PFL_Schutz_Drop_Down56[noch nicht gewählt],_xlfn.AGGREGATE(15,6,ROW(PFL_Schutz_Drop_Down56[noch nicht gewählt])-3/(--(SEARCH($A$27,PFL_Schutz_Drop_Down56[noch nicht gewählt])&gt;0)),ROW()-3)),"")</f>
        <v/>
      </c>
      <c r="AC63" s="2200" t="str">
        <f>IFERROR(INDEX(PFL_Schutz_Drop_Down56[noch nicht gewählt],_xlfn.AGGREGATE(15,6,ROW(PFL_Schutz_Drop_Down56[noch nicht gewählt])-3/(--(SEARCH($A$29,PFL_Schutz_Drop_Down56[noch nicht gewählt])&gt;0)),ROW()-3)),"")</f>
        <v/>
      </c>
      <c r="AD63" s="2200" t="str">
        <f>IFERROR(INDEX(PFL_Schutz_Drop_Down56[noch nicht gewählt],_xlfn.AGGREGATE(15,6,ROW(PFL_Schutz_Drop_Down56[noch nicht gewählt])-3/(--(SEARCH($A$31,PFL_Schutz_Drop_Down56[noch nicht gewählt])&gt;0)),ROW()-3)),"")</f>
        <v/>
      </c>
      <c r="AE63" s="2200" t="str">
        <f>IFERROR(INDEX(PFL_Schutz_Drop_Down56[noch nicht gewählt],_xlfn.AGGREGATE(15,6,ROW(PFL_Schutz_Drop_Down56[noch nicht gewählt])-3/(--(SEARCH($A$33,PFL_Schutz_Drop_Down56[noch nicht gewählt])&gt;0)),ROW()-3)),"")</f>
        <v/>
      </c>
      <c r="AF63" s="2200" t="str">
        <f>IFERROR(INDEX(PFL_Schutz_Drop_Down56[noch nicht gewählt],_xlfn.AGGREGATE(15,6,ROW(PFL_Schutz_Drop_Down56[noch nicht gewählt])-3/(--(SEARCH($A$35,PFL_Schutz_Drop_Down56[noch nicht gewählt])&gt;0)),ROW()-3)),"")</f>
        <v/>
      </c>
      <c r="AG63" s="2200" t="str">
        <f>IFERROR(INDEX(PFL_Schutz_Drop_Down56[noch nicht gewählt],_xlfn.AGGREGATE(15,6,ROW(PFL_Schutz_Drop_Down56[noch nicht gewählt])-3/(--(SEARCH($A$37,PFL_Schutz_Drop_Down56[noch nicht gewählt])&gt;0)),ROW()-3)),"")</f>
        <v/>
      </c>
      <c r="AH63" s="2200" t="str">
        <f>IFERROR(INDEX(PFL_Schutz_Drop_Down56[noch nicht gewählt],_xlfn.AGGREGATE(15,6,ROW(PFL_Schutz_Drop_Down56[noch nicht gewählt])-3/(--(SEARCH($A$39,PFL_Schutz_Drop_Down56[noch nicht gewählt])&gt;0)),ROW()-3)),"")</f>
        <v/>
      </c>
      <c r="AI63" s="2200" t="str">
        <f>IFERROR(INDEX(PFL_Schutz_Drop_Down56[noch nicht gewählt],_xlfn.AGGREGATE(15,6,ROW(PFL_Schutz_Drop_Down56[noch nicht gewählt])-3/(--(SEARCH($A$41,PFL_Schutz_Drop_Down56[noch nicht gewählt])&gt;0)),ROW()-3)),"")</f>
        <v/>
      </c>
      <c r="AJ63" s="2200" t="str">
        <f>IFERROR(INDEX(PFL_Schutz_Drop_Down56[noch nicht gewählt],_xlfn.AGGREGATE(15,6,ROW(PFL_Schutz_Drop_Down56[noch nicht gewählt])-3/(--(SEARCH($A$43,PFL_Schutz_Drop_Down56[noch nicht gewählt])&gt;0)),ROW()-3)),"")</f>
        <v/>
      </c>
      <c r="AK63" s="2200" t="str">
        <f>IFERROR(INDEX(PFL_Schutz_Drop_Down56[noch nicht gewählt],_xlfn.AGGREGATE(15,6,ROW(PFL_Schutz_Drop_Down56[noch nicht gewählt])-3/(--(SEARCH($A$45,PFL_Schutz_Drop_Down56[noch nicht gewählt])&gt;0)),ROW()-3)),"")</f>
        <v/>
      </c>
      <c r="AL63" s="2200" t="str">
        <f>IFERROR(INDEX(PFL_Schutz_Drop_Down56[noch nicht gewählt],_xlfn.AGGREGATE(15,6,ROW(PFL_Schutz_Drop_Down56[noch nicht gewählt])-3/(--(SEARCH($A$47,PFL_Schutz_Drop_Down56[noch nicht gewählt])&gt;0)),ROW()-3)),"")</f>
        <v/>
      </c>
      <c r="AM63" s="2200" t="str">
        <f>IFERROR(INDEX(PFL_Schutz_Drop_Down56[noch nicht gewählt],_xlfn.AGGREGATE(15,6,ROW(PFL_Schutz_Drop_Down56[noch nicht gewählt])-3/(--(SEARCH($A$49,PFL_Schutz_Drop_Down56[noch nicht gewählt])&gt;0)),ROW()-3)),"")</f>
        <v/>
      </c>
      <c r="AN63" s="2200" t="str">
        <f>IFERROR(INDEX(PFL_Schutz_Drop_Down56[noch nicht gewählt],_xlfn.AGGREGATE(15,6,ROW(PFL_Schutz_Drop_Down56[noch nicht gewählt])-3/(--(SEARCH($A$51,PFL_Schutz_Drop_Down56[noch nicht gewählt])&gt;0)),ROW()-3)),"")</f>
        <v/>
      </c>
      <c r="AO63" s="2200" t="str">
        <f>IFERROR(INDEX(PFL_Schutz_Drop_Down56[noch nicht gewählt],_xlfn.AGGREGATE(15,6,ROW(PFL_Schutz_Drop_Down56[noch nicht gewählt])-3/(--(SEARCH($A$53,PFL_Schutz_Drop_Down56[noch nicht gewählt])&gt;0)),ROW()-3)),"")</f>
        <v/>
      </c>
      <c r="AP63" s="2200" t="str">
        <f>IFERROR(INDEX(PFL_Schutz_Drop_Down56[noch nicht gewählt],_xlfn.AGGREGATE(15,6,ROW(PFL_Schutz_Drop_Down56[noch nicht gewählt])-3/(--(SEARCH($A$55,PFL_Schutz_Drop_Down56[noch nicht gewählt])&gt;0)),ROW()-3)),"")</f>
        <v/>
      </c>
      <c r="AQ63" s="2200" t="str">
        <f>IFERROR(INDEX(PFL_Schutz_Drop_Down56[noch nicht gewählt],_xlfn.AGGREGATE(15,6,ROW(PFL_Schutz_Drop_Down56[noch nicht gewählt])-3/(--(SEARCH($A$57,PFL_Schutz_Drop_Down56[noch nicht gewählt])&gt;0)),ROW()-3)),"")</f>
        <v/>
      </c>
      <c r="AR63" s="2200" t="str">
        <f>IFERROR(INDEX(PFL_Schutz_Drop_Down56[noch nicht gewählt],_xlfn.AGGREGATE(15,6,ROW(PFL_Schutz_Drop_Down56[noch nicht gewählt])-3/(--(SEARCH($A$59,PFL_Schutz_Drop_Down56[noch nicht gewählt])&gt;0)),ROW()-3)),"")</f>
        <v/>
      </c>
      <c r="AS63" s="2200" t="str">
        <f>IFERROR(INDEX(PFL_Schutz_Drop_Down56[noch nicht gewählt],_xlfn.AGGREGATE(15,6,ROW(PFL_Schutz_Drop_Down56[noch nicht gewählt])-3/(--(SEARCH($A$61,PFL_Schutz_Drop_Down56[noch nicht gewählt])&gt;0)),ROW()-3)),"")</f>
        <v/>
      </c>
      <c r="AT63" s="2200" t="str">
        <f>IFERROR(INDEX(PFL_Schutz_Drop_Down56[noch nicht gewählt],_xlfn.AGGREGATE(15,6,ROW(PFL_Schutz_Drop_Down56[noch nicht gewählt])-3/(--(SEARCH($A$63,PFL_Schutz_Drop_Down56[noch nicht gewählt])&gt;0)),ROW()-3)),"")</f>
        <v/>
      </c>
      <c r="AU63" s="2200" t="str">
        <f>IFERROR(INDEX(PFL_Schutz_Drop_Down56[noch nicht gewählt],_xlfn.AGGREGATE(15,6,ROW(PFL_Schutz_Drop_Down56[noch nicht gewählt])-3/(--(SEARCH($A$65,PFL_Schutz_Drop_Down56[noch nicht gewählt])&gt;0)),ROW()-3)),"")</f>
        <v/>
      </c>
      <c r="AV63" s="2200" t="str">
        <f>IFERROR(INDEX(PFL_Schutz_Drop_Down56[noch nicht gewählt],_xlfn.AGGREGATE(15,6,ROW(PFL_Schutz_Drop_Down56[noch nicht gewählt])-3/(--(SEARCH($A$67,PFL_Schutz_Drop_Down56[noch nicht gewählt])&gt;0)),ROW()-3)),"")</f>
        <v/>
      </c>
      <c r="AW63" s="2200" t="str">
        <f>IFERROR(INDEX(PFL_Schutz_Drop_Down56[noch nicht gewählt],_xlfn.AGGREGATE(15,6,ROW(PFL_Schutz_Drop_Down56[noch nicht gewählt])-3/(--(SEARCH($A$69,PFL_Schutz_Drop_Down56[noch nicht gewählt])&gt;0)),ROW()-3)),"")</f>
        <v/>
      </c>
      <c r="AX63" s="2200" t="str">
        <f>IFERROR(INDEX(PFL_Schutz_Drop_Down56[noch nicht gewählt],_xlfn.AGGREGATE(15,6,ROW(PFL_Schutz_Drop_Down56[noch nicht gewählt])-3/(--(SEARCH($A$71,PFL_Schutz_Drop_Down56[noch nicht gewählt])&gt;0)),ROW()-3)),"")</f>
        <v/>
      </c>
      <c r="AY63" s="2200" t="str">
        <f>IFERROR(INDEX(PFL_Schutz_Drop_Down56[noch nicht gewählt],_xlfn.AGGREGATE(15,6,ROW(PFL_Schutz_Drop_Down56[noch nicht gewählt])-3/(--(SEARCH($A$73,PFL_Schutz_Drop_Down56[noch nicht gewählt])&gt;0)),ROW()-3)),"")</f>
        <v/>
      </c>
      <c r="AZ63" s="2201" t="str">
        <f>IFERROR(INDEX(PFL_Schutz_Drop_Down56[noch nicht gewählt],_xlfn.AGGREGATE(15,6,ROW(PFL_Schutz_Drop_Down56[noch nicht gewählt])-3/(--(SEARCH($A$75,PFL_Schutz_Drop_Down56[noch nicht gewählt])&gt;0)),ROW()-3)),"")</f>
        <v/>
      </c>
    </row>
    <row r="64" spans="1:52" ht="19.5" customHeight="1">
      <c r="A64" s="3104"/>
      <c r="B64" s="3103"/>
      <c r="C64" s="3103"/>
      <c r="D64" s="3087"/>
      <c r="E64" s="3089"/>
      <c r="F64" s="3091"/>
      <c r="G64" s="3095"/>
      <c r="H64" s="3096"/>
      <c r="I64" s="3097"/>
      <c r="R64" s="2195">
        <f>Pfl_Schutz!E64</f>
        <v>0</v>
      </c>
      <c r="S64" s="2202">
        <f>COUNTIF($R$4:PFL_Schutz_Drop_Down56[[#This Row],[Produktname]],PFL_Schutz_Drop_Down56[[#This Row],[Produktname]])</f>
        <v>61</v>
      </c>
      <c r="T64" s="2203" t="str">
        <f>IFERROR(INDEX(R:R,_xlfn.AGGREGATE(15,6,ROW(PFL_Schutz_Drop_Down56[Produktname])/(PFL_Schutz_Drop_Down56[Auftretend]=1),ROW()-3)),"")</f>
        <v/>
      </c>
      <c r="U64" s="2198" t="str">
        <f>IF(COUNTIF($A$17:$A$76,PFL_Schutz_Drop_Down56[[#This Row],[Produktname eindeutig]])&gt;=1,"",ROW())</f>
        <v/>
      </c>
      <c r="V64" s="2198" t="str">
        <f t="shared" si="0"/>
        <v/>
      </c>
      <c r="W64" s="2199" t="str">
        <f>IFERROR(INDEX(PFL_Schutz_Drop_Down56[noch nicht gewählt],_xlfn.AGGREGATE(15,6,ROW(PFL_Schutz_Drop_Down56[noch nicht gewählt])-3/(--(SEARCH($A$17,PFL_Schutz_Drop_Down56[noch nicht gewählt])&gt;0)),ROW()-3)),"")</f>
        <v/>
      </c>
      <c r="X64" s="2175" t="str">
        <f>IFERROR(INDEX(PFL_Schutz_Drop_Down56[noch nicht gewählt],_xlfn.AGGREGATE(15,6,ROW(PFL_Schutz_Drop_Down56[noch nicht gewählt])-3/(--(SEARCH($A$19,PFL_Schutz_Drop_Down56[noch nicht gewählt])&gt;0)),ROW()-3)),"")</f>
        <v/>
      </c>
      <c r="Y64" s="2175" t="str">
        <f>IFERROR(INDEX(PFL_Schutz_Drop_Down56[noch nicht gewählt],_xlfn.AGGREGATE(15,6,ROW(PFL_Schutz_Drop_Down56[noch nicht gewählt])-3/(--(SEARCH($A$21,PFL_Schutz_Drop_Down56[noch nicht gewählt])&gt;0)),ROW()-3)),"")</f>
        <v/>
      </c>
      <c r="Z64" s="2200" t="str">
        <f>IFERROR(INDEX(PFL_Schutz_Drop_Down56[noch nicht gewählt],_xlfn.AGGREGATE(15,6,ROW(PFL_Schutz_Drop_Down56[noch nicht gewählt])-3/(--(SEARCH($A$23,PFL_Schutz_Drop_Down56[noch nicht gewählt])&gt;0)),ROW()-3)),"")</f>
        <v/>
      </c>
      <c r="AA64" s="2200" t="str">
        <f>IFERROR(INDEX(PFL_Schutz_Drop_Down56[noch nicht gewählt],_xlfn.AGGREGATE(15,6,ROW(PFL_Schutz_Drop_Down56[noch nicht gewählt])-3/(--(SEARCH($A$25,PFL_Schutz_Drop_Down56[noch nicht gewählt])&gt;0)),ROW()-3)),"")</f>
        <v/>
      </c>
      <c r="AB64" s="2200" t="str">
        <f>IFERROR(INDEX(PFL_Schutz_Drop_Down56[noch nicht gewählt],_xlfn.AGGREGATE(15,6,ROW(PFL_Schutz_Drop_Down56[noch nicht gewählt])-3/(--(SEARCH($A$27,PFL_Schutz_Drop_Down56[noch nicht gewählt])&gt;0)),ROW()-3)),"")</f>
        <v/>
      </c>
      <c r="AC64" s="2200" t="str">
        <f>IFERROR(INDEX(PFL_Schutz_Drop_Down56[noch nicht gewählt],_xlfn.AGGREGATE(15,6,ROW(PFL_Schutz_Drop_Down56[noch nicht gewählt])-3/(--(SEARCH($A$29,PFL_Schutz_Drop_Down56[noch nicht gewählt])&gt;0)),ROW()-3)),"")</f>
        <v/>
      </c>
      <c r="AD64" s="2200" t="str">
        <f>IFERROR(INDEX(PFL_Schutz_Drop_Down56[noch nicht gewählt],_xlfn.AGGREGATE(15,6,ROW(PFL_Schutz_Drop_Down56[noch nicht gewählt])-3/(--(SEARCH($A$31,PFL_Schutz_Drop_Down56[noch nicht gewählt])&gt;0)),ROW()-3)),"")</f>
        <v/>
      </c>
      <c r="AE64" s="2200" t="str">
        <f>IFERROR(INDEX(PFL_Schutz_Drop_Down56[noch nicht gewählt],_xlfn.AGGREGATE(15,6,ROW(PFL_Schutz_Drop_Down56[noch nicht gewählt])-3/(--(SEARCH($A$33,PFL_Schutz_Drop_Down56[noch nicht gewählt])&gt;0)),ROW()-3)),"")</f>
        <v/>
      </c>
      <c r="AF64" s="2200" t="str">
        <f>IFERROR(INDEX(PFL_Schutz_Drop_Down56[noch nicht gewählt],_xlfn.AGGREGATE(15,6,ROW(PFL_Schutz_Drop_Down56[noch nicht gewählt])-3/(--(SEARCH($A$35,PFL_Schutz_Drop_Down56[noch nicht gewählt])&gt;0)),ROW()-3)),"")</f>
        <v/>
      </c>
      <c r="AG64" s="2200" t="str">
        <f>IFERROR(INDEX(PFL_Schutz_Drop_Down56[noch nicht gewählt],_xlfn.AGGREGATE(15,6,ROW(PFL_Schutz_Drop_Down56[noch nicht gewählt])-3/(--(SEARCH($A$37,PFL_Schutz_Drop_Down56[noch nicht gewählt])&gt;0)),ROW()-3)),"")</f>
        <v/>
      </c>
      <c r="AH64" s="2200" t="str">
        <f>IFERROR(INDEX(PFL_Schutz_Drop_Down56[noch nicht gewählt],_xlfn.AGGREGATE(15,6,ROW(PFL_Schutz_Drop_Down56[noch nicht gewählt])-3/(--(SEARCH($A$39,PFL_Schutz_Drop_Down56[noch nicht gewählt])&gt;0)),ROW()-3)),"")</f>
        <v/>
      </c>
      <c r="AI64" s="2200" t="str">
        <f>IFERROR(INDEX(PFL_Schutz_Drop_Down56[noch nicht gewählt],_xlfn.AGGREGATE(15,6,ROW(PFL_Schutz_Drop_Down56[noch nicht gewählt])-3/(--(SEARCH($A$41,PFL_Schutz_Drop_Down56[noch nicht gewählt])&gt;0)),ROW()-3)),"")</f>
        <v/>
      </c>
      <c r="AJ64" s="2200" t="str">
        <f>IFERROR(INDEX(PFL_Schutz_Drop_Down56[noch nicht gewählt],_xlfn.AGGREGATE(15,6,ROW(PFL_Schutz_Drop_Down56[noch nicht gewählt])-3/(--(SEARCH($A$43,PFL_Schutz_Drop_Down56[noch nicht gewählt])&gt;0)),ROW()-3)),"")</f>
        <v/>
      </c>
      <c r="AK64" s="2200" t="str">
        <f>IFERROR(INDEX(PFL_Schutz_Drop_Down56[noch nicht gewählt],_xlfn.AGGREGATE(15,6,ROW(PFL_Schutz_Drop_Down56[noch nicht gewählt])-3/(--(SEARCH($A$45,PFL_Schutz_Drop_Down56[noch nicht gewählt])&gt;0)),ROW()-3)),"")</f>
        <v/>
      </c>
      <c r="AL64" s="2200" t="str">
        <f>IFERROR(INDEX(PFL_Schutz_Drop_Down56[noch nicht gewählt],_xlfn.AGGREGATE(15,6,ROW(PFL_Schutz_Drop_Down56[noch nicht gewählt])-3/(--(SEARCH($A$47,PFL_Schutz_Drop_Down56[noch nicht gewählt])&gt;0)),ROW()-3)),"")</f>
        <v/>
      </c>
      <c r="AM64" s="2200" t="str">
        <f>IFERROR(INDEX(PFL_Schutz_Drop_Down56[noch nicht gewählt],_xlfn.AGGREGATE(15,6,ROW(PFL_Schutz_Drop_Down56[noch nicht gewählt])-3/(--(SEARCH($A$49,PFL_Schutz_Drop_Down56[noch nicht gewählt])&gt;0)),ROW()-3)),"")</f>
        <v/>
      </c>
      <c r="AN64" s="2200" t="str">
        <f>IFERROR(INDEX(PFL_Schutz_Drop_Down56[noch nicht gewählt],_xlfn.AGGREGATE(15,6,ROW(PFL_Schutz_Drop_Down56[noch nicht gewählt])-3/(--(SEARCH($A$51,PFL_Schutz_Drop_Down56[noch nicht gewählt])&gt;0)),ROW()-3)),"")</f>
        <v/>
      </c>
      <c r="AO64" s="2200" t="str">
        <f>IFERROR(INDEX(PFL_Schutz_Drop_Down56[noch nicht gewählt],_xlfn.AGGREGATE(15,6,ROW(PFL_Schutz_Drop_Down56[noch nicht gewählt])-3/(--(SEARCH($A$53,PFL_Schutz_Drop_Down56[noch nicht gewählt])&gt;0)),ROW()-3)),"")</f>
        <v/>
      </c>
      <c r="AP64" s="2200" t="str">
        <f>IFERROR(INDEX(PFL_Schutz_Drop_Down56[noch nicht gewählt],_xlfn.AGGREGATE(15,6,ROW(PFL_Schutz_Drop_Down56[noch nicht gewählt])-3/(--(SEARCH($A$55,PFL_Schutz_Drop_Down56[noch nicht gewählt])&gt;0)),ROW()-3)),"")</f>
        <v/>
      </c>
      <c r="AQ64" s="2200" t="str">
        <f>IFERROR(INDEX(PFL_Schutz_Drop_Down56[noch nicht gewählt],_xlfn.AGGREGATE(15,6,ROW(PFL_Schutz_Drop_Down56[noch nicht gewählt])-3/(--(SEARCH($A$57,PFL_Schutz_Drop_Down56[noch nicht gewählt])&gt;0)),ROW()-3)),"")</f>
        <v/>
      </c>
      <c r="AR64" s="2200" t="str">
        <f>IFERROR(INDEX(PFL_Schutz_Drop_Down56[noch nicht gewählt],_xlfn.AGGREGATE(15,6,ROW(PFL_Schutz_Drop_Down56[noch nicht gewählt])-3/(--(SEARCH($A$59,PFL_Schutz_Drop_Down56[noch nicht gewählt])&gt;0)),ROW()-3)),"")</f>
        <v/>
      </c>
      <c r="AS64" s="2200" t="str">
        <f>IFERROR(INDEX(PFL_Schutz_Drop_Down56[noch nicht gewählt],_xlfn.AGGREGATE(15,6,ROW(PFL_Schutz_Drop_Down56[noch nicht gewählt])-3/(--(SEARCH($A$61,PFL_Schutz_Drop_Down56[noch nicht gewählt])&gt;0)),ROW()-3)),"")</f>
        <v/>
      </c>
      <c r="AT64" s="2200" t="str">
        <f>IFERROR(INDEX(PFL_Schutz_Drop_Down56[noch nicht gewählt],_xlfn.AGGREGATE(15,6,ROW(PFL_Schutz_Drop_Down56[noch nicht gewählt])-3/(--(SEARCH($A$63,PFL_Schutz_Drop_Down56[noch nicht gewählt])&gt;0)),ROW()-3)),"")</f>
        <v/>
      </c>
      <c r="AU64" s="2200" t="str">
        <f>IFERROR(INDEX(PFL_Schutz_Drop_Down56[noch nicht gewählt],_xlfn.AGGREGATE(15,6,ROW(PFL_Schutz_Drop_Down56[noch nicht gewählt])-3/(--(SEARCH($A$65,PFL_Schutz_Drop_Down56[noch nicht gewählt])&gt;0)),ROW()-3)),"")</f>
        <v/>
      </c>
      <c r="AV64" s="2200" t="str">
        <f>IFERROR(INDEX(PFL_Schutz_Drop_Down56[noch nicht gewählt],_xlfn.AGGREGATE(15,6,ROW(PFL_Schutz_Drop_Down56[noch nicht gewählt])-3/(--(SEARCH($A$67,PFL_Schutz_Drop_Down56[noch nicht gewählt])&gt;0)),ROW()-3)),"")</f>
        <v/>
      </c>
      <c r="AW64" s="2200" t="str">
        <f>IFERROR(INDEX(PFL_Schutz_Drop_Down56[noch nicht gewählt],_xlfn.AGGREGATE(15,6,ROW(PFL_Schutz_Drop_Down56[noch nicht gewählt])-3/(--(SEARCH($A$69,PFL_Schutz_Drop_Down56[noch nicht gewählt])&gt;0)),ROW()-3)),"")</f>
        <v/>
      </c>
      <c r="AX64" s="2200" t="str">
        <f>IFERROR(INDEX(PFL_Schutz_Drop_Down56[noch nicht gewählt],_xlfn.AGGREGATE(15,6,ROW(PFL_Schutz_Drop_Down56[noch nicht gewählt])-3/(--(SEARCH($A$71,PFL_Schutz_Drop_Down56[noch nicht gewählt])&gt;0)),ROW()-3)),"")</f>
        <v/>
      </c>
      <c r="AY64" s="2200" t="str">
        <f>IFERROR(INDEX(PFL_Schutz_Drop_Down56[noch nicht gewählt],_xlfn.AGGREGATE(15,6,ROW(PFL_Schutz_Drop_Down56[noch nicht gewählt])-3/(--(SEARCH($A$73,PFL_Schutz_Drop_Down56[noch nicht gewählt])&gt;0)),ROW()-3)),"")</f>
        <v/>
      </c>
      <c r="AZ64" s="2201" t="str">
        <f>IFERROR(INDEX(PFL_Schutz_Drop_Down56[noch nicht gewählt],_xlfn.AGGREGATE(15,6,ROW(PFL_Schutz_Drop_Down56[noch nicht gewählt])-3/(--(SEARCH($A$75,PFL_Schutz_Drop_Down56[noch nicht gewählt])&gt;0)),ROW()-3)),"")</f>
        <v/>
      </c>
    </row>
    <row r="65" spans="1:52" ht="19.5" customHeight="1">
      <c r="A65" s="3098"/>
      <c r="B65" s="3102"/>
      <c r="C65" s="3102"/>
      <c r="D65" s="3087">
        <f>SUMIF(Pfl_Schutz!$E$4:$E$77,A65,Pfl_Schutz!$H$4:$H$77)</f>
        <v>0</v>
      </c>
      <c r="E65" s="3089" t="str">
        <f t="shared" ref="E65" si="43">IF(SUM(B65:C66)=0,"",IF(F65&lt;0,"negativer Lagerstand nicht möglich - überprüfen Sie die Eingabewerte auf Vollständigkeit",IF(F65=0,"Produkt aufgebraucht, Lagerstand 0",F65)))</f>
        <v/>
      </c>
      <c r="F65" s="3091">
        <f t="shared" ref="F65" si="44">IF(SUM(B65:C66)&gt;0,IF(ISBLANK(A65),"",B65+C65-D65),0)</f>
        <v>0</v>
      </c>
      <c r="G65" s="3095"/>
      <c r="H65" s="3096"/>
      <c r="I65" s="3097"/>
      <c r="R65" s="2195">
        <f>Pfl_Schutz!E65</f>
        <v>0</v>
      </c>
      <c r="S65" s="2202">
        <f>COUNTIF($R$4:PFL_Schutz_Drop_Down56[[#This Row],[Produktname]],PFL_Schutz_Drop_Down56[[#This Row],[Produktname]])</f>
        <v>62</v>
      </c>
      <c r="T65" s="2203" t="str">
        <f>IFERROR(INDEX(R:R,_xlfn.AGGREGATE(15,6,ROW(PFL_Schutz_Drop_Down56[Produktname])/(PFL_Schutz_Drop_Down56[Auftretend]=1),ROW()-3)),"")</f>
        <v/>
      </c>
      <c r="U65" s="2198" t="str">
        <f>IF(COUNTIF($A$17:$A$76,PFL_Schutz_Drop_Down56[[#This Row],[Produktname eindeutig]])&gt;=1,"",ROW())</f>
        <v/>
      </c>
      <c r="V65" s="2198" t="str">
        <f t="shared" si="0"/>
        <v/>
      </c>
      <c r="W65" s="2199" t="str">
        <f>IFERROR(INDEX(PFL_Schutz_Drop_Down56[noch nicht gewählt],_xlfn.AGGREGATE(15,6,ROW(PFL_Schutz_Drop_Down56[noch nicht gewählt])-3/(--(SEARCH($A$17,PFL_Schutz_Drop_Down56[noch nicht gewählt])&gt;0)),ROW()-3)),"")</f>
        <v/>
      </c>
      <c r="X65" s="2175" t="str">
        <f>IFERROR(INDEX(PFL_Schutz_Drop_Down56[noch nicht gewählt],_xlfn.AGGREGATE(15,6,ROW(PFL_Schutz_Drop_Down56[noch nicht gewählt])-3/(--(SEARCH($A$19,PFL_Schutz_Drop_Down56[noch nicht gewählt])&gt;0)),ROW()-3)),"")</f>
        <v/>
      </c>
      <c r="Y65" s="2175" t="str">
        <f>IFERROR(INDEX(PFL_Schutz_Drop_Down56[noch nicht gewählt],_xlfn.AGGREGATE(15,6,ROW(PFL_Schutz_Drop_Down56[noch nicht gewählt])-3/(--(SEARCH($A$21,PFL_Schutz_Drop_Down56[noch nicht gewählt])&gt;0)),ROW()-3)),"")</f>
        <v/>
      </c>
      <c r="Z65" s="2200" t="str">
        <f>IFERROR(INDEX(PFL_Schutz_Drop_Down56[noch nicht gewählt],_xlfn.AGGREGATE(15,6,ROW(PFL_Schutz_Drop_Down56[noch nicht gewählt])-3/(--(SEARCH($A$23,PFL_Schutz_Drop_Down56[noch nicht gewählt])&gt;0)),ROW()-3)),"")</f>
        <v/>
      </c>
      <c r="AA65" s="2200" t="str">
        <f>IFERROR(INDEX(PFL_Schutz_Drop_Down56[noch nicht gewählt],_xlfn.AGGREGATE(15,6,ROW(PFL_Schutz_Drop_Down56[noch nicht gewählt])-3/(--(SEARCH($A$25,PFL_Schutz_Drop_Down56[noch nicht gewählt])&gt;0)),ROW()-3)),"")</f>
        <v/>
      </c>
      <c r="AB65" s="2200" t="str">
        <f>IFERROR(INDEX(PFL_Schutz_Drop_Down56[noch nicht gewählt],_xlfn.AGGREGATE(15,6,ROW(PFL_Schutz_Drop_Down56[noch nicht gewählt])-3/(--(SEARCH($A$27,PFL_Schutz_Drop_Down56[noch nicht gewählt])&gt;0)),ROW()-3)),"")</f>
        <v/>
      </c>
      <c r="AC65" s="2200" t="str">
        <f>IFERROR(INDEX(PFL_Schutz_Drop_Down56[noch nicht gewählt],_xlfn.AGGREGATE(15,6,ROW(PFL_Schutz_Drop_Down56[noch nicht gewählt])-3/(--(SEARCH($A$29,PFL_Schutz_Drop_Down56[noch nicht gewählt])&gt;0)),ROW()-3)),"")</f>
        <v/>
      </c>
      <c r="AD65" s="2200" t="str">
        <f>IFERROR(INDEX(PFL_Schutz_Drop_Down56[noch nicht gewählt],_xlfn.AGGREGATE(15,6,ROW(PFL_Schutz_Drop_Down56[noch nicht gewählt])-3/(--(SEARCH($A$31,PFL_Schutz_Drop_Down56[noch nicht gewählt])&gt;0)),ROW()-3)),"")</f>
        <v/>
      </c>
      <c r="AE65" s="2200" t="str">
        <f>IFERROR(INDEX(PFL_Schutz_Drop_Down56[noch nicht gewählt],_xlfn.AGGREGATE(15,6,ROW(PFL_Schutz_Drop_Down56[noch nicht gewählt])-3/(--(SEARCH($A$33,PFL_Schutz_Drop_Down56[noch nicht gewählt])&gt;0)),ROW()-3)),"")</f>
        <v/>
      </c>
      <c r="AF65" s="2200" t="str">
        <f>IFERROR(INDEX(PFL_Schutz_Drop_Down56[noch nicht gewählt],_xlfn.AGGREGATE(15,6,ROW(PFL_Schutz_Drop_Down56[noch nicht gewählt])-3/(--(SEARCH($A$35,PFL_Schutz_Drop_Down56[noch nicht gewählt])&gt;0)),ROW()-3)),"")</f>
        <v/>
      </c>
      <c r="AG65" s="2200" t="str">
        <f>IFERROR(INDEX(PFL_Schutz_Drop_Down56[noch nicht gewählt],_xlfn.AGGREGATE(15,6,ROW(PFL_Schutz_Drop_Down56[noch nicht gewählt])-3/(--(SEARCH($A$37,PFL_Schutz_Drop_Down56[noch nicht gewählt])&gt;0)),ROW()-3)),"")</f>
        <v/>
      </c>
      <c r="AH65" s="2200" t="str">
        <f>IFERROR(INDEX(PFL_Schutz_Drop_Down56[noch nicht gewählt],_xlfn.AGGREGATE(15,6,ROW(PFL_Schutz_Drop_Down56[noch nicht gewählt])-3/(--(SEARCH($A$39,PFL_Schutz_Drop_Down56[noch nicht gewählt])&gt;0)),ROW()-3)),"")</f>
        <v/>
      </c>
      <c r="AI65" s="2200" t="str">
        <f>IFERROR(INDEX(PFL_Schutz_Drop_Down56[noch nicht gewählt],_xlfn.AGGREGATE(15,6,ROW(PFL_Schutz_Drop_Down56[noch nicht gewählt])-3/(--(SEARCH($A$41,PFL_Schutz_Drop_Down56[noch nicht gewählt])&gt;0)),ROW()-3)),"")</f>
        <v/>
      </c>
      <c r="AJ65" s="2200" t="str">
        <f>IFERROR(INDEX(PFL_Schutz_Drop_Down56[noch nicht gewählt],_xlfn.AGGREGATE(15,6,ROW(PFL_Schutz_Drop_Down56[noch nicht gewählt])-3/(--(SEARCH($A$43,PFL_Schutz_Drop_Down56[noch nicht gewählt])&gt;0)),ROW()-3)),"")</f>
        <v/>
      </c>
      <c r="AK65" s="2200" t="str">
        <f>IFERROR(INDEX(PFL_Schutz_Drop_Down56[noch nicht gewählt],_xlfn.AGGREGATE(15,6,ROW(PFL_Schutz_Drop_Down56[noch nicht gewählt])-3/(--(SEARCH($A$45,PFL_Schutz_Drop_Down56[noch nicht gewählt])&gt;0)),ROW()-3)),"")</f>
        <v/>
      </c>
      <c r="AL65" s="2200" t="str">
        <f>IFERROR(INDEX(PFL_Schutz_Drop_Down56[noch nicht gewählt],_xlfn.AGGREGATE(15,6,ROW(PFL_Schutz_Drop_Down56[noch nicht gewählt])-3/(--(SEARCH($A$47,PFL_Schutz_Drop_Down56[noch nicht gewählt])&gt;0)),ROW()-3)),"")</f>
        <v/>
      </c>
      <c r="AM65" s="2200" t="str">
        <f>IFERROR(INDEX(PFL_Schutz_Drop_Down56[noch nicht gewählt],_xlfn.AGGREGATE(15,6,ROW(PFL_Schutz_Drop_Down56[noch nicht gewählt])-3/(--(SEARCH($A$49,PFL_Schutz_Drop_Down56[noch nicht gewählt])&gt;0)),ROW()-3)),"")</f>
        <v/>
      </c>
      <c r="AN65" s="2200" t="str">
        <f>IFERROR(INDEX(PFL_Schutz_Drop_Down56[noch nicht gewählt],_xlfn.AGGREGATE(15,6,ROW(PFL_Schutz_Drop_Down56[noch nicht gewählt])-3/(--(SEARCH($A$51,PFL_Schutz_Drop_Down56[noch nicht gewählt])&gt;0)),ROW()-3)),"")</f>
        <v/>
      </c>
      <c r="AO65" s="2200" t="str">
        <f>IFERROR(INDEX(PFL_Schutz_Drop_Down56[noch nicht gewählt],_xlfn.AGGREGATE(15,6,ROW(PFL_Schutz_Drop_Down56[noch nicht gewählt])-3/(--(SEARCH($A$53,PFL_Schutz_Drop_Down56[noch nicht gewählt])&gt;0)),ROW()-3)),"")</f>
        <v/>
      </c>
      <c r="AP65" s="2200" t="str">
        <f>IFERROR(INDEX(PFL_Schutz_Drop_Down56[noch nicht gewählt],_xlfn.AGGREGATE(15,6,ROW(PFL_Schutz_Drop_Down56[noch nicht gewählt])-3/(--(SEARCH($A$55,PFL_Schutz_Drop_Down56[noch nicht gewählt])&gt;0)),ROW()-3)),"")</f>
        <v/>
      </c>
      <c r="AQ65" s="2200" t="str">
        <f>IFERROR(INDEX(PFL_Schutz_Drop_Down56[noch nicht gewählt],_xlfn.AGGREGATE(15,6,ROW(PFL_Schutz_Drop_Down56[noch nicht gewählt])-3/(--(SEARCH($A$57,PFL_Schutz_Drop_Down56[noch nicht gewählt])&gt;0)),ROW()-3)),"")</f>
        <v/>
      </c>
      <c r="AR65" s="2200" t="str">
        <f>IFERROR(INDEX(PFL_Schutz_Drop_Down56[noch nicht gewählt],_xlfn.AGGREGATE(15,6,ROW(PFL_Schutz_Drop_Down56[noch nicht gewählt])-3/(--(SEARCH($A$59,PFL_Schutz_Drop_Down56[noch nicht gewählt])&gt;0)),ROW()-3)),"")</f>
        <v/>
      </c>
      <c r="AS65" s="2200" t="str">
        <f>IFERROR(INDEX(PFL_Schutz_Drop_Down56[noch nicht gewählt],_xlfn.AGGREGATE(15,6,ROW(PFL_Schutz_Drop_Down56[noch nicht gewählt])-3/(--(SEARCH($A$61,PFL_Schutz_Drop_Down56[noch nicht gewählt])&gt;0)),ROW()-3)),"")</f>
        <v/>
      </c>
      <c r="AT65" s="2200" t="str">
        <f>IFERROR(INDEX(PFL_Schutz_Drop_Down56[noch nicht gewählt],_xlfn.AGGREGATE(15,6,ROW(PFL_Schutz_Drop_Down56[noch nicht gewählt])-3/(--(SEARCH($A$63,PFL_Schutz_Drop_Down56[noch nicht gewählt])&gt;0)),ROW()-3)),"")</f>
        <v/>
      </c>
      <c r="AU65" s="2200" t="str">
        <f>IFERROR(INDEX(PFL_Schutz_Drop_Down56[noch nicht gewählt],_xlfn.AGGREGATE(15,6,ROW(PFL_Schutz_Drop_Down56[noch nicht gewählt])-3/(--(SEARCH($A$65,PFL_Schutz_Drop_Down56[noch nicht gewählt])&gt;0)),ROW()-3)),"")</f>
        <v/>
      </c>
      <c r="AV65" s="2200" t="str">
        <f>IFERROR(INDEX(PFL_Schutz_Drop_Down56[noch nicht gewählt],_xlfn.AGGREGATE(15,6,ROW(PFL_Schutz_Drop_Down56[noch nicht gewählt])-3/(--(SEARCH($A$67,PFL_Schutz_Drop_Down56[noch nicht gewählt])&gt;0)),ROW()-3)),"")</f>
        <v/>
      </c>
      <c r="AW65" s="2200" t="str">
        <f>IFERROR(INDEX(PFL_Schutz_Drop_Down56[noch nicht gewählt],_xlfn.AGGREGATE(15,6,ROW(PFL_Schutz_Drop_Down56[noch nicht gewählt])-3/(--(SEARCH($A$69,PFL_Schutz_Drop_Down56[noch nicht gewählt])&gt;0)),ROW()-3)),"")</f>
        <v/>
      </c>
      <c r="AX65" s="2200" t="str">
        <f>IFERROR(INDEX(PFL_Schutz_Drop_Down56[noch nicht gewählt],_xlfn.AGGREGATE(15,6,ROW(PFL_Schutz_Drop_Down56[noch nicht gewählt])-3/(--(SEARCH($A$71,PFL_Schutz_Drop_Down56[noch nicht gewählt])&gt;0)),ROW()-3)),"")</f>
        <v/>
      </c>
      <c r="AY65" s="2200" t="str">
        <f>IFERROR(INDEX(PFL_Schutz_Drop_Down56[noch nicht gewählt],_xlfn.AGGREGATE(15,6,ROW(PFL_Schutz_Drop_Down56[noch nicht gewählt])-3/(--(SEARCH($A$73,PFL_Schutz_Drop_Down56[noch nicht gewählt])&gt;0)),ROW()-3)),"")</f>
        <v/>
      </c>
      <c r="AZ65" s="2201" t="str">
        <f>IFERROR(INDEX(PFL_Schutz_Drop_Down56[noch nicht gewählt],_xlfn.AGGREGATE(15,6,ROW(PFL_Schutz_Drop_Down56[noch nicht gewählt])-3/(--(SEARCH($A$75,PFL_Schutz_Drop_Down56[noch nicht gewählt])&gt;0)),ROW()-3)),"")</f>
        <v/>
      </c>
    </row>
    <row r="66" spans="1:52" ht="19.5" customHeight="1">
      <c r="A66" s="3104"/>
      <c r="B66" s="3103"/>
      <c r="C66" s="3103"/>
      <c r="D66" s="3087"/>
      <c r="E66" s="3089"/>
      <c r="F66" s="3091"/>
      <c r="G66" s="3095"/>
      <c r="H66" s="3096"/>
      <c r="I66" s="3097"/>
      <c r="R66" s="2195">
        <f>Pfl_Schutz!E66</f>
        <v>0</v>
      </c>
      <c r="S66" s="2202">
        <f>COUNTIF($R$4:PFL_Schutz_Drop_Down56[[#This Row],[Produktname]],PFL_Schutz_Drop_Down56[[#This Row],[Produktname]])</f>
        <v>63</v>
      </c>
      <c r="T66" s="2203" t="str">
        <f>IFERROR(INDEX(R:R,_xlfn.AGGREGATE(15,6,ROW(PFL_Schutz_Drop_Down56[Produktname])/(PFL_Schutz_Drop_Down56[Auftretend]=1),ROW()-3)),"")</f>
        <v/>
      </c>
      <c r="U66" s="2198" t="str">
        <f>IF(COUNTIF($A$17:$A$76,PFL_Schutz_Drop_Down56[[#This Row],[Produktname eindeutig]])&gt;=1,"",ROW())</f>
        <v/>
      </c>
      <c r="V66" s="2198" t="str">
        <f t="shared" si="0"/>
        <v/>
      </c>
      <c r="W66" s="2199" t="str">
        <f>IFERROR(INDEX(PFL_Schutz_Drop_Down56[noch nicht gewählt],_xlfn.AGGREGATE(15,6,ROW(PFL_Schutz_Drop_Down56[noch nicht gewählt])-3/(--(SEARCH($A$17,PFL_Schutz_Drop_Down56[noch nicht gewählt])&gt;0)),ROW()-3)),"")</f>
        <v/>
      </c>
      <c r="X66" s="2175" t="str">
        <f>IFERROR(INDEX(PFL_Schutz_Drop_Down56[noch nicht gewählt],_xlfn.AGGREGATE(15,6,ROW(PFL_Schutz_Drop_Down56[noch nicht gewählt])-3/(--(SEARCH($A$19,PFL_Schutz_Drop_Down56[noch nicht gewählt])&gt;0)),ROW()-3)),"")</f>
        <v/>
      </c>
      <c r="Y66" s="2175" t="str">
        <f>IFERROR(INDEX(PFL_Schutz_Drop_Down56[noch nicht gewählt],_xlfn.AGGREGATE(15,6,ROW(PFL_Schutz_Drop_Down56[noch nicht gewählt])-3/(--(SEARCH($A$21,PFL_Schutz_Drop_Down56[noch nicht gewählt])&gt;0)),ROW()-3)),"")</f>
        <v/>
      </c>
      <c r="Z66" s="2200" t="str">
        <f>IFERROR(INDEX(PFL_Schutz_Drop_Down56[noch nicht gewählt],_xlfn.AGGREGATE(15,6,ROW(PFL_Schutz_Drop_Down56[noch nicht gewählt])-3/(--(SEARCH($A$23,PFL_Schutz_Drop_Down56[noch nicht gewählt])&gt;0)),ROW()-3)),"")</f>
        <v/>
      </c>
      <c r="AA66" s="2200" t="str">
        <f>IFERROR(INDEX(PFL_Schutz_Drop_Down56[noch nicht gewählt],_xlfn.AGGREGATE(15,6,ROW(PFL_Schutz_Drop_Down56[noch nicht gewählt])-3/(--(SEARCH($A$25,PFL_Schutz_Drop_Down56[noch nicht gewählt])&gt;0)),ROW()-3)),"")</f>
        <v/>
      </c>
      <c r="AB66" s="2200" t="str">
        <f>IFERROR(INDEX(PFL_Schutz_Drop_Down56[noch nicht gewählt],_xlfn.AGGREGATE(15,6,ROW(PFL_Schutz_Drop_Down56[noch nicht gewählt])-3/(--(SEARCH($A$27,PFL_Schutz_Drop_Down56[noch nicht gewählt])&gt;0)),ROW()-3)),"")</f>
        <v/>
      </c>
      <c r="AC66" s="2200" t="str">
        <f>IFERROR(INDEX(PFL_Schutz_Drop_Down56[noch nicht gewählt],_xlfn.AGGREGATE(15,6,ROW(PFL_Schutz_Drop_Down56[noch nicht gewählt])-3/(--(SEARCH($A$29,PFL_Schutz_Drop_Down56[noch nicht gewählt])&gt;0)),ROW()-3)),"")</f>
        <v/>
      </c>
      <c r="AD66" s="2200" t="str">
        <f>IFERROR(INDEX(PFL_Schutz_Drop_Down56[noch nicht gewählt],_xlfn.AGGREGATE(15,6,ROW(PFL_Schutz_Drop_Down56[noch nicht gewählt])-3/(--(SEARCH($A$31,PFL_Schutz_Drop_Down56[noch nicht gewählt])&gt;0)),ROW()-3)),"")</f>
        <v/>
      </c>
      <c r="AE66" s="2200" t="str">
        <f>IFERROR(INDEX(PFL_Schutz_Drop_Down56[noch nicht gewählt],_xlfn.AGGREGATE(15,6,ROW(PFL_Schutz_Drop_Down56[noch nicht gewählt])-3/(--(SEARCH($A$33,PFL_Schutz_Drop_Down56[noch nicht gewählt])&gt;0)),ROW()-3)),"")</f>
        <v/>
      </c>
      <c r="AF66" s="2200" t="str">
        <f>IFERROR(INDEX(PFL_Schutz_Drop_Down56[noch nicht gewählt],_xlfn.AGGREGATE(15,6,ROW(PFL_Schutz_Drop_Down56[noch nicht gewählt])-3/(--(SEARCH($A$35,PFL_Schutz_Drop_Down56[noch nicht gewählt])&gt;0)),ROW()-3)),"")</f>
        <v/>
      </c>
      <c r="AG66" s="2200" t="str">
        <f>IFERROR(INDEX(PFL_Schutz_Drop_Down56[noch nicht gewählt],_xlfn.AGGREGATE(15,6,ROW(PFL_Schutz_Drop_Down56[noch nicht gewählt])-3/(--(SEARCH($A$37,PFL_Schutz_Drop_Down56[noch nicht gewählt])&gt;0)),ROW()-3)),"")</f>
        <v/>
      </c>
      <c r="AH66" s="2200" t="str">
        <f>IFERROR(INDEX(PFL_Schutz_Drop_Down56[noch nicht gewählt],_xlfn.AGGREGATE(15,6,ROW(PFL_Schutz_Drop_Down56[noch nicht gewählt])-3/(--(SEARCH($A$39,PFL_Schutz_Drop_Down56[noch nicht gewählt])&gt;0)),ROW()-3)),"")</f>
        <v/>
      </c>
      <c r="AI66" s="2200" t="str">
        <f>IFERROR(INDEX(PFL_Schutz_Drop_Down56[noch nicht gewählt],_xlfn.AGGREGATE(15,6,ROW(PFL_Schutz_Drop_Down56[noch nicht gewählt])-3/(--(SEARCH($A$41,PFL_Schutz_Drop_Down56[noch nicht gewählt])&gt;0)),ROW()-3)),"")</f>
        <v/>
      </c>
      <c r="AJ66" s="2200" t="str">
        <f>IFERROR(INDEX(PFL_Schutz_Drop_Down56[noch nicht gewählt],_xlfn.AGGREGATE(15,6,ROW(PFL_Schutz_Drop_Down56[noch nicht gewählt])-3/(--(SEARCH($A$43,PFL_Schutz_Drop_Down56[noch nicht gewählt])&gt;0)),ROW()-3)),"")</f>
        <v/>
      </c>
      <c r="AK66" s="2200" t="str">
        <f>IFERROR(INDEX(PFL_Schutz_Drop_Down56[noch nicht gewählt],_xlfn.AGGREGATE(15,6,ROW(PFL_Schutz_Drop_Down56[noch nicht gewählt])-3/(--(SEARCH($A$45,PFL_Schutz_Drop_Down56[noch nicht gewählt])&gt;0)),ROW()-3)),"")</f>
        <v/>
      </c>
      <c r="AL66" s="2200" t="str">
        <f>IFERROR(INDEX(PFL_Schutz_Drop_Down56[noch nicht gewählt],_xlfn.AGGREGATE(15,6,ROW(PFL_Schutz_Drop_Down56[noch nicht gewählt])-3/(--(SEARCH($A$47,PFL_Schutz_Drop_Down56[noch nicht gewählt])&gt;0)),ROW()-3)),"")</f>
        <v/>
      </c>
      <c r="AM66" s="2200" t="str">
        <f>IFERROR(INDEX(PFL_Schutz_Drop_Down56[noch nicht gewählt],_xlfn.AGGREGATE(15,6,ROW(PFL_Schutz_Drop_Down56[noch nicht gewählt])-3/(--(SEARCH($A$49,PFL_Schutz_Drop_Down56[noch nicht gewählt])&gt;0)),ROW()-3)),"")</f>
        <v/>
      </c>
      <c r="AN66" s="2200" t="str">
        <f>IFERROR(INDEX(PFL_Schutz_Drop_Down56[noch nicht gewählt],_xlfn.AGGREGATE(15,6,ROW(PFL_Schutz_Drop_Down56[noch nicht gewählt])-3/(--(SEARCH($A$51,PFL_Schutz_Drop_Down56[noch nicht gewählt])&gt;0)),ROW()-3)),"")</f>
        <v/>
      </c>
      <c r="AO66" s="2200" t="str">
        <f>IFERROR(INDEX(PFL_Schutz_Drop_Down56[noch nicht gewählt],_xlfn.AGGREGATE(15,6,ROW(PFL_Schutz_Drop_Down56[noch nicht gewählt])-3/(--(SEARCH($A$53,PFL_Schutz_Drop_Down56[noch nicht gewählt])&gt;0)),ROW()-3)),"")</f>
        <v/>
      </c>
      <c r="AP66" s="2200" t="str">
        <f>IFERROR(INDEX(PFL_Schutz_Drop_Down56[noch nicht gewählt],_xlfn.AGGREGATE(15,6,ROW(PFL_Schutz_Drop_Down56[noch nicht gewählt])-3/(--(SEARCH($A$55,PFL_Schutz_Drop_Down56[noch nicht gewählt])&gt;0)),ROW()-3)),"")</f>
        <v/>
      </c>
      <c r="AQ66" s="2200" t="str">
        <f>IFERROR(INDEX(PFL_Schutz_Drop_Down56[noch nicht gewählt],_xlfn.AGGREGATE(15,6,ROW(PFL_Schutz_Drop_Down56[noch nicht gewählt])-3/(--(SEARCH($A$57,PFL_Schutz_Drop_Down56[noch nicht gewählt])&gt;0)),ROW()-3)),"")</f>
        <v/>
      </c>
      <c r="AR66" s="2200" t="str">
        <f>IFERROR(INDEX(PFL_Schutz_Drop_Down56[noch nicht gewählt],_xlfn.AGGREGATE(15,6,ROW(PFL_Schutz_Drop_Down56[noch nicht gewählt])-3/(--(SEARCH($A$59,PFL_Schutz_Drop_Down56[noch nicht gewählt])&gt;0)),ROW()-3)),"")</f>
        <v/>
      </c>
      <c r="AS66" s="2200" t="str">
        <f>IFERROR(INDEX(PFL_Schutz_Drop_Down56[noch nicht gewählt],_xlfn.AGGREGATE(15,6,ROW(PFL_Schutz_Drop_Down56[noch nicht gewählt])-3/(--(SEARCH($A$61,PFL_Schutz_Drop_Down56[noch nicht gewählt])&gt;0)),ROW()-3)),"")</f>
        <v/>
      </c>
      <c r="AT66" s="2200" t="str">
        <f>IFERROR(INDEX(PFL_Schutz_Drop_Down56[noch nicht gewählt],_xlfn.AGGREGATE(15,6,ROW(PFL_Schutz_Drop_Down56[noch nicht gewählt])-3/(--(SEARCH($A$63,PFL_Schutz_Drop_Down56[noch nicht gewählt])&gt;0)),ROW()-3)),"")</f>
        <v/>
      </c>
      <c r="AU66" s="2200" t="str">
        <f>IFERROR(INDEX(PFL_Schutz_Drop_Down56[noch nicht gewählt],_xlfn.AGGREGATE(15,6,ROW(PFL_Schutz_Drop_Down56[noch nicht gewählt])-3/(--(SEARCH($A$65,PFL_Schutz_Drop_Down56[noch nicht gewählt])&gt;0)),ROW()-3)),"")</f>
        <v/>
      </c>
      <c r="AV66" s="2200" t="str">
        <f>IFERROR(INDEX(PFL_Schutz_Drop_Down56[noch nicht gewählt],_xlfn.AGGREGATE(15,6,ROW(PFL_Schutz_Drop_Down56[noch nicht gewählt])-3/(--(SEARCH($A$67,PFL_Schutz_Drop_Down56[noch nicht gewählt])&gt;0)),ROW()-3)),"")</f>
        <v/>
      </c>
      <c r="AW66" s="2200" t="str">
        <f>IFERROR(INDEX(PFL_Schutz_Drop_Down56[noch nicht gewählt],_xlfn.AGGREGATE(15,6,ROW(PFL_Schutz_Drop_Down56[noch nicht gewählt])-3/(--(SEARCH($A$69,PFL_Schutz_Drop_Down56[noch nicht gewählt])&gt;0)),ROW()-3)),"")</f>
        <v/>
      </c>
      <c r="AX66" s="2200" t="str">
        <f>IFERROR(INDEX(PFL_Schutz_Drop_Down56[noch nicht gewählt],_xlfn.AGGREGATE(15,6,ROW(PFL_Schutz_Drop_Down56[noch nicht gewählt])-3/(--(SEARCH($A$71,PFL_Schutz_Drop_Down56[noch nicht gewählt])&gt;0)),ROW()-3)),"")</f>
        <v/>
      </c>
      <c r="AY66" s="2200" t="str">
        <f>IFERROR(INDEX(PFL_Schutz_Drop_Down56[noch nicht gewählt],_xlfn.AGGREGATE(15,6,ROW(PFL_Schutz_Drop_Down56[noch nicht gewählt])-3/(--(SEARCH($A$73,PFL_Schutz_Drop_Down56[noch nicht gewählt])&gt;0)),ROW()-3)),"")</f>
        <v/>
      </c>
      <c r="AZ66" s="2201" t="str">
        <f>IFERROR(INDEX(PFL_Schutz_Drop_Down56[noch nicht gewählt],_xlfn.AGGREGATE(15,6,ROW(PFL_Schutz_Drop_Down56[noch nicht gewählt])-3/(--(SEARCH($A$75,PFL_Schutz_Drop_Down56[noch nicht gewählt])&gt;0)),ROW()-3)),"")</f>
        <v/>
      </c>
    </row>
    <row r="67" spans="1:52" ht="19.5" customHeight="1">
      <c r="A67" s="3098"/>
      <c r="B67" s="3102"/>
      <c r="C67" s="3102"/>
      <c r="D67" s="3087">
        <f>SUMIF(Pfl_Schutz!$E$4:$E$77,A67,Pfl_Schutz!$H$4:$H$77)</f>
        <v>0</v>
      </c>
      <c r="E67" s="3089" t="str">
        <f t="shared" ref="E67" si="45">IF(SUM(B67:C68)=0,"",IF(F67&lt;0,"negativer Lagerstand nicht möglich - überprüfen Sie die Eingabewerte auf Vollständigkeit",IF(F67=0,"Produkt aufgebraucht, Lagerstand 0",F67)))</f>
        <v/>
      </c>
      <c r="F67" s="3091">
        <f t="shared" ref="F67" si="46">IF(SUM(B67:C68)&gt;0,IF(ISBLANK(A67),"",B67+C67-D67),0)</f>
        <v>0</v>
      </c>
      <c r="G67" s="3095"/>
      <c r="H67" s="3096"/>
      <c r="I67" s="3097"/>
      <c r="R67" s="2195">
        <f>Pfl_Schutz!E67</f>
        <v>0</v>
      </c>
      <c r="S67" s="2202">
        <f>COUNTIF($R$4:PFL_Schutz_Drop_Down56[[#This Row],[Produktname]],PFL_Schutz_Drop_Down56[[#This Row],[Produktname]])</f>
        <v>64</v>
      </c>
      <c r="T67" s="2203" t="str">
        <f>IFERROR(INDEX(R:R,_xlfn.AGGREGATE(15,6,ROW(PFL_Schutz_Drop_Down56[Produktname])/(PFL_Schutz_Drop_Down56[Auftretend]=1),ROW()-3)),"")</f>
        <v/>
      </c>
      <c r="U67" s="2198" t="str">
        <f>IF(COUNTIF($A$17:$A$76,PFL_Schutz_Drop_Down56[[#This Row],[Produktname eindeutig]])&gt;=1,"",ROW())</f>
        <v/>
      </c>
      <c r="V67" s="2198" t="str">
        <f t="shared" si="0"/>
        <v/>
      </c>
      <c r="W67" s="2199" t="str">
        <f>IFERROR(INDEX(PFL_Schutz_Drop_Down56[noch nicht gewählt],_xlfn.AGGREGATE(15,6,ROW(PFL_Schutz_Drop_Down56[noch nicht gewählt])-3/(--(SEARCH($A$17,PFL_Schutz_Drop_Down56[noch nicht gewählt])&gt;0)),ROW()-3)),"")</f>
        <v/>
      </c>
      <c r="X67" s="2175" t="str">
        <f>IFERROR(INDEX(PFL_Schutz_Drop_Down56[noch nicht gewählt],_xlfn.AGGREGATE(15,6,ROW(PFL_Schutz_Drop_Down56[noch nicht gewählt])-3/(--(SEARCH($A$19,PFL_Schutz_Drop_Down56[noch nicht gewählt])&gt;0)),ROW()-3)),"")</f>
        <v/>
      </c>
      <c r="Y67" s="2175" t="str">
        <f>IFERROR(INDEX(PFL_Schutz_Drop_Down56[noch nicht gewählt],_xlfn.AGGREGATE(15,6,ROW(PFL_Schutz_Drop_Down56[noch nicht gewählt])-3/(--(SEARCH($A$21,PFL_Schutz_Drop_Down56[noch nicht gewählt])&gt;0)),ROW()-3)),"")</f>
        <v/>
      </c>
      <c r="Z67" s="2200" t="str">
        <f>IFERROR(INDEX(PFL_Schutz_Drop_Down56[noch nicht gewählt],_xlfn.AGGREGATE(15,6,ROW(PFL_Schutz_Drop_Down56[noch nicht gewählt])-3/(--(SEARCH($A$23,PFL_Schutz_Drop_Down56[noch nicht gewählt])&gt;0)),ROW()-3)),"")</f>
        <v/>
      </c>
      <c r="AA67" s="2200" t="str">
        <f>IFERROR(INDEX(PFL_Schutz_Drop_Down56[noch nicht gewählt],_xlfn.AGGREGATE(15,6,ROW(PFL_Schutz_Drop_Down56[noch nicht gewählt])-3/(--(SEARCH($A$25,PFL_Schutz_Drop_Down56[noch nicht gewählt])&gt;0)),ROW()-3)),"")</f>
        <v/>
      </c>
      <c r="AB67" s="2200" t="str">
        <f>IFERROR(INDEX(PFL_Schutz_Drop_Down56[noch nicht gewählt],_xlfn.AGGREGATE(15,6,ROW(PFL_Schutz_Drop_Down56[noch nicht gewählt])-3/(--(SEARCH($A$27,PFL_Schutz_Drop_Down56[noch nicht gewählt])&gt;0)),ROW()-3)),"")</f>
        <v/>
      </c>
      <c r="AC67" s="2200" t="str">
        <f>IFERROR(INDEX(PFL_Schutz_Drop_Down56[noch nicht gewählt],_xlfn.AGGREGATE(15,6,ROW(PFL_Schutz_Drop_Down56[noch nicht gewählt])-3/(--(SEARCH($A$29,PFL_Schutz_Drop_Down56[noch nicht gewählt])&gt;0)),ROW()-3)),"")</f>
        <v/>
      </c>
      <c r="AD67" s="2200" t="str">
        <f>IFERROR(INDEX(PFL_Schutz_Drop_Down56[noch nicht gewählt],_xlfn.AGGREGATE(15,6,ROW(PFL_Schutz_Drop_Down56[noch nicht gewählt])-3/(--(SEARCH($A$31,PFL_Schutz_Drop_Down56[noch nicht gewählt])&gt;0)),ROW()-3)),"")</f>
        <v/>
      </c>
      <c r="AE67" s="2200" t="str">
        <f>IFERROR(INDEX(PFL_Schutz_Drop_Down56[noch nicht gewählt],_xlfn.AGGREGATE(15,6,ROW(PFL_Schutz_Drop_Down56[noch nicht gewählt])-3/(--(SEARCH($A$33,PFL_Schutz_Drop_Down56[noch nicht gewählt])&gt;0)),ROW()-3)),"")</f>
        <v/>
      </c>
      <c r="AF67" s="2200" t="str">
        <f>IFERROR(INDEX(PFL_Schutz_Drop_Down56[noch nicht gewählt],_xlfn.AGGREGATE(15,6,ROW(PFL_Schutz_Drop_Down56[noch nicht gewählt])-3/(--(SEARCH($A$35,PFL_Schutz_Drop_Down56[noch nicht gewählt])&gt;0)),ROW()-3)),"")</f>
        <v/>
      </c>
      <c r="AG67" s="2200" t="str">
        <f>IFERROR(INDEX(PFL_Schutz_Drop_Down56[noch nicht gewählt],_xlfn.AGGREGATE(15,6,ROW(PFL_Schutz_Drop_Down56[noch nicht gewählt])-3/(--(SEARCH($A$37,PFL_Schutz_Drop_Down56[noch nicht gewählt])&gt;0)),ROW()-3)),"")</f>
        <v/>
      </c>
      <c r="AH67" s="2200" t="str">
        <f>IFERROR(INDEX(PFL_Schutz_Drop_Down56[noch nicht gewählt],_xlfn.AGGREGATE(15,6,ROW(PFL_Schutz_Drop_Down56[noch nicht gewählt])-3/(--(SEARCH($A$39,PFL_Schutz_Drop_Down56[noch nicht gewählt])&gt;0)),ROW()-3)),"")</f>
        <v/>
      </c>
      <c r="AI67" s="2200" t="str">
        <f>IFERROR(INDEX(PFL_Schutz_Drop_Down56[noch nicht gewählt],_xlfn.AGGREGATE(15,6,ROW(PFL_Schutz_Drop_Down56[noch nicht gewählt])-3/(--(SEARCH($A$41,PFL_Schutz_Drop_Down56[noch nicht gewählt])&gt;0)),ROW()-3)),"")</f>
        <v/>
      </c>
      <c r="AJ67" s="2200" t="str">
        <f>IFERROR(INDEX(PFL_Schutz_Drop_Down56[noch nicht gewählt],_xlfn.AGGREGATE(15,6,ROW(PFL_Schutz_Drop_Down56[noch nicht gewählt])-3/(--(SEARCH($A$43,PFL_Schutz_Drop_Down56[noch nicht gewählt])&gt;0)),ROW()-3)),"")</f>
        <v/>
      </c>
      <c r="AK67" s="2200" t="str">
        <f>IFERROR(INDEX(PFL_Schutz_Drop_Down56[noch nicht gewählt],_xlfn.AGGREGATE(15,6,ROW(PFL_Schutz_Drop_Down56[noch nicht gewählt])-3/(--(SEARCH($A$45,PFL_Schutz_Drop_Down56[noch nicht gewählt])&gt;0)),ROW()-3)),"")</f>
        <v/>
      </c>
      <c r="AL67" s="2200" t="str">
        <f>IFERROR(INDEX(PFL_Schutz_Drop_Down56[noch nicht gewählt],_xlfn.AGGREGATE(15,6,ROW(PFL_Schutz_Drop_Down56[noch nicht gewählt])-3/(--(SEARCH($A$47,PFL_Schutz_Drop_Down56[noch nicht gewählt])&gt;0)),ROW()-3)),"")</f>
        <v/>
      </c>
      <c r="AM67" s="2200" t="str">
        <f>IFERROR(INDEX(PFL_Schutz_Drop_Down56[noch nicht gewählt],_xlfn.AGGREGATE(15,6,ROW(PFL_Schutz_Drop_Down56[noch nicht gewählt])-3/(--(SEARCH($A$49,PFL_Schutz_Drop_Down56[noch nicht gewählt])&gt;0)),ROW()-3)),"")</f>
        <v/>
      </c>
      <c r="AN67" s="2200" t="str">
        <f>IFERROR(INDEX(PFL_Schutz_Drop_Down56[noch nicht gewählt],_xlfn.AGGREGATE(15,6,ROW(PFL_Schutz_Drop_Down56[noch nicht gewählt])-3/(--(SEARCH($A$51,PFL_Schutz_Drop_Down56[noch nicht gewählt])&gt;0)),ROW()-3)),"")</f>
        <v/>
      </c>
      <c r="AO67" s="2200" t="str">
        <f>IFERROR(INDEX(PFL_Schutz_Drop_Down56[noch nicht gewählt],_xlfn.AGGREGATE(15,6,ROW(PFL_Schutz_Drop_Down56[noch nicht gewählt])-3/(--(SEARCH($A$53,PFL_Schutz_Drop_Down56[noch nicht gewählt])&gt;0)),ROW()-3)),"")</f>
        <v/>
      </c>
      <c r="AP67" s="2200" t="str">
        <f>IFERROR(INDEX(PFL_Schutz_Drop_Down56[noch nicht gewählt],_xlfn.AGGREGATE(15,6,ROW(PFL_Schutz_Drop_Down56[noch nicht gewählt])-3/(--(SEARCH($A$55,PFL_Schutz_Drop_Down56[noch nicht gewählt])&gt;0)),ROW()-3)),"")</f>
        <v/>
      </c>
      <c r="AQ67" s="2200" t="str">
        <f>IFERROR(INDEX(PFL_Schutz_Drop_Down56[noch nicht gewählt],_xlfn.AGGREGATE(15,6,ROW(PFL_Schutz_Drop_Down56[noch nicht gewählt])-3/(--(SEARCH($A$57,PFL_Schutz_Drop_Down56[noch nicht gewählt])&gt;0)),ROW()-3)),"")</f>
        <v/>
      </c>
      <c r="AR67" s="2200" t="str">
        <f>IFERROR(INDEX(PFL_Schutz_Drop_Down56[noch nicht gewählt],_xlfn.AGGREGATE(15,6,ROW(PFL_Schutz_Drop_Down56[noch nicht gewählt])-3/(--(SEARCH($A$59,PFL_Schutz_Drop_Down56[noch nicht gewählt])&gt;0)),ROW()-3)),"")</f>
        <v/>
      </c>
      <c r="AS67" s="2200" t="str">
        <f>IFERROR(INDEX(PFL_Schutz_Drop_Down56[noch nicht gewählt],_xlfn.AGGREGATE(15,6,ROW(PFL_Schutz_Drop_Down56[noch nicht gewählt])-3/(--(SEARCH($A$61,PFL_Schutz_Drop_Down56[noch nicht gewählt])&gt;0)),ROW()-3)),"")</f>
        <v/>
      </c>
      <c r="AT67" s="2200" t="str">
        <f>IFERROR(INDEX(PFL_Schutz_Drop_Down56[noch nicht gewählt],_xlfn.AGGREGATE(15,6,ROW(PFL_Schutz_Drop_Down56[noch nicht gewählt])-3/(--(SEARCH($A$63,PFL_Schutz_Drop_Down56[noch nicht gewählt])&gt;0)),ROW()-3)),"")</f>
        <v/>
      </c>
      <c r="AU67" s="2200" t="str">
        <f>IFERROR(INDEX(PFL_Schutz_Drop_Down56[noch nicht gewählt],_xlfn.AGGREGATE(15,6,ROW(PFL_Schutz_Drop_Down56[noch nicht gewählt])-3/(--(SEARCH($A$65,PFL_Schutz_Drop_Down56[noch nicht gewählt])&gt;0)),ROW()-3)),"")</f>
        <v/>
      </c>
      <c r="AV67" s="2200" t="str">
        <f>IFERROR(INDEX(PFL_Schutz_Drop_Down56[noch nicht gewählt],_xlfn.AGGREGATE(15,6,ROW(PFL_Schutz_Drop_Down56[noch nicht gewählt])-3/(--(SEARCH($A$67,PFL_Schutz_Drop_Down56[noch nicht gewählt])&gt;0)),ROW()-3)),"")</f>
        <v/>
      </c>
      <c r="AW67" s="2200" t="str">
        <f>IFERROR(INDEX(PFL_Schutz_Drop_Down56[noch nicht gewählt],_xlfn.AGGREGATE(15,6,ROW(PFL_Schutz_Drop_Down56[noch nicht gewählt])-3/(--(SEARCH($A$69,PFL_Schutz_Drop_Down56[noch nicht gewählt])&gt;0)),ROW()-3)),"")</f>
        <v/>
      </c>
      <c r="AX67" s="2200" t="str">
        <f>IFERROR(INDEX(PFL_Schutz_Drop_Down56[noch nicht gewählt],_xlfn.AGGREGATE(15,6,ROW(PFL_Schutz_Drop_Down56[noch nicht gewählt])-3/(--(SEARCH($A$71,PFL_Schutz_Drop_Down56[noch nicht gewählt])&gt;0)),ROW()-3)),"")</f>
        <v/>
      </c>
      <c r="AY67" s="2200" t="str">
        <f>IFERROR(INDEX(PFL_Schutz_Drop_Down56[noch nicht gewählt],_xlfn.AGGREGATE(15,6,ROW(PFL_Schutz_Drop_Down56[noch nicht gewählt])-3/(--(SEARCH($A$73,PFL_Schutz_Drop_Down56[noch nicht gewählt])&gt;0)),ROW()-3)),"")</f>
        <v/>
      </c>
      <c r="AZ67" s="2201" t="str">
        <f>IFERROR(INDEX(PFL_Schutz_Drop_Down56[noch nicht gewählt],_xlfn.AGGREGATE(15,6,ROW(PFL_Schutz_Drop_Down56[noch nicht gewählt])-3/(--(SEARCH($A$75,PFL_Schutz_Drop_Down56[noch nicht gewählt])&gt;0)),ROW()-3)),"")</f>
        <v/>
      </c>
    </row>
    <row r="68" spans="1:52" ht="19.5" customHeight="1">
      <c r="A68" s="3104"/>
      <c r="B68" s="3103"/>
      <c r="C68" s="3103"/>
      <c r="D68" s="3087"/>
      <c r="E68" s="3089"/>
      <c r="F68" s="3091"/>
      <c r="G68" s="3095"/>
      <c r="H68" s="3096"/>
      <c r="I68" s="3097"/>
      <c r="R68" s="2195">
        <f>Pfl_Schutz!E68</f>
        <v>0</v>
      </c>
      <c r="S68" s="2202">
        <f>COUNTIF($R$4:PFL_Schutz_Drop_Down56[[#This Row],[Produktname]],PFL_Schutz_Drop_Down56[[#This Row],[Produktname]])</f>
        <v>65</v>
      </c>
      <c r="T68" s="2203" t="str">
        <f>IFERROR(INDEX(R:R,_xlfn.AGGREGATE(15,6,ROW(PFL_Schutz_Drop_Down56[Produktname])/(PFL_Schutz_Drop_Down56[Auftretend]=1),ROW()-3)),"")</f>
        <v/>
      </c>
      <c r="U68" s="2198" t="str">
        <f>IF(COUNTIF($A$17:$A$76,PFL_Schutz_Drop_Down56[[#This Row],[Produktname eindeutig]])&gt;=1,"",ROW())</f>
        <v/>
      </c>
      <c r="V68" s="2198" t="str">
        <f t="shared" ref="V68:V77" si="47">IF(ROW(T68)-ROW(T$4)+1&gt;COUNT($U$4:$U$77),"",INDEX(T:T,SMALL($U$4:$U$77,1+ROW(T68)-ROW($T$4))))</f>
        <v/>
      </c>
      <c r="W68" s="2199" t="str">
        <f>IFERROR(INDEX(PFL_Schutz_Drop_Down56[noch nicht gewählt],_xlfn.AGGREGATE(15,6,ROW(PFL_Schutz_Drop_Down56[noch nicht gewählt])-3/(--(SEARCH($A$17,PFL_Schutz_Drop_Down56[noch nicht gewählt])&gt;0)),ROW()-3)),"")</f>
        <v/>
      </c>
      <c r="X68" s="2175" t="str">
        <f>IFERROR(INDEX(PFL_Schutz_Drop_Down56[noch nicht gewählt],_xlfn.AGGREGATE(15,6,ROW(PFL_Schutz_Drop_Down56[noch nicht gewählt])-3/(--(SEARCH($A$19,PFL_Schutz_Drop_Down56[noch nicht gewählt])&gt;0)),ROW()-3)),"")</f>
        <v/>
      </c>
      <c r="Y68" s="2175" t="str">
        <f>IFERROR(INDEX(PFL_Schutz_Drop_Down56[noch nicht gewählt],_xlfn.AGGREGATE(15,6,ROW(PFL_Schutz_Drop_Down56[noch nicht gewählt])-3/(--(SEARCH($A$21,PFL_Schutz_Drop_Down56[noch nicht gewählt])&gt;0)),ROW()-3)),"")</f>
        <v/>
      </c>
      <c r="Z68" s="2200" t="str">
        <f>IFERROR(INDEX(PFL_Schutz_Drop_Down56[noch nicht gewählt],_xlfn.AGGREGATE(15,6,ROW(PFL_Schutz_Drop_Down56[noch nicht gewählt])-3/(--(SEARCH($A$23,PFL_Schutz_Drop_Down56[noch nicht gewählt])&gt;0)),ROW()-3)),"")</f>
        <v/>
      </c>
      <c r="AA68" s="2200" t="str">
        <f>IFERROR(INDEX(PFL_Schutz_Drop_Down56[noch nicht gewählt],_xlfn.AGGREGATE(15,6,ROW(PFL_Schutz_Drop_Down56[noch nicht gewählt])-3/(--(SEARCH($A$25,PFL_Schutz_Drop_Down56[noch nicht gewählt])&gt;0)),ROW()-3)),"")</f>
        <v/>
      </c>
      <c r="AB68" s="2200" t="str">
        <f>IFERROR(INDEX(PFL_Schutz_Drop_Down56[noch nicht gewählt],_xlfn.AGGREGATE(15,6,ROW(PFL_Schutz_Drop_Down56[noch nicht gewählt])-3/(--(SEARCH($A$27,PFL_Schutz_Drop_Down56[noch nicht gewählt])&gt;0)),ROW()-3)),"")</f>
        <v/>
      </c>
      <c r="AC68" s="2200" t="str">
        <f>IFERROR(INDEX(PFL_Schutz_Drop_Down56[noch nicht gewählt],_xlfn.AGGREGATE(15,6,ROW(PFL_Schutz_Drop_Down56[noch nicht gewählt])-3/(--(SEARCH($A$29,PFL_Schutz_Drop_Down56[noch nicht gewählt])&gt;0)),ROW()-3)),"")</f>
        <v/>
      </c>
      <c r="AD68" s="2200" t="str">
        <f>IFERROR(INDEX(PFL_Schutz_Drop_Down56[noch nicht gewählt],_xlfn.AGGREGATE(15,6,ROW(PFL_Schutz_Drop_Down56[noch nicht gewählt])-3/(--(SEARCH($A$31,PFL_Schutz_Drop_Down56[noch nicht gewählt])&gt;0)),ROW()-3)),"")</f>
        <v/>
      </c>
      <c r="AE68" s="2200" t="str">
        <f>IFERROR(INDEX(PFL_Schutz_Drop_Down56[noch nicht gewählt],_xlfn.AGGREGATE(15,6,ROW(PFL_Schutz_Drop_Down56[noch nicht gewählt])-3/(--(SEARCH($A$33,PFL_Schutz_Drop_Down56[noch nicht gewählt])&gt;0)),ROW()-3)),"")</f>
        <v/>
      </c>
      <c r="AF68" s="2200" t="str">
        <f>IFERROR(INDEX(PFL_Schutz_Drop_Down56[noch nicht gewählt],_xlfn.AGGREGATE(15,6,ROW(PFL_Schutz_Drop_Down56[noch nicht gewählt])-3/(--(SEARCH($A$35,PFL_Schutz_Drop_Down56[noch nicht gewählt])&gt;0)),ROW()-3)),"")</f>
        <v/>
      </c>
      <c r="AG68" s="2200" t="str">
        <f>IFERROR(INDEX(PFL_Schutz_Drop_Down56[noch nicht gewählt],_xlfn.AGGREGATE(15,6,ROW(PFL_Schutz_Drop_Down56[noch nicht gewählt])-3/(--(SEARCH($A$37,PFL_Schutz_Drop_Down56[noch nicht gewählt])&gt;0)),ROW()-3)),"")</f>
        <v/>
      </c>
      <c r="AH68" s="2200" t="str">
        <f>IFERROR(INDEX(PFL_Schutz_Drop_Down56[noch nicht gewählt],_xlfn.AGGREGATE(15,6,ROW(PFL_Schutz_Drop_Down56[noch nicht gewählt])-3/(--(SEARCH($A$39,PFL_Schutz_Drop_Down56[noch nicht gewählt])&gt;0)),ROW()-3)),"")</f>
        <v/>
      </c>
      <c r="AI68" s="2200" t="str">
        <f>IFERROR(INDEX(PFL_Schutz_Drop_Down56[noch nicht gewählt],_xlfn.AGGREGATE(15,6,ROW(PFL_Schutz_Drop_Down56[noch nicht gewählt])-3/(--(SEARCH($A$41,PFL_Schutz_Drop_Down56[noch nicht gewählt])&gt;0)),ROW()-3)),"")</f>
        <v/>
      </c>
      <c r="AJ68" s="2200" t="str">
        <f>IFERROR(INDEX(PFL_Schutz_Drop_Down56[noch nicht gewählt],_xlfn.AGGREGATE(15,6,ROW(PFL_Schutz_Drop_Down56[noch nicht gewählt])-3/(--(SEARCH($A$43,PFL_Schutz_Drop_Down56[noch nicht gewählt])&gt;0)),ROW()-3)),"")</f>
        <v/>
      </c>
      <c r="AK68" s="2200" t="str">
        <f>IFERROR(INDEX(PFL_Schutz_Drop_Down56[noch nicht gewählt],_xlfn.AGGREGATE(15,6,ROW(PFL_Schutz_Drop_Down56[noch nicht gewählt])-3/(--(SEARCH($A$45,PFL_Schutz_Drop_Down56[noch nicht gewählt])&gt;0)),ROW()-3)),"")</f>
        <v/>
      </c>
      <c r="AL68" s="2200" t="str">
        <f>IFERROR(INDEX(PFL_Schutz_Drop_Down56[noch nicht gewählt],_xlfn.AGGREGATE(15,6,ROW(PFL_Schutz_Drop_Down56[noch nicht gewählt])-3/(--(SEARCH($A$47,PFL_Schutz_Drop_Down56[noch nicht gewählt])&gt;0)),ROW()-3)),"")</f>
        <v/>
      </c>
      <c r="AM68" s="2200" t="str">
        <f>IFERROR(INDEX(PFL_Schutz_Drop_Down56[noch nicht gewählt],_xlfn.AGGREGATE(15,6,ROW(PFL_Schutz_Drop_Down56[noch nicht gewählt])-3/(--(SEARCH($A$49,PFL_Schutz_Drop_Down56[noch nicht gewählt])&gt;0)),ROW()-3)),"")</f>
        <v/>
      </c>
      <c r="AN68" s="2200" t="str">
        <f>IFERROR(INDEX(PFL_Schutz_Drop_Down56[noch nicht gewählt],_xlfn.AGGREGATE(15,6,ROW(PFL_Schutz_Drop_Down56[noch nicht gewählt])-3/(--(SEARCH($A$51,PFL_Schutz_Drop_Down56[noch nicht gewählt])&gt;0)),ROW()-3)),"")</f>
        <v/>
      </c>
      <c r="AO68" s="2200" t="str">
        <f>IFERROR(INDEX(PFL_Schutz_Drop_Down56[noch nicht gewählt],_xlfn.AGGREGATE(15,6,ROW(PFL_Schutz_Drop_Down56[noch nicht gewählt])-3/(--(SEARCH($A$53,PFL_Schutz_Drop_Down56[noch nicht gewählt])&gt;0)),ROW()-3)),"")</f>
        <v/>
      </c>
      <c r="AP68" s="2200" t="str">
        <f>IFERROR(INDEX(PFL_Schutz_Drop_Down56[noch nicht gewählt],_xlfn.AGGREGATE(15,6,ROW(PFL_Schutz_Drop_Down56[noch nicht gewählt])-3/(--(SEARCH($A$55,PFL_Schutz_Drop_Down56[noch nicht gewählt])&gt;0)),ROW()-3)),"")</f>
        <v/>
      </c>
      <c r="AQ68" s="2200" t="str">
        <f>IFERROR(INDEX(PFL_Schutz_Drop_Down56[noch nicht gewählt],_xlfn.AGGREGATE(15,6,ROW(PFL_Schutz_Drop_Down56[noch nicht gewählt])-3/(--(SEARCH($A$57,PFL_Schutz_Drop_Down56[noch nicht gewählt])&gt;0)),ROW()-3)),"")</f>
        <v/>
      </c>
      <c r="AR68" s="2200" t="str">
        <f>IFERROR(INDEX(PFL_Schutz_Drop_Down56[noch nicht gewählt],_xlfn.AGGREGATE(15,6,ROW(PFL_Schutz_Drop_Down56[noch nicht gewählt])-3/(--(SEARCH($A$59,PFL_Schutz_Drop_Down56[noch nicht gewählt])&gt;0)),ROW()-3)),"")</f>
        <v/>
      </c>
      <c r="AS68" s="2200" t="str">
        <f>IFERROR(INDEX(PFL_Schutz_Drop_Down56[noch nicht gewählt],_xlfn.AGGREGATE(15,6,ROW(PFL_Schutz_Drop_Down56[noch nicht gewählt])-3/(--(SEARCH($A$61,PFL_Schutz_Drop_Down56[noch nicht gewählt])&gt;0)),ROW()-3)),"")</f>
        <v/>
      </c>
      <c r="AT68" s="2200" t="str">
        <f>IFERROR(INDEX(PFL_Schutz_Drop_Down56[noch nicht gewählt],_xlfn.AGGREGATE(15,6,ROW(PFL_Schutz_Drop_Down56[noch nicht gewählt])-3/(--(SEARCH($A$63,PFL_Schutz_Drop_Down56[noch nicht gewählt])&gt;0)),ROW()-3)),"")</f>
        <v/>
      </c>
      <c r="AU68" s="2200" t="str">
        <f>IFERROR(INDEX(PFL_Schutz_Drop_Down56[noch nicht gewählt],_xlfn.AGGREGATE(15,6,ROW(PFL_Schutz_Drop_Down56[noch nicht gewählt])-3/(--(SEARCH($A$65,PFL_Schutz_Drop_Down56[noch nicht gewählt])&gt;0)),ROW()-3)),"")</f>
        <v/>
      </c>
      <c r="AV68" s="2200" t="str">
        <f>IFERROR(INDEX(PFL_Schutz_Drop_Down56[noch nicht gewählt],_xlfn.AGGREGATE(15,6,ROW(PFL_Schutz_Drop_Down56[noch nicht gewählt])-3/(--(SEARCH($A$67,PFL_Schutz_Drop_Down56[noch nicht gewählt])&gt;0)),ROW()-3)),"")</f>
        <v/>
      </c>
      <c r="AW68" s="2200" t="str">
        <f>IFERROR(INDEX(PFL_Schutz_Drop_Down56[noch nicht gewählt],_xlfn.AGGREGATE(15,6,ROW(PFL_Schutz_Drop_Down56[noch nicht gewählt])-3/(--(SEARCH($A$69,PFL_Schutz_Drop_Down56[noch nicht gewählt])&gt;0)),ROW()-3)),"")</f>
        <v/>
      </c>
      <c r="AX68" s="2200" t="str">
        <f>IFERROR(INDEX(PFL_Schutz_Drop_Down56[noch nicht gewählt],_xlfn.AGGREGATE(15,6,ROW(PFL_Schutz_Drop_Down56[noch nicht gewählt])-3/(--(SEARCH($A$71,PFL_Schutz_Drop_Down56[noch nicht gewählt])&gt;0)),ROW()-3)),"")</f>
        <v/>
      </c>
      <c r="AY68" s="2200" t="str">
        <f>IFERROR(INDEX(PFL_Schutz_Drop_Down56[noch nicht gewählt],_xlfn.AGGREGATE(15,6,ROW(PFL_Schutz_Drop_Down56[noch nicht gewählt])-3/(--(SEARCH($A$73,PFL_Schutz_Drop_Down56[noch nicht gewählt])&gt;0)),ROW()-3)),"")</f>
        <v/>
      </c>
      <c r="AZ68" s="2201" t="str">
        <f>IFERROR(INDEX(PFL_Schutz_Drop_Down56[noch nicht gewählt],_xlfn.AGGREGATE(15,6,ROW(PFL_Schutz_Drop_Down56[noch nicht gewählt])-3/(--(SEARCH($A$75,PFL_Schutz_Drop_Down56[noch nicht gewählt])&gt;0)),ROW()-3)),"")</f>
        <v/>
      </c>
    </row>
    <row r="69" spans="1:52" ht="19.5" customHeight="1">
      <c r="A69" s="3098"/>
      <c r="B69" s="3102"/>
      <c r="C69" s="3102"/>
      <c r="D69" s="3087">
        <f>SUMIF(Pfl_Schutz!$E$4:$E$77,A69,Pfl_Schutz!$H$4:$H$77)</f>
        <v>0</v>
      </c>
      <c r="E69" s="3089" t="str">
        <f t="shared" ref="E69" si="48">IF(SUM(B69:C70)=0,"",IF(F69&lt;0,"negativer Lagerstand nicht möglich - überprüfen Sie die Eingabewerte auf Vollständigkeit",IF(F69=0,"Produkt aufgebraucht, Lagerstand 0",F69)))</f>
        <v/>
      </c>
      <c r="F69" s="3091">
        <f t="shared" ref="F69" si="49">IF(SUM(B69:C70)&gt;0,IF(ISBLANK(A69),"",B69+C69-D69),0)</f>
        <v>0</v>
      </c>
      <c r="G69" s="3095"/>
      <c r="H69" s="3096"/>
      <c r="I69" s="3097"/>
      <c r="R69" s="2195">
        <f>Pfl_Schutz!E69</f>
        <v>0</v>
      </c>
      <c r="S69" s="2202">
        <f>COUNTIF($R$4:PFL_Schutz_Drop_Down56[[#This Row],[Produktname]],PFL_Schutz_Drop_Down56[[#This Row],[Produktname]])</f>
        <v>66</v>
      </c>
      <c r="T69" s="2203" t="str">
        <f>IFERROR(INDEX(R:R,_xlfn.AGGREGATE(15,6,ROW(PFL_Schutz_Drop_Down56[Produktname])/(PFL_Schutz_Drop_Down56[Auftretend]=1),ROW()-3)),"")</f>
        <v/>
      </c>
      <c r="U69" s="2198" t="str">
        <f>IF(COUNTIF($A$17:$A$76,PFL_Schutz_Drop_Down56[[#This Row],[Produktname eindeutig]])&gt;=1,"",ROW())</f>
        <v/>
      </c>
      <c r="V69" s="2198" t="str">
        <f t="shared" si="47"/>
        <v/>
      </c>
      <c r="W69" s="2199" t="str">
        <f>IFERROR(INDEX(PFL_Schutz_Drop_Down56[noch nicht gewählt],_xlfn.AGGREGATE(15,6,ROW(PFL_Schutz_Drop_Down56[noch nicht gewählt])-3/(--(SEARCH($A$17,PFL_Schutz_Drop_Down56[noch nicht gewählt])&gt;0)),ROW()-3)),"")</f>
        <v/>
      </c>
      <c r="X69" s="2175" t="str">
        <f>IFERROR(INDEX(PFL_Schutz_Drop_Down56[noch nicht gewählt],_xlfn.AGGREGATE(15,6,ROW(PFL_Schutz_Drop_Down56[noch nicht gewählt])-3/(--(SEARCH($A$19,PFL_Schutz_Drop_Down56[noch nicht gewählt])&gt;0)),ROW()-3)),"")</f>
        <v/>
      </c>
      <c r="Y69" s="2175" t="str">
        <f>IFERROR(INDEX(PFL_Schutz_Drop_Down56[noch nicht gewählt],_xlfn.AGGREGATE(15,6,ROW(PFL_Schutz_Drop_Down56[noch nicht gewählt])-3/(--(SEARCH($A$21,PFL_Schutz_Drop_Down56[noch nicht gewählt])&gt;0)),ROW()-3)),"")</f>
        <v/>
      </c>
      <c r="Z69" s="2200" t="str">
        <f>IFERROR(INDEX(PFL_Schutz_Drop_Down56[noch nicht gewählt],_xlfn.AGGREGATE(15,6,ROW(PFL_Schutz_Drop_Down56[noch nicht gewählt])-3/(--(SEARCH($A$23,PFL_Schutz_Drop_Down56[noch nicht gewählt])&gt;0)),ROW()-3)),"")</f>
        <v/>
      </c>
      <c r="AA69" s="2200" t="str">
        <f>IFERROR(INDEX(PFL_Schutz_Drop_Down56[noch nicht gewählt],_xlfn.AGGREGATE(15,6,ROW(PFL_Schutz_Drop_Down56[noch nicht gewählt])-3/(--(SEARCH($A$25,PFL_Schutz_Drop_Down56[noch nicht gewählt])&gt;0)),ROW()-3)),"")</f>
        <v/>
      </c>
      <c r="AB69" s="2200" t="str">
        <f>IFERROR(INDEX(PFL_Schutz_Drop_Down56[noch nicht gewählt],_xlfn.AGGREGATE(15,6,ROW(PFL_Schutz_Drop_Down56[noch nicht gewählt])-3/(--(SEARCH($A$27,PFL_Schutz_Drop_Down56[noch nicht gewählt])&gt;0)),ROW()-3)),"")</f>
        <v/>
      </c>
      <c r="AC69" s="2200" t="str">
        <f>IFERROR(INDEX(PFL_Schutz_Drop_Down56[noch nicht gewählt],_xlfn.AGGREGATE(15,6,ROW(PFL_Schutz_Drop_Down56[noch nicht gewählt])-3/(--(SEARCH($A$29,PFL_Schutz_Drop_Down56[noch nicht gewählt])&gt;0)),ROW()-3)),"")</f>
        <v/>
      </c>
      <c r="AD69" s="2200" t="str">
        <f>IFERROR(INDEX(PFL_Schutz_Drop_Down56[noch nicht gewählt],_xlfn.AGGREGATE(15,6,ROW(PFL_Schutz_Drop_Down56[noch nicht gewählt])-3/(--(SEARCH($A$31,PFL_Schutz_Drop_Down56[noch nicht gewählt])&gt;0)),ROW()-3)),"")</f>
        <v/>
      </c>
      <c r="AE69" s="2200" t="str">
        <f>IFERROR(INDEX(PFL_Schutz_Drop_Down56[noch nicht gewählt],_xlfn.AGGREGATE(15,6,ROW(PFL_Schutz_Drop_Down56[noch nicht gewählt])-3/(--(SEARCH($A$33,PFL_Schutz_Drop_Down56[noch nicht gewählt])&gt;0)),ROW()-3)),"")</f>
        <v/>
      </c>
      <c r="AF69" s="2200" t="str">
        <f>IFERROR(INDEX(PFL_Schutz_Drop_Down56[noch nicht gewählt],_xlfn.AGGREGATE(15,6,ROW(PFL_Schutz_Drop_Down56[noch nicht gewählt])-3/(--(SEARCH($A$35,PFL_Schutz_Drop_Down56[noch nicht gewählt])&gt;0)),ROW()-3)),"")</f>
        <v/>
      </c>
      <c r="AG69" s="2200" t="str">
        <f>IFERROR(INDEX(PFL_Schutz_Drop_Down56[noch nicht gewählt],_xlfn.AGGREGATE(15,6,ROW(PFL_Schutz_Drop_Down56[noch nicht gewählt])-3/(--(SEARCH($A$37,PFL_Schutz_Drop_Down56[noch nicht gewählt])&gt;0)),ROW()-3)),"")</f>
        <v/>
      </c>
      <c r="AH69" s="2200" t="str">
        <f>IFERROR(INDEX(PFL_Schutz_Drop_Down56[noch nicht gewählt],_xlfn.AGGREGATE(15,6,ROW(PFL_Schutz_Drop_Down56[noch nicht gewählt])-3/(--(SEARCH($A$39,PFL_Schutz_Drop_Down56[noch nicht gewählt])&gt;0)),ROW()-3)),"")</f>
        <v/>
      </c>
      <c r="AI69" s="2200" t="str">
        <f>IFERROR(INDEX(PFL_Schutz_Drop_Down56[noch nicht gewählt],_xlfn.AGGREGATE(15,6,ROW(PFL_Schutz_Drop_Down56[noch nicht gewählt])-3/(--(SEARCH($A$41,PFL_Schutz_Drop_Down56[noch nicht gewählt])&gt;0)),ROW()-3)),"")</f>
        <v/>
      </c>
      <c r="AJ69" s="2200" t="str">
        <f>IFERROR(INDEX(PFL_Schutz_Drop_Down56[noch nicht gewählt],_xlfn.AGGREGATE(15,6,ROW(PFL_Schutz_Drop_Down56[noch nicht gewählt])-3/(--(SEARCH($A$43,PFL_Schutz_Drop_Down56[noch nicht gewählt])&gt;0)),ROW()-3)),"")</f>
        <v/>
      </c>
      <c r="AK69" s="2200" t="str">
        <f>IFERROR(INDEX(PFL_Schutz_Drop_Down56[noch nicht gewählt],_xlfn.AGGREGATE(15,6,ROW(PFL_Schutz_Drop_Down56[noch nicht gewählt])-3/(--(SEARCH($A$45,PFL_Schutz_Drop_Down56[noch nicht gewählt])&gt;0)),ROW()-3)),"")</f>
        <v/>
      </c>
      <c r="AL69" s="2200" t="str">
        <f>IFERROR(INDEX(PFL_Schutz_Drop_Down56[noch nicht gewählt],_xlfn.AGGREGATE(15,6,ROW(PFL_Schutz_Drop_Down56[noch nicht gewählt])-3/(--(SEARCH($A$47,PFL_Schutz_Drop_Down56[noch nicht gewählt])&gt;0)),ROW()-3)),"")</f>
        <v/>
      </c>
      <c r="AM69" s="2200" t="str">
        <f>IFERROR(INDEX(PFL_Schutz_Drop_Down56[noch nicht gewählt],_xlfn.AGGREGATE(15,6,ROW(PFL_Schutz_Drop_Down56[noch nicht gewählt])-3/(--(SEARCH($A$49,PFL_Schutz_Drop_Down56[noch nicht gewählt])&gt;0)),ROW()-3)),"")</f>
        <v/>
      </c>
      <c r="AN69" s="2200" t="str">
        <f>IFERROR(INDEX(PFL_Schutz_Drop_Down56[noch nicht gewählt],_xlfn.AGGREGATE(15,6,ROW(PFL_Schutz_Drop_Down56[noch nicht gewählt])-3/(--(SEARCH($A$51,PFL_Schutz_Drop_Down56[noch nicht gewählt])&gt;0)),ROW()-3)),"")</f>
        <v/>
      </c>
      <c r="AO69" s="2200" t="str">
        <f>IFERROR(INDEX(PFL_Schutz_Drop_Down56[noch nicht gewählt],_xlfn.AGGREGATE(15,6,ROW(PFL_Schutz_Drop_Down56[noch nicht gewählt])-3/(--(SEARCH($A$53,PFL_Schutz_Drop_Down56[noch nicht gewählt])&gt;0)),ROW()-3)),"")</f>
        <v/>
      </c>
      <c r="AP69" s="2200" t="str">
        <f>IFERROR(INDEX(PFL_Schutz_Drop_Down56[noch nicht gewählt],_xlfn.AGGREGATE(15,6,ROW(PFL_Schutz_Drop_Down56[noch nicht gewählt])-3/(--(SEARCH($A$55,PFL_Schutz_Drop_Down56[noch nicht gewählt])&gt;0)),ROW()-3)),"")</f>
        <v/>
      </c>
      <c r="AQ69" s="2200" t="str">
        <f>IFERROR(INDEX(PFL_Schutz_Drop_Down56[noch nicht gewählt],_xlfn.AGGREGATE(15,6,ROW(PFL_Schutz_Drop_Down56[noch nicht gewählt])-3/(--(SEARCH($A$57,PFL_Schutz_Drop_Down56[noch nicht gewählt])&gt;0)),ROW()-3)),"")</f>
        <v/>
      </c>
      <c r="AR69" s="2200" t="str">
        <f>IFERROR(INDEX(PFL_Schutz_Drop_Down56[noch nicht gewählt],_xlfn.AGGREGATE(15,6,ROW(PFL_Schutz_Drop_Down56[noch nicht gewählt])-3/(--(SEARCH($A$59,PFL_Schutz_Drop_Down56[noch nicht gewählt])&gt;0)),ROW()-3)),"")</f>
        <v/>
      </c>
      <c r="AS69" s="2200" t="str">
        <f>IFERROR(INDEX(PFL_Schutz_Drop_Down56[noch nicht gewählt],_xlfn.AGGREGATE(15,6,ROW(PFL_Schutz_Drop_Down56[noch nicht gewählt])-3/(--(SEARCH($A$61,PFL_Schutz_Drop_Down56[noch nicht gewählt])&gt;0)),ROW()-3)),"")</f>
        <v/>
      </c>
      <c r="AT69" s="2200" t="str">
        <f>IFERROR(INDEX(PFL_Schutz_Drop_Down56[noch nicht gewählt],_xlfn.AGGREGATE(15,6,ROW(PFL_Schutz_Drop_Down56[noch nicht gewählt])-3/(--(SEARCH($A$63,PFL_Schutz_Drop_Down56[noch nicht gewählt])&gt;0)),ROW()-3)),"")</f>
        <v/>
      </c>
      <c r="AU69" s="2200" t="str">
        <f>IFERROR(INDEX(PFL_Schutz_Drop_Down56[noch nicht gewählt],_xlfn.AGGREGATE(15,6,ROW(PFL_Schutz_Drop_Down56[noch nicht gewählt])-3/(--(SEARCH($A$65,PFL_Schutz_Drop_Down56[noch nicht gewählt])&gt;0)),ROW()-3)),"")</f>
        <v/>
      </c>
      <c r="AV69" s="2200" t="str">
        <f>IFERROR(INDEX(PFL_Schutz_Drop_Down56[noch nicht gewählt],_xlfn.AGGREGATE(15,6,ROW(PFL_Schutz_Drop_Down56[noch nicht gewählt])-3/(--(SEARCH($A$67,PFL_Schutz_Drop_Down56[noch nicht gewählt])&gt;0)),ROW()-3)),"")</f>
        <v/>
      </c>
      <c r="AW69" s="2200" t="str">
        <f>IFERROR(INDEX(PFL_Schutz_Drop_Down56[noch nicht gewählt],_xlfn.AGGREGATE(15,6,ROW(PFL_Schutz_Drop_Down56[noch nicht gewählt])-3/(--(SEARCH($A$69,PFL_Schutz_Drop_Down56[noch nicht gewählt])&gt;0)),ROW()-3)),"")</f>
        <v/>
      </c>
      <c r="AX69" s="2200" t="str">
        <f>IFERROR(INDEX(PFL_Schutz_Drop_Down56[noch nicht gewählt],_xlfn.AGGREGATE(15,6,ROW(PFL_Schutz_Drop_Down56[noch nicht gewählt])-3/(--(SEARCH($A$71,PFL_Schutz_Drop_Down56[noch nicht gewählt])&gt;0)),ROW()-3)),"")</f>
        <v/>
      </c>
      <c r="AY69" s="2200" t="str">
        <f>IFERROR(INDEX(PFL_Schutz_Drop_Down56[noch nicht gewählt],_xlfn.AGGREGATE(15,6,ROW(PFL_Schutz_Drop_Down56[noch nicht gewählt])-3/(--(SEARCH($A$73,PFL_Schutz_Drop_Down56[noch nicht gewählt])&gt;0)),ROW()-3)),"")</f>
        <v/>
      </c>
      <c r="AZ69" s="2201" t="str">
        <f>IFERROR(INDEX(PFL_Schutz_Drop_Down56[noch nicht gewählt],_xlfn.AGGREGATE(15,6,ROW(PFL_Schutz_Drop_Down56[noch nicht gewählt])-3/(--(SEARCH($A$75,PFL_Schutz_Drop_Down56[noch nicht gewählt])&gt;0)),ROW()-3)),"")</f>
        <v/>
      </c>
    </row>
    <row r="70" spans="1:52" ht="19.5" customHeight="1">
      <c r="A70" s="3104"/>
      <c r="B70" s="3103"/>
      <c r="C70" s="3103"/>
      <c r="D70" s="3087"/>
      <c r="E70" s="3089"/>
      <c r="F70" s="3091"/>
      <c r="G70" s="3095"/>
      <c r="H70" s="3096"/>
      <c r="I70" s="3097"/>
      <c r="R70" s="2195">
        <f>Pfl_Schutz!E70</f>
        <v>0</v>
      </c>
      <c r="S70" s="2202">
        <f>COUNTIF($R$4:PFL_Schutz_Drop_Down56[[#This Row],[Produktname]],PFL_Schutz_Drop_Down56[[#This Row],[Produktname]])</f>
        <v>67</v>
      </c>
      <c r="T70" s="2203" t="str">
        <f>IFERROR(INDEX(R:R,_xlfn.AGGREGATE(15,6,ROW(PFL_Schutz_Drop_Down56[Produktname])/(PFL_Schutz_Drop_Down56[Auftretend]=1),ROW()-3)),"")</f>
        <v/>
      </c>
      <c r="U70" s="2198" t="str">
        <f>IF(COUNTIF($A$17:$A$76,PFL_Schutz_Drop_Down56[[#This Row],[Produktname eindeutig]])&gt;=1,"",ROW())</f>
        <v/>
      </c>
      <c r="V70" s="2198" t="str">
        <f t="shared" si="47"/>
        <v/>
      </c>
      <c r="W70" s="2199" t="str">
        <f>IFERROR(INDEX(PFL_Schutz_Drop_Down56[noch nicht gewählt],_xlfn.AGGREGATE(15,6,ROW(PFL_Schutz_Drop_Down56[noch nicht gewählt])-3/(--(SEARCH($A$17,PFL_Schutz_Drop_Down56[noch nicht gewählt])&gt;0)),ROW()-3)),"")</f>
        <v/>
      </c>
      <c r="X70" s="2175" t="str">
        <f>IFERROR(INDEX(PFL_Schutz_Drop_Down56[noch nicht gewählt],_xlfn.AGGREGATE(15,6,ROW(PFL_Schutz_Drop_Down56[noch nicht gewählt])-3/(--(SEARCH($A$19,PFL_Schutz_Drop_Down56[noch nicht gewählt])&gt;0)),ROW()-3)),"")</f>
        <v/>
      </c>
      <c r="Y70" s="2175" t="str">
        <f>IFERROR(INDEX(PFL_Schutz_Drop_Down56[noch nicht gewählt],_xlfn.AGGREGATE(15,6,ROW(PFL_Schutz_Drop_Down56[noch nicht gewählt])-3/(--(SEARCH($A$21,PFL_Schutz_Drop_Down56[noch nicht gewählt])&gt;0)),ROW()-3)),"")</f>
        <v/>
      </c>
      <c r="Z70" s="2200" t="str">
        <f>IFERROR(INDEX(PFL_Schutz_Drop_Down56[noch nicht gewählt],_xlfn.AGGREGATE(15,6,ROW(PFL_Schutz_Drop_Down56[noch nicht gewählt])-3/(--(SEARCH($A$23,PFL_Schutz_Drop_Down56[noch nicht gewählt])&gt;0)),ROW()-3)),"")</f>
        <v/>
      </c>
      <c r="AA70" s="2200" t="str">
        <f>IFERROR(INDEX(PFL_Schutz_Drop_Down56[noch nicht gewählt],_xlfn.AGGREGATE(15,6,ROW(PFL_Schutz_Drop_Down56[noch nicht gewählt])-3/(--(SEARCH($A$25,PFL_Schutz_Drop_Down56[noch nicht gewählt])&gt;0)),ROW()-3)),"")</f>
        <v/>
      </c>
      <c r="AB70" s="2200" t="str">
        <f>IFERROR(INDEX(PFL_Schutz_Drop_Down56[noch nicht gewählt],_xlfn.AGGREGATE(15,6,ROW(PFL_Schutz_Drop_Down56[noch nicht gewählt])-3/(--(SEARCH($A$27,PFL_Schutz_Drop_Down56[noch nicht gewählt])&gt;0)),ROW()-3)),"")</f>
        <v/>
      </c>
      <c r="AC70" s="2200" t="str">
        <f>IFERROR(INDEX(PFL_Schutz_Drop_Down56[noch nicht gewählt],_xlfn.AGGREGATE(15,6,ROW(PFL_Schutz_Drop_Down56[noch nicht gewählt])-3/(--(SEARCH($A$29,PFL_Schutz_Drop_Down56[noch nicht gewählt])&gt;0)),ROW()-3)),"")</f>
        <v/>
      </c>
      <c r="AD70" s="2200" t="str">
        <f>IFERROR(INDEX(PFL_Schutz_Drop_Down56[noch nicht gewählt],_xlfn.AGGREGATE(15,6,ROW(PFL_Schutz_Drop_Down56[noch nicht gewählt])-3/(--(SEARCH($A$31,PFL_Schutz_Drop_Down56[noch nicht gewählt])&gt;0)),ROW()-3)),"")</f>
        <v/>
      </c>
      <c r="AE70" s="2200" t="str">
        <f>IFERROR(INDEX(PFL_Schutz_Drop_Down56[noch nicht gewählt],_xlfn.AGGREGATE(15,6,ROW(PFL_Schutz_Drop_Down56[noch nicht gewählt])-3/(--(SEARCH($A$33,PFL_Schutz_Drop_Down56[noch nicht gewählt])&gt;0)),ROW()-3)),"")</f>
        <v/>
      </c>
      <c r="AF70" s="2200" t="str">
        <f>IFERROR(INDEX(PFL_Schutz_Drop_Down56[noch nicht gewählt],_xlfn.AGGREGATE(15,6,ROW(PFL_Schutz_Drop_Down56[noch nicht gewählt])-3/(--(SEARCH($A$35,PFL_Schutz_Drop_Down56[noch nicht gewählt])&gt;0)),ROW()-3)),"")</f>
        <v/>
      </c>
      <c r="AG70" s="2200" t="str">
        <f>IFERROR(INDEX(PFL_Schutz_Drop_Down56[noch nicht gewählt],_xlfn.AGGREGATE(15,6,ROW(PFL_Schutz_Drop_Down56[noch nicht gewählt])-3/(--(SEARCH($A$37,PFL_Schutz_Drop_Down56[noch nicht gewählt])&gt;0)),ROW()-3)),"")</f>
        <v/>
      </c>
      <c r="AH70" s="2200" t="str">
        <f>IFERROR(INDEX(PFL_Schutz_Drop_Down56[noch nicht gewählt],_xlfn.AGGREGATE(15,6,ROW(PFL_Schutz_Drop_Down56[noch nicht gewählt])-3/(--(SEARCH($A$39,PFL_Schutz_Drop_Down56[noch nicht gewählt])&gt;0)),ROW()-3)),"")</f>
        <v/>
      </c>
      <c r="AI70" s="2200" t="str">
        <f>IFERROR(INDEX(PFL_Schutz_Drop_Down56[noch nicht gewählt],_xlfn.AGGREGATE(15,6,ROW(PFL_Schutz_Drop_Down56[noch nicht gewählt])-3/(--(SEARCH($A$41,PFL_Schutz_Drop_Down56[noch nicht gewählt])&gt;0)),ROW()-3)),"")</f>
        <v/>
      </c>
      <c r="AJ70" s="2200" t="str">
        <f>IFERROR(INDEX(PFL_Schutz_Drop_Down56[noch nicht gewählt],_xlfn.AGGREGATE(15,6,ROW(PFL_Schutz_Drop_Down56[noch nicht gewählt])-3/(--(SEARCH($A$43,PFL_Schutz_Drop_Down56[noch nicht gewählt])&gt;0)),ROW()-3)),"")</f>
        <v/>
      </c>
      <c r="AK70" s="2200" t="str">
        <f>IFERROR(INDEX(PFL_Schutz_Drop_Down56[noch nicht gewählt],_xlfn.AGGREGATE(15,6,ROW(PFL_Schutz_Drop_Down56[noch nicht gewählt])-3/(--(SEARCH($A$45,PFL_Schutz_Drop_Down56[noch nicht gewählt])&gt;0)),ROW()-3)),"")</f>
        <v/>
      </c>
      <c r="AL70" s="2200" t="str">
        <f>IFERROR(INDEX(PFL_Schutz_Drop_Down56[noch nicht gewählt],_xlfn.AGGREGATE(15,6,ROW(PFL_Schutz_Drop_Down56[noch nicht gewählt])-3/(--(SEARCH($A$47,PFL_Schutz_Drop_Down56[noch nicht gewählt])&gt;0)),ROW()-3)),"")</f>
        <v/>
      </c>
      <c r="AM70" s="2200" t="str">
        <f>IFERROR(INDEX(PFL_Schutz_Drop_Down56[noch nicht gewählt],_xlfn.AGGREGATE(15,6,ROW(PFL_Schutz_Drop_Down56[noch nicht gewählt])-3/(--(SEARCH($A$49,PFL_Schutz_Drop_Down56[noch nicht gewählt])&gt;0)),ROW()-3)),"")</f>
        <v/>
      </c>
      <c r="AN70" s="2200" t="str">
        <f>IFERROR(INDEX(PFL_Schutz_Drop_Down56[noch nicht gewählt],_xlfn.AGGREGATE(15,6,ROW(PFL_Schutz_Drop_Down56[noch nicht gewählt])-3/(--(SEARCH($A$51,PFL_Schutz_Drop_Down56[noch nicht gewählt])&gt;0)),ROW()-3)),"")</f>
        <v/>
      </c>
      <c r="AO70" s="2200" t="str">
        <f>IFERROR(INDEX(PFL_Schutz_Drop_Down56[noch nicht gewählt],_xlfn.AGGREGATE(15,6,ROW(PFL_Schutz_Drop_Down56[noch nicht gewählt])-3/(--(SEARCH($A$53,PFL_Schutz_Drop_Down56[noch nicht gewählt])&gt;0)),ROW()-3)),"")</f>
        <v/>
      </c>
      <c r="AP70" s="2200" t="str">
        <f>IFERROR(INDEX(PFL_Schutz_Drop_Down56[noch nicht gewählt],_xlfn.AGGREGATE(15,6,ROW(PFL_Schutz_Drop_Down56[noch nicht gewählt])-3/(--(SEARCH($A$55,PFL_Schutz_Drop_Down56[noch nicht gewählt])&gt;0)),ROW()-3)),"")</f>
        <v/>
      </c>
      <c r="AQ70" s="2200" t="str">
        <f>IFERROR(INDEX(PFL_Schutz_Drop_Down56[noch nicht gewählt],_xlfn.AGGREGATE(15,6,ROW(PFL_Schutz_Drop_Down56[noch nicht gewählt])-3/(--(SEARCH($A$57,PFL_Schutz_Drop_Down56[noch nicht gewählt])&gt;0)),ROW()-3)),"")</f>
        <v/>
      </c>
      <c r="AR70" s="2200" t="str">
        <f>IFERROR(INDEX(PFL_Schutz_Drop_Down56[noch nicht gewählt],_xlfn.AGGREGATE(15,6,ROW(PFL_Schutz_Drop_Down56[noch nicht gewählt])-3/(--(SEARCH($A$59,PFL_Schutz_Drop_Down56[noch nicht gewählt])&gt;0)),ROW()-3)),"")</f>
        <v/>
      </c>
      <c r="AS70" s="2200" t="str">
        <f>IFERROR(INDEX(PFL_Schutz_Drop_Down56[noch nicht gewählt],_xlfn.AGGREGATE(15,6,ROW(PFL_Schutz_Drop_Down56[noch nicht gewählt])-3/(--(SEARCH($A$61,PFL_Schutz_Drop_Down56[noch nicht gewählt])&gt;0)),ROW()-3)),"")</f>
        <v/>
      </c>
      <c r="AT70" s="2200" t="str">
        <f>IFERROR(INDEX(PFL_Schutz_Drop_Down56[noch nicht gewählt],_xlfn.AGGREGATE(15,6,ROW(PFL_Schutz_Drop_Down56[noch nicht gewählt])-3/(--(SEARCH($A$63,PFL_Schutz_Drop_Down56[noch nicht gewählt])&gt;0)),ROW()-3)),"")</f>
        <v/>
      </c>
      <c r="AU70" s="2200" t="str">
        <f>IFERROR(INDEX(PFL_Schutz_Drop_Down56[noch nicht gewählt],_xlfn.AGGREGATE(15,6,ROW(PFL_Schutz_Drop_Down56[noch nicht gewählt])-3/(--(SEARCH($A$65,PFL_Schutz_Drop_Down56[noch nicht gewählt])&gt;0)),ROW()-3)),"")</f>
        <v/>
      </c>
      <c r="AV70" s="2200" t="str">
        <f>IFERROR(INDEX(PFL_Schutz_Drop_Down56[noch nicht gewählt],_xlfn.AGGREGATE(15,6,ROW(PFL_Schutz_Drop_Down56[noch nicht gewählt])-3/(--(SEARCH($A$67,PFL_Schutz_Drop_Down56[noch nicht gewählt])&gt;0)),ROW()-3)),"")</f>
        <v/>
      </c>
      <c r="AW70" s="2200" t="str">
        <f>IFERROR(INDEX(PFL_Schutz_Drop_Down56[noch nicht gewählt],_xlfn.AGGREGATE(15,6,ROW(PFL_Schutz_Drop_Down56[noch nicht gewählt])-3/(--(SEARCH($A$69,PFL_Schutz_Drop_Down56[noch nicht gewählt])&gt;0)),ROW()-3)),"")</f>
        <v/>
      </c>
      <c r="AX70" s="2200" t="str">
        <f>IFERROR(INDEX(PFL_Schutz_Drop_Down56[noch nicht gewählt],_xlfn.AGGREGATE(15,6,ROW(PFL_Schutz_Drop_Down56[noch nicht gewählt])-3/(--(SEARCH($A$71,PFL_Schutz_Drop_Down56[noch nicht gewählt])&gt;0)),ROW()-3)),"")</f>
        <v/>
      </c>
      <c r="AY70" s="2200" t="str">
        <f>IFERROR(INDEX(PFL_Schutz_Drop_Down56[noch nicht gewählt],_xlfn.AGGREGATE(15,6,ROW(PFL_Schutz_Drop_Down56[noch nicht gewählt])-3/(--(SEARCH($A$73,PFL_Schutz_Drop_Down56[noch nicht gewählt])&gt;0)),ROW()-3)),"")</f>
        <v/>
      </c>
      <c r="AZ70" s="2201" t="str">
        <f>IFERROR(INDEX(PFL_Schutz_Drop_Down56[noch nicht gewählt],_xlfn.AGGREGATE(15,6,ROW(PFL_Schutz_Drop_Down56[noch nicht gewählt])-3/(--(SEARCH($A$75,PFL_Schutz_Drop_Down56[noch nicht gewählt])&gt;0)),ROW()-3)),"")</f>
        <v/>
      </c>
    </row>
    <row r="71" spans="1:52" ht="19.5" customHeight="1">
      <c r="A71" s="3098"/>
      <c r="B71" s="3102"/>
      <c r="C71" s="3102"/>
      <c r="D71" s="3087">
        <f>SUMIF(Pfl_Schutz!$E$4:$E$77,A71,Pfl_Schutz!$H$4:$H$77)</f>
        <v>0</v>
      </c>
      <c r="E71" s="3089" t="str">
        <f t="shared" ref="E71" si="50">IF(SUM(B71:C72)=0,"",IF(F71&lt;0,"negativer Lagerstand nicht möglich - überprüfen Sie die Eingabewerte auf Vollständigkeit",IF(F71=0,"Produkt aufgebraucht, Lagerstand 0",F71)))</f>
        <v/>
      </c>
      <c r="F71" s="3091">
        <f t="shared" ref="F71" si="51">IF(SUM(B71:C72)&gt;0,IF(ISBLANK(A71),"",B71+C71-D71),0)</f>
        <v>0</v>
      </c>
      <c r="G71" s="3095"/>
      <c r="H71" s="3096"/>
      <c r="I71" s="3097"/>
      <c r="R71" s="2195">
        <f>Pfl_Schutz!E71</f>
        <v>0</v>
      </c>
      <c r="S71" s="2202">
        <f>COUNTIF($R$4:PFL_Schutz_Drop_Down56[[#This Row],[Produktname]],PFL_Schutz_Drop_Down56[[#This Row],[Produktname]])</f>
        <v>68</v>
      </c>
      <c r="T71" s="2203" t="str">
        <f>IFERROR(INDEX(R:R,_xlfn.AGGREGATE(15,6,ROW(PFL_Schutz_Drop_Down56[Produktname])/(PFL_Schutz_Drop_Down56[Auftretend]=1),ROW()-3)),"")</f>
        <v/>
      </c>
      <c r="U71" s="2198" t="str">
        <f>IF(COUNTIF($A$17:$A$76,PFL_Schutz_Drop_Down56[[#This Row],[Produktname eindeutig]])&gt;=1,"",ROW())</f>
        <v/>
      </c>
      <c r="V71" s="2198" t="str">
        <f t="shared" si="47"/>
        <v/>
      </c>
      <c r="W71" s="2199" t="str">
        <f>IFERROR(INDEX(PFL_Schutz_Drop_Down56[noch nicht gewählt],_xlfn.AGGREGATE(15,6,ROW(PFL_Schutz_Drop_Down56[noch nicht gewählt])-3/(--(SEARCH($A$17,PFL_Schutz_Drop_Down56[noch nicht gewählt])&gt;0)),ROW()-3)),"")</f>
        <v/>
      </c>
      <c r="X71" s="2175" t="str">
        <f>IFERROR(INDEX(PFL_Schutz_Drop_Down56[noch nicht gewählt],_xlfn.AGGREGATE(15,6,ROW(PFL_Schutz_Drop_Down56[noch nicht gewählt])-3/(--(SEARCH($A$19,PFL_Schutz_Drop_Down56[noch nicht gewählt])&gt;0)),ROW()-3)),"")</f>
        <v/>
      </c>
      <c r="Y71" s="2175" t="str">
        <f>IFERROR(INDEX(PFL_Schutz_Drop_Down56[noch nicht gewählt],_xlfn.AGGREGATE(15,6,ROW(PFL_Schutz_Drop_Down56[noch nicht gewählt])-3/(--(SEARCH($A$21,PFL_Schutz_Drop_Down56[noch nicht gewählt])&gt;0)),ROW()-3)),"")</f>
        <v/>
      </c>
      <c r="Z71" s="2200" t="str">
        <f>IFERROR(INDEX(PFL_Schutz_Drop_Down56[noch nicht gewählt],_xlfn.AGGREGATE(15,6,ROW(PFL_Schutz_Drop_Down56[noch nicht gewählt])-3/(--(SEARCH($A$23,PFL_Schutz_Drop_Down56[noch nicht gewählt])&gt;0)),ROW()-3)),"")</f>
        <v/>
      </c>
      <c r="AA71" s="2200" t="str">
        <f>IFERROR(INDEX(PFL_Schutz_Drop_Down56[noch nicht gewählt],_xlfn.AGGREGATE(15,6,ROW(PFL_Schutz_Drop_Down56[noch nicht gewählt])-3/(--(SEARCH($A$25,PFL_Schutz_Drop_Down56[noch nicht gewählt])&gt;0)),ROW()-3)),"")</f>
        <v/>
      </c>
      <c r="AB71" s="2200" t="str">
        <f>IFERROR(INDEX(PFL_Schutz_Drop_Down56[noch nicht gewählt],_xlfn.AGGREGATE(15,6,ROW(PFL_Schutz_Drop_Down56[noch nicht gewählt])-3/(--(SEARCH($A$27,PFL_Schutz_Drop_Down56[noch nicht gewählt])&gt;0)),ROW()-3)),"")</f>
        <v/>
      </c>
      <c r="AC71" s="2200" t="str">
        <f>IFERROR(INDEX(PFL_Schutz_Drop_Down56[noch nicht gewählt],_xlfn.AGGREGATE(15,6,ROW(PFL_Schutz_Drop_Down56[noch nicht gewählt])-3/(--(SEARCH($A$29,PFL_Schutz_Drop_Down56[noch nicht gewählt])&gt;0)),ROW()-3)),"")</f>
        <v/>
      </c>
      <c r="AD71" s="2200" t="str">
        <f>IFERROR(INDEX(PFL_Schutz_Drop_Down56[noch nicht gewählt],_xlfn.AGGREGATE(15,6,ROW(PFL_Schutz_Drop_Down56[noch nicht gewählt])-3/(--(SEARCH($A$31,PFL_Schutz_Drop_Down56[noch nicht gewählt])&gt;0)),ROW()-3)),"")</f>
        <v/>
      </c>
      <c r="AE71" s="2200" t="str">
        <f>IFERROR(INDEX(PFL_Schutz_Drop_Down56[noch nicht gewählt],_xlfn.AGGREGATE(15,6,ROW(PFL_Schutz_Drop_Down56[noch nicht gewählt])-3/(--(SEARCH($A$33,PFL_Schutz_Drop_Down56[noch nicht gewählt])&gt;0)),ROW()-3)),"")</f>
        <v/>
      </c>
      <c r="AF71" s="2200" t="str">
        <f>IFERROR(INDEX(PFL_Schutz_Drop_Down56[noch nicht gewählt],_xlfn.AGGREGATE(15,6,ROW(PFL_Schutz_Drop_Down56[noch nicht gewählt])-3/(--(SEARCH($A$35,PFL_Schutz_Drop_Down56[noch nicht gewählt])&gt;0)),ROW()-3)),"")</f>
        <v/>
      </c>
      <c r="AG71" s="2200" t="str">
        <f>IFERROR(INDEX(PFL_Schutz_Drop_Down56[noch nicht gewählt],_xlfn.AGGREGATE(15,6,ROW(PFL_Schutz_Drop_Down56[noch nicht gewählt])-3/(--(SEARCH($A$37,PFL_Schutz_Drop_Down56[noch nicht gewählt])&gt;0)),ROW()-3)),"")</f>
        <v/>
      </c>
      <c r="AH71" s="2200" t="str">
        <f>IFERROR(INDEX(PFL_Schutz_Drop_Down56[noch nicht gewählt],_xlfn.AGGREGATE(15,6,ROW(PFL_Schutz_Drop_Down56[noch nicht gewählt])-3/(--(SEARCH($A$39,PFL_Schutz_Drop_Down56[noch nicht gewählt])&gt;0)),ROW()-3)),"")</f>
        <v/>
      </c>
      <c r="AI71" s="2200" t="str">
        <f>IFERROR(INDEX(PFL_Schutz_Drop_Down56[noch nicht gewählt],_xlfn.AGGREGATE(15,6,ROW(PFL_Schutz_Drop_Down56[noch nicht gewählt])-3/(--(SEARCH($A$41,PFL_Schutz_Drop_Down56[noch nicht gewählt])&gt;0)),ROW()-3)),"")</f>
        <v/>
      </c>
      <c r="AJ71" s="2200" t="str">
        <f>IFERROR(INDEX(PFL_Schutz_Drop_Down56[noch nicht gewählt],_xlfn.AGGREGATE(15,6,ROW(PFL_Schutz_Drop_Down56[noch nicht gewählt])-3/(--(SEARCH($A$43,PFL_Schutz_Drop_Down56[noch nicht gewählt])&gt;0)),ROW()-3)),"")</f>
        <v/>
      </c>
      <c r="AK71" s="2200" t="str">
        <f>IFERROR(INDEX(PFL_Schutz_Drop_Down56[noch nicht gewählt],_xlfn.AGGREGATE(15,6,ROW(PFL_Schutz_Drop_Down56[noch nicht gewählt])-3/(--(SEARCH($A$45,PFL_Schutz_Drop_Down56[noch nicht gewählt])&gt;0)),ROW()-3)),"")</f>
        <v/>
      </c>
      <c r="AL71" s="2200" t="str">
        <f>IFERROR(INDEX(PFL_Schutz_Drop_Down56[noch nicht gewählt],_xlfn.AGGREGATE(15,6,ROW(PFL_Schutz_Drop_Down56[noch nicht gewählt])-3/(--(SEARCH($A$47,PFL_Schutz_Drop_Down56[noch nicht gewählt])&gt;0)),ROW()-3)),"")</f>
        <v/>
      </c>
      <c r="AM71" s="2200" t="str">
        <f>IFERROR(INDEX(PFL_Schutz_Drop_Down56[noch nicht gewählt],_xlfn.AGGREGATE(15,6,ROW(PFL_Schutz_Drop_Down56[noch nicht gewählt])-3/(--(SEARCH($A$49,PFL_Schutz_Drop_Down56[noch nicht gewählt])&gt;0)),ROW()-3)),"")</f>
        <v/>
      </c>
      <c r="AN71" s="2200" t="str">
        <f>IFERROR(INDEX(PFL_Schutz_Drop_Down56[noch nicht gewählt],_xlfn.AGGREGATE(15,6,ROW(PFL_Schutz_Drop_Down56[noch nicht gewählt])-3/(--(SEARCH($A$51,PFL_Schutz_Drop_Down56[noch nicht gewählt])&gt;0)),ROW()-3)),"")</f>
        <v/>
      </c>
      <c r="AO71" s="2200" t="str">
        <f>IFERROR(INDEX(PFL_Schutz_Drop_Down56[noch nicht gewählt],_xlfn.AGGREGATE(15,6,ROW(PFL_Schutz_Drop_Down56[noch nicht gewählt])-3/(--(SEARCH($A$53,PFL_Schutz_Drop_Down56[noch nicht gewählt])&gt;0)),ROW()-3)),"")</f>
        <v/>
      </c>
      <c r="AP71" s="2200" t="str">
        <f>IFERROR(INDEX(PFL_Schutz_Drop_Down56[noch nicht gewählt],_xlfn.AGGREGATE(15,6,ROW(PFL_Schutz_Drop_Down56[noch nicht gewählt])-3/(--(SEARCH($A$55,PFL_Schutz_Drop_Down56[noch nicht gewählt])&gt;0)),ROW()-3)),"")</f>
        <v/>
      </c>
      <c r="AQ71" s="2200" t="str">
        <f>IFERROR(INDEX(PFL_Schutz_Drop_Down56[noch nicht gewählt],_xlfn.AGGREGATE(15,6,ROW(PFL_Schutz_Drop_Down56[noch nicht gewählt])-3/(--(SEARCH($A$57,PFL_Schutz_Drop_Down56[noch nicht gewählt])&gt;0)),ROW()-3)),"")</f>
        <v/>
      </c>
      <c r="AR71" s="2200" t="str">
        <f>IFERROR(INDEX(PFL_Schutz_Drop_Down56[noch nicht gewählt],_xlfn.AGGREGATE(15,6,ROW(PFL_Schutz_Drop_Down56[noch nicht gewählt])-3/(--(SEARCH($A$59,PFL_Schutz_Drop_Down56[noch nicht gewählt])&gt;0)),ROW()-3)),"")</f>
        <v/>
      </c>
      <c r="AS71" s="2200" t="str">
        <f>IFERROR(INDEX(PFL_Schutz_Drop_Down56[noch nicht gewählt],_xlfn.AGGREGATE(15,6,ROW(PFL_Schutz_Drop_Down56[noch nicht gewählt])-3/(--(SEARCH($A$61,PFL_Schutz_Drop_Down56[noch nicht gewählt])&gt;0)),ROW()-3)),"")</f>
        <v/>
      </c>
      <c r="AT71" s="2200" t="str">
        <f>IFERROR(INDEX(PFL_Schutz_Drop_Down56[noch nicht gewählt],_xlfn.AGGREGATE(15,6,ROW(PFL_Schutz_Drop_Down56[noch nicht gewählt])-3/(--(SEARCH($A$63,PFL_Schutz_Drop_Down56[noch nicht gewählt])&gt;0)),ROW()-3)),"")</f>
        <v/>
      </c>
      <c r="AU71" s="2200" t="str">
        <f>IFERROR(INDEX(PFL_Schutz_Drop_Down56[noch nicht gewählt],_xlfn.AGGREGATE(15,6,ROW(PFL_Schutz_Drop_Down56[noch nicht gewählt])-3/(--(SEARCH($A$65,PFL_Schutz_Drop_Down56[noch nicht gewählt])&gt;0)),ROW()-3)),"")</f>
        <v/>
      </c>
      <c r="AV71" s="2200" t="str">
        <f>IFERROR(INDEX(PFL_Schutz_Drop_Down56[noch nicht gewählt],_xlfn.AGGREGATE(15,6,ROW(PFL_Schutz_Drop_Down56[noch nicht gewählt])-3/(--(SEARCH($A$67,PFL_Schutz_Drop_Down56[noch nicht gewählt])&gt;0)),ROW()-3)),"")</f>
        <v/>
      </c>
      <c r="AW71" s="2200" t="str">
        <f>IFERROR(INDEX(PFL_Schutz_Drop_Down56[noch nicht gewählt],_xlfn.AGGREGATE(15,6,ROW(PFL_Schutz_Drop_Down56[noch nicht gewählt])-3/(--(SEARCH($A$69,PFL_Schutz_Drop_Down56[noch nicht gewählt])&gt;0)),ROW()-3)),"")</f>
        <v/>
      </c>
      <c r="AX71" s="2200" t="str">
        <f>IFERROR(INDEX(PFL_Schutz_Drop_Down56[noch nicht gewählt],_xlfn.AGGREGATE(15,6,ROW(PFL_Schutz_Drop_Down56[noch nicht gewählt])-3/(--(SEARCH($A$71,PFL_Schutz_Drop_Down56[noch nicht gewählt])&gt;0)),ROW()-3)),"")</f>
        <v/>
      </c>
      <c r="AY71" s="2200" t="str">
        <f>IFERROR(INDEX(PFL_Schutz_Drop_Down56[noch nicht gewählt],_xlfn.AGGREGATE(15,6,ROW(PFL_Schutz_Drop_Down56[noch nicht gewählt])-3/(--(SEARCH($A$73,PFL_Schutz_Drop_Down56[noch nicht gewählt])&gt;0)),ROW()-3)),"")</f>
        <v/>
      </c>
      <c r="AZ71" s="2201" t="str">
        <f>IFERROR(INDEX(PFL_Schutz_Drop_Down56[noch nicht gewählt],_xlfn.AGGREGATE(15,6,ROW(PFL_Schutz_Drop_Down56[noch nicht gewählt])-3/(--(SEARCH($A$75,PFL_Schutz_Drop_Down56[noch nicht gewählt])&gt;0)),ROW()-3)),"")</f>
        <v/>
      </c>
    </row>
    <row r="72" spans="1:52" ht="19.5" customHeight="1">
      <c r="A72" s="3104"/>
      <c r="B72" s="3103"/>
      <c r="C72" s="3103"/>
      <c r="D72" s="3087"/>
      <c r="E72" s="3089"/>
      <c r="F72" s="3091"/>
      <c r="G72" s="3095"/>
      <c r="H72" s="3096"/>
      <c r="I72" s="3097"/>
      <c r="R72" s="2195">
        <f>Pfl_Schutz!E72</f>
        <v>0</v>
      </c>
      <c r="S72" s="2202">
        <f>COUNTIF($R$4:PFL_Schutz_Drop_Down56[[#This Row],[Produktname]],PFL_Schutz_Drop_Down56[[#This Row],[Produktname]])</f>
        <v>69</v>
      </c>
      <c r="T72" s="2203" t="str">
        <f>IFERROR(INDEX(R:R,_xlfn.AGGREGATE(15,6,ROW(PFL_Schutz_Drop_Down56[Produktname])/(PFL_Schutz_Drop_Down56[Auftretend]=1),ROW()-3)),"")</f>
        <v/>
      </c>
      <c r="U72" s="2198" t="str">
        <f>IF(COUNTIF($A$17:$A$76,PFL_Schutz_Drop_Down56[[#This Row],[Produktname eindeutig]])&gt;=1,"",ROW())</f>
        <v/>
      </c>
      <c r="V72" s="2198" t="str">
        <f t="shared" si="47"/>
        <v/>
      </c>
      <c r="W72" s="2199" t="str">
        <f>IFERROR(INDEX(PFL_Schutz_Drop_Down56[noch nicht gewählt],_xlfn.AGGREGATE(15,6,ROW(PFL_Schutz_Drop_Down56[noch nicht gewählt])-3/(--(SEARCH($A$17,PFL_Schutz_Drop_Down56[noch nicht gewählt])&gt;0)),ROW()-3)),"")</f>
        <v/>
      </c>
      <c r="X72" s="2175" t="str">
        <f>IFERROR(INDEX(PFL_Schutz_Drop_Down56[noch nicht gewählt],_xlfn.AGGREGATE(15,6,ROW(PFL_Schutz_Drop_Down56[noch nicht gewählt])-3/(--(SEARCH($A$19,PFL_Schutz_Drop_Down56[noch nicht gewählt])&gt;0)),ROW()-3)),"")</f>
        <v/>
      </c>
      <c r="Y72" s="2175" t="str">
        <f>IFERROR(INDEX(PFL_Schutz_Drop_Down56[noch nicht gewählt],_xlfn.AGGREGATE(15,6,ROW(PFL_Schutz_Drop_Down56[noch nicht gewählt])-3/(--(SEARCH($A$21,PFL_Schutz_Drop_Down56[noch nicht gewählt])&gt;0)),ROW()-3)),"")</f>
        <v/>
      </c>
      <c r="Z72" s="2200" t="str">
        <f>IFERROR(INDEX(PFL_Schutz_Drop_Down56[noch nicht gewählt],_xlfn.AGGREGATE(15,6,ROW(PFL_Schutz_Drop_Down56[noch nicht gewählt])-3/(--(SEARCH($A$23,PFL_Schutz_Drop_Down56[noch nicht gewählt])&gt;0)),ROW()-3)),"")</f>
        <v/>
      </c>
      <c r="AA72" s="2200" t="str">
        <f>IFERROR(INDEX(PFL_Schutz_Drop_Down56[noch nicht gewählt],_xlfn.AGGREGATE(15,6,ROW(PFL_Schutz_Drop_Down56[noch nicht gewählt])-3/(--(SEARCH($A$25,PFL_Schutz_Drop_Down56[noch nicht gewählt])&gt;0)),ROW()-3)),"")</f>
        <v/>
      </c>
      <c r="AB72" s="2200" t="str">
        <f>IFERROR(INDEX(PFL_Schutz_Drop_Down56[noch nicht gewählt],_xlfn.AGGREGATE(15,6,ROW(PFL_Schutz_Drop_Down56[noch nicht gewählt])-3/(--(SEARCH($A$27,PFL_Schutz_Drop_Down56[noch nicht gewählt])&gt;0)),ROW()-3)),"")</f>
        <v/>
      </c>
      <c r="AC72" s="2200" t="str">
        <f>IFERROR(INDEX(PFL_Schutz_Drop_Down56[noch nicht gewählt],_xlfn.AGGREGATE(15,6,ROW(PFL_Schutz_Drop_Down56[noch nicht gewählt])-3/(--(SEARCH($A$29,PFL_Schutz_Drop_Down56[noch nicht gewählt])&gt;0)),ROW()-3)),"")</f>
        <v/>
      </c>
      <c r="AD72" s="2200" t="str">
        <f>IFERROR(INDEX(PFL_Schutz_Drop_Down56[noch nicht gewählt],_xlfn.AGGREGATE(15,6,ROW(PFL_Schutz_Drop_Down56[noch nicht gewählt])-3/(--(SEARCH($A$31,PFL_Schutz_Drop_Down56[noch nicht gewählt])&gt;0)),ROW()-3)),"")</f>
        <v/>
      </c>
      <c r="AE72" s="2200" t="str">
        <f>IFERROR(INDEX(PFL_Schutz_Drop_Down56[noch nicht gewählt],_xlfn.AGGREGATE(15,6,ROW(PFL_Schutz_Drop_Down56[noch nicht gewählt])-3/(--(SEARCH($A$33,PFL_Schutz_Drop_Down56[noch nicht gewählt])&gt;0)),ROW()-3)),"")</f>
        <v/>
      </c>
      <c r="AF72" s="2200" t="str">
        <f>IFERROR(INDEX(PFL_Schutz_Drop_Down56[noch nicht gewählt],_xlfn.AGGREGATE(15,6,ROW(PFL_Schutz_Drop_Down56[noch nicht gewählt])-3/(--(SEARCH($A$35,PFL_Schutz_Drop_Down56[noch nicht gewählt])&gt;0)),ROW()-3)),"")</f>
        <v/>
      </c>
      <c r="AG72" s="2200" t="str">
        <f>IFERROR(INDEX(PFL_Schutz_Drop_Down56[noch nicht gewählt],_xlfn.AGGREGATE(15,6,ROW(PFL_Schutz_Drop_Down56[noch nicht gewählt])-3/(--(SEARCH($A$37,PFL_Schutz_Drop_Down56[noch nicht gewählt])&gt;0)),ROW()-3)),"")</f>
        <v/>
      </c>
      <c r="AH72" s="2200" t="str">
        <f>IFERROR(INDEX(PFL_Schutz_Drop_Down56[noch nicht gewählt],_xlfn.AGGREGATE(15,6,ROW(PFL_Schutz_Drop_Down56[noch nicht gewählt])-3/(--(SEARCH($A$39,PFL_Schutz_Drop_Down56[noch nicht gewählt])&gt;0)),ROW()-3)),"")</f>
        <v/>
      </c>
      <c r="AI72" s="2200" t="str">
        <f>IFERROR(INDEX(PFL_Schutz_Drop_Down56[noch nicht gewählt],_xlfn.AGGREGATE(15,6,ROW(PFL_Schutz_Drop_Down56[noch nicht gewählt])-3/(--(SEARCH($A$41,PFL_Schutz_Drop_Down56[noch nicht gewählt])&gt;0)),ROW()-3)),"")</f>
        <v/>
      </c>
      <c r="AJ72" s="2200" t="str">
        <f>IFERROR(INDEX(PFL_Schutz_Drop_Down56[noch nicht gewählt],_xlfn.AGGREGATE(15,6,ROW(PFL_Schutz_Drop_Down56[noch nicht gewählt])-3/(--(SEARCH($A$43,PFL_Schutz_Drop_Down56[noch nicht gewählt])&gt;0)),ROW()-3)),"")</f>
        <v/>
      </c>
      <c r="AK72" s="2200" t="str">
        <f>IFERROR(INDEX(PFL_Schutz_Drop_Down56[noch nicht gewählt],_xlfn.AGGREGATE(15,6,ROW(PFL_Schutz_Drop_Down56[noch nicht gewählt])-3/(--(SEARCH($A$45,PFL_Schutz_Drop_Down56[noch nicht gewählt])&gt;0)),ROW()-3)),"")</f>
        <v/>
      </c>
      <c r="AL72" s="2200" t="str">
        <f>IFERROR(INDEX(PFL_Schutz_Drop_Down56[noch nicht gewählt],_xlfn.AGGREGATE(15,6,ROW(PFL_Schutz_Drop_Down56[noch nicht gewählt])-3/(--(SEARCH($A$47,PFL_Schutz_Drop_Down56[noch nicht gewählt])&gt;0)),ROW()-3)),"")</f>
        <v/>
      </c>
      <c r="AM72" s="2200" t="str">
        <f>IFERROR(INDEX(PFL_Schutz_Drop_Down56[noch nicht gewählt],_xlfn.AGGREGATE(15,6,ROW(PFL_Schutz_Drop_Down56[noch nicht gewählt])-3/(--(SEARCH($A$49,PFL_Schutz_Drop_Down56[noch nicht gewählt])&gt;0)),ROW()-3)),"")</f>
        <v/>
      </c>
      <c r="AN72" s="2200" t="str">
        <f>IFERROR(INDEX(PFL_Schutz_Drop_Down56[noch nicht gewählt],_xlfn.AGGREGATE(15,6,ROW(PFL_Schutz_Drop_Down56[noch nicht gewählt])-3/(--(SEARCH($A$51,PFL_Schutz_Drop_Down56[noch nicht gewählt])&gt;0)),ROW()-3)),"")</f>
        <v/>
      </c>
      <c r="AO72" s="2200" t="str">
        <f>IFERROR(INDEX(PFL_Schutz_Drop_Down56[noch nicht gewählt],_xlfn.AGGREGATE(15,6,ROW(PFL_Schutz_Drop_Down56[noch nicht gewählt])-3/(--(SEARCH($A$53,PFL_Schutz_Drop_Down56[noch nicht gewählt])&gt;0)),ROW()-3)),"")</f>
        <v/>
      </c>
      <c r="AP72" s="2200" t="str">
        <f>IFERROR(INDEX(PFL_Schutz_Drop_Down56[noch nicht gewählt],_xlfn.AGGREGATE(15,6,ROW(PFL_Schutz_Drop_Down56[noch nicht gewählt])-3/(--(SEARCH($A$55,PFL_Schutz_Drop_Down56[noch nicht gewählt])&gt;0)),ROW()-3)),"")</f>
        <v/>
      </c>
      <c r="AQ72" s="2200" t="str">
        <f>IFERROR(INDEX(PFL_Schutz_Drop_Down56[noch nicht gewählt],_xlfn.AGGREGATE(15,6,ROW(PFL_Schutz_Drop_Down56[noch nicht gewählt])-3/(--(SEARCH($A$57,PFL_Schutz_Drop_Down56[noch nicht gewählt])&gt;0)),ROW()-3)),"")</f>
        <v/>
      </c>
      <c r="AR72" s="2200" t="str">
        <f>IFERROR(INDEX(PFL_Schutz_Drop_Down56[noch nicht gewählt],_xlfn.AGGREGATE(15,6,ROW(PFL_Schutz_Drop_Down56[noch nicht gewählt])-3/(--(SEARCH($A$59,PFL_Schutz_Drop_Down56[noch nicht gewählt])&gt;0)),ROW()-3)),"")</f>
        <v/>
      </c>
      <c r="AS72" s="2200" t="str">
        <f>IFERROR(INDEX(PFL_Schutz_Drop_Down56[noch nicht gewählt],_xlfn.AGGREGATE(15,6,ROW(PFL_Schutz_Drop_Down56[noch nicht gewählt])-3/(--(SEARCH($A$61,PFL_Schutz_Drop_Down56[noch nicht gewählt])&gt;0)),ROW()-3)),"")</f>
        <v/>
      </c>
      <c r="AT72" s="2200" t="str">
        <f>IFERROR(INDEX(PFL_Schutz_Drop_Down56[noch nicht gewählt],_xlfn.AGGREGATE(15,6,ROW(PFL_Schutz_Drop_Down56[noch nicht gewählt])-3/(--(SEARCH($A$63,PFL_Schutz_Drop_Down56[noch nicht gewählt])&gt;0)),ROW()-3)),"")</f>
        <v/>
      </c>
      <c r="AU72" s="2200" t="str">
        <f>IFERROR(INDEX(PFL_Schutz_Drop_Down56[noch nicht gewählt],_xlfn.AGGREGATE(15,6,ROW(PFL_Schutz_Drop_Down56[noch nicht gewählt])-3/(--(SEARCH($A$65,PFL_Schutz_Drop_Down56[noch nicht gewählt])&gt;0)),ROW()-3)),"")</f>
        <v/>
      </c>
      <c r="AV72" s="2200" t="str">
        <f>IFERROR(INDEX(PFL_Schutz_Drop_Down56[noch nicht gewählt],_xlfn.AGGREGATE(15,6,ROW(PFL_Schutz_Drop_Down56[noch nicht gewählt])-3/(--(SEARCH($A$67,PFL_Schutz_Drop_Down56[noch nicht gewählt])&gt;0)),ROW()-3)),"")</f>
        <v/>
      </c>
      <c r="AW72" s="2200" t="str">
        <f>IFERROR(INDEX(PFL_Schutz_Drop_Down56[noch nicht gewählt],_xlfn.AGGREGATE(15,6,ROW(PFL_Schutz_Drop_Down56[noch nicht gewählt])-3/(--(SEARCH($A$69,PFL_Schutz_Drop_Down56[noch nicht gewählt])&gt;0)),ROW()-3)),"")</f>
        <v/>
      </c>
      <c r="AX72" s="2200" t="str">
        <f>IFERROR(INDEX(PFL_Schutz_Drop_Down56[noch nicht gewählt],_xlfn.AGGREGATE(15,6,ROW(PFL_Schutz_Drop_Down56[noch nicht gewählt])-3/(--(SEARCH($A$71,PFL_Schutz_Drop_Down56[noch nicht gewählt])&gt;0)),ROW()-3)),"")</f>
        <v/>
      </c>
      <c r="AY72" s="2200" t="str">
        <f>IFERROR(INDEX(PFL_Schutz_Drop_Down56[noch nicht gewählt],_xlfn.AGGREGATE(15,6,ROW(PFL_Schutz_Drop_Down56[noch nicht gewählt])-3/(--(SEARCH($A$73,PFL_Schutz_Drop_Down56[noch nicht gewählt])&gt;0)),ROW()-3)),"")</f>
        <v/>
      </c>
      <c r="AZ72" s="2201" t="str">
        <f>IFERROR(INDEX(PFL_Schutz_Drop_Down56[noch nicht gewählt],_xlfn.AGGREGATE(15,6,ROW(PFL_Schutz_Drop_Down56[noch nicht gewählt])-3/(--(SEARCH($A$75,PFL_Schutz_Drop_Down56[noch nicht gewählt])&gt;0)),ROW()-3)),"")</f>
        <v/>
      </c>
    </row>
    <row r="73" spans="1:52" ht="19.5" customHeight="1">
      <c r="A73" s="3098"/>
      <c r="B73" s="3102"/>
      <c r="C73" s="3102"/>
      <c r="D73" s="3087">
        <f>SUMIF(Pfl_Schutz!$E$4:$E$77,A73,Pfl_Schutz!$H$4:$H$77)</f>
        <v>0</v>
      </c>
      <c r="E73" s="3089" t="str">
        <f t="shared" ref="E73" si="52">IF(SUM(B73:C74)=0,"",IF(F73&lt;0,"negativer Lagerstand nicht möglich - überprüfen Sie die Eingabewerte auf Vollständigkeit",IF(F73=0,"Produkt aufgebraucht, Lagerstand 0",F73)))</f>
        <v/>
      </c>
      <c r="F73" s="3091">
        <f t="shared" ref="F73" si="53">IF(SUM(B73:C74)&gt;0,IF(ISBLANK(A73),"",B73+C73-D73),0)</f>
        <v>0</v>
      </c>
      <c r="G73" s="3095"/>
      <c r="H73" s="3096"/>
      <c r="I73" s="3097"/>
      <c r="R73" s="2195">
        <f>Pfl_Schutz!E73</f>
        <v>0</v>
      </c>
      <c r="S73" s="2202">
        <f>COUNTIF($R$4:PFL_Schutz_Drop_Down56[[#This Row],[Produktname]],PFL_Schutz_Drop_Down56[[#This Row],[Produktname]])</f>
        <v>70</v>
      </c>
      <c r="T73" s="2203" t="str">
        <f>IFERROR(INDEX(R:R,_xlfn.AGGREGATE(15,6,ROW(PFL_Schutz_Drop_Down56[Produktname])/(PFL_Schutz_Drop_Down56[Auftretend]=1),ROW()-3)),"")</f>
        <v/>
      </c>
      <c r="U73" s="2198" t="str">
        <f>IF(COUNTIF($A$17:$A$76,PFL_Schutz_Drop_Down56[[#This Row],[Produktname eindeutig]])&gt;=1,"",ROW())</f>
        <v/>
      </c>
      <c r="V73" s="2198" t="str">
        <f t="shared" si="47"/>
        <v/>
      </c>
      <c r="W73" s="2199" t="str">
        <f>IFERROR(INDEX(PFL_Schutz_Drop_Down56[noch nicht gewählt],_xlfn.AGGREGATE(15,6,ROW(PFL_Schutz_Drop_Down56[noch nicht gewählt])-3/(--(SEARCH($A$17,PFL_Schutz_Drop_Down56[noch nicht gewählt])&gt;0)),ROW()-3)),"")</f>
        <v/>
      </c>
      <c r="X73" s="2175" t="str">
        <f>IFERROR(INDEX(PFL_Schutz_Drop_Down56[noch nicht gewählt],_xlfn.AGGREGATE(15,6,ROW(PFL_Schutz_Drop_Down56[noch nicht gewählt])-3/(--(SEARCH($A$19,PFL_Schutz_Drop_Down56[noch nicht gewählt])&gt;0)),ROW()-3)),"")</f>
        <v/>
      </c>
      <c r="Y73" s="2175" t="str">
        <f>IFERROR(INDEX(PFL_Schutz_Drop_Down56[noch nicht gewählt],_xlfn.AGGREGATE(15,6,ROW(PFL_Schutz_Drop_Down56[noch nicht gewählt])-3/(--(SEARCH($A$21,PFL_Schutz_Drop_Down56[noch nicht gewählt])&gt;0)),ROW()-3)),"")</f>
        <v/>
      </c>
      <c r="Z73" s="2200" t="str">
        <f>IFERROR(INDEX(PFL_Schutz_Drop_Down56[noch nicht gewählt],_xlfn.AGGREGATE(15,6,ROW(PFL_Schutz_Drop_Down56[noch nicht gewählt])-3/(--(SEARCH($A$23,PFL_Schutz_Drop_Down56[noch nicht gewählt])&gt;0)),ROW()-3)),"")</f>
        <v/>
      </c>
      <c r="AA73" s="2200" t="str">
        <f>IFERROR(INDEX(PFL_Schutz_Drop_Down56[noch nicht gewählt],_xlfn.AGGREGATE(15,6,ROW(PFL_Schutz_Drop_Down56[noch nicht gewählt])-3/(--(SEARCH($A$25,PFL_Schutz_Drop_Down56[noch nicht gewählt])&gt;0)),ROW()-3)),"")</f>
        <v/>
      </c>
      <c r="AB73" s="2200" t="str">
        <f>IFERROR(INDEX(PFL_Schutz_Drop_Down56[noch nicht gewählt],_xlfn.AGGREGATE(15,6,ROW(PFL_Schutz_Drop_Down56[noch nicht gewählt])-3/(--(SEARCH($A$27,PFL_Schutz_Drop_Down56[noch nicht gewählt])&gt;0)),ROW()-3)),"")</f>
        <v/>
      </c>
      <c r="AC73" s="2200" t="str">
        <f>IFERROR(INDEX(PFL_Schutz_Drop_Down56[noch nicht gewählt],_xlfn.AGGREGATE(15,6,ROW(PFL_Schutz_Drop_Down56[noch nicht gewählt])-3/(--(SEARCH($A$29,PFL_Schutz_Drop_Down56[noch nicht gewählt])&gt;0)),ROW()-3)),"")</f>
        <v/>
      </c>
      <c r="AD73" s="2200" t="str">
        <f>IFERROR(INDEX(PFL_Schutz_Drop_Down56[noch nicht gewählt],_xlfn.AGGREGATE(15,6,ROW(PFL_Schutz_Drop_Down56[noch nicht gewählt])-3/(--(SEARCH($A$31,PFL_Schutz_Drop_Down56[noch nicht gewählt])&gt;0)),ROW()-3)),"")</f>
        <v/>
      </c>
      <c r="AE73" s="2200" t="str">
        <f>IFERROR(INDEX(PFL_Schutz_Drop_Down56[noch nicht gewählt],_xlfn.AGGREGATE(15,6,ROW(PFL_Schutz_Drop_Down56[noch nicht gewählt])-3/(--(SEARCH($A$33,PFL_Schutz_Drop_Down56[noch nicht gewählt])&gt;0)),ROW()-3)),"")</f>
        <v/>
      </c>
      <c r="AF73" s="2200" t="str">
        <f>IFERROR(INDEX(PFL_Schutz_Drop_Down56[noch nicht gewählt],_xlfn.AGGREGATE(15,6,ROW(PFL_Schutz_Drop_Down56[noch nicht gewählt])-3/(--(SEARCH($A$35,PFL_Schutz_Drop_Down56[noch nicht gewählt])&gt;0)),ROW()-3)),"")</f>
        <v/>
      </c>
      <c r="AG73" s="2200" t="str">
        <f>IFERROR(INDEX(PFL_Schutz_Drop_Down56[noch nicht gewählt],_xlfn.AGGREGATE(15,6,ROW(PFL_Schutz_Drop_Down56[noch nicht gewählt])-3/(--(SEARCH($A$37,PFL_Schutz_Drop_Down56[noch nicht gewählt])&gt;0)),ROW()-3)),"")</f>
        <v/>
      </c>
      <c r="AH73" s="2200" t="str">
        <f>IFERROR(INDEX(PFL_Schutz_Drop_Down56[noch nicht gewählt],_xlfn.AGGREGATE(15,6,ROW(PFL_Schutz_Drop_Down56[noch nicht gewählt])-3/(--(SEARCH($A$39,PFL_Schutz_Drop_Down56[noch nicht gewählt])&gt;0)),ROW()-3)),"")</f>
        <v/>
      </c>
      <c r="AI73" s="2200" t="str">
        <f>IFERROR(INDEX(PFL_Schutz_Drop_Down56[noch nicht gewählt],_xlfn.AGGREGATE(15,6,ROW(PFL_Schutz_Drop_Down56[noch nicht gewählt])-3/(--(SEARCH($A$41,PFL_Schutz_Drop_Down56[noch nicht gewählt])&gt;0)),ROW()-3)),"")</f>
        <v/>
      </c>
      <c r="AJ73" s="2200" t="str">
        <f>IFERROR(INDEX(PFL_Schutz_Drop_Down56[noch nicht gewählt],_xlfn.AGGREGATE(15,6,ROW(PFL_Schutz_Drop_Down56[noch nicht gewählt])-3/(--(SEARCH($A$43,PFL_Schutz_Drop_Down56[noch nicht gewählt])&gt;0)),ROW()-3)),"")</f>
        <v/>
      </c>
      <c r="AK73" s="2200" t="str">
        <f>IFERROR(INDEX(PFL_Schutz_Drop_Down56[noch nicht gewählt],_xlfn.AGGREGATE(15,6,ROW(PFL_Schutz_Drop_Down56[noch nicht gewählt])-3/(--(SEARCH($A$45,PFL_Schutz_Drop_Down56[noch nicht gewählt])&gt;0)),ROW()-3)),"")</f>
        <v/>
      </c>
      <c r="AL73" s="2200" t="str">
        <f>IFERROR(INDEX(PFL_Schutz_Drop_Down56[noch nicht gewählt],_xlfn.AGGREGATE(15,6,ROW(PFL_Schutz_Drop_Down56[noch nicht gewählt])-3/(--(SEARCH($A$47,PFL_Schutz_Drop_Down56[noch nicht gewählt])&gt;0)),ROW()-3)),"")</f>
        <v/>
      </c>
      <c r="AM73" s="2200" t="str">
        <f>IFERROR(INDEX(PFL_Schutz_Drop_Down56[noch nicht gewählt],_xlfn.AGGREGATE(15,6,ROW(PFL_Schutz_Drop_Down56[noch nicht gewählt])-3/(--(SEARCH($A$49,PFL_Schutz_Drop_Down56[noch nicht gewählt])&gt;0)),ROW()-3)),"")</f>
        <v/>
      </c>
      <c r="AN73" s="2200" t="str">
        <f>IFERROR(INDEX(PFL_Schutz_Drop_Down56[noch nicht gewählt],_xlfn.AGGREGATE(15,6,ROW(PFL_Schutz_Drop_Down56[noch nicht gewählt])-3/(--(SEARCH($A$51,PFL_Schutz_Drop_Down56[noch nicht gewählt])&gt;0)),ROW()-3)),"")</f>
        <v/>
      </c>
      <c r="AO73" s="2200" t="str">
        <f>IFERROR(INDEX(PFL_Schutz_Drop_Down56[noch nicht gewählt],_xlfn.AGGREGATE(15,6,ROW(PFL_Schutz_Drop_Down56[noch nicht gewählt])-3/(--(SEARCH($A$53,PFL_Schutz_Drop_Down56[noch nicht gewählt])&gt;0)),ROW()-3)),"")</f>
        <v/>
      </c>
      <c r="AP73" s="2200" t="str">
        <f>IFERROR(INDEX(PFL_Schutz_Drop_Down56[noch nicht gewählt],_xlfn.AGGREGATE(15,6,ROW(PFL_Schutz_Drop_Down56[noch nicht gewählt])-3/(--(SEARCH($A$55,PFL_Schutz_Drop_Down56[noch nicht gewählt])&gt;0)),ROW()-3)),"")</f>
        <v/>
      </c>
      <c r="AQ73" s="2200" t="str">
        <f>IFERROR(INDEX(PFL_Schutz_Drop_Down56[noch nicht gewählt],_xlfn.AGGREGATE(15,6,ROW(PFL_Schutz_Drop_Down56[noch nicht gewählt])-3/(--(SEARCH($A$57,PFL_Schutz_Drop_Down56[noch nicht gewählt])&gt;0)),ROW()-3)),"")</f>
        <v/>
      </c>
      <c r="AR73" s="2200" t="str">
        <f>IFERROR(INDEX(PFL_Schutz_Drop_Down56[noch nicht gewählt],_xlfn.AGGREGATE(15,6,ROW(PFL_Schutz_Drop_Down56[noch nicht gewählt])-3/(--(SEARCH($A$59,PFL_Schutz_Drop_Down56[noch nicht gewählt])&gt;0)),ROW()-3)),"")</f>
        <v/>
      </c>
      <c r="AS73" s="2200" t="str">
        <f>IFERROR(INDEX(PFL_Schutz_Drop_Down56[noch nicht gewählt],_xlfn.AGGREGATE(15,6,ROW(PFL_Schutz_Drop_Down56[noch nicht gewählt])-3/(--(SEARCH($A$61,PFL_Schutz_Drop_Down56[noch nicht gewählt])&gt;0)),ROW()-3)),"")</f>
        <v/>
      </c>
      <c r="AT73" s="2200" t="str">
        <f>IFERROR(INDEX(PFL_Schutz_Drop_Down56[noch nicht gewählt],_xlfn.AGGREGATE(15,6,ROW(PFL_Schutz_Drop_Down56[noch nicht gewählt])-3/(--(SEARCH($A$63,PFL_Schutz_Drop_Down56[noch nicht gewählt])&gt;0)),ROW()-3)),"")</f>
        <v/>
      </c>
      <c r="AU73" s="2200" t="str">
        <f>IFERROR(INDEX(PFL_Schutz_Drop_Down56[noch nicht gewählt],_xlfn.AGGREGATE(15,6,ROW(PFL_Schutz_Drop_Down56[noch nicht gewählt])-3/(--(SEARCH($A$65,PFL_Schutz_Drop_Down56[noch nicht gewählt])&gt;0)),ROW()-3)),"")</f>
        <v/>
      </c>
      <c r="AV73" s="2200" t="str">
        <f>IFERROR(INDEX(PFL_Schutz_Drop_Down56[noch nicht gewählt],_xlfn.AGGREGATE(15,6,ROW(PFL_Schutz_Drop_Down56[noch nicht gewählt])-3/(--(SEARCH($A$67,PFL_Schutz_Drop_Down56[noch nicht gewählt])&gt;0)),ROW()-3)),"")</f>
        <v/>
      </c>
      <c r="AW73" s="2200" t="str">
        <f>IFERROR(INDEX(PFL_Schutz_Drop_Down56[noch nicht gewählt],_xlfn.AGGREGATE(15,6,ROW(PFL_Schutz_Drop_Down56[noch nicht gewählt])-3/(--(SEARCH($A$69,PFL_Schutz_Drop_Down56[noch nicht gewählt])&gt;0)),ROW()-3)),"")</f>
        <v/>
      </c>
      <c r="AX73" s="2200" t="str">
        <f>IFERROR(INDEX(PFL_Schutz_Drop_Down56[noch nicht gewählt],_xlfn.AGGREGATE(15,6,ROW(PFL_Schutz_Drop_Down56[noch nicht gewählt])-3/(--(SEARCH($A$71,PFL_Schutz_Drop_Down56[noch nicht gewählt])&gt;0)),ROW()-3)),"")</f>
        <v/>
      </c>
      <c r="AY73" s="2200" t="str">
        <f>IFERROR(INDEX(PFL_Schutz_Drop_Down56[noch nicht gewählt],_xlfn.AGGREGATE(15,6,ROW(PFL_Schutz_Drop_Down56[noch nicht gewählt])-3/(--(SEARCH($A$73,PFL_Schutz_Drop_Down56[noch nicht gewählt])&gt;0)),ROW()-3)),"")</f>
        <v/>
      </c>
      <c r="AZ73" s="2201" t="str">
        <f>IFERROR(INDEX(PFL_Schutz_Drop_Down56[noch nicht gewählt],_xlfn.AGGREGATE(15,6,ROW(PFL_Schutz_Drop_Down56[noch nicht gewählt])-3/(--(SEARCH($A$75,PFL_Schutz_Drop_Down56[noch nicht gewählt])&gt;0)),ROW()-3)),"")</f>
        <v/>
      </c>
    </row>
    <row r="74" spans="1:52" ht="19.5" customHeight="1">
      <c r="A74" s="3104"/>
      <c r="B74" s="3103"/>
      <c r="C74" s="3103"/>
      <c r="D74" s="3087"/>
      <c r="E74" s="3089"/>
      <c r="F74" s="3091"/>
      <c r="G74" s="3095"/>
      <c r="H74" s="3096"/>
      <c r="I74" s="3097"/>
      <c r="R74" s="2195">
        <f>Pfl_Schutz!E74</f>
        <v>0</v>
      </c>
      <c r="S74" s="2202">
        <f>COUNTIF($R$4:PFL_Schutz_Drop_Down56[[#This Row],[Produktname]],PFL_Schutz_Drop_Down56[[#This Row],[Produktname]])</f>
        <v>71</v>
      </c>
      <c r="T74" s="2203" t="str">
        <f>IFERROR(INDEX(R:R,_xlfn.AGGREGATE(15,6,ROW(PFL_Schutz_Drop_Down56[Produktname])/(PFL_Schutz_Drop_Down56[Auftretend]=1),ROW()-3)),"")</f>
        <v/>
      </c>
      <c r="U74" s="2198" t="str">
        <f>IF(COUNTIF($A$17:$A$76,PFL_Schutz_Drop_Down56[[#This Row],[Produktname eindeutig]])&gt;=1,"",ROW())</f>
        <v/>
      </c>
      <c r="V74" s="2198" t="str">
        <f t="shared" si="47"/>
        <v/>
      </c>
      <c r="W74" s="2199" t="str">
        <f>IFERROR(INDEX(PFL_Schutz_Drop_Down56[noch nicht gewählt],_xlfn.AGGREGATE(15,6,ROW(PFL_Schutz_Drop_Down56[noch nicht gewählt])-3/(--(SEARCH($A$17,PFL_Schutz_Drop_Down56[noch nicht gewählt])&gt;0)),ROW()-3)),"")</f>
        <v/>
      </c>
      <c r="X74" s="2175" t="str">
        <f>IFERROR(INDEX(PFL_Schutz_Drop_Down56[noch nicht gewählt],_xlfn.AGGREGATE(15,6,ROW(PFL_Schutz_Drop_Down56[noch nicht gewählt])-3/(--(SEARCH($A$19,PFL_Schutz_Drop_Down56[noch nicht gewählt])&gt;0)),ROW()-3)),"")</f>
        <v/>
      </c>
      <c r="Y74" s="2175" t="str">
        <f>IFERROR(INDEX(PFL_Schutz_Drop_Down56[noch nicht gewählt],_xlfn.AGGREGATE(15,6,ROW(PFL_Schutz_Drop_Down56[noch nicht gewählt])-3/(--(SEARCH($A$21,PFL_Schutz_Drop_Down56[noch nicht gewählt])&gt;0)),ROW()-3)),"")</f>
        <v/>
      </c>
      <c r="Z74" s="2200" t="str">
        <f>IFERROR(INDEX(PFL_Schutz_Drop_Down56[noch nicht gewählt],_xlfn.AGGREGATE(15,6,ROW(PFL_Schutz_Drop_Down56[noch nicht gewählt])-3/(--(SEARCH($A$23,PFL_Schutz_Drop_Down56[noch nicht gewählt])&gt;0)),ROW()-3)),"")</f>
        <v/>
      </c>
      <c r="AA74" s="2200" t="str">
        <f>IFERROR(INDEX(PFL_Schutz_Drop_Down56[noch nicht gewählt],_xlfn.AGGREGATE(15,6,ROW(PFL_Schutz_Drop_Down56[noch nicht gewählt])-3/(--(SEARCH($A$25,PFL_Schutz_Drop_Down56[noch nicht gewählt])&gt;0)),ROW()-3)),"")</f>
        <v/>
      </c>
      <c r="AB74" s="2200" t="str">
        <f>IFERROR(INDEX(PFL_Schutz_Drop_Down56[noch nicht gewählt],_xlfn.AGGREGATE(15,6,ROW(PFL_Schutz_Drop_Down56[noch nicht gewählt])-3/(--(SEARCH($A$27,PFL_Schutz_Drop_Down56[noch nicht gewählt])&gt;0)),ROW()-3)),"")</f>
        <v/>
      </c>
      <c r="AC74" s="2200" t="str">
        <f>IFERROR(INDEX(PFL_Schutz_Drop_Down56[noch nicht gewählt],_xlfn.AGGREGATE(15,6,ROW(PFL_Schutz_Drop_Down56[noch nicht gewählt])-3/(--(SEARCH($A$29,PFL_Schutz_Drop_Down56[noch nicht gewählt])&gt;0)),ROW()-3)),"")</f>
        <v/>
      </c>
      <c r="AD74" s="2200" t="str">
        <f>IFERROR(INDEX(PFL_Schutz_Drop_Down56[noch nicht gewählt],_xlfn.AGGREGATE(15,6,ROW(PFL_Schutz_Drop_Down56[noch nicht gewählt])-3/(--(SEARCH($A$31,PFL_Schutz_Drop_Down56[noch nicht gewählt])&gt;0)),ROW()-3)),"")</f>
        <v/>
      </c>
      <c r="AE74" s="2200" t="str">
        <f>IFERROR(INDEX(PFL_Schutz_Drop_Down56[noch nicht gewählt],_xlfn.AGGREGATE(15,6,ROW(PFL_Schutz_Drop_Down56[noch nicht gewählt])-3/(--(SEARCH($A$33,PFL_Schutz_Drop_Down56[noch nicht gewählt])&gt;0)),ROW()-3)),"")</f>
        <v/>
      </c>
      <c r="AF74" s="2200" t="str">
        <f>IFERROR(INDEX(PFL_Schutz_Drop_Down56[noch nicht gewählt],_xlfn.AGGREGATE(15,6,ROW(PFL_Schutz_Drop_Down56[noch nicht gewählt])-3/(--(SEARCH($A$35,PFL_Schutz_Drop_Down56[noch nicht gewählt])&gt;0)),ROW()-3)),"")</f>
        <v/>
      </c>
      <c r="AG74" s="2200" t="str">
        <f>IFERROR(INDEX(PFL_Schutz_Drop_Down56[noch nicht gewählt],_xlfn.AGGREGATE(15,6,ROW(PFL_Schutz_Drop_Down56[noch nicht gewählt])-3/(--(SEARCH($A$37,PFL_Schutz_Drop_Down56[noch nicht gewählt])&gt;0)),ROW()-3)),"")</f>
        <v/>
      </c>
      <c r="AH74" s="2200" t="str">
        <f>IFERROR(INDEX(PFL_Schutz_Drop_Down56[noch nicht gewählt],_xlfn.AGGREGATE(15,6,ROW(PFL_Schutz_Drop_Down56[noch nicht gewählt])-3/(--(SEARCH($A$39,PFL_Schutz_Drop_Down56[noch nicht gewählt])&gt;0)),ROW()-3)),"")</f>
        <v/>
      </c>
      <c r="AI74" s="2200" t="str">
        <f>IFERROR(INDEX(PFL_Schutz_Drop_Down56[noch nicht gewählt],_xlfn.AGGREGATE(15,6,ROW(PFL_Schutz_Drop_Down56[noch nicht gewählt])-3/(--(SEARCH($A$41,PFL_Schutz_Drop_Down56[noch nicht gewählt])&gt;0)),ROW()-3)),"")</f>
        <v/>
      </c>
      <c r="AJ74" s="2200" t="str">
        <f>IFERROR(INDEX(PFL_Schutz_Drop_Down56[noch nicht gewählt],_xlfn.AGGREGATE(15,6,ROW(PFL_Schutz_Drop_Down56[noch nicht gewählt])-3/(--(SEARCH($A$43,PFL_Schutz_Drop_Down56[noch nicht gewählt])&gt;0)),ROW()-3)),"")</f>
        <v/>
      </c>
      <c r="AK74" s="2200" t="str">
        <f>IFERROR(INDEX(PFL_Schutz_Drop_Down56[noch nicht gewählt],_xlfn.AGGREGATE(15,6,ROW(PFL_Schutz_Drop_Down56[noch nicht gewählt])-3/(--(SEARCH($A$45,PFL_Schutz_Drop_Down56[noch nicht gewählt])&gt;0)),ROW()-3)),"")</f>
        <v/>
      </c>
      <c r="AL74" s="2200" t="str">
        <f>IFERROR(INDEX(PFL_Schutz_Drop_Down56[noch nicht gewählt],_xlfn.AGGREGATE(15,6,ROW(PFL_Schutz_Drop_Down56[noch nicht gewählt])-3/(--(SEARCH($A$47,PFL_Schutz_Drop_Down56[noch nicht gewählt])&gt;0)),ROW()-3)),"")</f>
        <v/>
      </c>
      <c r="AM74" s="2200" t="str">
        <f>IFERROR(INDEX(PFL_Schutz_Drop_Down56[noch nicht gewählt],_xlfn.AGGREGATE(15,6,ROW(PFL_Schutz_Drop_Down56[noch nicht gewählt])-3/(--(SEARCH($A$49,PFL_Schutz_Drop_Down56[noch nicht gewählt])&gt;0)),ROW()-3)),"")</f>
        <v/>
      </c>
      <c r="AN74" s="2200" t="str">
        <f>IFERROR(INDEX(PFL_Schutz_Drop_Down56[noch nicht gewählt],_xlfn.AGGREGATE(15,6,ROW(PFL_Schutz_Drop_Down56[noch nicht gewählt])-3/(--(SEARCH($A$51,PFL_Schutz_Drop_Down56[noch nicht gewählt])&gt;0)),ROW()-3)),"")</f>
        <v/>
      </c>
      <c r="AO74" s="2200" t="str">
        <f>IFERROR(INDEX(PFL_Schutz_Drop_Down56[noch nicht gewählt],_xlfn.AGGREGATE(15,6,ROW(PFL_Schutz_Drop_Down56[noch nicht gewählt])-3/(--(SEARCH($A$53,PFL_Schutz_Drop_Down56[noch nicht gewählt])&gt;0)),ROW()-3)),"")</f>
        <v/>
      </c>
      <c r="AP74" s="2200" t="str">
        <f>IFERROR(INDEX(PFL_Schutz_Drop_Down56[noch nicht gewählt],_xlfn.AGGREGATE(15,6,ROW(PFL_Schutz_Drop_Down56[noch nicht gewählt])-3/(--(SEARCH($A$55,PFL_Schutz_Drop_Down56[noch nicht gewählt])&gt;0)),ROW()-3)),"")</f>
        <v/>
      </c>
      <c r="AQ74" s="2200" t="str">
        <f>IFERROR(INDEX(PFL_Schutz_Drop_Down56[noch nicht gewählt],_xlfn.AGGREGATE(15,6,ROW(PFL_Schutz_Drop_Down56[noch nicht gewählt])-3/(--(SEARCH($A$57,PFL_Schutz_Drop_Down56[noch nicht gewählt])&gt;0)),ROW()-3)),"")</f>
        <v/>
      </c>
      <c r="AR74" s="2200" t="str">
        <f>IFERROR(INDEX(PFL_Schutz_Drop_Down56[noch nicht gewählt],_xlfn.AGGREGATE(15,6,ROW(PFL_Schutz_Drop_Down56[noch nicht gewählt])-3/(--(SEARCH($A$59,PFL_Schutz_Drop_Down56[noch nicht gewählt])&gt;0)),ROW()-3)),"")</f>
        <v/>
      </c>
      <c r="AS74" s="2200" t="str">
        <f>IFERROR(INDEX(PFL_Schutz_Drop_Down56[noch nicht gewählt],_xlfn.AGGREGATE(15,6,ROW(PFL_Schutz_Drop_Down56[noch nicht gewählt])-3/(--(SEARCH($A$61,PFL_Schutz_Drop_Down56[noch nicht gewählt])&gt;0)),ROW()-3)),"")</f>
        <v/>
      </c>
      <c r="AT74" s="2200" t="str">
        <f>IFERROR(INDEX(PFL_Schutz_Drop_Down56[noch nicht gewählt],_xlfn.AGGREGATE(15,6,ROW(PFL_Schutz_Drop_Down56[noch nicht gewählt])-3/(--(SEARCH($A$63,PFL_Schutz_Drop_Down56[noch nicht gewählt])&gt;0)),ROW()-3)),"")</f>
        <v/>
      </c>
      <c r="AU74" s="2200" t="str">
        <f>IFERROR(INDEX(PFL_Schutz_Drop_Down56[noch nicht gewählt],_xlfn.AGGREGATE(15,6,ROW(PFL_Schutz_Drop_Down56[noch nicht gewählt])-3/(--(SEARCH($A$65,PFL_Schutz_Drop_Down56[noch nicht gewählt])&gt;0)),ROW()-3)),"")</f>
        <v/>
      </c>
      <c r="AV74" s="2200" t="str">
        <f>IFERROR(INDEX(PFL_Schutz_Drop_Down56[noch nicht gewählt],_xlfn.AGGREGATE(15,6,ROW(PFL_Schutz_Drop_Down56[noch nicht gewählt])-3/(--(SEARCH($A$67,PFL_Schutz_Drop_Down56[noch nicht gewählt])&gt;0)),ROW()-3)),"")</f>
        <v/>
      </c>
      <c r="AW74" s="2200" t="str">
        <f>IFERROR(INDEX(PFL_Schutz_Drop_Down56[noch nicht gewählt],_xlfn.AGGREGATE(15,6,ROW(PFL_Schutz_Drop_Down56[noch nicht gewählt])-3/(--(SEARCH($A$69,PFL_Schutz_Drop_Down56[noch nicht gewählt])&gt;0)),ROW()-3)),"")</f>
        <v/>
      </c>
      <c r="AX74" s="2200" t="str">
        <f>IFERROR(INDEX(PFL_Schutz_Drop_Down56[noch nicht gewählt],_xlfn.AGGREGATE(15,6,ROW(PFL_Schutz_Drop_Down56[noch nicht gewählt])-3/(--(SEARCH($A$71,PFL_Schutz_Drop_Down56[noch nicht gewählt])&gt;0)),ROW()-3)),"")</f>
        <v/>
      </c>
      <c r="AY74" s="2200" t="str">
        <f>IFERROR(INDEX(PFL_Schutz_Drop_Down56[noch nicht gewählt],_xlfn.AGGREGATE(15,6,ROW(PFL_Schutz_Drop_Down56[noch nicht gewählt])-3/(--(SEARCH($A$73,PFL_Schutz_Drop_Down56[noch nicht gewählt])&gt;0)),ROW()-3)),"")</f>
        <v/>
      </c>
      <c r="AZ74" s="2201" t="str">
        <f>IFERROR(INDEX(PFL_Schutz_Drop_Down56[noch nicht gewählt],_xlfn.AGGREGATE(15,6,ROW(PFL_Schutz_Drop_Down56[noch nicht gewählt])-3/(--(SEARCH($A$75,PFL_Schutz_Drop_Down56[noch nicht gewählt])&gt;0)),ROW()-3)),"")</f>
        <v/>
      </c>
    </row>
    <row r="75" spans="1:52" ht="19.5" customHeight="1">
      <c r="A75" s="3098"/>
      <c r="B75" s="3102"/>
      <c r="C75" s="3102"/>
      <c r="D75" s="3087">
        <f>SUMIF(Pfl_Schutz!$E$4:$E$77,A75,Pfl_Schutz!$H$4:$H$77)</f>
        <v>0</v>
      </c>
      <c r="E75" s="3089" t="str">
        <f t="shared" ref="E75" si="54">IF(SUM(B75:C76)=0,"",IF(F75&lt;0,"negativer Lagerstand nicht möglich - überprüfen Sie die Eingabewerte auf Vollständigkeit",IF(F75=0,"Produkt aufgebraucht, Lagerstand 0",F75)))</f>
        <v/>
      </c>
      <c r="F75" s="3091">
        <f t="shared" ref="F75" si="55">IF(SUM(B75:C76)&gt;0,IF(ISBLANK(A75),"",B75+C75-D75),0)</f>
        <v>0</v>
      </c>
      <c r="G75" s="3095"/>
      <c r="H75" s="3096"/>
      <c r="I75" s="3097"/>
      <c r="R75" s="2195">
        <f>Pfl_Schutz!E75</f>
        <v>0</v>
      </c>
      <c r="S75" s="2202">
        <f>COUNTIF($R$4:PFL_Schutz_Drop_Down56[[#This Row],[Produktname]],PFL_Schutz_Drop_Down56[[#This Row],[Produktname]])</f>
        <v>72</v>
      </c>
      <c r="T75" s="2203" t="str">
        <f>IFERROR(INDEX(R:R,_xlfn.AGGREGATE(15,6,ROW(PFL_Schutz_Drop_Down56[Produktname])/(PFL_Schutz_Drop_Down56[Auftretend]=1),ROW()-3)),"")</f>
        <v/>
      </c>
      <c r="U75" s="2198" t="str">
        <f>IF(COUNTIF($A$17:$A$76,PFL_Schutz_Drop_Down56[[#This Row],[Produktname eindeutig]])&gt;=1,"",ROW())</f>
        <v/>
      </c>
      <c r="V75" s="2198" t="str">
        <f t="shared" si="47"/>
        <v/>
      </c>
      <c r="W75" s="2199" t="str">
        <f>IFERROR(INDEX(PFL_Schutz_Drop_Down56[noch nicht gewählt],_xlfn.AGGREGATE(15,6,ROW(PFL_Schutz_Drop_Down56[noch nicht gewählt])-3/(--(SEARCH($A$17,PFL_Schutz_Drop_Down56[noch nicht gewählt])&gt;0)),ROW()-3)),"")</f>
        <v/>
      </c>
      <c r="X75" s="2175" t="str">
        <f>IFERROR(INDEX(PFL_Schutz_Drop_Down56[noch nicht gewählt],_xlfn.AGGREGATE(15,6,ROW(PFL_Schutz_Drop_Down56[noch nicht gewählt])-3/(--(SEARCH($A$19,PFL_Schutz_Drop_Down56[noch nicht gewählt])&gt;0)),ROW()-3)),"")</f>
        <v/>
      </c>
      <c r="Y75" s="2175" t="str">
        <f>IFERROR(INDEX(PFL_Schutz_Drop_Down56[noch nicht gewählt],_xlfn.AGGREGATE(15,6,ROW(PFL_Schutz_Drop_Down56[noch nicht gewählt])-3/(--(SEARCH($A$21,PFL_Schutz_Drop_Down56[noch nicht gewählt])&gt;0)),ROW()-3)),"")</f>
        <v/>
      </c>
      <c r="Z75" s="2200" t="str">
        <f>IFERROR(INDEX(PFL_Schutz_Drop_Down56[noch nicht gewählt],_xlfn.AGGREGATE(15,6,ROW(PFL_Schutz_Drop_Down56[noch nicht gewählt])-3/(--(SEARCH($A$23,PFL_Schutz_Drop_Down56[noch nicht gewählt])&gt;0)),ROW()-3)),"")</f>
        <v/>
      </c>
      <c r="AA75" s="2200" t="str">
        <f>IFERROR(INDEX(PFL_Schutz_Drop_Down56[noch nicht gewählt],_xlfn.AGGREGATE(15,6,ROW(PFL_Schutz_Drop_Down56[noch nicht gewählt])-3/(--(SEARCH($A$25,PFL_Schutz_Drop_Down56[noch nicht gewählt])&gt;0)),ROW()-3)),"")</f>
        <v/>
      </c>
      <c r="AB75" s="2200" t="str">
        <f>IFERROR(INDEX(PFL_Schutz_Drop_Down56[noch nicht gewählt],_xlfn.AGGREGATE(15,6,ROW(PFL_Schutz_Drop_Down56[noch nicht gewählt])-3/(--(SEARCH($A$27,PFL_Schutz_Drop_Down56[noch nicht gewählt])&gt;0)),ROW()-3)),"")</f>
        <v/>
      </c>
      <c r="AC75" s="2200" t="str">
        <f>IFERROR(INDEX(PFL_Schutz_Drop_Down56[noch nicht gewählt],_xlfn.AGGREGATE(15,6,ROW(PFL_Schutz_Drop_Down56[noch nicht gewählt])-3/(--(SEARCH($A$29,PFL_Schutz_Drop_Down56[noch nicht gewählt])&gt;0)),ROW()-3)),"")</f>
        <v/>
      </c>
      <c r="AD75" s="2200" t="str">
        <f>IFERROR(INDEX(PFL_Schutz_Drop_Down56[noch nicht gewählt],_xlfn.AGGREGATE(15,6,ROW(PFL_Schutz_Drop_Down56[noch nicht gewählt])-3/(--(SEARCH($A$31,PFL_Schutz_Drop_Down56[noch nicht gewählt])&gt;0)),ROW()-3)),"")</f>
        <v/>
      </c>
      <c r="AE75" s="2200" t="str">
        <f>IFERROR(INDEX(PFL_Schutz_Drop_Down56[noch nicht gewählt],_xlfn.AGGREGATE(15,6,ROW(PFL_Schutz_Drop_Down56[noch nicht gewählt])-3/(--(SEARCH($A$33,PFL_Schutz_Drop_Down56[noch nicht gewählt])&gt;0)),ROW()-3)),"")</f>
        <v/>
      </c>
      <c r="AF75" s="2200" t="str">
        <f>IFERROR(INDEX(PFL_Schutz_Drop_Down56[noch nicht gewählt],_xlfn.AGGREGATE(15,6,ROW(PFL_Schutz_Drop_Down56[noch nicht gewählt])-3/(--(SEARCH($A$35,PFL_Schutz_Drop_Down56[noch nicht gewählt])&gt;0)),ROW()-3)),"")</f>
        <v/>
      </c>
      <c r="AG75" s="2200" t="str">
        <f>IFERROR(INDEX(PFL_Schutz_Drop_Down56[noch nicht gewählt],_xlfn.AGGREGATE(15,6,ROW(PFL_Schutz_Drop_Down56[noch nicht gewählt])-3/(--(SEARCH($A$37,PFL_Schutz_Drop_Down56[noch nicht gewählt])&gt;0)),ROW()-3)),"")</f>
        <v/>
      </c>
      <c r="AH75" s="2200" t="str">
        <f>IFERROR(INDEX(PFL_Schutz_Drop_Down56[noch nicht gewählt],_xlfn.AGGREGATE(15,6,ROW(PFL_Schutz_Drop_Down56[noch nicht gewählt])-3/(--(SEARCH($A$39,PFL_Schutz_Drop_Down56[noch nicht gewählt])&gt;0)),ROW()-3)),"")</f>
        <v/>
      </c>
      <c r="AI75" s="2200" t="str">
        <f>IFERROR(INDEX(PFL_Schutz_Drop_Down56[noch nicht gewählt],_xlfn.AGGREGATE(15,6,ROW(PFL_Schutz_Drop_Down56[noch nicht gewählt])-3/(--(SEARCH($A$41,PFL_Schutz_Drop_Down56[noch nicht gewählt])&gt;0)),ROW()-3)),"")</f>
        <v/>
      </c>
      <c r="AJ75" s="2200" t="str">
        <f>IFERROR(INDEX(PFL_Schutz_Drop_Down56[noch nicht gewählt],_xlfn.AGGREGATE(15,6,ROW(PFL_Schutz_Drop_Down56[noch nicht gewählt])-3/(--(SEARCH($A$43,PFL_Schutz_Drop_Down56[noch nicht gewählt])&gt;0)),ROW()-3)),"")</f>
        <v/>
      </c>
      <c r="AK75" s="2200" t="str">
        <f>IFERROR(INDEX(PFL_Schutz_Drop_Down56[noch nicht gewählt],_xlfn.AGGREGATE(15,6,ROW(PFL_Schutz_Drop_Down56[noch nicht gewählt])-3/(--(SEARCH($A$45,PFL_Schutz_Drop_Down56[noch nicht gewählt])&gt;0)),ROW()-3)),"")</f>
        <v/>
      </c>
      <c r="AL75" s="2200" t="str">
        <f>IFERROR(INDEX(PFL_Schutz_Drop_Down56[noch nicht gewählt],_xlfn.AGGREGATE(15,6,ROW(PFL_Schutz_Drop_Down56[noch nicht gewählt])-3/(--(SEARCH($A$47,PFL_Schutz_Drop_Down56[noch nicht gewählt])&gt;0)),ROW()-3)),"")</f>
        <v/>
      </c>
      <c r="AM75" s="2200" t="str">
        <f>IFERROR(INDEX(PFL_Schutz_Drop_Down56[noch nicht gewählt],_xlfn.AGGREGATE(15,6,ROW(PFL_Schutz_Drop_Down56[noch nicht gewählt])-3/(--(SEARCH($A$49,PFL_Schutz_Drop_Down56[noch nicht gewählt])&gt;0)),ROW()-3)),"")</f>
        <v/>
      </c>
      <c r="AN75" s="2200" t="str">
        <f>IFERROR(INDEX(PFL_Schutz_Drop_Down56[noch nicht gewählt],_xlfn.AGGREGATE(15,6,ROW(PFL_Schutz_Drop_Down56[noch nicht gewählt])-3/(--(SEARCH($A$51,PFL_Schutz_Drop_Down56[noch nicht gewählt])&gt;0)),ROW()-3)),"")</f>
        <v/>
      </c>
      <c r="AO75" s="2200" t="str">
        <f>IFERROR(INDEX(PFL_Schutz_Drop_Down56[noch nicht gewählt],_xlfn.AGGREGATE(15,6,ROW(PFL_Schutz_Drop_Down56[noch nicht gewählt])-3/(--(SEARCH($A$53,PFL_Schutz_Drop_Down56[noch nicht gewählt])&gt;0)),ROW()-3)),"")</f>
        <v/>
      </c>
      <c r="AP75" s="2200" t="str">
        <f>IFERROR(INDEX(PFL_Schutz_Drop_Down56[noch nicht gewählt],_xlfn.AGGREGATE(15,6,ROW(PFL_Schutz_Drop_Down56[noch nicht gewählt])-3/(--(SEARCH($A$55,PFL_Schutz_Drop_Down56[noch nicht gewählt])&gt;0)),ROW()-3)),"")</f>
        <v/>
      </c>
      <c r="AQ75" s="2200" t="str">
        <f>IFERROR(INDEX(PFL_Schutz_Drop_Down56[noch nicht gewählt],_xlfn.AGGREGATE(15,6,ROW(PFL_Schutz_Drop_Down56[noch nicht gewählt])-3/(--(SEARCH($A$57,PFL_Schutz_Drop_Down56[noch nicht gewählt])&gt;0)),ROW()-3)),"")</f>
        <v/>
      </c>
      <c r="AR75" s="2200" t="str">
        <f>IFERROR(INDEX(PFL_Schutz_Drop_Down56[noch nicht gewählt],_xlfn.AGGREGATE(15,6,ROW(PFL_Schutz_Drop_Down56[noch nicht gewählt])-3/(--(SEARCH($A$59,PFL_Schutz_Drop_Down56[noch nicht gewählt])&gt;0)),ROW()-3)),"")</f>
        <v/>
      </c>
      <c r="AS75" s="2200" t="str">
        <f>IFERROR(INDEX(PFL_Schutz_Drop_Down56[noch nicht gewählt],_xlfn.AGGREGATE(15,6,ROW(PFL_Schutz_Drop_Down56[noch nicht gewählt])-3/(--(SEARCH($A$61,PFL_Schutz_Drop_Down56[noch nicht gewählt])&gt;0)),ROW()-3)),"")</f>
        <v/>
      </c>
      <c r="AT75" s="2200" t="str">
        <f>IFERROR(INDEX(PFL_Schutz_Drop_Down56[noch nicht gewählt],_xlfn.AGGREGATE(15,6,ROW(PFL_Schutz_Drop_Down56[noch nicht gewählt])-3/(--(SEARCH($A$63,PFL_Schutz_Drop_Down56[noch nicht gewählt])&gt;0)),ROW()-3)),"")</f>
        <v/>
      </c>
      <c r="AU75" s="2200" t="str">
        <f>IFERROR(INDEX(PFL_Schutz_Drop_Down56[noch nicht gewählt],_xlfn.AGGREGATE(15,6,ROW(PFL_Schutz_Drop_Down56[noch nicht gewählt])-3/(--(SEARCH($A$65,PFL_Schutz_Drop_Down56[noch nicht gewählt])&gt;0)),ROW()-3)),"")</f>
        <v/>
      </c>
      <c r="AV75" s="2200" t="str">
        <f>IFERROR(INDEX(PFL_Schutz_Drop_Down56[noch nicht gewählt],_xlfn.AGGREGATE(15,6,ROW(PFL_Schutz_Drop_Down56[noch nicht gewählt])-3/(--(SEARCH($A$67,PFL_Schutz_Drop_Down56[noch nicht gewählt])&gt;0)),ROW()-3)),"")</f>
        <v/>
      </c>
      <c r="AW75" s="2200" t="str">
        <f>IFERROR(INDEX(PFL_Schutz_Drop_Down56[noch nicht gewählt],_xlfn.AGGREGATE(15,6,ROW(PFL_Schutz_Drop_Down56[noch nicht gewählt])-3/(--(SEARCH($A$69,PFL_Schutz_Drop_Down56[noch nicht gewählt])&gt;0)),ROW()-3)),"")</f>
        <v/>
      </c>
      <c r="AX75" s="2200" t="str">
        <f>IFERROR(INDEX(PFL_Schutz_Drop_Down56[noch nicht gewählt],_xlfn.AGGREGATE(15,6,ROW(PFL_Schutz_Drop_Down56[noch nicht gewählt])-3/(--(SEARCH($A$71,PFL_Schutz_Drop_Down56[noch nicht gewählt])&gt;0)),ROW()-3)),"")</f>
        <v/>
      </c>
      <c r="AY75" s="2200" t="str">
        <f>IFERROR(INDEX(PFL_Schutz_Drop_Down56[noch nicht gewählt],_xlfn.AGGREGATE(15,6,ROW(PFL_Schutz_Drop_Down56[noch nicht gewählt])-3/(--(SEARCH($A$73,PFL_Schutz_Drop_Down56[noch nicht gewählt])&gt;0)),ROW()-3)),"")</f>
        <v/>
      </c>
      <c r="AZ75" s="2201" t="str">
        <f>IFERROR(INDEX(PFL_Schutz_Drop_Down56[noch nicht gewählt],_xlfn.AGGREGATE(15,6,ROW(PFL_Schutz_Drop_Down56[noch nicht gewählt])-3/(--(SEARCH($A$75,PFL_Schutz_Drop_Down56[noch nicht gewählt])&gt;0)),ROW()-3)),"")</f>
        <v/>
      </c>
    </row>
    <row r="76" spans="1:52" ht="19.5" customHeight="1" thickBot="1">
      <c r="A76" s="3110"/>
      <c r="B76" s="3111"/>
      <c r="C76" s="3111"/>
      <c r="D76" s="3112"/>
      <c r="E76" s="3113"/>
      <c r="F76" s="3114"/>
      <c r="G76" s="3107"/>
      <c r="H76" s="3108"/>
      <c r="I76" s="3109"/>
      <c r="R76" s="2195">
        <f>Pfl_Schutz!E76</f>
        <v>0</v>
      </c>
      <c r="S76" s="2202">
        <f>COUNTIF($R$4:PFL_Schutz_Drop_Down56[[#This Row],[Produktname]],PFL_Schutz_Drop_Down56[[#This Row],[Produktname]])</f>
        <v>73</v>
      </c>
      <c r="T76" s="2203" t="str">
        <f>IFERROR(INDEX(R:R,_xlfn.AGGREGATE(15,6,ROW(PFL_Schutz_Drop_Down56[Produktname])/(PFL_Schutz_Drop_Down56[Auftretend]=1),ROW()-3)),"")</f>
        <v/>
      </c>
      <c r="U76" s="2198" t="str">
        <f>IF(COUNTIF($A$17:$A$76,PFL_Schutz_Drop_Down56[[#This Row],[Produktname eindeutig]])&gt;=1,"",ROW())</f>
        <v/>
      </c>
      <c r="V76" s="2198" t="str">
        <f t="shared" si="47"/>
        <v/>
      </c>
      <c r="W76" s="2199" t="str">
        <f>IFERROR(INDEX(PFL_Schutz_Drop_Down56[noch nicht gewählt],_xlfn.AGGREGATE(15,6,ROW(PFL_Schutz_Drop_Down56[noch nicht gewählt])-3/(--(SEARCH($A$17,PFL_Schutz_Drop_Down56[noch nicht gewählt])&gt;0)),ROW()-3)),"")</f>
        <v/>
      </c>
      <c r="X76" s="2175" t="str">
        <f>IFERROR(INDEX(PFL_Schutz_Drop_Down56[noch nicht gewählt],_xlfn.AGGREGATE(15,6,ROW(PFL_Schutz_Drop_Down56[noch nicht gewählt])-3/(--(SEARCH($A$19,PFL_Schutz_Drop_Down56[noch nicht gewählt])&gt;0)),ROW()-3)),"")</f>
        <v/>
      </c>
      <c r="Y76" s="2175" t="str">
        <f>IFERROR(INDEX(PFL_Schutz_Drop_Down56[noch nicht gewählt],_xlfn.AGGREGATE(15,6,ROW(PFL_Schutz_Drop_Down56[noch nicht gewählt])-3/(--(SEARCH($A$21,PFL_Schutz_Drop_Down56[noch nicht gewählt])&gt;0)),ROW()-3)),"")</f>
        <v/>
      </c>
      <c r="Z76" s="2200" t="str">
        <f>IFERROR(INDEX(PFL_Schutz_Drop_Down56[noch nicht gewählt],_xlfn.AGGREGATE(15,6,ROW(PFL_Schutz_Drop_Down56[noch nicht gewählt])-3/(--(SEARCH($A$23,PFL_Schutz_Drop_Down56[noch nicht gewählt])&gt;0)),ROW()-3)),"")</f>
        <v/>
      </c>
      <c r="AA76" s="2200" t="str">
        <f>IFERROR(INDEX(PFL_Schutz_Drop_Down56[noch nicht gewählt],_xlfn.AGGREGATE(15,6,ROW(PFL_Schutz_Drop_Down56[noch nicht gewählt])-3/(--(SEARCH($A$25,PFL_Schutz_Drop_Down56[noch nicht gewählt])&gt;0)),ROW()-3)),"")</f>
        <v/>
      </c>
      <c r="AB76" s="2200" t="str">
        <f>IFERROR(INDEX(PFL_Schutz_Drop_Down56[noch nicht gewählt],_xlfn.AGGREGATE(15,6,ROW(PFL_Schutz_Drop_Down56[noch nicht gewählt])-3/(--(SEARCH($A$27,PFL_Schutz_Drop_Down56[noch nicht gewählt])&gt;0)),ROW()-3)),"")</f>
        <v/>
      </c>
      <c r="AC76" s="2200" t="str">
        <f>IFERROR(INDEX(PFL_Schutz_Drop_Down56[noch nicht gewählt],_xlfn.AGGREGATE(15,6,ROW(PFL_Schutz_Drop_Down56[noch nicht gewählt])-3/(--(SEARCH($A$29,PFL_Schutz_Drop_Down56[noch nicht gewählt])&gt;0)),ROW()-3)),"")</f>
        <v/>
      </c>
      <c r="AD76" s="2200" t="str">
        <f>IFERROR(INDEX(PFL_Schutz_Drop_Down56[noch nicht gewählt],_xlfn.AGGREGATE(15,6,ROW(PFL_Schutz_Drop_Down56[noch nicht gewählt])-3/(--(SEARCH($A$31,PFL_Schutz_Drop_Down56[noch nicht gewählt])&gt;0)),ROW()-3)),"")</f>
        <v/>
      </c>
      <c r="AE76" s="2200" t="str">
        <f>IFERROR(INDEX(PFL_Schutz_Drop_Down56[noch nicht gewählt],_xlfn.AGGREGATE(15,6,ROW(PFL_Schutz_Drop_Down56[noch nicht gewählt])-3/(--(SEARCH($A$33,PFL_Schutz_Drop_Down56[noch nicht gewählt])&gt;0)),ROW()-3)),"")</f>
        <v/>
      </c>
      <c r="AF76" s="2200" t="str">
        <f>IFERROR(INDEX(PFL_Schutz_Drop_Down56[noch nicht gewählt],_xlfn.AGGREGATE(15,6,ROW(PFL_Schutz_Drop_Down56[noch nicht gewählt])-3/(--(SEARCH($A$35,PFL_Schutz_Drop_Down56[noch nicht gewählt])&gt;0)),ROW()-3)),"")</f>
        <v/>
      </c>
      <c r="AG76" s="2200" t="str">
        <f>IFERROR(INDEX(PFL_Schutz_Drop_Down56[noch nicht gewählt],_xlfn.AGGREGATE(15,6,ROW(PFL_Schutz_Drop_Down56[noch nicht gewählt])-3/(--(SEARCH($A$37,PFL_Schutz_Drop_Down56[noch nicht gewählt])&gt;0)),ROW()-3)),"")</f>
        <v/>
      </c>
      <c r="AH76" s="2200" t="str">
        <f>IFERROR(INDEX(PFL_Schutz_Drop_Down56[noch nicht gewählt],_xlfn.AGGREGATE(15,6,ROW(PFL_Schutz_Drop_Down56[noch nicht gewählt])-3/(--(SEARCH($A$39,PFL_Schutz_Drop_Down56[noch nicht gewählt])&gt;0)),ROW()-3)),"")</f>
        <v/>
      </c>
      <c r="AI76" s="2200" t="str">
        <f>IFERROR(INDEX(PFL_Schutz_Drop_Down56[noch nicht gewählt],_xlfn.AGGREGATE(15,6,ROW(PFL_Schutz_Drop_Down56[noch nicht gewählt])-3/(--(SEARCH($A$41,PFL_Schutz_Drop_Down56[noch nicht gewählt])&gt;0)),ROW()-3)),"")</f>
        <v/>
      </c>
      <c r="AJ76" s="2200" t="str">
        <f>IFERROR(INDEX(PFL_Schutz_Drop_Down56[noch nicht gewählt],_xlfn.AGGREGATE(15,6,ROW(PFL_Schutz_Drop_Down56[noch nicht gewählt])-3/(--(SEARCH($A$43,PFL_Schutz_Drop_Down56[noch nicht gewählt])&gt;0)),ROW()-3)),"")</f>
        <v/>
      </c>
      <c r="AK76" s="2200" t="str">
        <f>IFERROR(INDEX(PFL_Schutz_Drop_Down56[noch nicht gewählt],_xlfn.AGGREGATE(15,6,ROW(PFL_Schutz_Drop_Down56[noch nicht gewählt])-3/(--(SEARCH($A$45,PFL_Schutz_Drop_Down56[noch nicht gewählt])&gt;0)),ROW()-3)),"")</f>
        <v/>
      </c>
      <c r="AL76" s="2200" t="str">
        <f>IFERROR(INDEX(PFL_Schutz_Drop_Down56[noch nicht gewählt],_xlfn.AGGREGATE(15,6,ROW(PFL_Schutz_Drop_Down56[noch nicht gewählt])-3/(--(SEARCH($A$47,PFL_Schutz_Drop_Down56[noch nicht gewählt])&gt;0)),ROW()-3)),"")</f>
        <v/>
      </c>
      <c r="AM76" s="2200" t="str">
        <f>IFERROR(INDEX(PFL_Schutz_Drop_Down56[noch nicht gewählt],_xlfn.AGGREGATE(15,6,ROW(PFL_Schutz_Drop_Down56[noch nicht gewählt])-3/(--(SEARCH($A$49,PFL_Schutz_Drop_Down56[noch nicht gewählt])&gt;0)),ROW()-3)),"")</f>
        <v/>
      </c>
      <c r="AN76" s="2200" t="str">
        <f>IFERROR(INDEX(PFL_Schutz_Drop_Down56[noch nicht gewählt],_xlfn.AGGREGATE(15,6,ROW(PFL_Schutz_Drop_Down56[noch nicht gewählt])-3/(--(SEARCH($A$51,PFL_Schutz_Drop_Down56[noch nicht gewählt])&gt;0)),ROW()-3)),"")</f>
        <v/>
      </c>
      <c r="AO76" s="2200" t="str">
        <f>IFERROR(INDEX(PFL_Schutz_Drop_Down56[noch nicht gewählt],_xlfn.AGGREGATE(15,6,ROW(PFL_Schutz_Drop_Down56[noch nicht gewählt])-3/(--(SEARCH($A$53,PFL_Schutz_Drop_Down56[noch nicht gewählt])&gt;0)),ROW()-3)),"")</f>
        <v/>
      </c>
      <c r="AP76" s="2200" t="str">
        <f>IFERROR(INDEX(PFL_Schutz_Drop_Down56[noch nicht gewählt],_xlfn.AGGREGATE(15,6,ROW(PFL_Schutz_Drop_Down56[noch nicht gewählt])-3/(--(SEARCH($A$55,PFL_Schutz_Drop_Down56[noch nicht gewählt])&gt;0)),ROW()-3)),"")</f>
        <v/>
      </c>
      <c r="AQ76" s="2200" t="str">
        <f>IFERROR(INDEX(PFL_Schutz_Drop_Down56[noch nicht gewählt],_xlfn.AGGREGATE(15,6,ROW(PFL_Schutz_Drop_Down56[noch nicht gewählt])-3/(--(SEARCH($A$57,PFL_Schutz_Drop_Down56[noch nicht gewählt])&gt;0)),ROW()-3)),"")</f>
        <v/>
      </c>
      <c r="AR76" s="2200" t="str">
        <f>IFERROR(INDEX(PFL_Schutz_Drop_Down56[noch nicht gewählt],_xlfn.AGGREGATE(15,6,ROW(PFL_Schutz_Drop_Down56[noch nicht gewählt])-3/(--(SEARCH($A$59,PFL_Schutz_Drop_Down56[noch nicht gewählt])&gt;0)),ROW()-3)),"")</f>
        <v/>
      </c>
      <c r="AS76" s="2200" t="str">
        <f>IFERROR(INDEX(PFL_Schutz_Drop_Down56[noch nicht gewählt],_xlfn.AGGREGATE(15,6,ROW(PFL_Schutz_Drop_Down56[noch nicht gewählt])-3/(--(SEARCH($A$61,PFL_Schutz_Drop_Down56[noch nicht gewählt])&gt;0)),ROW()-3)),"")</f>
        <v/>
      </c>
      <c r="AT76" s="2200" t="str">
        <f>IFERROR(INDEX(PFL_Schutz_Drop_Down56[noch nicht gewählt],_xlfn.AGGREGATE(15,6,ROW(PFL_Schutz_Drop_Down56[noch nicht gewählt])-3/(--(SEARCH($A$63,PFL_Schutz_Drop_Down56[noch nicht gewählt])&gt;0)),ROW()-3)),"")</f>
        <v/>
      </c>
      <c r="AU76" s="2200" t="str">
        <f>IFERROR(INDEX(PFL_Schutz_Drop_Down56[noch nicht gewählt],_xlfn.AGGREGATE(15,6,ROW(PFL_Schutz_Drop_Down56[noch nicht gewählt])-3/(--(SEARCH($A$65,PFL_Schutz_Drop_Down56[noch nicht gewählt])&gt;0)),ROW()-3)),"")</f>
        <v/>
      </c>
      <c r="AV76" s="2200" t="str">
        <f>IFERROR(INDEX(PFL_Schutz_Drop_Down56[noch nicht gewählt],_xlfn.AGGREGATE(15,6,ROW(PFL_Schutz_Drop_Down56[noch nicht gewählt])-3/(--(SEARCH($A$67,PFL_Schutz_Drop_Down56[noch nicht gewählt])&gt;0)),ROW()-3)),"")</f>
        <v/>
      </c>
      <c r="AW76" s="2200" t="str">
        <f>IFERROR(INDEX(PFL_Schutz_Drop_Down56[noch nicht gewählt],_xlfn.AGGREGATE(15,6,ROW(PFL_Schutz_Drop_Down56[noch nicht gewählt])-3/(--(SEARCH($A$69,PFL_Schutz_Drop_Down56[noch nicht gewählt])&gt;0)),ROW()-3)),"")</f>
        <v/>
      </c>
      <c r="AX76" s="2200" t="str">
        <f>IFERROR(INDEX(PFL_Schutz_Drop_Down56[noch nicht gewählt],_xlfn.AGGREGATE(15,6,ROW(PFL_Schutz_Drop_Down56[noch nicht gewählt])-3/(--(SEARCH($A$71,PFL_Schutz_Drop_Down56[noch nicht gewählt])&gt;0)),ROW()-3)),"")</f>
        <v/>
      </c>
      <c r="AY76" s="2200" t="str">
        <f>IFERROR(INDEX(PFL_Schutz_Drop_Down56[noch nicht gewählt],_xlfn.AGGREGATE(15,6,ROW(PFL_Schutz_Drop_Down56[noch nicht gewählt])-3/(--(SEARCH($A$73,PFL_Schutz_Drop_Down56[noch nicht gewählt])&gt;0)),ROW()-3)),"")</f>
        <v/>
      </c>
      <c r="AZ76" s="2201" t="str">
        <f>IFERROR(INDEX(PFL_Schutz_Drop_Down56[noch nicht gewählt],_xlfn.AGGREGATE(15,6,ROW(PFL_Schutz_Drop_Down56[noch nicht gewählt])-3/(--(SEARCH($A$75,PFL_Schutz_Drop_Down56[noch nicht gewählt])&gt;0)),ROW()-3)),"")</f>
        <v/>
      </c>
    </row>
    <row r="77" spans="1:52" ht="19.5" customHeight="1" thickBot="1">
      <c r="A77" s="196"/>
      <c r="R77" s="2195">
        <f>Pfl_Schutz!E77</f>
        <v>0</v>
      </c>
      <c r="S77" s="2209">
        <f>COUNTIF($R$4:PFL_Schutz_Drop_Down56[[#This Row],[Produktname]],PFL_Schutz_Drop_Down56[[#This Row],[Produktname]])</f>
        <v>74</v>
      </c>
      <c r="T77" s="2210" t="str">
        <f>IFERROR(INDEX(R:R,_xlfn.AGGREGATE(15,6,ROW(PFL_Schutz_Drop_Down56[Produktname])/(PFL_Schutz_Drop_Down56[Auftretend]=1),ROW()-3)),"")</f>
        <v/>
      </c>
      <c r="U77" s="2198" t="str">
        <f>IF(COUNTIF($A$17:$A$76,PFL_Schutz_Drop_Down56[[#This Row],[Produktname eindeutig]])&gt;=1,"",ROW())</f>
        <v/>
      </c>
      <c r="V77" s="2198" t="str">
        <f t="shared" si="47"/>
        <v/>
      </c>
      <c r="W77" s="2211" t="str">
        <f>IFERROR(INDEX(PFL_Schutz_Drop_Down56[noch nicht gewählt],_xlfn.AGGREGATE(15,6,ROW(PFL_Schutz_Drop_Down56[noch nicht gewählt])-3/(--(SEARCH($A$17,PFL_Schutz_Drop_Down56[noch nicht gewählt])&gt;0)),ROW()-3)),"")</f>
        <v/>
      </c>
      <c r="X77" s="2212" t="str">
        <f>IFERROR(INDEX(PFL_Schutz_Drop_Down56[noch nicht gewählt],_xlfn.AGGREGATE(15,6,ROW(PFL_Schutz_Drop_Down56[noch nicht gewählt])-3/(--(SEARCH($A$19,PFL_Schutz_Drop_Down56[noch nicht gewählt])&gt;0)),ROW()-3)),"")</f>
        <v/>
      </c>
      <c r="Y77" s="2212" t="str">
        <f>IFERROR(INDEX(PFL_Schutz_Drop_Down56[noch nicht gewählt],_xlfn.AGGREGATE(15,6,ROW(PFL_Schutz_Drop_Down56[noch nicht gewählt])-3/(--(SEARCH($A$21,PFL_Schutz_Drop_Down56[noch nicht gewählt])&gt;0)),ROW()-3)),"")</f>
        <v/>
      </c>
      <c r="Z77" s="2213" t="str">
        <f>IFERROR(INDEX(PFL_Schutz_Drop_Down56[noch nicht gewählt],_xlfn.AGGREGATE(15,6,ROW(PFL_Schutz_Drop_Down56[noch nicht gewählt])-3/(--(SEARCH($A$23,PFL_Schutz_Drop_Down56[noch nicht gewählt])&gt;0)),ROW()-3)),"")</f>
        <v/>
      </c>
      <c r="AA77" s="2213" t="str">
        <f>IFERROR(INDEX(PFL_Schutz_Drop_Down56[noch nicht gewählt],_xlfn.AGGREGATE(15,6,ROW(PFL_Schutz_Drop_Down56[noch nicht gewählt])-3/(--(SEARCH($A$25,PFL_Schutz_Drop_Down56[noch nicht gewählt])&gt;0)),ROW()-3)),"")</f>
        <v/>
      </c>
      <c r="AB77" s="2213" t="str">
        <f>IFERROR(INDEX(PFL_Schutz_Drop_Down56[noch nicht gewählt],_xlfn.AGGREGATE(15,6,ROW(PFL_Schutz_Drop_Down56[noch nicht gewählt])-3/(--(SEARCH($A$27,PFL_Schutz_Drop_Down56[noch nicht gewählt])&gt;0)),ROW()-3)),"")</f>
        <v/>
      </c>
      <c r="AC77" s="2213" t="str">
        <f>IFERROR(INDEX(PFL_Schutz_Drop_Down56[noch nicht gewählt],_xlfn.AGGREGATE(15,6,ROW(PFL_Schutz_Drop_Down56[noch nicht gewählt])-3/(--(SEARCH($A$29,PFL_Schutz_Drop_Down56[noch nicht gewählt])&gt;0)),ROW()-3)),"")</f>
        <v/>
      </c>
      <c r="AD77" s="2213" t="str">
        <f>IFERROR(INDEX(PFL_Schutz_Drop_Down56[noch nicht gewählt],_xlfn.AGGREGATE(15,6,ROW(PFL_Schutz_Drop_Down56[noch nicht gewählt])-3/(--(SEARCH($A$31,PFL_Schutz_Drop_Down56[noch nicht gewählt])&gt;0)),ROW()-3)),"")</f>
        <v/>
      </c>
      <c r="AE77" s="2213" t="str">
        <f>IFERROR(INDEX(PFL_Schutz_Drop_Down56[noch nicht gewählt],_xlfn.AGGREGATE(15,6,ROW(PFL_Schutz_Drop_Down56[noch nicht gewählt])-3/(--(SEARCH($A$33,PFL_Schutz_Drop_Down56[noch nicht gewählt])&gt;0)),ROW()-3)),"")</f>
        <v/>
      </c>
      <c r="AF77" s="2213" t="str">
        <f>IFERROR(INDEX(PFL_Schutz_Drop_Down56[noch nicht gewählt],_xlfn.AGGREGATE(15,6,ROW(PFL_Schutz_Drop_Down56[noch nicht gewählt])-3/(--(SEARCH($A$35,PFL_Schutz_Drop_Down56[noch nicht gewählt])&gt;0)),ROW()-3)),"")</f>
        <v/>
      </c>
      <c r="AG77" s="2213" t="str">
        <f>IFERROR(INDEX(PFL_Schutz_Drop_Down56[noch nicht gewählt],_xlfn.AGGREGATE(15,6,ROW(PFL_Schutz_Drop_Down56[noch nicht gewählt])-3/(--(SEARCH($A$37,PFL_Schutz_Drop_Down56[noch nicht gewählt])&gt;0)),ROW()-3)),"")</f>
        <v/>
      </c>
      <c r="AH77" s="2213" t="str">
        <f>IFERROR(INDEX(PFL_Schutz_Drop_Down56[noch nicht gewählt],_xlfn.AGGREGATE(15,6,ROW(PFL_Schutz_Drop_Down56[noch nicht gewählt])-3/(--(SEARCH($A$39,PFL_Schutz_Drop_Down56[noch nicht gewählt])&gt;0)),ROW()-3)),"")</f>
        <v/>
      </c>
      <c r="AI77" s="2213" t="str">
        <f>IFERROR(INDEX(PFL_Schutz_Drop_Down56[noch nicht gewählt],_xlfn.AGGREGATE(15,6,ROW(PFL_Schutz_Drop_Down56[noch nicht gewählt])-3/(--(SEARCH($A$41,PFL_Schutz_Drop_Down56[noch nicht gewählt])&gt;0)),ROW()-3)),"")</f>
        <v/>
      </c>
      <c r="AJ77" s="2213" t="str">
        <f>IFERROR(INDEX(PFL_Schutz_Drop_Down56[noch nicht gewählt],_xlfn.AGGREGATE(15,6,ROW(PFL_Schutz_Drop_Down56[noch nicht gewählt])-3/(--(SEARCH($A$43,PFL_Schutz_Drop_Down56[noch nicht gewählt])&gt;0)),ROW()-3)),"")</f>
        <v/>
      </c>
      <c r="AK77" s="2213" t="str">
        <f>IFERROR(INDEX(PFL_Schutz_Drop_Down56[noch nicht gewählt],_xlfn.AGGREGATE(15,6,ROW(PFL_Schutz_Drop_Down56[noch nicht gewählt])-3/(--(SEARCH($A$45,PFL_Schutz_Drop_Down56[noch nicht gewählt])&gt;0)),ROW()-3)),"")</f>
        <v/>
      </c>
      <c r="AL77" s="2213" t="str">
        <f>IFERROR(INDEX(PFL_Schutz_Drop_Down56[noch nicht gewählt],_xlfn.AGGREGATE(15,6,ROW(PFL_Schutz_Drop_Down56[noch nicht gewählt])-3/(--(SEARCH($A$47,PFL_Schutz_Drop_Down56[noch nicht gewählt])&gt;0)),ROW()-3)),"")</f>
        <v/>
      </c>
      <c r="AM77" s="2213" t="str">
        <f>IFERROR(INDEX(PFL_Schutz_Drop_Down56[noch nicht gewählt],_xlfn.AGGREGATE(15,6,ROW(PFL_Schutz_Drop_Down56[noch nicht gewählt])-3/(--(SEARCH($A$49,PFL_Schutz_Drop_Down56[noch nicht gewählt])&gt;0)),ROW()-3)),"")</f>
        <v/>
      </c>
      <c r="AN77" s="2213" t="str">
        <f>IFERROR(INDEX(PFL_Schutz_Drop_Down56[noch nicht gewählt],_xlfn.AGGREGATE(15,6,ROW(PFL_Schutz_Drop_Down56[noch nicht gewählt])-3/(--(SEARCH($A$51,PFL_Schutz_Drop_Down56[noch nicht gewählt])&gt;0)),ROW()-3)),"")</f>
        <v/>
      </c>
      <c r="AO77" s="2213" t="str">
        <f>IFERROR(INDEX(PFL_Schutz_Drop_Down56[noch nicht gewählt],_xlfn.AGGREGATE(15,6,ROW(PFL_Schutz_Drop_Down56[noch nicht gewählt])-3/(--(SEARCH($A$53,PFL_Schutz_Drop_Down56[noch nicht gewählt])&gt;0)),ROW()-3)),"")</f>
        <v/>
      </c>
      <c r="AP77" s="2213" t="str">
        <f>IFERROR(INDEX(PFL_Schutz_Drop_Down56[noch nicht gewählt],_xlfn.AGGREGATE(15,6,ROW(PFL_Schutz_Drop_Down56[noch nicht gewählt])-3/(--(SEARCH($A$55,PFL_Schutz_Drop_Down56[noch nicht gewählt])&gt;0)),ROW()-3)),"")</f>
        <v/>
      </c>
      <c r="AQ77" s="2213" t="str">
        <f>IFERROR(INDEX(PFL_Schutz_Drop_Down56[noch nicht gewählt],_xlfn.AGGREGATE(15,6,ROW(PFL_Schutz_Drop_Down56[noch nicht gewählt])-3/(--(SEARCH($A$57,PFL_Schutz_Drop_Down56[noch nicht gewählt])&gt;0)),ROW()-3)),"")</f>
        <v/>
      </c>
      <c r="AR77" s="2213" t="str">
        <f>IFERROR(INDEX(PFL_Schutz_Drop_Down56[noch nicht gewählt],_xlfn.AGGREGATE(15,6,ROW(PFL_Schutz_Drop_Down56[noch nicht gewählt])-3/(--(SEARCH($A$59,PFL_Schutz_Drop_Down56[noch nicht gewählt])&gt;0)),ROW()-3)),"")</f>
        <v/>
      </c>
      <c r="AS77" s="2213" t="str">
        <f>IFERROR(INDEX(PFL_Schutz_Drop_Down56[noch nicht gewählt],_xlfn.AGGREGATE(15,6,ROW(PFL_Schutz_Drop_Down56[noch nicht gewählt])-3/(--(SEARCH($A$61,PFL_Schutz_Drop_Down56[noch nicht gewählt])&gt;0)),ROW()-3)),"")</f>
        <v/>
      </c>
      <c r="AT77" s="2213" t="str">
        <f>IFERROR(INDEX(PFL_Schutz_Drop_Down56[noch nicht gewählt],_xlfn.AGGREGATE(15,6,ROW(PFL_Schutz_Drop_Down56[noch nicht gewählt])-3/(--(SEARCH($A$63,PFL_Schutz_Drop_Down56[noch nicht gewählt])&gt;0)),ROW()-3)),"")</f>
        <v/>
      </c>
      <c r="AU77" s="2213" t="str">
        <f>IFERROR(INDEX(PFL_Schutz_Drop_Down56[noch nicht gewählt],_xlfn.AGGREGATE(15,6,ROW(PFL_Schutz_Drop_Down56[noch nicht gewählt])-3/(--(SEARCH($A$65,PFL_Schutz_Drop_Down56[noch nicht gewählt])&gt;0)),ROW()-3)),"")</f>
        <v/>
      </c>
      <c r="AV77" s="2213" t="str">
        <f>IFERROR(INDEX(PFL_Schutz_Drop_Down56[noch nicht gewählt],_xlfn.AGGREGATE(15,6,ROW(PFL_Schutz_Drop_Down56[noch nicht gewählt])-3/(--(SEARCH($A$67,PFL_Schutz_Drop_Down56[noch nicht gewählt])&gt;0)),ROW()-3)),"")</f>
        <v/>
      </c>
      <c r="AW77" s="2213" t="str">
        <f>IFERROR(INDEX(PFL_Schutz_Drop_Down56[noch nicht gewählt],_xlfn.AGGREGATE(15,6,ROW(PFL_Schutz_Drop_Down56[noch nicht gewählt])-3/(--(SEARCH($A$69,PFL_Schutz_Drop_Down56[noch nicht gewählt])&gt;0)),ROW()-3)),"")</f>
        <v/>
      </c>
      <c r="AX77" s="2213" t="str">
        <f>IFERROR(INDEX(PFL_Schutz_Drop_Down56[noch nicht gewählt],_xlfn.AGGREGATE(15,6,ROW(PFL_Schutz_Drop_Down56[noch nicht gewählt])-3/(--(SEARCH($A$71,PFL_Schutz_Drop_Down56[noch nicht gewählt])&gt;0)),ROW()-3)),"")</f>
        <v/>
      </c>
      <c r="AY77" s="2213" t="str">
        <f>IFERROR(INDEX(PFL_Schutz_Drop_Down56[noch nicht gewählt],_xlfn.AGGREGATE(15,6,ROW(PFL_Schutz_Drop_Down56[noch nicht gewählt])-3/(--(SEARCH($A$73,PFL_Schutz_Drop_Down56[noch nicht gewählt])&gt;0)),ROW()-3)),"")</f>
        <v/>
      </c>
      <c r="AZ77" s="2214" t="str">
        <f>IFERROR(INDEX(PFL_Schutz_Drop_Down56[noch nicht gewählt],_xlfn.AGGREGATE(15,6,ROW(PFL_Schutz_Drop_Down56[noch nicht gewählt])-3/(--(SEARCH($A$75,PFL_Schutz_Drop_Down56[noch nicht gewählt])&gt;0)),ROW()-3)),"")</f>
        <v/>
      </c>
    </row>
    <row r="78" spans="1:52" ht="19.5" customHeight="1">
      <c r="A78" s="2177"/>
    </row>
    <row r="79" spans="1:52" ht="12.75" customHeight="1">
      <c r="A79" s="2177"/>
    </row>
    <row r="80" spans="1:52" ht="12.75" customHeight="1">
      <c r="A80" s="2177"/>
    </row>
    <row r="81" ht="12.75" customHeight="1"/>
  </sheetData>
  <sheetProtection algorithmName="SHA-512" hashValue="2jnR18hYqbr15A7tYGnhjYOAVyDPL3b3eactsGd0MZ0mN30xyvC1lXvEAvz5sG3avFdzfiDkyK7TOpXH9GLgPg==" saltValue="IgLfq5nnZTe47scFCRII3g==" spinCount="100000" sheet="1" formatCells="0" formatColumns="0" formatRows="0" insertColumns="0" insertRows="0"/>
  <mergeCells count="228">
    <mergeCell ref="G75:I76"/>
    <mergeCell ref="A75:A76"/>
    <mergeCell ref="B75:B76"/>
    <mergeCell ref="C75:C76"/>
    <mergeCell ref="D75:D76"/>
    <mergeCell ref="E75:E76"/>
    <mergeCell ref="F75:F76"/>
    <mergeCell ref="G71:I72"/>
    <mergeCell ref="A73:A74"/>
    <mergeCell ref="B73:B74"/>
    <mergeCell ref="C73:C74"/>
    <mergeCell ref="D73:D74"/>
    <mergeCell ref="E73:E74"/>
    <mergeCell ref="F73:F74"/>
    <mergeCell ref="G73:I74"/>
    <mergeCell ref="A71:A72"/>
    <mergeCell ref="B71:B72"/>
    <mergeCell ref="C71:C72"/>
    <mergeCell ref="D71:D72"/>
    <mergeCell ref="E71:E72"/>
    <mergeCell ref="F71:F72"/>
    <mergeCell ref="G67:I68"/>
    <mergeCell ref="A69:A70"/>
    <mergeCell ref="B69:B70"/>
    <mergeCell ref="C69:C70"/>
    <mergeCell ref="D69:D70"/>
    <mergeCell ref="E69:E70"/>
    <mergeCell ref="F69:F70"/>
    <mergeCell ref="G69:I70"/>
    <mergeCell ref="A67:A68"/>
    <mergeCell ref="B67:B68"/>
    <mergeCell ref="C67:C68"/>
    <mergeCell ref="D67:D68"/>
    <mergeCell ref="E67:E68"/>
    <mergeCell ref="F67:F68"/>
    <mergeCell ref="G63:I64"/>
    <mergeCell ref="A65:A66"/>
    <mergeCell ref="B65:B66"/>
    <mergeCell ref="C65:C66"/>
    <mergeCell ref="D65:D66"/>
    <mergeCell ref="E65:E66"/>
    <mergeCell ref="F65:F66"/>
    <mergeCell ref="G65:I66"/>
    <mergeCell ref="A63:A64"/>
    <mergeCell ref="B63:B64"/>
    <mergeCell ref="C63:C64"/>
    <mergeCell ref="D63:D64"/>
    <mergeCell ref="E63:E64"/>
    <mergeCell ref="F63:F64"/>
    <mergeCell ref="G59:I60"/>
    <mergeCell ref="A61:A62"/>
    <mergeCell ref="B61:B62"/>
    <mergeCell ref="C61:C62"/>
    <mergeCell ref="D61:D62"/>
    <mergeCell ref="E61:E62"/>
    <mergeCell ref="F61:F62"/>
    <mergeCell ref="G61:I62"/>
    <mergeCell ref="A59:A60"/>
    <mergeCell ref="B59:B60"/>
    <mergeCell ref="C59:C60"/>
    <mergeCell ref="D59:D60"/>
    <mergeCell ref="E59:E60"/>
    <mergeCell ref="F59:F60"/>
    <mergeCell ref="G55:I56"/>
    <mergeCell ref="A57:A58"/>
    <mergeCell ref="B57:B58"/>
    <mergeCell ref="C57:C58"/>
    <mergeCell ref="D57:D58"/>
    <mergeCell ref="E57:E58"/>
    <mergeCell ref="F57:F58"/>
    <mergeCell ref="G57:I58"/>
    <mergeCell ref="A55:A56"/>
    <mergeCell ref="B55:B56"/>
    <mergeCell ref="C55:C56"/>
    <mergeCell ref="D55:D56"/>
    <mergeCell ref="E55:E56"/>
    <mergeCell ref="F55:F56"/>
    <mergeCell ref="G51:I52"/>
    <mergeCell ref="A53:A54"/>
    <mergeCell ref="B53:B54"/>
    <mergeCell ref="C53:C54"/>
    <mergeCell ref="D53:D54"/>
    <mergeCell ref="E53:E54"/>
    <mergeCell ref="F53:F54"/>
    <mergeCell ref="G53:I54"/>
    <mergeCell ref="A51:A52"/>
    <mergeCell ref="B51:B52"/>
    <mergeCell ref="C51:C52"/>
    <mergeCell ref="D51:D52"/>
    <mergeCell ref="E51:E52"/>
    <mergeCell ref="F51:F52"/>
    <mergeCell ref="G47:I48"/>
    <mergeCell ref="A49:A50"/>
    <mergeCell ref="B49:B50"/>
    <mergeCell ref="C49:C50"/>
    <mergeCell ref="D49:D50"/>
    <mergeCell ref="E49:E50"/>
    <mergeCell ref="F49:F50"/>
    <mergeCell ref="G49:I50"/>
    <mergeCell ref="A47:A48"/>
    <mergeCell ref="B47:B48"/>
    <mergeCell ref="C47:C48"/>
    <mergeCell ref="D47:D48"/>
    <mergeCell ref="E47:E48"/>
    <mergeCell ref="F47:F48"/>
    <mergeCell ref="G43:I44"/>
    <mergeCell ref="A45:A46"/>
    <mergeCell ref="B45:B46"/>
    <mergeCell ref="C45:C46"/>
    <mergeCell ref="D45:D46"/>
    <mergeCell ref="E45:E46"/>
    <mergeCell ref="F45:F46"/>
    <mergeCell ref="G45:I46"/>
    <mergeCell ref="A43:A44"/>
    <mergeCell ref="B43:B44"/>
    <mergeCell ref="C43:C44"/>
    <mergeCell ref="D43:D44"/>
    <mergeCell ref="E43:E44"/>
    <mergeCell ref="F43:F44"/>
    <mergeCell ref="G39:I40"/>
    <mergeCell ref="A41:A42"/>
    <mergeCell ref="B41:B42"/>
    <mergeCell ref="C41:C42"/>
    <mergeCell ref="D41:D42"/>
    <mergeCell ref="E41:E42"/>
    <mergeCell ref="F41:F42"/>
    <mergeCell ref="G41:I42"/>
    <mergeCell ref="A39:A40"/>
    <mergeCell ref="B39:B40"/>
    <mergeCell ref="C39:C40"/>
    <mergeCell ref="D39:D40"/>
    <mergeCell ref="E39:E40"/>
    <mergeCell ref="F39:F40"/>
    <mergeCell ref="G35:I36"/>
    <mergeCell ref="A37:A38"/>
    <mergeCell ref="B37:B38"/>
    <mergeCell ref="C37:C38"/>
    <mergeCell ref="D37:D38"/>
    <mergeCell ref="E37:E38"/>
    <mergeCell ref="F37:F38"/>
    <mergeCell ref="G37:I38"/>
    <mergeCell ref="A35:A36"/>
    <mergeCell ref="B35:B36"/>
    <mergeCell ref="C35:C36"/>
    <mergeCell ref="D35:D36"/>
    <mergeCell ref="E35:E36"/>
    <mergeCell ref="F35:F36"/>
    <mergeCell ref="G31:I32"/>
    <mergeCell ref="A33:A34"/>
    <mergeCell ref="B33:B34"/>
    <mergeCell ref="C33:C34"/>
    <mergeCell ref="D33:D34"/>
    <mergeCell ref="E33:E34"/>
    <mergeCell ref="F33:F34"/>
    <mergeCell ref="G33:I34"/>
    <mergeCell ref="A31:A32"/>
    <mergeCell ref="B31:B32"/>
    <mergeCell ref="C31:C32"/>
    <mergeCell ref="D31:D32"/>
    <mergeCell ref="E31:E32"/>
    <mergeCell ref="F31:F32"/>
    <mergeCell ref="G27:I28"/>
    <mergeCell ref="A29:A30"/>
    <mergeCell ref="B29:B30"/>
    <mergeCell ref="C29:C30"/>
    <mergeCell ref="D29:D30"/>
    <mergeCell ref="E29:E30"/>
    <mergeCell ref="F29:F30"/>
    <mergeCell ref="G29:I30"/>
    <mergeCell ref="A27:A28"/>
    <mergeCell ref="B27:B28"/>
    <mergeCell ref="C27:C28"/>
    <mergeCell ref="D27:D28"/>
    <mergeCell ref="E27:E28"/>
    <mergeCell ref="F27:F28"/>
    <mergeCell ref="G23:I24"/>
    <mergeCell ref="A25:A26"/>
    <mergeCell ref="B25:B26"/>
    <mergeCell ref="C25:C26"/>
    <mergeCell ref="D25:D26"/>
    <mergeCell ref="E25:E26"/>
    <mergeCell ref="F25:F26"/>
    <mergeCell ref="G25:I26"/>
    <mergeCell ref="A23:A24"/>
    <mergeCell ref="B23:B24"/>
    <mergeCell ref="C23:C24"/>
    <mergeCell ref="D23:D24"/>
    <mergeCell ref="E23:E24"/>
    <mergeCell ref="F23:F24"/>
    <mergeCell ref="A17:A18"/>
    <mergeCell ref="B17:B18"/>
    <mergeCell ref="C17:C18"/>
    <mergeCell ref="D17:D18"/>
    <mergeCell ref="E17:E18"/>
    <mergeCell ref="F17:F18"/>
    <mergeCell ref="G17:I18"/>
    <mergeCell ref="G19:I20"/>
    <mergeCell ref="A21:A22"/>
    <mergeCell ref="B21:B22"/>
    <mergeCell ref="C21:C22"/>
    <mergeCell ref="D21:D22"/>
    <mergeCell ref="E21:E22"/>
    <mergeCell ref="F21:F22"/>
    <mergeCell ref="G21:I22"/>
    <mergeCell ref="A19:A20"/>
    <mergeCell ref="B19:B20"/>
    <mergeCell ref="C19:C20"/>
    <mergeCell ref="D19:D20"/>
    <mergeCell ref="E19:E20"/>
    <mergeCell ref="F19:F20"/>
    <mergeCell ref="A12:E13"/>
    <mergeCell ref="A14:E14"/>
    <mergeCell ref="A15:A16"/>
    <mergeCell ref="B15:B16"/>
    <mergeCell ref="C15:C16"/>
    <mergeCell ref="D15:D16"/>
    <mergeCell ref="E15:E16"/>
    <mergeCell ref="F15:F16"/>
    <mergeCell ref="G15:I16"/>
    <mergeCell ref="A1:E1"/>
    <mergeCell ref="A2:D2"/>
    <mergeCell ref="W2:AZ2"/>
    <mergeCell ref="A3:D3"/>
    <mergeCell ref="A4:E5"/>
    <mergeCell ref="A6:E8"/>
    <mergeCell ref="A9:E9"/>
    <mergeCell ref="A10:E10"/>
    <mergeCell ref="A11:E11"/>
  </mergeCells>
  <conditionalFormatting sqref="E17:E44">
    <cfRule type="expression" dxfId="51" priority="7">
      <formula>F17&gt;0</formula>
    </cfRule>
    <cfRule type="containsText" dxfId="50" priority="11" operator="containsText" text="Produkt aufgebraucht, Lagerstand 0">
      <formula>NOT(ISERROR(SEARCH("Produkt aufgebraucht, Lagerstand 0",E17)))</formula>
    </cfRule>
    <cfRule type="containsText" dxfId="49" priority="12" operator="containsText" text="negativer Lagerstand nicht möglich - überprüfen Sie die Eingabewerte auf Vollständigkeit">
      <formula>NOT(ISERROR(SEARCH("negativer Lagerstand nicht möglich - überprüfen Sie die Eingabewerte auf Vollständigkeit",E17)))</formula>
    </cfRule>
  </conditionalFormatting>
  <conditionalFormatting sqref="F17:F44">
    <cfRule type="cellIs" dxfId="48" priority="8" operator="equal">
      <formula>0</formula>
    </cfRule>
    <cfRule type="cellIs" dxfId="47" priority="9" operator="lessThan">
      <formula>0</formula>
    </cfRule>
    <cfRule type="cellIs" dxfId="46" priority="10" operator="greaterThan">
      <formula>0</formula>
    </cfRule>
  </conditionalFormatting>
  <conditionalFormatting sqref="E45:E76">
    <cfRule type="expression" dxfId="45" priority="1">
      <formula>F45&gt;0</formula>
    </cfRule>
    <cfRule type="containsText" dxfId="44" priority="5" operator="containsText" text="Produkt aufgebraucht, Lagerstand 0">
      <formula>NOT(ISERROR(SEARCH("Produkt aufgebraucht, Lagerstand 0",E45)))</formula>
    </cfRule>
    <cfRule type="containsText" dxfId="43" priority="6" operator="containsText" text="negativer Lagerstand nicht möglich - überprüfen Sie die Eingabewerte auf Vollständigkeit">
      <formula>NOT(ISERROR(SEARCH("negativer Lagerstand nicht möglich - überprüfen Sie die Eingabewerte auf Vollständigkeit",E45)))</formula>
    </cfRule>
  </conditionalFormatting>
  <conditionalFormatting sqref="F45:F76">
    <cfRule type="cellIs" dxfId="42" priority="2" operator="equal">
      <formula>0</formula>
    </cfRule>
    <cfRule type="cellIs" dxfId="41" priority="3" operator="lessThan">
      <formula>0</formula>
    </cfRule>
    <cfRule type="cellIs" dxfId="40" priority="4" operator="greaterThan">
      <formula>0</formula>
    </cfRule>
  </conditionalFormatting>
  <dataValidations count="30">
    <dataValidation type="list" allowBlank="1" showInputMessage="1" sqref="A75:A76">
      <formula1>_75</formula1>
    </dataValidation>
    <dataValidation type="list" allowBlank="1" showInputMessage="1" sqref="A73:A74">
      <formula1>_73</formula1>
    </dataValidation>
    <dataValidation type="list" allowBlank="1" showInputMessage="1" sqref="A71:A72">
      <formula1>_71</formula1>
    </dataValidation>
    <dataValidation type="list" allowBlank="1" showInputMessage="1" sqref="A69:A70">
      <formula1>_69</formula1>
    </dataValidation>
    <dataValidation type="list" allowBlank="1" showInputMessage="1" sqref="A67:A68">
      <formula1>_67</formula1>
    </dataValidation>
    <dataValidation type="list" allowBlank="1" showInputMessage="1" sqref="A65:A66">
      <formula1>_65</formula1>
    </dataValidation>
    <dataValidation type="list" allowBlank="1" showInputMessage="1" sqref="A63:A64">
      <formula1>_63</formula1>
    </dataValidation>
    <dataValidation type="list" allowBlank="1" showInputMessage="1" sqref="A61:A62">
      <formula1>_61</formula1>
    </dataValidation>
    <dataValidation type="list" allowBlank="1" showInputMessage="1" sqref="A59:A60">
      <formula1>_59</formula1>
    </dataValidation>
    <dataValidation type="list" allowBlank="1" showInputMessage="1" sqref="A57:A58">
      <formula1>_57</formula1>
    </dataValidation>
    <dataValidation type="list" allowBlank="1" showInputMessage="1" sqref="A55:A56">
      <formula1>_55</formula1>
    </dataValidation>
    <dataValidation type="list" allowBlank="1" showInputMessage="1" sqref="A53:A54">
      <formula1>_53</formula1>
    </dataValidation>
    <dataValidation type="list" allowBlank="1" showInputMessage="1" sqref="A51:A52">
      <formula1>_51</formula1>
    </dataValidation>
    <dataValidation type="list" allowBlank="1" showInputMessage="1" sqref="A49:A50">
      <formula1>_49</formula1>
    </dataValidation>
    <dataValidation type="list" allowBlank="1" showInputMessage="1" sqref="A47:A48">
      <formula1>_47</formula1>
    </dataValidation>
    <dataValidation type="list" allowBlank="1" showInputMessage="1" sqref="A45:A46">
      <formula1>_45</formula1>
    </dataValidation>
    <dataValidation type="list" allowBlank="1" showInputMessage="1" sqref="A43:A44">
      <formula1>_43</formula1>
    </dataValidation>
    <dataValidation type="list" allowBlank="1" showInputMessage="1" sqref="A41:A42">
      <formula1>_41</formula1>
    </dataValidation>
    <dataValidation type="list" allowBlank="1" showInputMessage="1" sqref="A39:A40">
      <formula1>_39</formula1>
    </dataValidation>
    <dataValidation type="list" allowBlank="1" showInputMessage="1" sqref="A37:A38">
      <formula1>_37</formula1>
    </dataValidation>
    <dataValidation type="list" allowBlank="1" showInputMessage="1" sqref="A35:A36">
      <formula1>_35</formula1>
    </dataValidation>
    <dataValidation type="list" allowBlank="1" showInputMessage="1" sqref="A33:A34">
      <formula1>_33</formula1>
    </dataValidation>
    <dataValidation type="list" allowBlank="1" showInputMessage="1" sqref="A31:A32">
      <formula1>_31</formula1>
    </dataValidation>
    <dataValidation type="list" allowBlank="1" showInputMessage="1" sqref="A29:A30">
      <formula1>_29</formula1>
    </dataValidation>
    <dataValidation type="list" allowBlank="1" showInputMessage="1" sqref="A23:A24">
      <formula1>_23</formula1>
    </dataValidation>
    <dataValidation type="list" allowBlank="1" showInputMessage="1" sqref="A27:A28">
      <formula1>_27</formula1>
    </dataValidation>
    <dataValidation type="list" allowBlank="1" showInputMessage="1" sqref="A25:A26">
      <formula1>_25</formula1>
    </dataValidation>
    <dataValidation type="list" allowBlank="1" showInputMessage="1" sqref="A21:A22">
      <formula1>_21</formula1>
    </dataValidation>
    <dataValidation type="list" allowBlank="1" showInputMessage="1" sqref="A19:A20">
      <formula1>_19</formula1>
    </dataValidation>
    <dataValidation type="list" allowBlank="1" showInputMessage="1" sqref="A17:A18">
      <formula1>ZEILE_17</formula1>
    </dataValidation>
  </dataValidations>
  <hyperlinks>
    <hyperlink ref="E2" r:id="rId1"/>
    <hyperlink ref="F1" location="Pfl_Schutz!A1" display="◄"/>
    <hyperlink ref="G1" location="Tierzahlen!A1" display="  ►"/>
    <hyperlink ref="A3:D3" location="Pfl_Schutz!A1" display="Pfl_Schutz!A1"/>
  </hyperlinks>
  <pageMargins left="0.59055118110236227" right="0.55118110236220474" top="0.70866141732283472" bottom="0.78740157480314965" header="0.51181102362204722" footer="0.51181102362204722"/>
  <pageSetup paperSize="9" scale="56" firstPageNumber="0" fitToHeight="0" orientation="portrait" blackAndWhite="1" horizontalDpi="300" verticalDpi="300" r:id="rId2"/>
  <headerFooter alignWithMargins="0"/>
  <legacyDrawing r:id="rId3"/>
  <tableParts count="1">
    <tablePart r:id="rId4"/>
  </tablePart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2">
    <tabColor theme="2" tint="-0.249977111117893"/>
  </sheetPr>
  <dimension ref="A1:AH81"/>
  <sheetViews>
    <sheetView showZeros="0" zoomScale="80" zoomScaleNormal="80" workbookViewId="0">
      <selection activeCell="W1" sqref="W1"/>
    </sheetView>
  </sheetViews>
  <sheetFormatPr baseColWidth="10" defaultRowHeight="13.2"/>
  <cols>
    <col min="1" max="1" width="35.44140625" customWidth="1"/>
    <col min="2" max="2" width="8.44140625" customWidth="1"/>
    <col min="3" max="4" width="9.44140625" customWidth="1"/>
    <col min="5" max="5" width="10.109375" customWidth="1"/>
    <col min="7" max="7" width="12.33203125" customWidth="1"/>
    <col min="8" max="8" width="11.88671875" customWidth="1"/>
    <col min="9" max="9" width="6.6640625" customWidth="1"/>
    <col min="10" max="10" width="14" customWidth="1"/>
    <col min="11" max="11" width="10.109375" customWidth="1"/>
    <col min="12" max="12" width="9.109375" customWidth="1"/>
    <col min="13" max="13" width="3.44140625" customWidth="1"/>
    <col min="14" max="14" width="5.6640625" customWidth="1"/>
    <col min="15" max="15" width="15.6640625" hidden="1" customWidth="1"/>
    <col min="16" max="16" width="9" hidden="1" customWidth="1"/>
    <col min="17" max="22" width="11.44140625" hidden="1" customWidth="1"/>
    <col min="23" max="24" width="14.109375" customWidth="1"/>
  </cols>
  <sheetData>
    <row r="1" spans="1:34" ht="30.75" customHeight="1">
      <c r="A1" s="1342" t="s">
        <v>808</v>
      </c>
      <c r="B1" s="1343"/>
      <c r="C1" s="1343"/>
      <c r="D1" s="1343"/>
      <c r="E1" s="1343"/>
      <c r="F1" s="1343"/>
      <c r="G1" s="1343"/>
      <c r="H1" s="1343"/>
      <c r="J1" s="1342" t="s">
        <v>806</v>
      </c>
      <c r="K1" s="1343"/>
      <c r="L1" s="1343"/>
      <c r="W1" s="1000" t="s">
        <v>1383</v>
      </c>
      <c r="X1" s="1000" t="s">
        <v>1355</v>
      </c>
    </row>
    <row r="2" spans="1:34" ht="45.15" customHeight="1">
      <c r="A2" s="1823" t="s">
        <v>803</v>
      </c>
      <c r="B2" s="1824" t="str">
        <f>N_Bedarf!E3</f>
        <v>Kultur-fläche</v>
      </c>
      <c r="C2" s="1824" t="str">
        <f>N_Bedarf!F3</f>
        <v>Ertragslage</v>
      </c>
      <c r="D2" s="3131" t="s">
        <v>787</v>
      </c>
      <c r="E2" s="3131"/>
      <c r="F2" s="1824" t="s">
        <v>1776</v>
      </c>
      <c r="G2" s="1824" t="s">
        <v>1777</v>
      </c>
      <c r="H2" s="1824" t="s">
        <v>804</v>
      </c>
      <c r="J2" s="3127" t="s">
        <v>809</v>
      </c>
      <c r="K2" s="3127"/>
      <c r="L2" s="3127"/>
      <c r="W2" s="174"/>
      <c r="X2" s="174"/>
      <c r="Y2" s="174"/>
      <c r="Z2" s="174"/>
      <c r="AA2" s="174"/>
      <c r="AB2" s="174"/>
      <c r="AC2" s="174"/>
      <c r="AD2" s="174"/>
      <c r="AE2" s="174"/>
      <c r="AF2" s="174"/>
      <c r="AG2" s="174"/>
      <c r="AH2" s="174"/>
    </row>
    <row r="3" spans="1:34" ht="27.6">
      <c r="A3" s="1825"/>
      <c r="B3" s="1826" t="str">
        <f>N_Bedarf!E4</f>
        <v>ha</v>
      </c>
      <c r="C3" s="1827" t="str">
        <f>N_Bedarf!F4</f>
        <v>niedrig - hoch 3</v>
      </c>
      <c r="D3" s="1828" t="s">
        <v>1792</v>
      </c>
      <c r="E3" s="1829" t="s">
        <v>649</v>
      </c>
      <c r="F3" s="1716" t="s">
        <v>1793</v>
      </c>
      <c r="G3" s="1716" t="s">
        <v>1793</v>
      </c>
      <c r="H3" s="1259" t="s">
        <v>964</v>
      </c>
      <c r="J3" s="3134" t="s">
        <v>807</v>
      </c>
      <c r="K3" s="3134"/>
      <c r="L3" s="1260">
        <f>G18</f>
        <v>0</v>
      </c>
      <c r="W3" s="174"/>
      <c r="X3" s="174"/>
      <c r="Y3" s="174"/>
      <c r="Z3" s="174"/>
      <c r="AA3" s="174"/>
      <c r="AB3" s="174"/>
      <c r="AC3" s="174"/>
      <c r="AD3" s="174"/>
      <c r="AE3" s="174"/>
      <c r="AF3" s="174"/>
      <c r="AG3" s="174"/>
      <c r="AH3" s="174"/>
    </row>
    <row r="4" spans="1:34" ht="16.5" customHeight="1">
      <c r="A4" s="1255" t="str">
        <f>N_Bedarf!C5</f>
        <v/>
      </c>
      <c r="B4" s="430">
        <f>N_Bedarf!E5</f>
        <v>0</v>
      </c>
      <c r="C4" s="430">
        <f>N_Bedarf!F5</f>
        <v>0</v>
      </c>
      <c r="D4" s="1256"/>
      <c r="E4" s="1257">
        <f>IF(ISNA(N_Bedarf!AJ5),0,N_Bedarf!AJ5)</f>
        <v>0</v>
      </c>
      <c r="F4" s="1257">
        <f>IF(ISBLANK(D4),N_Bedarf!E5*E4,N_Bedarf!E5*D4)</f>
        <v>0</v>
      </c>
      <c r="G4" s="1115">
        <f>IF(ISNA(N_Bedarf!AK5),0,N_Bedarf!E5*N_Bedarf!AK5)</f>
        <v>0</v>
      </c>
      <c r="H4" s="3135" t="s">
        <v>805</v>
      </c>
      <c r="J4" s="3138" t="s">
        <v>1835</v>
      </c>
      <c r="K4" s="3138"/>
      <c r="L4" s="1261">
        <f>Tabelle1!BO33</f>
        <v>0</v>
      </c>
      <c r="W4" s="174"/>
      <c r="X4" s="174"/>
      <c r="Y4" s="174"/>
      <c r="Z4" s="174"/>
      <c r="AA4" s="174"/>
      <c r="AB4" s="174"/>
      <c r="AC4" s="174"/>
      <c r="AD4" s="174"/>
      <c r="AE4" s="174"/>
      <c r="AF4" s="174"/>
      <c r="AG4" s="174"/>
      <c r="AH4" s="174"/>
    </row>
    <row r="5" spans="1:34" ht="16.5" customHeight="1">
      <c r="A5" s="1255">
        <f>N_Bedarf!C6</f>
        <v>0</v>
      </c>
      <c r="B5" s="430">
        <f>N_Bedarf!E6</f>
        <v>0</v>
      </c>
      <c r="C5" s="430">
        <f>N_Bedarf!F6</f>
        <v>0</v>
      </c>
      <c r="D5" s="1256"/>
      <c r="E5" s="1257">
        <f>IF(ISNA(N_Bedarf!AJ6),0,N_Bedarf!AJ6)</f>
        <v>0</v>
      </c>
      <c r="F5" s="1257">
        <f>IF(ISBLANK(D5),N_Bedarf!E6*E5,N_Bedarf!E6*D5)</f>
        <v>0</v>
      </c>
      <c r="G5" s="1115">
        <f>IF(ISNA(N_Bedarf!AK6),0,N_Bedarf!E6*N_Bedarf!AK6)</f>
        <v>0</v>
      </c>
      <c r="H5" s="3135"/>
      <c r="J5" s="3138" t="s">
        <v>1830</v>
      </c>
      <c r="K5" s="3138"/>
      <c r="L5" s="1261">
        <f>SUM(F4:F25)</f>
        <v>0</v>
      </c>
      <c r="W5" s="174"/>
      <c r="X5" s="174"/>
      <c r="Y5" s="174"/>
      <c r="Z5" s="174"/>
      <c r="AA5" s="174"/>
      <c r="AB5" s="174"/>
      <c r="AC5" s="174"/>
      <c r="AD5" s="174"/>
      <c r="AE5" s="174"/>
      <c r="AF5" s="174"/>
      <c r="AG5" s="174"/>
      <c r="AH5" s="174"/>
    </row>
    <row r="6" spans="1:34" ht="16.5" customHeight="1">
      <c r="A6" s="1255">
        <f>N_Bedarf!C7</f>
        <v>0</v>
      </c>
      <c r="B6" s="430">
        <f>N_Bedarf!E7</f>
        <v>0</v>
      </c>
      <c r="C6" s="430">
        <f>N_Bedarf!F7</f>
        <v>0</v>
      </c>
      <c r="D6" s="1256"/>
      <c r="E6" s="1257">
        <f>IF(ISNA(N_Bedarf!AJ7),0,N_Bedarf!AJ7)</f>
        <v>0</v>
      </c>
      <c r="F6" s="1257">
        <f>IF(ISBLANK(D6),N_Bedarf!E7*E6,N_Bedarf!E7*D6)</f>
        <v>0</v>
      </c>
      <c r="G6" s="1115">
        <f>IF(ISNA(N_Bedarf!AK7),0,N_Bedarf!E7*N_Bedarf!AK7)</f>
        <v>0</v>
      </c>
      <c r="H6" s="3135"/>
      <c r="J6" s="3137" t="s">
        <v>1837</v>
      </c>
      <c r="K6" s="3137"/>
      <c r="L6" s="3136">
        <f>-(L5-L3-L4)</f>
        <v>0</v>
      </c>
      <c r="W6" s="174"/>
      <c r="X6" s="174"/>
      <c r="Y6" s="174"/>
      <c r="Z6" s="174"/>
      <c r="AA6" s="174"/>
      <c r="AB6" s="174"/>
      <c r="AC6" s="174"/>
      <c r="AD6" s="174"/>
      <c r="AE6" s="174"/>
      <c r="AF6" s="174"/>
      <c r="AG6" s="174"/>
      <c r="AH6" s="174"/>
    </row>
    <row r="7" spans="1:34" ht="16.5" customHeight="1">
      <c r="A7" s="1255">
        <f>N_Bedarf!C8</f>
        <v>0</v>
      </c>
      <c r="B7" s="430">
        <f>N_Bedarf!E8</f>
        <v>0</v>
      </c>
      <c r="C7" s="430">
        <f>N_Bedarf!F8</f>
        <v>0</v>
      </c>
      <c r="D7" s="1256"/>
      <c r="E7" s="1257">
        <f>IF(ISNA(N_Bedarf!AJ8),0,N_Bedarf!AJ8)</f>
        <v>0</v>
      </c>
      <c r="F7" s="1257">
        <f>IF(ISBLANK(D7),N_Bedarf!E8*E7,N_Bedarf!E8*D7)</f>
        <v>0</v>
      </c>
      <c r="G7" s="1115">
        <f>IF(ISNA(N_Bedarf!AK8),0,N_Bedarf!E8*N_Bedarf!AK8)</f>
        <v>0</v>
      </c>
      <c r="H7" s="3135"/>
      <c r="J7" s="3137"/>
      <c r="K7" s="3137"/>
      <c r="L7" s="3136"/>
      <c r="W7" s="174"/>
      <c r="X7" s="174"/>
      <c r="Y7" s="174"/>
      <c r="Z7" s="174"/>
      <c r="AA7" s="174"/>
      <c r="AB7" s="174"/>
      <c r="AC7" s="174"/>
      <c r="AD7" s="174"/>
      <c r="AE7" s="174"/>
      <c r="AF7" s="174"/>
      <c r="AG7" s="174"/>
      <c r="AH7" s="174"/>
    </row>
    <row r="8" spans="1:34" ht="16.5" customHeight="1">
      <c r="A8" s="1255">
        <f>N_Bedarf!C9</f>
        <v>0</v>
      </c>
      <c r="B8" s="430">
        <f>N_Bedarf!E9</f>
        <v>0</v>
      </c>
      <c r="C8" s="430">
        <f>N_Bedarf!F9</f>
        <v>0</v>
      </c>
      <c r="D8" s="1256"/>
      <c r="E8" s="1257">
        <f>IF(ISNA(N_Bedarf!AJ9),0,N_Bedarf!AJ9)</f>
        <v>0</v>
      </c>
      <c r="F8" s="1257">
        <f>IF(ISBLANK(D8),N_Bedarf!E9*E8,N_Bedarf!E9*D8)</f>
        <v>0</v>
      </c>
      <c r="G8" s="1115">
        <f>IF(ISNA(N_Bedarf!AK9),0,N_Bedarf!E9*N_Bedarf!AK9)</f>
        <v>0</v>
      </c>
      <c r="H8" s="3135"/>
      <c r="J8" s="2594" t="s">
        <v>810</v>
      </c>
      <c r="K8" s="2594"/>
      <c r="L8" s="2594"/>
      <c r="M8" s="940"/>
      <c r="W8" s="174"/>
      <c r="X8" s="174"/>
      <c r="Y8" s="174"/>
      <c r="Z8" s="174"/>
      <c r="AA8" s="174"/>
      <c r="AB8" s="174"/>
      <c r="AC8" s="174"/>
      <c r="AD8" s="174"/>
      <c r="AE8" s="174"/>
      <c r="AF8" s="174"/>
      <c r="AG8" s="174"/>
      <c r="AH8" s="174"/>
    </row>
    <row r="9" spans="1:34" ht="16.5" customHeight="1">
      <c r="A9" s="1255">
        <f>N_Bedarf!C10</f>
        <v>0</v>
      </c>
      <c r="B9" s="430">
        <f>N_Bedarf!E10</f>
        <v>0</v>
      </c>
      <c r="C9" s="430">
        <f>N_Bedarf!F10</f>
        <v>0</v>
      </c>
      <c r="D9" s="1256"/>
      <c r="E9" s="1257">
        <f>IF(ISNA(N_Bedarf!AJ10),0,N_Bedarf!AJ10)</f>
        <v>0</v>
      </c>
      <c r="F9" s="1257">
        <f>IF(ISBLANK(D9),N_Bedarf!E10*E9,N_Bedarf!E10*D9)</f>
        <v>0</v>
      </c>
      <c r="G9" s="1115">
        <f>IF(ISNA(N_Bedarf!AK10),0,N_Bedarf!E10*N_Bedarf!AK10)</f>
        <v>0</v>
      </c>
      <c r="H9" s="3135"/>
      <c r="J9" s="2594"/>
      <c r="K9" s="2594"/>
      <c r="L9" s="2594"/>
      <c r="M9" s="940"/>
      <c r="W9" s="174"/>
      <c r="X9" s="174"/>
      <c r="Y9" s="174"/>
      <c r="Z9" s="174"/>
      <c r="AA9" s="174"/>
      <c r="AB9" s="174"/>
      <c r="AC9" s="174"/>
      <c r="AD9" s="174"/>
      <c r="AE9" s="174"/>
      <c r="AF9" s="174"/>
      <c r="AG9" s="174"/>
      <c r="AH9" s="174"/>
    </row>
    <row r="10" spans="1:34" ht="16.5" customHeight="1">
      <c r="A10" s="1255">
        <f>N_Bedarf!C11</f>
        <v>0</v>
      </c>
      <c r="B10" s="430">
        <f>N_Bedarf!E11</f>
        <v>0</v>
      </c>
      <c r="C10" s="430">
        <f>N_Bedarf!F11</f>
        <v>0</v>
      </c>
      <c r="D10" s="1256"/>
      <c r="E10" s="1257">
        <f>IF(ISNA(N_Bedarf!AJ11),0,N_Bedarf!AJ11)</f>
        <v>0</v>
      </c>
      <c r="F10" s="1257">
        <f>IF(ISBLANK(D10),N_Bedarf!E11*E10,N_Bedarf!E11*D10)</f>
        <v>0</v>
      </c>
      <c r="G10" s="1115">
        <f>IF(ISNA(N_Bedarf!AK11),0,N_Bedarf!E11*N_Bedarf!AK11)</f>
        <v>0</v>
      </c>
      <c r="H10" s="3135"/>
      <c r="J10" s="2594"/>
      <c r="K10" s="2594"/>
      <c r="L10" s="2594"/>
      <c r="W10" s="174"/>
      <c r="X10" s="174"/>
      <c r="Y10" s="174"/>
      <c r="Z10" s="174"/>
      <c r="AA10" s="174"/>
      <c r="AB10" s="174"/>
      <c r="AC10" s="174"/>
      <c r="AD10" s="174"/>
      <c r="AE10" s="174"/>
      <c r="AF10" s="174"/>
      <c r="AG10" s="174"/>
      <c r="AH10" s="174"/>
    </row>
    <row r="11" spans="1:34" ht="16.5" customHeight="1">
      <c r="A11" s="1255">
        <f>N_Bedarf!C12</f>
        <v>0</v>
      </c>
      <c r="B11" s="430">
        <f>N_Bedarf!E12</f>
        <v>0</v>
      </c>
      <c r="C11" s="430">
        <f>N_Bedarf!F12</f>
        <v>0</v>
      </c>
      <c r="D11" s="1256"/>
      <c r="E11" s="1257">
        <f>IF(ISNA(N_Bedarf!AJ12),0,N_Bedarf!AJ12)</f>
        <v>0</v>
      </c>
      <c r="F11" s="1257">
        <f>IF(ISBLANK(D11),N_Bedarf!E12*E11,N_Bedarf!E12*D11)</f>
        <v>0</v>
      </c>
      <c r="G11" s="1115">
        <f>IF(ISNA(N_Bedarf!AK12),0,N_Bedarf!E12*N_Bedarf!AK12)</f>
        <v>0</v>
      </c>
      <c r="J11" s="2594"/>
      <c r="K11" s="2594"/>
      <c r="L11" s="2594"/>
      <c r="W11" s="174"/>
      <c r="X11" s="174"/>
      <c r="Y11" s="174"/>
      <c r="Z11" s="174"/>
      <c r="AA11" s="174"/>
      <c r="AB11" s="174"/>
      <c r="AC11" s="174"/>
      <c r="AD11" s="174"/>
      <c r="AE11" s="174"/>
      <c r="AF11" s="174"/>
      <c r="AG11" s="174"/>
      <c r="AH11" s="174"/>
    </row>
    <row r="12" spans="1:34" ht="16.5" customHeight="1">
      <c r="A12" s="1255">
        <f>N_Bedarf!C13</f>
        <v>0</v>
      </c>
      <c r="B12" s="430">
        <f>N_Bedarf!E13</f>
        <v>0</v>
      </c>
      <c r="C12" s="430">
        <f>N_Bedarf!F13</f>
        <v>0</v>
      </c>
      <c r="D12" s="1256"/>
      <c r="E12" s="1257">
        <f>IF(ISNA(N_Bedarf!AJ13),0,N_Bedarf!AJ13)</f>
        <v>0</v>
      </c>
      <c r="F12" s="1257">
        <f>IF(ISBLANK(D12),N_Bedarf!E13*E12,N_Bedarf!E13*D12)</f>
        <v>0</v>
      </c>
      <c r="G12" s="1115">
        <f>IF(ISNA(N_Bedarf!AK13),0,N_Bedarf!E13*N_Bedarf!AK13)</f>
        <v>0</v>
      </c>
      <c r="J12" s="2594"/>
      <c r="K12" s="2594"/>
      <c r="L12" s="2594"/>
      <c r="W12" s="174"/>
      <c r="X12" s="174"/>
      <c r="Y12" s="174"/>
      <c r="Z12" s="174"/>
      <c r="AA12" s="174"/>
      <c r="AB12" s="174"/>
      <c r="AC12" s="174"/>
      <c r="AD12" s="174"/>
      <c r="AE12" s="174"/>
      <c r="AF12" s="174"/>
      <c r="AG12" s="174"/>
      <c r="AH12" s="174"/>
    </row>
    <row r="13" spans="1:34" ht="16.5" customHeight="1">
      <c r="A13" s="1255">
        <f>N_Bedarf!C14</f>
        <v>0</v>
      </c>
      <c r="B13" s="430">
        <f>N_Bedarf!E14</f>
        <v>0</v>
      </c>
      <c r="C13" s="430">
        <f>N_Bedarf!F14</f>
        <v>0</v>
      </c>
      <c r="D13" s="1256"/>
      <c r="E13" s="1257">
        <f>IF(ISNA(N_Bedarf!AJ14),0,N_Bedarf!AJ14)</f>
        <v>0</v>
      </c>
      <c r="F13" s="1257">
        <f>IF(ISBLANK(D13),N_Bedarf!E14*E13,N_Bedarf!E14*D13)</f>
        <v>0</v>
      </c>
      <c r="G13" s="1115">
        <f>IF(ISNA(N_Bedarf!AK14),0,N_Bedarf!E14*N_Bedarf!AK14)</f>
        <v>0</v>
      </c>
      <c r="J13" s="2594"/>
      <c r="K13" s="2594"/>
      <c r="L13" s="2594"/>
      <c r="W13" s="174"/>
      <c r="X13" s="174"/>
      <c r="Y13" s="174"/>
      <c r="Z13" s="174"/>
      <c r="AA13" s="174"/>
      <c r="AB13" s="174"/>
      <c r="AC13" s="174"/>
      <c r="AD13" s="174"/>
      <c r="AE13" s="174"/>
      <c r="AF13" s="174"/>
      <c r="AG13" s="174"/>
      <c r="AH13" s="174"/>
    </row>
    <row r="14" spans="1:34" ht="16.5" customHeight="1">
      <c r="A14" s="1255">
        <f>N_Bedarf!C15</f>
        <v>0</v>
      </c>
      <c r="B14" s="430">
        <f>N_Bedarf!E15</f>
        <v>0</v>
      </c>
      <c r="C14" s="430">
        <f>N_Bedarf!F15</f>
        <v>0</v>
      </c>
      <c r="D14" s="1256"/>
      <c r="E14" s="1257">
        <f>IF(ISNA(N_Bedarf!AJ15),0,N_Bedarf!AJ15)</f>
        <v>0</v>
      </c>
      <c r="F14" s="1257">
        <f>IF(ISBLANK(D14),N_Bedarf!E15*E14,N_Bedarf!E15*D14)</f>
        <v>0</v>
      </c>
      <c r="G14" s="1115">
        <f>IF(ISNA(N_Bedarf!AK15),0,N_Bedarf!E15*N_Bedarf!AK15)</f>
        <v>0</v>
      </c>
      <c r="W14" s="174"/>
      <c r="X14" s="174"/>
      <c r="Y14" s="174"/>
      <c r="Z14" s="174"/>
      <c r="AA14" s="174"/>
      <c r="AB14" s="174"/>
      <c r="AC14" s="174"/>
      <c r="AD14" s="174"/>
      <c r="AE14" s="174"/>
      <c r="AF14" s="174"/>
      <c r="AG14" s="174"/>
      <c r="AH14" s="174"/>
    </row>
    <row r="15" spans="1:34" ht="16.5" customHeight="1">
      <c r="A15" s="1255">
        <f>N_Bedarf!C16</f>
        <v>0</v>
      </c>
      <c r="B15" s="430">
        <f>N_Bedarf!E16</f>
        <v>0</v>
      </c>
      <c r="C15" s="430">
        <f>N_Bedarf!F16</f>
        <v>0</v>
      </c>
      <c r="D15" s="1256"/>
      <c r="E15" s="1257">
        <f>IF(ISNA(N_Bedarf!AJ16),0,N_Bedarf!AJ16)</f>
        <v>0</v>
      </c>
      <c r="F15" s="1257">
        <f>IF(ISBLANK(D15),N_Bedarf!E16*E15,N_Bedarf!E16*D15)</f>
        <v>0</v>
      </c>
      <c r="G15" s="1115">
        <f>IF(ISNA(N_Bedarf!AK16),0,N_Bedarf!E16*N_Bedarf!AK16)</f>
        <v>0</v>
      </c>
      <c r="W15" s="174"/>
      <c r="X15" s="174"/>
      <c r="Y15" s="174"/>
      <c r="Z15" s="174"/>
      <c r="AA15" s="174"/>
      <c r="AB15" s="174"/>
      <c r="AC15" s="174"/>
      <c r="AD15" s="174"/>
      <c r="AE15" s="174"/>
      <c r="AF15" s="174"/>
      <c r="AG15" s="174"/>
      <c r="AH15" s="174"/>
    </row>
    <row r="16" spans="1:34" ht="16.5" customHeight="1">
      <c r="A16" s="1255">
        <f>N_Bedarf!C17</f>
        <v>0</v>
      </c>
      <c r="B16" s="430">
        <f>N_Bedarf!E17</f>
        <v>0</v>
      </c>
      <c r="C16" s="430">
        <f>N_Bedarf!F17</f>
        <v>0</v>
      </c>
      <c r="D16" s="1256"/>
      <c r="E16" s="1257">
        <f>IF(ISNA(N_Bedarf!AJ17),0,N_Bedarf!AJ17)</f>
        <v>0</v>
      </c>
      <c r="F16" s="1257">
        <f>IF(ISBLANK(D16),N_Bedarf!E17*E16,N_Bedarf!E17*D16)</f>
        <v>0</v>
      </c>
      <c r="G16" s="1115">
        <f>IF(ISNA(N_Bedarf!AK17),0,N_Bedarf!E17*N_Bedarf!AK17)</f>
        <v>0</v>
      </c>
      <c r="W16" s="174"/>
      <c r="X16" s="174"/>
      <c r="Y16" s="174"/>
      <c r="Z16" s="174"/>
      <c r="AA16" s="174"/>
      <c r="AB16" s="174"/>
      <c r="AC16" s="174"/>
      <c r="AD16" s="174"/>
      <c r="AE16" s="174"/>
      <c r="AF16" s="174"/>
      <c r="AG16" s="174"/>
      <c r="AH16" s="174"/>
    </row>
    <row r="17" spans="1:34" ht="16.5" customHeight="1">
      <c r="A17" s="1255" t="str">
        <f>N_Bedarf!C18</f>
        <v>diverse Grünbrachen zB Biodiv.</v>
      </c>
      <c r="B17" s="430">
        <f>N_Bedarf!E18</f>
        <v>0</v>
      </c>
      <c r="C17" s="430">
        <f>N_Bedarf!F18</f>
        <v>0</v>
      </c>
      <c r="D17" s="1256"/>
      <c r="E17" s="1257">
        <f>IF(ISNA(N_Bedarf!AJ18),0,N_Bedarf!AJ18)</f>
        <v>0</v>
      </c>
      <c r="F17" s="1257">
        <f>IF(ISBLANK(D17),N_Bedarf!E18*E17,N_Bedarf!E18*D17)</f>
        <v>0</v>
      </c>
      <c r="G17" s="1115">
        <f>IF(ISNA(N_Bedarf!AK18),0,N_Bedarf!E18*N_Bedarf!AK18)</f>
        <v>0</v>
      </c>
      <c r="W17" s="174"/>
      <c r="X17" s="174"/>
      <c r="Y17" s="174"/>
      <c r="Z17" s="174"/>
      <c r="AA17" s="174"/>
      <c r="AB17" s="174"/>
      <c r="AC17" s="174"/>
      <c r="AD17" s="174"/>
      <c r="AE17" s="174"/>
      <c r="AF17" s="174"/>
      <c r="AG17" s="174"/>
      <c r="AH17" s="174"/>
    </row>
    <row r="18" spans="1:34" ht="16.5" customHeight="1">
      <c r="A18" s="1830" t="str">
        <f>N_Bedarf!C19</f>
        <v>Grünland</v>
      </c>
      <c r="B18" s="1831" t="str">
        <f>N_Bedarf!E19</f>
        <v>ha</v>
      </c>
      <c r="C18" s="1831"/>
      <c r="D18" s="1832"/>
      <c r="E18" s="1833"/>
      <c r="F18" s="1833"/>
      <c r="G18" s="1834">
        <f>SUM(G4:G17)</f>
        <v>0</v>
      </c>
      <c r="H18" s="527"/>
      <c r="I18" s="527"/>
      <c r="J18" s="527"/>
      <c r="W18" s="174"/>
      <c r="X18" s="174"/>
      <c r="Y18" s="174"/>
      <c r="Z18" s="174"/>
      <c r="AA18" s="174"/>
      <c r="AB18" s="174"/>
      <c r="AC18" s="174"/>
      <c r="AD18" s="174"/>
      <c r="AE18" s="174"/>
      <c r="AF18" s="174"/>
      <c r="AG18" s="174"/>
      <c r="AH18" s="174"/>
    </row>
    <row r="19" spans="1:34" ht="16.5" customHeight="1">
      <c r="A19" s="1258">
        <f>N_Bedarf!C20</f>
        <v>0</v>
      </c>
      <c r="B19" s="430">
        <f>N_Bedarf!E20</f>
        <v>0</v>
      </c>
      <c r="C19" s="430">
        <f>N_Bedarf!F20</f>
        <v>0</v>
      </c>
      <c r="D19" s="1256"/>
      <c r="E19" s="1145">
        <f>IF(ISNA(N_Bedarf!AJ20),0,N_Bedarf!AJ20)</f>
        <v>0</v>
      </c>
      <c r="F19" s="1257">
        <f>IF(ISBLANK(D19),N_Bedarf!E20*E19,N_Bedarf!E20*D19)</f>
        <v>0</v>
      </c>
      <c r="G19" s="527"/>
      <c r="H19" s="527"/>
      <c r="I19" s="527"/>
      <c r="J19" s="527"/>
      <c r="W19" s="174"/>
      <c r="X19" s="174"/>
      <c r="Y19" s="174"/>
      <c r="Z19" s="174"/>
      <c r="AA19" s="174"/>
      <c r="AB19" s="174"/>
      <c r="AC19" s="174"/>
      <c r="AD19" s="174"/>
      <c r="AE19" s="174"/>
      <c r="AF19" s="174"/>
      <c r="AG19" s="174"/>
      <c r="AH19" s="174"/>
    </row>
    <row r="20" spans="1:34" ht="16.5" customHeight="1">
      <c r="A20" s="1258">
        <f>N_Bedarf!C21</f>
        <v>0</v>
      </c>
      <c r="B20" s="430">
        <f>N_Bedarf!E21</f>
        <v>0</v>
      </c>
      <c r="C20" s="430">
        <f>N_Bedarf!F21</f>
        <v>0</v>
      </c>
      <c r="D20" s="1256"/>
      <c r="E20" s="1145">
        <f>IF(ISNA(N_Bedarf!AJ21),0,N_Bedarf!AJ21)</f>
        <v>0</v>
      </c>
      <c r="F20" s="1257">
        <f>IF(ISBLANK(D20),N_Bedarf!E21*E20,N_Bedarf!E21*D20)</f>
        <v>0</v>
      </c>
      <c r="G20" s="527"/>
      <c r="H20" s="527"/>
      <c r="I20" s="527"/>
      <c r="J20" s="527"/>
      <c r="W20" s="174"/>
      <c r="X20" s="174"/>
      <c r="Y20" s="174"/>
      <c r="Z20" s="174"/>
      <c r="AA20" s="174"/>
      <c r="AB20" s="174"/>
      <c r="AC20" s="174"/>
      <c r="AD20" s="174"/>
      <c r="AE20" s="174"/>
      <c r="AF20" s="174"/>
      <c r="AG20" s="174"/>
      <c r="AH20" s="174"/>
    </row>
    <row r="21" spans="1:34" ht="16.5" customHeight="1">
      <c r="A21" s="1258">
        <f>N_Bedarf!C22</f>
        <v>0</v>
      </c>
      <c r="B21" s="430">
        <f>N_Bedarf!E22</f>
        <v>0</v>
      </c>
      <c r="C21" s="430">
        <f>N_Bedarf!F22</f>
        <v>0</v>
      </c>
      <c r="D21" s="1256"/>
      <c r="E21" s="1145">
        <f>IF(ISNA(N_Bedarf!AJ22),0,N_Bedarf!AJ22)</f>
        <v>0</v>
      </c>
      <c r="F21" s="1257">
        <f>IF(ISBLANK(D21),N_Bedarf!E22*E21,N_Bedarf!E22*D21)</f>
        <v>0</v>
      </c>
      <c r="H21" s="527"/>
      <c r="I21" s="527"/>
      <c r="J21" s="527"/>
      <c r="W21" s="174"/>
      <c r="X21" s="174"/>
      <c r="Y21" s="174"/>
      <c r="Z21" s="174"/>
      <c r="AA21" s="174"/>
      <c r="AB21" s="174"/>
      <c r="AC21" s="174"/>
      <c r="AD21" s="174"/>
      <c r="AE21" s="174"/>
      <c r="AF21" s="174"/>
      <c r="AG21" s="174"/>
      <c r="AH21" s="174"/>
    </row>
    <row r="22" spans="1:34" ht="16.5" customHeight="1">
      <c r="A22" s="1258">
        <f>N_Bedarf!C23</f>
        <v>0</v>
      </c>
      <c r="B22" s="430">
        <f>N_Bedarf!E23</f>
        <v>0</v>
      </c>
      <c r="C22" s="430">
        <f>N_Bedarf!F23</f>
        <v>0</v>
      </c>
      <c r="D22" s="1256"/>
      <c r="E22" s="1145">
        <f>IF(ISNA(N_Bedarf!AJ23),0,N_Bedarf!AJ23)</f>
        <v>0</v>
      </c>
      <c r="F22" s="1257">
        <f>IF(ISBLANK(D22),N_Bedarf!E23*E22,N_Bedarf!E23*D22)</f>
        <v>0</v>
      </c>
      <c r="H22" s="527"/>
      <c r="I22" s="527"/>
      <c r="J22" s="527"/>
      <c r="W22" s="174"/>
      <c r="X22" s="174"/>
      <c r="Y22" s="174"/>
      <c r="Z22" s="174"/>
      <c r="AA22" s="174"/>
      <c r="AB22" s="174"/>
      <c r="AC22" s="174"/>
      <c r="AD22" s="174"/>
      <c r="AE22" s="174"/>
      <c r="AF22" s="174"/>
      <c r="AG22" s="174"/>
      <c r="AH22" s="174"/>
    </row>
    <row r="23" spans="1:34" ht="16.5" customHeight="1">
      <c r="A23" s="1258">
        <f>N_Bedarf!C24</f>
        <v>0</v>
      </c>
      <c r="B23" s="430">
        <f>N_Bedarf!E24</f>
        <v>0</v>
      </c>
      <c r="C23" s="430">
        <f>N_Bedarf!F24</f>
        <v>0</v>
      </c>
      <c r="D23" s="1256"/>
      <c r="E23" s="1145">
        <f>IF(ISNA(N_Bedarf!AJ24),0,N_Bedarf!AJ24)</f>
        <v>0</v>
      </c>
      <c r="F23" s="1257">
        <f>IF(ISBLANK(D23),N_Bedarf!E24*E23,N_Bedarf!E24*D23)</f>
        <v>0</v>
      </c>
      <c r="H23" s="527"/>
      <c r="I23" s="527"/>
      <c r="J23" s="527"/>
      <c r="W23" s="174"/>
      <c r="X23" s="174"/>
      <c r="Y23" s="174"/>
      <c r="Z23" s="174"/>
      <c r="AA23" s="174"/>
      <c r="AB23" s="174"/>
      <c r="AC23" s="174"/>
      <c r="AD23" s="174"/>
      <c r="AE23" s="174"/>
      <c r="AF23" s="174"/>
      <c r="AG23" s="174"/>
      <c r="AH23" s="174"/>
    </row>
    <row r="24" spans="1:34" ht="16.5" customHeight="1">
      <c r="A24" s="1258">
        <f>N_Bedarf!C25</f>
        <v>0</v>
      </c>
      <c r="B24" s="430">
        <f>N_Bedarf!E25</f>
        <v>0</v>
      </c>
      <c r="C24" s="430">
        <f>N_Bedarf!F25</f>
        <v>0</v>
      </c>
      <c r="D24" s="1256"/>
      <c r="E24" s="1145">
        <f>IF(ISNA(N_Bedarf!AJ25),0,N_Bedarf!AJ25)</f>
        <v>0</v>
      </c>
      <c r="F24" s="1257">
        <f>IF(ISBLANK(D24),N_Bedarf!E25*E24,N_Bedarf!E25*D24)</f>
        <v>0</v>
      </c>
      <c r="H24" s="527"/>
      <c r="I24" s="527"/>
      <c r="W24" s="174"/>
      <c r="X24" s="174"/>
      <c r="Y24" s="174"/>
      <c r="Z24" s="174"/>
      <c r="AA24" s="174"/>
      <c r="AB24" s="174"/>
      <c r="AC24" s="174"/>
      <c r="AD24" s="174"/>
      <c r="AE24" s="174"/>
      <c r="AF24" s="174"/>
      <c r="AG24" s="174"/>
      <c r="AH24" s="174"/>
    </row>
    <row r="25" spans="1:34" ht="15" customHeight="1">
      <c r="A25" s="948"/>
      <c r="H25" s="527"/>
      <c r="I25" s="528"/>
      <c r="J25" s="527"/>
      <c r="W25" s="174"/>
      <c r="X25" s="174"/>
      <c r="Y25" s="174"/>
      <c r="Z25" s="174"/>
      <c r="AA25" s="174"/>
      <c r="AB25" s="174"/>
      <c r="AC25" s="174"/>
      <c r="AD25" s="174"/>
      <c r="AE25" s="174"/>
      <c r="AF25" s="174"/>
      <c r="AG25" s="174"/>
      <c r="AH25" s="174"/>
    </row>
    <row r="26" spans="1:34" ht="34.5" customHeight="1">
      <c r="A26" s="1344" t="s">
        <v>812</v>
      </c>
      <c r="B26" s="3132" t="s">
        <v>819</v>
      </c>
      <c r="C26" s="3133"/>
      <c r="D26" s="3133"/>
      <c r="E26" s="3133"/>
      <c r="F26" s="3133"/>
      <c r="G26" s="3124" t="s">
        <v>1711</v>
      </c>
      <c r="H26" s="3125"/>
      <c r="I26" s="3125"/>
      <c r="J26" s="3125"/>
      <c r="K26" s="3125"/>
      <c r="O26" s="3120" t="s">
        <v>1685</v>
      </c>
      <c r="P26" s="3120"/>
      <c r="Q26" s="3120"/>
      <c r="R26" s="3120"/>
      <c r="S26" s="3120"/>
      <c r="T26" s="3119" t="s">
        <v>1686</v>
      </c>
      <c r="U26" s="3119"/>
      <c r="V26" s="3119"/>
      <c r="W26" s="174"/>
      <c r="X26" s="174"/>
      <c r="Y26" s="174"/>
      <c r="Z26" s="174"/>
      <c r="AA26" s="174"/>
      <c r="AB26" s="174"/>
      <c r="AC26" s="174"/>
      <c r="AD26" s="174"/>
      <c r="AE26" s="174"/>
      <c r="AF26" s="174"/>
      <c r="AG26" s="174"/>
      <c r="AH26" s="174"/>
    </row>
    <row r="27" spans="1:34" ht="20.25" customHeight="1">
      <c r="A27" s="3139" t="str">
        <f>Mineral!A2</f>
        <v>Mineraldünger</v>
      </c>
      <c r="B27" s="1819" t="s">
        <v>816</v>
      </c>
      <c r="C27" s="1820" t="s">
        <v>817</v>
      </c>
      <c r="D27" s="3127" t="s">
        <v>818</v>
      </c>
      <c r="E27" s="3127"/>
      <c r="F27" s="3127"/>
      <c r="G27" s="3126" t="s">
        <v>802</v>
      </c>
      <c r="H27" s="3126"/>
      <c r="I27" s="3126"/>
      <c r="J27" s="3126"/>
      <c r="K27" s="3126"/>
      <c r="O27" s="943"/>
      <c r="P27" s="943" t="s">
        <v>1691</v>
      </c>
      <c r="Q27" s="3121" t="s">
        <v>1692</v>
      </c>
      <c r="R27" s="3122"/>
      <c r="S27" s="3123"/>
      <c r="T27" s="941" t="s">
        <v>1155</v>
      </c>
      <c r="U27" s="941" t="s">
        <v>1693</v>
      </c>
      <c r="V27" s="941" t="s">
        <v>1694</v>
      </c>
      <c r="W27" s="174"/>
      <c r="X27" s="174"/>
      <c r="Y27" s="174"/>
      <c r="Z27" s="174"/>
      <c r="AA27" s="174"/>
      <c r="AB27" s="174"/>
      <c r="AC27" s="174"/>
      <c r="AD27" s="174"/>
      <c r="AE27" s="174"/>
      <c r="AF27" s="174"/>
      <c r="AG27" s="174"/>
      <c r="AH27" s="174"/>
    </row>
    <row r="28" spans="1:34" ht="19.5" customHeight="1" thickBot="1">
      <c r="A28" s="3139"/>
      <c r="B28" s="1821" t="s">
        <v>1699</v>
      </c>
      <c r="C28" s="1822" t="s">
        <v>1699</v>
      </c>
      <c r="D28" s="3127"/>
      <c r="E28" s="3127"/>
      <c r="F28" s="3127"/>
      <c r="G28" s="3126"/>
      <c r="H28" s="3126"/>
      <c r="I28" s="3126"/>
      <c r="J28" s="3126"/>
      <c r="K28" s="3126"/>
      <c r="O28" s="943"/>
      <c r="P28" s="943" t="s">
        <v>1696</v>
      </c>
      <c r="Q28" s="943" t="s">
        <v>1155</v>
      </c>
      <c r="R28" s="943" t="s">
        <v>813</v>
      </c>
      <c r="S28" s="943" t="s">
        <v>814</v>
      </c>
      <c r="T28" s="942">
        <f>IF(ISBLANK(B30),T29,IF(ISBLANK(B29),T30,(T29+T30)/2))</f>
        <v>0</v>
      </c>
      <c r="U28" s="942">
        <f>IF(ISBLANK($B46),U32,IF(ISBLANK($B37),U31,(U31+U32)/2))</f>
        <v>0</v>
      </c>
      <c r="V28" s="942">
        <f>IF(ISBLANK(B42),0,V33)</f>
        <v>0</v>
      </c>
      <c r="W28" s="174"/>
      <c r="X28" s="174"/>
      <c r="Y28" s="174"/>
      <c r="Z28" s="174"/>
      <c r="AA28" s="174"/>
      <c r="AB28" s="174"/>
      <c r="AC28" s="174"/>
      <c r="AD28" s="174"/>
      <c r="AE28" s="174"/>
      <c r="AF28" s="174"/>
      <c r="AG28" s="174"/>
      <c r="AH28" s="174"/>
    </row>
    <row r="29" spans="1:34" ht="15.9" customHeight="1" thickBot="1">
      <c r="A29" s="1835">
        <f>Mineral!A3</f>
        <v>0</v>
      </c>
      <c r="B29" s="1348"/>
      <c r="C29" s="1838" t="str">
        <f>IF(T$28=0,"",(Mineral!D3*H$29)*1000)</f>
        <v/>
      </c>
      <c r="D29" s="1263" t="str">
        <f t="shared" ref="D29:D37" si="0">IF(B29=0,"",B29-C29)</f>
        <v/>
      </c>
      <c r="E29" s="2789" t="s">
        <v>822</v>
      </c>
      <c r="F29" s="2789"/>
      <c r="G29" s="1836" t="s">
        <v>1713</v>
      </c>
      <c r="H29" s="1262">
        <f>T28</f>
        <v>0</v>
      </c>
      <c r="I29" s="1837" t="s">
        <v>1714</v>
      </c>
      <c r="J29" s="3128" t="s">
        <v>811</v>
      </c>
      <c r="K29" s="3128"/>
      <c r="O29" s="964" t="s">
        <v>1697</v>
      </c>
      <c r="P29" s="618">
        <f>B29</f>
        <v>0</v>
      </c>
      <c r="Q29" s="944">
        <v>270</v>
      </c>
      <c r="R29" s="945"/>
      <c r="S29" s="945"/>
      <c r="T29" s="946">
        <f>B29/Q29</f>
        <v>0</v>
      </c>
      <c r="U29" s="947"/>
      <c r="V29" s="947"/>
      <c r="W29" s="174"/>
      <c r="X29" s="174"/>
      <c r="Y29" s="174"/>
      <c r="Z29" s="174"/>
      <c r="AA29" s="174"/>
      <c r="AB29" s="174"/>
      <c r="AC29" s="174"/>
      <c r="AD29" s="174"/>
      <c r="AE29" s="174"/>
      <c r="AF29" s="174"/>
      <c r="AG29" s="174"/>
      <c r="AH29" s="174"/>
    </row>
    <row r="30" spans="1:34" ht="15.9" customHeight="1" thickBot="1">
      <c r="A30" s="1835">
        <f>Mineral!A4</f>
        <v>0</v>
      </c>
      <c r="B30" s="1349"/>
      <c r="C30" s="1839" t="str">
        <f>IF(T$28=0,"",(Mineral!D4*H$29)*1000)</f>
        <v/>
      </c>
      <c r="D30" s="1265" t="str">
        <f t="shared" si="0"/>
        <v/>
      </c>
      <c r="E30" s="2789"/>
      <c r="F30" s="2789"/>
      <c r="G30" s="1836" t="s">
        <v>937</v>
      </c>
      <c r="H30" s="1262">
        <f>U28</f>
        <v>0</v>
      </c>
      <c r="I30" s="1837" t="s">
        <v>1714</v>
      </c>
      <c r="J30" s="3128"/>
      <c r="K30" s="3128"/>
      <c r="O30" s="964" t="s">
        <v>1700</v>
      </c>
      <c r="P30" s="618">
        <f>B30</f>
        <v>0</v>
      </c>
      <c r="Q30" s="944">
        <v>460</v>
      </c>
      <c r="R30" s="945"/>
      <c r="S30" s="945"/>
      <c r="T30" s="946">
        <f>B30/Q30</f>
        <v>0</v>
      </c>
      <c r="U30" s="947"/>
      <c r="V30" s="947"/>
      <c r="W30" s="174"/>
      <c r="X30" s="174"/>
      <c r="Y30" s="174"/>
      <c r="Z30" s="174"/>
      <c r="AA30" s="174"/>
      <c r="AB30" s="174"/>
      <c r="AC30" s="174"/>
      <c r="AD30" s="174"/>
      <c r="AE30" s="174"/>
      <c r="AF30" s="174"/>
      <c r="AG30" s="174"/>
      <c r="AH30" s="174"/>
    </row>
    <row r="31" spans="1:34" ht="15.9" customHeight="1">
      <c r="A31" s="1264">
        <f>Mineral!A5</f>
        <v>0</v>
      </c>
      <c r="B31" s="1268"/>
      <c r="C31" s="1840" t="str">
        <f>IF(T$28=0,"",(Mineral!D5*H$29)*1000)</f>
        <v/>
      </c>
      <c r="D31" s="1269" t="str">
        <f t="shared" si="0"/>
        <v/>
      </c>
      <c r="E31" s="3142"/>
      <c r="F31" s="2789"/>
      <c r="G31" s="1836" t="s">
        <v>1717</v>
      </c>
      <c r="H31" s="1262">
        <f>V28</f>
        <v>0</v>
      </c>
      <c r="I31" s="1837" t="s">
        <v>1714</v>
      </c>
      <c r="J31" s="3128"/>
      <c r="K31" s="3128"/>
      <c r="O31" s="964" t="s">
        <v>1702</v>
      </c>
      <c r="P31" s="618">
        <f>B46</f>
        <v>0</v>
      </c>
      <c r="Q31" s="944">
        <v>180</v>
      </c>
      <c r="R31" s="944">
        <v>460</v>
      </c>
      <c r="S31" s="945"/>
      <c r="T31" s="947"/>
      <c r="U31" s="946">
        <f>(B46-(Q31*T28))/R31</f>
        <v>0</v>
      </c>
      <c r="V31" s="947"/>
      <c r="W31" s="174"/>
      <c r="X31" s="174"/>
      <c r="Y31" s="174"/>
      <c r="Z31" s="174"/>
      <c r="AA31" s="174"/>
      <c r="AB31" s="174"/>
      <c r="AC31" s="174"/>
      <c r="AD31" s="174"/>
      <c r="AE31" s="174"/>
      <c r="AF31" s="174"/>
      <c r="AG31" s="174"/>
      <c r="AH31" s="174"/>
    </row>
    <row r="32" spans="1:34" ht="15.9" customHeight="1">
      <c r="A32" s="1264">
        <f>Mineral!A6</f>
        <v>0</v>
      </c>
      <c r="B32" s="1267"/>
      <c r="C32" s="1841" t="str">
        <f>IF(T$28=0,"",(Mineral!D6*H$29)*1000)</f>
        <v/>
      </c>
      <c r="D32" s="1270" t="str">
        <f t="shared" si="0"/>
        <v/>
      </c>
      <c r="E32" s="3142"/>
      <c r="F32" s="2789"/>
      <c r="G32" s="3115" t="s">
        <v>993</v>
      </c>
      <c r="H32" s="3116"/>
      <c r="I32" s="3116"/>
      <c r="J32" s="3116"/>
      <c r="K32" s="3116"/>
      <c r="O32" s="964" t="s">
        <v>1705</v>
      </c>
      <c r="P32" s="618">
        <f>B37</f>
        <v>0</v>
      </c>
      <c r="Q32" s="945"/>
      <c r="R32" s="944">
        <v>260</v>
      </c>
      <c r="S32" s="945"/>
      <c r="T32" s="947"/>
      <c r="U32" s="946">
        <f>B37/R32</f>
        <v>0</v>
      </c>
      <c r="V32" s="947"/>
      <c r="W32" s="174"/>
      <c r="X32" s="174"/>
      <c r="Y32" s="174"/>
      <c r="Z32" s="174"/>
      <c r="AA32" s="174"/>
      <c r="AB32" s="174"/>
      <c r="AC32" s="174"/>
      <c r="AD32" s="174"/>
      <c r="AE32" s="174"/>
      <c r="AF32" s="174"/>
      <c r="AG32" s="174"/>
      <c r="AH32" s="174"/>
    </row>
    <row r="33" spans="1:34" ht="15.9" customHeight="1">
      <c r="A33" s="1264">
        <f>Mineral!A7</f>
        <v>0</v>
      </c>
      <c r="B33" s="1266"/>
      <c r="C33" s="1840" t="str">
        <f>IF(T$28=0,"",(Mineral!D7*H$29)*1000)</f>
        <v/>
      </c>
      <c r="D33" s="1269" t="str">
        <f t="shared" si="0"/>
        <v/>
      </c>
      <c r="E33" s="3117" t="s">
        <v>823</v>
      </c>
      <c r="F33" s="3118"/>
      <c r="G33" s="3115"/>
      <c r="H33" s="3116"/>
      <c r="I33" s="3116"/>
      <c r="J33" s="3116"/>
      <c r="K33" s="3116"/>
      <c r="O33" s="964" t="s">
        <v>1707</v>
      </c>
      <c r="P33" s="618">
        <f>B42</f>
        <v>0</v>
      </c>
      <c r="Q33" s="945"/>
      <c r="R33" s="945"/>
      <c r="S33" s="944">
        <v>600</v>
      </c>
      <c r="T33" s="947"/>
      <c r="U33" s="947"/>
      <c r="V33" s="946">
        <f>B42/S33</f>
        <v>0</v>
      </c>
      <c r="W33" s="174"/>
      <c r="X33" s="174"/>
      <c r="Y33" s="174"/>
      <c r="Z33" s="174"/>
      <c r="AA33" s="174"/>
      <c r="AB33" s="174"/>
      <c r="AC33" s="174"/>
      <c r="AD33" s="174"/>
      <c r="AE33" s="174"/>
      <c r="AF33" s="174"/>
      <c r="AG33" s="174"/>
      <c r="AH33" s="174"/>
    </row>
    <row r="34" spans="1:34" ht="15.9" customHeight="1">
      <c r="A34" s="1264">
        <f>Mineral!A8</f>
        <v>0</v>
      </c>
      <c r="B34" s="1268"/>
      <c r="C34" s="1842" t="str">
        <f>IF(T$28=0,"",(Mineral!D8*H$29)*1000)</f>
        <v/>
      </c>
      <c r="D34" s="1271" t="str">
        <f t="shared" si="0"/>
        <v/>
      </c>
      <c r="E34" s="3117" t="s">
        <v>1704</v>
      </c>
      <c r="F34" s="3118"/>
      <c r="G34" s="3115"/>
      <c r="H34" s="3116"/>
      <c r="I34" s="3116"/>
      <c r="J34" s="3116"/>
      <c r="K34" s="3116"/>
      <c r="W34" s="174"/>
      <c r="X34" s="174"/>
      <c r="Y34" s="174"/>
      <c r="Z34" s="174"/>
      <c r="AA34" s="174"/>
      <c r="AB34" s="174"/>
      <c r="AC34" s="174"/>
      <c r="AD34" s="174"/>
      <c r="AE34" s="174"/>
      <c r="AF34" s="174"/>
      <c r="AG34" s="174"/>
      <c r="AH34" s="174"/>
    </row>
    <row r="35" spans="1:34" ht="15.9" customHeight="1">
      <c r="A35" s="1264">
        <f>Mineral!A9</f>
        <v>0</v>
      </c>
      <c r="B35" s="1267"/>
      <c r="C35" s="1841" t="str">
        <f>IF(T$28=0,"",(Mineral!D9*H$29)*1000)</f>
        <v/>
      </c>
      <c r="D35" s="1270" t="str">
        <f t="shared" si="0"/>
        <v/>
      </c>
      <c r="E35" s="3117" t="s">
        <v>1709</v>
      </c>
      <c r="F35" s="3118"/>
      <c r="G35" s="3115"/>
      <c r="H35" s="3116"/>
      <c r="I35" s="3116"/>
      <c r="J35" s="3116"/>
      <c r="K35" s="3116"/>
      <c r="W35" s="174"/>
      <c r="X35" s="174"/>
      <c r="Y35" s="174"/>
      <c r="Z35" s="174"/>
      <c r="AA35" s="174"/>
      <c r="AB35" s="174"/>
      <c r="AC35" s="174"/>
      <c r="AD35" s="174"/>
      <c r="AE35" s="174"/>
      <c r="AF35" s="174"/>
      <c r="AG35" s="174"/>
      <c r="AH35" s="174"/>
    </row>
    <row r="36" spans="1:34" ht="15.9" customHeight="1" thickBot="1">
      <c r="A36" s="1264">
        <f>Mineral!A10</f>
        <v>0</v>
      </c>
      <c r="B36" s="1266"/>
      <c r="C36" s="1843" t="str">
        <f>IF(U$28=0,"",(Mineral!E10*H$30)*1000)</f>
        <v/>
      </c>
      <c r="D36" s="1272" t="str">
        <f t="shared" si="0"/>
        <v/>
      </c>
      <c r="E36" s="3117" t="s">
        <v>1709</v>
      </c>
      <c r="F36" s="3118"/>
      <c r="G36" s="3115"/>
      <c r="H36" s="3116"/>
      <c r="I36" s="3116"/>
      <c r="J36" s="3116"/>
      <c r="K36" s="3116"/>
      <c r="W36" s="174"/>
      <c r="X36" s="174"/>
      <c r="Y36" s="174"/>
      <c r="Z36" s="174"/>
      <c r="AA36" s="174"/>
      <c r="AB36" s="174"/>
      <c r="AC36" s="174"/>
      <c r="AD36" s="174"/>
      <c r="AE36" s="174"/>
      <c r="AF36" s="174"/>
      <c r="AG36" s="174"/>
      <c r="AH36" s="174"/>
    </row>
    <row r="37" spans="1:34" ht="15.9" customHeight="1" thickBot="1">
      <c r="A37" s="1835">
        <f>Mineral!A11</f>
        <v>0</v>
      </c>
      <c r="B37" s="1348"/>
      <c r="C37" s="1838" t="str">
        <f>IF(U$28=0,"",(Mineral!E11*H$30)*1000)</f>
        <v/>
      </c>
      <c r="D37" s="1272" t="str">
        <f t="shared" si="0"/>
        <v/>
      </c>
      <c r="E37" s="3129" t="s">
        <v>820</v>
      </c>
      <c r="F37" s="3130"/>
      <c r="G37" s="3115"/>
      <c r="H37" s="3116"/>
      <c r="I37" s="3116"/>
      <c r="J37" s="3116"/>
      <c r="K37" s="3116"/>
      <c r="W37" s="174"/>
      <c r="X37" s="174"/>
      <c r="Y37" s="174"/>
      <c r="Z37" s="174"/>
      <c r="AA37" s="174"/>
      <c r="AB37" s="174"/>
      <c r="AC37" s="174"/>
      <c r="AD37" s="174"/>
      <c r="AE37" s="174"/>
      <c r="AF37" s="174"/>
      <c r="AG37" s="174"/>
      <c r="AH37" s="174"/>
    </row>
    <row r="38" spans="1:34" ht="15.9" customHeight="1">
      <c r="A38" s="1264">
        <f>Mineral!A12</f>
        <v>0</v>
      </c>
      <c r="B38" s="1346"/>
      <c r="C38" s="1840" t="str">
        <f>IF(U$28=0,"",(Mineral!E12*H$30)*1000)</f>
        <v/>
      </c>
      <c r="D38" s="1269" t="str">
        <f t="shared" ref="D38:D74" si="1">IF(B38=0,"",B38-C38)</f>
        <v/>
      </c>
      <c r="E38" s="3117" t="s">
        <v>1704</v>
      </c>
      <c r="F38" s="3118"/>
      <c r="G38" s="3115"/>
      <c r="H38" s="3116"/>
      <c r="I38" s="3116"/>
      <c r="J38" s="3116"/>
      <c r="K38" s="3116"/>
      <c r="W38" s="174"/>
      <c r="X38" s="174"/>
      <c r="Y38" s="174"/>
      <c r="Z38" s="174"/>
      <c r="AA38" s="174"/>
      <c r="AB38" s="174"/>
      <c r="AC38" s="174"/>
      <c r="AD38" s="174"/>
      <c r="AE38" s="174"/>
      <c r="AF38" s="174"/>
      <c r="AG38" s="174"/>
      <c r="AH38" s="174"/>
    </row>
    <row r="39" spans="1:34" ht="15.9" customHeight="1">
      <c r="A39" s="1264">
        <f>Mineral!A13</f>
        <v>0</v>
      </c>
      <c r="B39" s="1268"/>
      <c r="C39" s="1842" t="str">
        <f>IF(U$28=0,"",(Mineral!E13*H$30)*1000)</f>
        <v/>
      </c>
      <c r="D39" s="1271" t="str">
        <f t="shared" si="1"/>
        <v/>
      </c>
      <c r="E39" s="3117"/>
      <c r="F39" s="3118"/>
      <c r="G39" s="3115"/>
      <c r="H39" s="3116"/>
      <c r="I39" s="3116"/>
      <c r="J39" s="3116"/>
      <c r="K39" s="3116"/>
      <c r="W39" s="174"/>
      <c r="X39" s="174"/>
      <c r="Y39" s="174"/>
      <c r="Z39" s="174"/>
      <c r="AA39" s="174"/>
      <c r="AB39" s="174"/>
      <c r="AC39" s="174"/>
      <c r="AD39" s="174"/>
      <c r="AE39" s="174"/>
      <c r="AF39" s="174"/>
      <c r="AG39" s="174"/>
      <c r="AH39" s="174"/>
    </row>
    <row r="40" spans="1:34" ht="15.9" customHeight="1">
      <c r="A40" s="1264">
        <f>Mineral!A14</f>
        <v>0</v>
      </c>
      <c r="B40" s="1267"/>
      <c r="C40" s="1841" t="str">
        <f>IF(U$28=0,"",(Mineral!E14*H$30)*1000)</f>
        <v/>
      </c>
      <c r="D40" s="1270" t="str">
        <f t="shared" si="1"/>
        <v/>
      </c>
      <c r="E40" s="3117"/>
      <c r="F40" s="3118"/>
      <c r="G40" s="3115"/>
      <c r="H40" s="3116"/>
      <c r="I40" s="3116"/>
      <c r="J40" s="3116"/>
      <c r="K40" s="3116"/>
      <c r="W40" s="174"/>
      <c r="X40" s="174"/>
      <c r="Y40" s="174"/>
      <c r="Z40" s="174"/>
      <c r="AA40" s="174"/>
      <c r="AB40" s="174"/>
      <c r="AC40" s="174"/>
      <c r="AD40" s="174"/>
      <c r="AE40" s="174"/>
      <c r="AF40" s="174"/>
      <c r="AG40" s="174"/>
      <c r="AH40" s="174"/>
    </row>
    <row r="41" spans="1:34" ht="15.9" customHeight="1" thickBot="1">
      <c r="A41" s="1264">
        <f>Mineral!A15</f>
        <v>0</v>
      </c>
      <c r="B41" s="1266"/>
      <c r="C41" s="1843" t="e">
        <f>IF(V$28="","",(Mineral!F15*H$31)*1000)</f>
        <v>#VALUE!</v>
      </c>
      <c r="D41" s="1272" t="str">
        <f t="shared" si="1"/>
        <v/>
      </c>
      <c r="E41" s="3117" t="s">
        <v>1704</v>
      </c>
      <c r="F41" s="3118"/>
      <c r="G41" s="3115"/>
      <c r="H41" s="3116"/>
      <c r="I41" s="3116"/>
      <c r="J41" s="3116"/>
      <c r="K41" s="3116"/>
      <c r="W41" s="174"/>
      <c r="X41" s="174"/>
      <c r="Y41" s="174"/>
      <c r="Z41" s="174"/>
      <c r="AA41" s="174"/>
      <c r="AB41" s="174"/>
      <c r="AC41" s="174"/>
      <c r="AD41" s="174"/>
      <c r="AE41" s="174"/>
      <c r="AF41" s="174"/>
      <c r="AG41" s="174"/>
      <c r="AH41" s="174"/>
    </row>
    <row r="42" spans="1:34" ht="15.9" customHeight="1" thickBot="1">
      <c r="A42" s="1835">
        <f>Mineral!A16</f>
        <v>0</v>
      </c>
      <c r="B42" s="1348"/>
      <c r="C42" s="1838" t="e">
        <f>IF(V$28="","",(Mineral!F16*H$31)*1000)</f>
        <v>#VALUE!</v>
      </c>
      <c r="D42" s="1272" t="str">
        <f t="shared" si="1"/>
        <v/>
      </c>
      <c r="E42" s="3117"/>
      <c r="F42" s="3118"/>
      <c r="G42" s="3115"/>
      <c r="H42" s="3116"/>
      <c r="I42" s="3116"/>
      <c r="J42" s="3116"/>
      <c r="K42" s="3116"/>
      <c r="W42" s="174"/>
      <c r="X42" s="174"/>
      <c r="Y42" s="174"/>
      <c r="Z42" s="174"/>
      <c r="AA42" s="174"/>
      <c r="AB42" s="174"/>
      <c r="AC42" s="174"/>
      <c r="AD42" s="174"/>
      <c r="AE42" s="174"/>
      <c r="AF42" s="174"/>
      <c r="AG42" s="174"/>
      <c r="AH42" s="174"/>
    </row>
    <row r="43" spans="1:34" ht="15.9" customHeight="1">
      <c r="A43" s="1264">
        <f>Mineral!A17</f>
        <v>0</v>
      </c>
      <c r="B43" s="1347"/>
      <c r="C43" s="1842" t="e">
        <f>IF(V$28="","",(Mineral!F17*H$31)*1000)</f>
        <v>#VALUE!</v>
      </c>
      <c r="D43" s="1271" t="str">
        <f t="shared" si="1"/>
        <v/>
      </c>
      <c r="E43" s="3117" t="s">
        <v>1704</v>
      </c>
      <c r="F43" s="3118"/>
      <c r="G43" s="3115"/>
      <c r="H43" s="3116"/>
      <c r="I43" s="3116"/>
      <c r="J43" s="3116"/>
      <c r="K43" s="3116"/>
      <c r="W43" s="174"/>
      <c r="X43" s="174"/>
      <c r="Y43" s="174"/>
      <c r="Z43" s="174"/>
      <c r="AA43" s="174"/>
      <c r="AB43" s="174"/>
      <c r="AC43" s="174"/>
      <c r="AD43" s="174"/>
      <c r="AE43" s="174"/>
      <c r="AF43" s="174"/>
      <c r="AG43" s="174"/>
      <c r="AH43" s="174"/>
    </row>
    <row r="44" spans="1:34" ht="15.9" customHeight="1">
      <c r="A44" s="1264" t="e">
        <f>Mineral!#REF!</f>
        <v>#REF!</v>
      </c>
      <c r="B44" s="1268"/>
      <c r="C44" s="1842" t="e">
        <f>IF(V$28="","",(Mineral!#REF!*H$31)*1000)</f>
        <v>#REF!</v>
      </c>
      <c r="D44" s="1271" t="str">
        <f t="shared" si="1"/>
        <v/>
      </c>
      <c r="E44" s="3117" t="s">
        <v>1201</v>
      </c>
      <c r="F44" s="3118"/>
      <c r="W44" s="174"/>
      <c r="X44" s="174"/>
      <c r="Y44" s="174"/>
      <c r="Z44" s="174"/>
      <c r="AA44" s="174"/>
      <c r="AB44" s="174"/>
      <c r="AC44" s="174"/>
      <c r="AD44" s="174"/>
      <c r="AE44" s="174"/>
      <c r="AF44" s="174"/>
      <c r="AG44" s="174"/>
      <c r="AH44" s="174"/>
    </row>
    <row r="45" spans="1:34" ht="15.9" customHeight="1" thickBot="1">
      <c r="A45" s="1264" t="e">
        <f>Mineral!#REF!</f>
        <v>#REF!</v>
      </c>
      <c r="B45" s="1268"/>
      <c r="C45" s="1842" t="e">
        <f>IF(V$28="","",(Mineral!#REF!*H$31)*1000)</f>
        <v>#REF!</v>
      </c>
      <c r="D45" s="1271" t="str">
        <f t="shared" si="1"/>
        <v/>
      </c>
      <c r="E45" s="3117" t="s">
        <v>1704</v>
      </c>
      <c r="F45" s="3118"/>
      <c r="G45" s="3115" t="s">
        <v>824</v>
      </c>
      <c r="H45" s="3116"/>
      <c r="I45" s="3116"/>
      <c r="J45" s="3116"/>
      <c r="K45" s="3116"/>
      <c r="W45" s="174"/>
      <c r="X45" s="174"/>
      <c r="Y45" s="174"/>
      <c r="Z45" s="174"/>
      <c r="AA45" s="174"/>
      <c r="AB45" s="174"/>
      <c r="AC45" s="174"/>
      <c r="AD45" s="174"/>
      <c r="AE45" s="174"/>
      <c r="AF45" s="174"/>
      <c r="AG45" s="174"/>
      <c r="AH45" s="174"/>
    </row>
    <row r="46" spans="1:34" ht="15.9" customHeight="1" thickBot="1">
      <c r="A46" s="1835" t="e">
        <f>Mineral!#REF!</f>
        <v>#REF!</v>
      </c>
      <c r="B46" s="1348"/>
      <c r="C46" s="1838" t="str">
        <f>IF(OR(T$28=0,U$28=0),"",(Mineral!#REF!*H$29+Mineral!#REF!*H$30)*1000)</f>
        <v/>
      </c>
      <c r="D46" s="1272" t="str">
        <f>IF(OR(T$28=0,B46=0),"",B46-C46)</f>
        <v/>
      </c>
      <c r="E46" s="3117" t="s">
        <v>1201</v>
      </c>
      <c r="F46" s="3118"/>
      <c r="G46" s="3115"/>
      <c r="H46" s="3116"/>
      <c r="I46" s="3116"/>
      <c r="J46" s="3116"/>
      <c r="K46" s="3116"/>
      <c r="W46" s="174"/>
      <c r="X46" s="174"/>
      <c r="Y46" s="174"/>
      <c r="Z46" s="174"/>
      <c r="AA46" s="174"/>
      <c r="AB46" s="174"/>
      <c r="AC46" s="174"/>
      <c r="AD46" s="174"/>
      <c r="AE46" s="174"/>
      <c r="AF46" s="174"/>
      <c r="AG46" s="174"/>
      <c r="AH46" s="174"/>
    </row>
    <row r="47" spans="1:34" ht="15.9" customHeight="1">
      <c r="A47" s="1264" t="e">
        <f>Mineral!#REF!</f>
        <v>#REF!</v>
      </c>
      <c r="B47" s="1268"/>
      <c r="C47" s="1842" t="str">
        <f>IF(OR(T$28=0,U$28=0),"",(Mineral!#REF!*H$29+Mineral!#REF!*H$30)*1000)</f>
        <v/>
      </c>
      <c r="D47" s="1271" t="str">
        <f t="shared" si="1"/>
        <v/>
      </c>
      <c r="E47" s="3117" t="s">
        <v>988</v>
      </c>
      <c r="F47" s="3118"/>
      <c r="G47" s="3115"/>
      <c r="H47" s="3116"/>
      <c r="I47" s="3116"/>
      <c r="J47" s="3116"/>
      <c r="K47" s="3116"/>
      <c r="W47" s="174"/>
      <c r="X47" s="174"/>
      <c r="Y47" s="174"/>
      <c r="Z47" s="174"/>
      <c r="AA47" s="174"/>
      <c r="AB47" s="174"/>
      <c r="AC47" s="174"/>
      <c r="AD47" s="174"/>
      <c r="AE47" s="174"/>
      <c r="AF47" s="174"/>
      <c r="AG47" s="174"/>
      <c r="AH47" s="174"/>
    </row>
    <row r="48" spans="1:34" ht="16.5" customHeight="1">
      <c r="A48" s="1264" t="e">
        <f>Mineral!#REF!</f>
        <v>#REF!</v>
      </c>
      <c r="B48" s="1273"/>
      <c r="C48" s="1844" t="str">
        <f>IF(OR(T$28=0,U$28=0),"",(Mineral!#REF!*H$29+Mineral!#REF!*H$30)*1000)</f>
        <v/>
      </c>
      <c r="D48" s="1274" t="str">
        <f t="shared" si="1"/>
        <v/>
      </c>
      <c r="E48" s="3117" t="s">
        <v>989</v>
      </c>
      <c r="F48" s="3118"/>
      <c r="G48" s="3115"/>
      <c r="H48" s="3116"/>
      <c r="I48" s="3116"/>
      <c r="J48" s="3116"/>
      <c r="K48" s="3116"/>
      <c r="W48" s="174"/>
      <c r="X48" s="174"/>
      <c r="Y48" s="174"/>
      <c r="Z48" s="174"/>
      <c r="AA48" s="174"/>
      <c r="AB48" s="174"/>
      <c r="AC48" s="174"/>
      <c r="AD48" s="174"/>
      <c r="AE48" s="174"/>
      <c r="AF48" s="174"/>
      <c r="AG48" s="174"/>
      <c r="AH48" s="174"/>
    </row>
    <row r="49" spans="1:34" ht="15.9" customHeight="1">
      <c r="A49" s="1264" t="e">
        <f>Mineral!#REF!</f>
        <v>#REF!</v>
      </c>
      <c r="B49" s="1268"/>
      <c r="C49" s="1842" t="str">
        <f>IF(OR(U$28=0,V$28=0),"",(Mineral!#REF!*H$30+Mineral!#REF!*H$31)*1000)</f>
        <v/>
      </c>
      <c r="D49" s="1271" t="str">
        <f t="shared" si="1"/>
        <v/>
      </c>
      <c r="E49" s="3117" t="s">
        <v>989</v>
      </c>
      <c r="F49" s="3118"/>
      <c r="G49" s="3115"/>
      <c r="H49" s="3116"/>
      <c r="I49" s="3116"/>
      <c r="J49" s="3116"/>
      <c r="K49" s="3116"/>
      <c r="W49" s="174"/>
      <c r="X49" s="174"/>
      <c r="Y49" s="174"/>
      <c r="Z49" s="174"/>
      <c r="AA49" s="174"/>
      <c r="AB49" s="174"/>
      <c r="AC49" s="174"/>
      <c r="AD49" s="174"/>
      <c r="AE49" s="174"/>
      <c r="AF49" s="174"/>
      <c r="AG49" s="174"/>
      <c r="AH49" s="174"/>
    </row>
    <row r="50" spans="1:34" ht="15.9" customHeight="1">
      <c r="A50" s="1264" t="e">
        <f>Mineral!#REF!</f>
        <v>#REF!</v>
      </c>
      <c r="B50" s="1273"/>
      <c r="C50" s="1844" t="str">
        <f>IF(OR(U$28=0,V$28=0),"",(Mineral!#REF!*H$30+Mineral!#REF!*H$31)*1000)</f>
        <v/>
      </c>
      <c r="D50" s="1274" t="str">
        <f t="shared" si="1"/>
        <v/>
      </c>
      <c r="E50" s="3117" t="s">
        <v>990</v>
      </c>
      <c r="F50" s="3118"/>
      <c r="G50" s="3115"/>
      <c r="H50" s="3116"/>
      <c r="I50" s="3116"/>
      <c r="J50" s="3116"/>
      <c r="K50" s="3116"/>
      <c r="W50" s="174"/>
      <c r="X50" s="174"/>
      <c r="Y50" s="174"/>
      <c r="Z50" s="174"/>
      <c r="AA50" s="174"/>
      <c r="AB50" s="174"/>
      <c r="AC50" s="174"/>
      <c r="AD50" s="174"/>
      <c r="AE50" s="174"/>
      <c r="AF50" s="174"/>
      <c r="AG50" s="174"/>
      <c r="AH50" s="174"/>
    </row>
    <row r="51" spans="1:34" ht="15.9" customHeight="1">
      <c r="A51" s="1264" t="e">
        <f>Mineral!#REF!</f>
        <v>#REF!</v>
      </c>
      <c r="B51" s="1268"/>
      <c r="C51" s="1842" t="str">
        <f>IF(OR(U$28=0,V$28=0),"",(Mineral!#REF!*H$30+Mineral!#REF!*H$31)*1000)</f>
        <v/>
      </c>
      <c r="D51" s="1271" t="str">
        <f t="shared" si="1"/>
        <v/>
      </c>
      <c r="E51" s="3117"/>
      <c r="F51" s="3118"/>
      <c r="G51" s="3115"/>
      <c r="H51" s="3116"/>
      <c r="I51" s="3116"/>
      <c r="J51" s="3116"/>
      <c r="K51" s="3116"/>
      <c r="W51" s="174"/>
      <c r="X51" s="174"/>
      <c r="Y51" s="174"/>
      <c r="Z51" s="174"/>
      <c r="AA51" s="174"/>
      <c r="AB51" s="174"/>
      <c r="AC51" s="174"/>
      <c r="AD51" s="174"/>
      <c r="AE51" s="174"/>
      <c r="AF51" s="174"/>
      <c r="AG51" s="174"/>
      <c r="AH51" s="174"/>
    </row>
    <row r="52" spans="1:34" ht="15.9" customHeight="1">
      <c r="A52" s="1264" t="e">
        <f>Mineral!#REF!</f>
        <v>#REF!</v>
      </c>
      <c r="B52" s="1273"/>
      <c r="C52" s="1844" t="str">
        <f>IF(OR(U$28=0,V$28=0),"",(Mineral!#REF!*H$30+Mineral!#REF!*H$31)*1000)</f>
        <v/>
      </c>
      <c r="D52" s="1274" t="str">
        <f t="shared" si="1"/>
        <v/>
      </c>
      <c r="E52" s="3117"/>
      <c r="F52" s="3118"/>
      <c r="G52" s="3115"/>
      <c r="H52" s="3116"/>
      <c r="I52" s="3116"/>
      <c r="J52" s="3116"/>
      <c r="K52" s="3116"/>
      <c r="W52" s="174"/>
      <c r="X52" s="174"/>
      <c r="Y52" s="174"/>
      <c r="Z52" s="174"/>
      <c r="AA52" s="174"/>
      <c r="AB52" s="174"/>
      <c r="AC52" s="174"/>
      <c r="AD52" s="174"/>
      <c r="AE52" s="174"/>
      <c r="AF52" s="174"/>
      <c r="AG52" s="174"/>
      <c r="AH52" s="174"/>
    </row>
    <row r="53" spans="1:34" ht="15.9" customHeight="1">
      <c r="A53" s="1264" t="e">
        <f>Mineral!#REF!</f>
        <v>#REF!</v>
      </c>
      <c r="B53" s="1268"/>
      <c r="C53" s="1842" t="str">
        <f>IF(OR(T$28=0,U$28=0,V$28=0),"",(Mineral!#REF!*H$29+Mineral!#REF!*H$30+Mineral!#REF!*H$31)*1000)</f>
        <v/>
      </c>
      <c r="D53" s="1271" t="str">
        <f t="shared" si="1"/>
        <v/>
      </c>
      <c r="E53" s="3117" t="s">
        <v>989</v>
      </c>
      <c r="F53" s="3118"/>
      <c r="G53" s="3115"/>
      <c r="H53" s="3116"/>
      <c r="I53" s="3116"/>
      <c r="J53" s="3116"/>
      <c r="K53" s="3116"/>
      <c r="W53" s="174"/>
      <c r="X53" s="174"/>
      <c r="Y53" s="174"/>
      <c r="Z53" s="174"/>
      <c r="AA53" s="174"/>
      <c r="AB53" s="174"/>
      <c r="AC53" s="174"/>
      <c r="AD53" s="174"/>
      <c r="AE53" s="174"/>
      <c r="AF53" s="174"/>
      <c r="AG53" s="174"/>
      <c r="AH53" s="174"/>
    </row>
    <row r="54" spans="1:34" ht="15.9" customHeight="1">
      <c r="A54" s="1264" t="e">
        <f>Mineral!#REF!</f>
        <v>#REF!</v>
      </c>
      <c r="B54" s="1268"/>
      <c r="C54" s="1842" t="str">
        <f>IF(OR(T$28=0,U$28=0,V$28=0),"",(Mineral!#REF!*H$29+Mineral!#REF!*H$30+Mineral!#REF!*H$31)*1000)</f>
        <v/>
      </c>
      <c r="D54" s="1271" t="str">
        <f t="shared" si="1"/>
        <v/>
      </c>
      <c r="E54" s="3117" t="s">
        <v>989</v>
      </c>
      <c r="F54" s="3118"/>
      <c r="G54" s="3115"/>
      <c r="H54" s="3116"/>
      <c r="I54" s="3116"/>
      <c r="J54" s="3116"/>
      <c r="K54" s="3116"/>
      <c r="W54" s="174"/>
      <c r="X54" s="174"/>
      <c r="Y54" s="174"/>
      <c r="Z54" s="174"/>
      <c r="AA54" s="174"/>
      <c r="AB54" s="174"/>
      <c r="AC54" s="174"/>
      <c r="AD54" s="174"/>
      <c r="AE54" s="174"/>
      <c r="AF54" s="174"/>
      <c r="AG54" s="174"/>
      <c r="AH54" s="174"/>
    </row>
    <row r="55" spans="1:34" ht="15.9" customHeight="1">
      <c r="A55" s="1264" t="e">
        <f>Mineral!#REF!</f>
        <v>#REF!</v>
      </c>
      <c r="B55" s="1268"/>
      <c r="C55" s="1842" t="str">
        <f>IF(OR(T$28=0,U$28=0,V$28=0),"",(Mineral!#REF!*H$29+Mineral!#REF!*H$30+Mineral!#REF!*H$31)*1000)</f>
        <v/>
      </c>
      <c r="D55" s="1271" t="str">
        <f t="shared" si="1"/>
        <v/>
      </c>
      <c r="E55" s="3117" t="s">
        <v>989</v>
      </c>
      <c r="F55" s="3118"/>
      <c r="G55" s="3115"/>
      <c r="H55" s="3116"/>
      <c r="I55" s="3116"/>
      <c r="J55" s="3116"/>
      <c r="K55" s="3116"/>
      <c r="W55" s="174"/>
      <c r="X55" s="174"/>
      <c r="Y55" s="174"/>
      <c r="Z55" s="174"/>
      <c r="AA55" s="174"/>
      <c r="AB55" s="174"/>
      <c r="AC55" s="174"/>
      <c r="AD55" s="174"/>
      <c r="AE55" s="174"/>
      <c r="AF55" s="174"/>
      <c r="AG55" s="174"/>
      <c r="AH55" s="174"/>
    </row>
    <row r="56" spans="1:34" ht="15.9" customHeight="1">
      <c r="A56" s="1264" t="e">
        <f>Mineral!#REF!</f>
        <v>#REF!</v>
      </c>
      <c r="B56" s="1273"/>
      <c r="C56" s="1844" t="str">
        <f>IF(OR(T$28=0,U$28=0,V$28=0),"",(Mineral!#REF!*H$29+Mineral!#REF!*H$30+Mineral!#REF!*H$31)*1000)</f>
        <v/>
      </c>
      <c r="D56" s="1274" t="str">
        <f t="shared" si="1"/>
        <v/>
      </c>
      <c r="E56" s="3117" t="s">
        <v>989</v>
      </c>
      <c r="F56" s="3118"/>
      <c r="G56" s="3115"/>
      <c r="H56" s="3116"/>
      <c r="I56" s="3116"/>
      <c r="J56" s="3116"/>
      <c r="K56" s="3116"/>
      <c r="W56" s="174"/>
      <c r="X56" s="174"/>
      <c r="Y56" s="174"/>
      <c r="Z56" s="174"/>
      <c r="AA56" s="174"/>
      <c r="AB56" s="174"/>
      <c r="AC56" s="174"/>
      <c r="AD56" s="174"/>
      <c r="AE56" s="174"/>
      <c r="AF56" s="174"/>
      <c r="AG56" s="174"/>
      <c r="AH56" s="174"/>
    </row>
    <row r="57" spans="1:34" ht="15.9" customHeight="1">
      <c r="A57" s="1264">
        <f>Mineral!A31</f>
        <v>0</v>
      </c>
      <c r="B57" s="1268"/>
      <c r="C57" s="1842" t="str">
        <f>IF(OR(T$28=0,U$28=0,V$28=0),"",(Mineral!D31*H$29+Mineral!E31*H$30+Mineral!F31*H$31)*1000)</f>
        <v/>
      </c>
      <c r="D57" s="1271" t="str">
        <f t="shared" si="1"/>
        <v/>
      </c>
      <c r="E57" s="3117" t="s">
        <v>989</v>
      </c>
      <c r="F57" s="3118"/>
      <c r="W57" s="174"/>
      <c r="X57" s="174"/>
      <c r="Y57" s="174"/>
      <c r="Z57" s="174"/>
      <c r="AA57" s="174"/>
      <c r="AB57" s="174"/>
      <c r="AC57" s="174"/>
      <c r="AD57" s="174"/>
      <c r="AE57" s="174"/>
      <c r="AF57" s="174"/>
      <c r="AG57" s="174"/>
      <c r="AH57" s="174"/>
    </row>
    <row r="58" spans="1:34" ht="15.9" customHeight="1">
      <c r="A58" s="1264">
        <f>Mineral!A32</f>
        <v>0</v>
      </c>
      <c r="B58" s="1268"/>
      <c r="C58" s="1842" t="str">
        <f>IF(OR(T$28=0,U$28=0,V$28=0),"",(Mineral!D32*H$29+Mineral!E32*H$30+Mineral!F32*H$31)*1000)</f>
        <v/>
      </c>
      <c r="D58" s="1271" t="str">
        <f t="shared" si="1"/>
        <v/>
      </c>
      <c r="E58" s="3117" t="s">
        <v>988</v>
      </c>
      <c r="F58" s="3118"/>
      <c r="W58" s="174"/>
      <c r="X58" s="174"/>
      <c r="Y58" s="174"/>
      <c r="Z58" s="174"/>
      <c r="AA58" s="174"/>
      <c r="AB58" s="174"/>
      <c r="AC58" s="174"/>
      <c r="AD58" s="174"/>
      <c r="AE58" s="174"/>
      <c r="AF58" s="174"/>
      <c r="AG58" s="174"/>
      <c r="AH58" s="174"/>
    </row>
    <row r="59" spans="1:34" ht="15.9" customHeight="1">
      <c r="A59" s="1264">
        <f>Mineral!A33</f>
        <v>0</v>
      </c>
      <c r="B59" s="1268"/>
      <c r="C59" s="1842" t="str">
        <f>IF(OR(T$28=0,U$28=0,V$28=0),"",(Mineral!D33*H$29+Mineral!E33*H$30+Mineral!F33*H$31)*1000)</f>
        <v/>
      </c>
      <c r="D59" s="1271" t="str">
        <f t="shared" si="1"/>
        <v/>
      </c>
      <c r="E59" s="3117" t="s">
        <v>991</v>
      </c>
      <c r="F59" s="3118"/>
      <c r="W59" s="174"/>
      <c r="X59" s="174"/>
      <c r="Y59" s="174"/>
      <c r="Z59" s="174"/>
      <c r="AA59" s="174"/>
      <c r="AB59" s="174"/>
      <c r="AC59" s="174"/>
      <c r="AD59" s="174"/>
      <c r="AE59" s="174"/>
      <c r="AF59" s="174"/>
      <c r="AG59" s="174"/>
      <c r="AH59" s="174"/>
    </row>
    <row r="60" spans="1:34" ht="15.9" customHeight="1">
      <c r="A60" s="1264">
        <f>Mineral!A34</f>
        <v>0</v>
      </c>
      <c r="B60" s="1268"/>
      <c r="C60" s="1842" t="str">
        <f>IF(OR(T$28=0,U$28=0,V$28=0),"",(Mineral!D34*H$29+Mineral!E34*H$30+Mineral!F34*H$31)*1000)</f>
        <v/>
      </c>
      <c r="D60" s="1271" t="str">
        <f t="shared" si="1"/>
        <v/>
      </c>
      <c r="E60" s="3117" t="s">
        <v>991</v>
      </c>
      <c r="F60" s="3118"/>
      <c r="W60" s="174"/>
      <c r="X60" s="174"/>
      <c r="Y60" s="174"/>
      <c r="Z60" s="174"/>
      <c r="AA60" s="174"/>
      <c r="AB60" s="174"/>
      <c r="AC60" s="174"/>
      <c r="AD60" s="174"/>
      <c r="AE60" s="174"/>
      <c r="AF60" s="174"/>
      <c r="AG60" s="174"/>
      <c r="AH60" s="174"/>
    </row>
    <row r="61" spans="1:34" ht="15.9" customHeight="1">
      <c r="A61" s="1264">
        <f>Mineral!A35</f>
        <v>0</v>
      </c>
      <c r="B61" s="1268"/>
      <c r="C61" s="1842" t="str">
        <f>IF(OR(T$28=0,U$28=0,V$28=0),"",(Mineral!D35*H$29+Mineral!E35*H$30+Mineral!F35*H$31)*1000)</f>
        <v/>
      </c>
      <c r="D61" s="1271" t="str">
        <f t="shared" si="1"/>
        <v/>
      </c>
      <c r="E61" s="3117" t="s">
        <v>992</v>
      </c>
      <c r="F61" s="3118"/>
      <c r="W61" s="174"/>
      <c r="X61" s="174"/>
      <c r="Y61" s="174"/>
      <c r="Z61" s="174"/>
      <c r="AA61" s="174"/>
      <c r="AB61" s="174"/>
      <c r="AC61" s="174"/>
      <c r="AD61" s="174"/>
      <c r="AE61" s="174"/>
      <c r="AF61" s="174"/>
      <c r="AG61" s="174"/>
      <c r="AH61" s="174"/>
    </row>
    <row r="62" spans="1:34" ht="15.9" customHeight="1">
      <c r="A62" s="1264">
        <f>Mineral!A36</f>
        <v>0</v>
      </c>
      <c r="B62" s="1266"/>
      <c r="C62" s="1840" t="str">
        <f>IF(OR(T$28=0,U$28=0,V$28=0),"",(Mineral!D36*H$29+Mineral!E36*H$30+Mineral!F36*H$31)*1000)</f>
        <v/>
      </c>
      <c r="D62" s="1269" t="str">
        <f t="shared" si="1"/>
        <v/>
      </c>
      <c r="E62" s="3117" t="s">
        <v>989</v>
      </c>
      <c r="F62" s="3118"/>
      <c r="W62" s="174"/>
      <c r="X62" s="174"/>
      <c r="Y62" s="174"/>
      <c r="Z62" s="174"/>
      <c r="AA62" s="174"/>
      <c r="AB62" s="174"/>
      <c r="AC62" s="174"/>
      <c r="AD62" s="174"/>
      <c r="AE62" s="174"/>
      <c r="AF62" s="174"/>
      <c r="AG62" s="174"/>
      <c r="AH62" s="174"/>
    </row>
    <row r="63" spans="1:34" ht="15.9" customHeight="1">
      <c r="A63" s="1264">
        <f>Mineral!A37</f>
        <v>0</v>
      </c>
      <c r="B63" s="1268"/>
      <c r="C63" s="1842" t="str">
        <f>IF(OR(T$28=0,U$28=0,V$28=0),"",(Mineral!D37*H$29+Mineral!E37*H$30+Mineral!F37*H$31)*1000)</f>
        <v/>
      </c>
      <c r="D63" s="1271" t="str">
        <f t="shared" si="1"/>
        <v/>
      </c>
      <c r="E63" s="3117" t="s">
        <v>989</v>
      </c>
      <c r="F63" s="3118"/>
      <c r="W63" s="174"/>
      <c r="X63" s="174"/>
      <c r="Y63" s="174"/>
      <c r="Z63" s="174"/>
      <c r="AA63" s="174"/>
      <c r="AB63" s="174"/>
      <c r="AC63" s="174"/>
      <c r="AD63" s="174"/>
      <c r="AE63" s="174"/>
      <c r="AF63" s="174"/>
      <c r="AG63" s="174"/>
      <c r="AH63" s="174"/>
    </row>
    <row r="64" spans="1:34" ht="15.9" customHeight="1">
      <c r="A64" s="1264">
        <f>Mineral!A38</f>
        <v>0</v>
      </c>
      <c r="B64" s="1267"/>
      <c r="C64" s="1841" t="str">
        <f>IF(OR(T$28=0,U$28=0,V$28=0),"",(Mineral!D38*H$29+Mineral!E38*H$30+Mineral!F38*H$31)*1000)</f>
        <v/>
      </c>
      <c r="D64" s="1270" t="str">
        <f t="shared" si="1"/>
        <v/>
      </c>
      <c r="E64" s="3117" t="s">
        <v>1201</v>
      </c>
      <c r="F64" s="3118"/>
      <c r="W64" s="174"/>
      <c r="X64" s="174"/>
      <c r="Y64" s="174"/>
      <c r="Z64" s="174"/>
      <c r="AA64" s="174"/>
      <c r="AB64" s="174"/>
      <c r="AC64" s="174"/>
      <c r="AD64" s="174"/>
      <c r="AE64" s="174"/>
      <c r="AF64" s="174"/>
      <c r="AG64" s="174"/>
      <c r="AH64" s="174"/>
    </row>
    <row r="65" spans="1:34" ht="15.9" customHeight="1">
      <c r="A65" s="1264" t="str">
        <f>Mineral!A18</f>
        <v>Sonstige 1</v>
      </c>
      <c r="B65" s="1266"/>
      <c r="C65" s="1840" t="str">
        <f>IF(OR(T$28=0,U$28=0,V$28=0),"",(Mineral!D18*H$29+Mineral!E18*H$30+Mineral!F18*H$31)*1000)</f>
        <v/>
      </c>
      <c r="D65" s="1269" t="str">
        <f t="shared" si="1"/>
        <v/>
      </c>
      <c r="E65" s="3140" t="s">
        <v>821</v>
      </c>
      <c r="F65" s="3141"/>
      <c r="W65" s="174"/>
      <c r="X65" s="174"/>
      <c r="Y65" s="174"/>
      <c r="Z65" s="174"/>
      <c r="AA65" s="174"/>
      <c r="AB65" s="174"/>
      <c r="AC65" s="174"/>
      <c r="AD65" s="174"/>
      <c r="AE65" s="174"/>
      <c r="AF65" s="174"/>
      <c r="AG65" s="174"/>
      <c r="AH65" s="174"/>
    </row>
    <row r="66" spans="1:34" ht="15.9" customHeight="1">
      <c r="A66" s="1264" t="str">
        <f>Mineral!A19</f>
        <v>Sonstige 2</v>
      </c>
      <c r="B66" s="1268"/>
      <c r="C66" s="1842" t="str">
        <f>IF(OR(T$28=0,U$28=0,V$28=0),"",(Mineral!D19*H$29+Mineral!E19*H$30+Mineral!F19*H$31)*1000)</f>
        <v/>
      </c>
      <c r="D66" s="1271" t="str">
        <f t="shared" si="1"/>
        <v/>
      </c>
      <c r="E66" s="3140"/>
      <c r="F66" s="3141"/>
      <c r="W66" s="174"/>
      <c r="X66" s="174"/>
      <c r="Y66" s="174"/>
      <c r="Z66" s="174"/>
      <c r="AA66" s="174"/>
      <c r="AB66" s="174"/>
      <c r="AC66" s="174"/>
      <c r="AD66" s="174"/>
      <c r="AE66" s="174"/>
      <c r="AF66" s="174"/>
      <c r="AG66" s="174"/>
      <c r="AH66" s="174"/>
    </row>
    <row r="67" spans="1:34" ht="15.9" customHeight="1">
      <c r="A67" s="1264" t="str">
        <f>Mineral!A20</f>
        <v>Sonstige 3</v>
      </c>
      <c r="B67" s="1267"/>
      <c r="C67" s="1841" t="str">
        <f>IF(OR(T$28=0,U$28=0,V$28=0),"",(Mineral!D20*H$29+Mineral!E20*H$30+Mineral!F20*H$31)*1000)</f>
        <v/>
      </c>
      <c r="D67" s="1270" t="str">
        <f t="shared" si="1"/>
        <v/>
      </c>
      <c r="E67" s="3140"/>
      <c r="F67" s="3141"/>
      <c r="W67" s="174"/>
      <c r="X67" s="174"/>
      <c r="Y67" s="174"/>
      <c r="Z67" s="174"/>
      <c r="AA67" s="174"/>
      <c r="AB67" s="174"/>
      <c r="AC67" s="174"/>
      <c r="AD67" s="174"/>
      <c r="AE67" s="174"/>
      <c r="AF67" s="174"/>
      <c r="AG67" s="174"/>
      <c r="AH67" s="174"/>
    </row>
    <row r="68" spans="1:34" ht="15.9" customHeight="1">
      <c r="A68" s="1264" t="str">
        <f>Mineral!A21</f>
        <v>Sonstige</v>
      </c>
      <c r="B68" s="1266"/>
      <c r="C68" s="1840" t="str">
        <f>IF(OR(T$28=0,U$28=0,V$28=0),"",(Mineral!D21*H$29+Mineral!E21*H$30+Mineral!F21*H$31)*1000)</f>
        <v/>
      </c>
      <c r="D68" s="1269" t="str">
        <f t="shared" si="1"/>
        <v/>
      </c>
      <c r="E68" s="3140"/>
      <c r="F68" s="3141"/>
      <c r="W68" s="174"/>
      <c r="X68" s="174"/>
      <c r="Y68" s="174"/>
      <c r="Z68" s="174"/>
      <c r="AA68" s="174"/>
      <c r="AB68" s="174"/>
      <c r="AC68" s="174"/>
      <c r="AD68" s="174"/>
      <c r="AE68" s="174"/>
      <c r="AF68" s="174"/>
      <c r="AG68" s="174"/>
      <c r="AH68" s="174"/>
    </row>
    <row r="69" spans="1:34" ht="15.9" customHeight="1">
      <c r="A69" s="1264" t="str">
        <f>Mineral!A22</f>
        <v>Sonstige</v>
      </c>
      <c r="B69" s="1268"/>
      <c r="C69" s="1842" t="str">
        <f>IF(OR(T$28=0,U$28=0,V$28=0),"",(Mineral!D22*H$29+Mineral!E22*H$30+Mineral!F22*H$31)*1000)</f>
        <v/>
      </c>
      <c r="D69" s="1271" t="str">
        <f t="shared" si="1"/>
        <v/>
      </c>
      <c r="E69" s="3140"/>
      <c r="F69" s="3141"/>
      <c r="W69" s="174"/>
      <c r="X69" s="174"/>
      <c r="Y69" s="174"/>
      <c r="Z69" s="174"/>
      <c r="AA69" s="174"/>
      <c r="AB69" s="174"/>
      <c r="AC69" s="174"/>
      <c r="AD69" s="174"/>
      <c r="AE69" s="174"/>
      <c r="AF69" s="174"/>
      <c r="AG69" s="174"/>
      <c r="AH69" s="174"/>
    </row>
    <row r="70" spans="1:34" ht="15.9" customHeight="1">
      <c r="A70" s="1264" t="str">
        <f>Mineral!A23</f>
        <v>Sonstige</v>
      </c>
      <c r="B70" s="1267"/>
      <c r="C70" s="1841" t="str">
        <f>IF(OR(T$28=0,U$28=0,V$28=0),"",(Mineral!D23*H$29+Mineral!E23*H$30+Mineral!F23*H$31)*1000)</f>
        <v/>
      </c>
      <c r="D70" s="1270" t="str">
        <f t="shared" si="1"/>
        <v/>
      </c>
      <c r="E70" s="3140"/>
      <c r="F70" s="3141"/>
      <c r="W70" s="174"/>
      <c r="X70" s="174"/>
      <c r="Y70" s="174"/>
      <c r="Z70" s="174"/>
      <c r="AA70" s="174"/>
      <c r="AB70" s="174"/>
      <c r="AC70" s="174"/>
      <c r="AD70" s="174"/>
      <c r="AE70" s="174"/>
      <c r="AF70" s="174"/>
      <c r="AG70" s="174"/>
      <c r="AH70" s="174"/>
    </row>
    <row r="71" spans="1:34" ht="15.9" customHeight="1">
      <c r="A71" s="1264" t="str">
        <f>Mineral!A24</f>
        <v>Sonstige</v>
      </c>
      <c r="B71" s="1268"/>
      <c r="C71" s="1842" t="str">
        <f>IF(OR(T$28=0,U$28=0,V$28=0),"",(Mineral!D24*H$29+Mineral!E24*H$30+Mineral!F24*H$31)*1000)</f>
        <v/>
      </c>
      <c r="D71" s="1271" t="str">
        <f t="shared" si="1"/>
        <v/>
      </c>
      <c r="E71" s="3140"/>
      <c r="F71" s="3141"/>
      <c r="W71" s="174"/>
      <c r="X71" s="174"/>
      <c r="Y71" s="174"/>
      <c r="Z71" s="174"/>
      <c r="AA71" s="174"/>
      <c r="AB71" s="174"/>
      <c r="AC71" s="174"/>
      <c r="AD71" s="174"/>
      <c r="AE71" s="174"/>
      <c r="AF71" s="174"/>
      <c r="AG71" s="174"/>
      <c r="AH71" s="174"/>
    </row>
    <row r="72" spans="1:34" ht="15.9" customHeight="1">
      <c r="A72" s="1264" t="str">
        <f>Mineral!A25</f>
        <v>Sonstige</v>
      </c>
      <c r="B72" s="1268"/>
      <c r="C72" s="1842" t="str">
        <f>IF(OR(T$28=0,U$28=0,V$28=0),"",(Mineral!D25*H$29+Mineral!E25*H$30+Mineral!F25*H$31)*1000)</f>
        <v/>
      </c>
      <c r="D72" s="1271" t="str">
        <f t="shared" si="1"/>
        <v/>
      </c>
      <c r="E72" s="3140"/>
      <c r="F72" s="3141"/>
      <c r="W72" s="174"/>
      <c r="X72" s="174"/>
      <c r="Y72" s="174"/>
      <c r="Z72" s="174"/>
      <c r="AA72" s="174"/>
      <c r="AB72" s="174"/>
      <c r="AC72" s="174"/>
      <c r="AD72" s="174"/>
      <c r="AE72" s="174"/>
      <c r="AF72" s="174"/>
      <c r="AG72" s="174"/>
      <c r="AH72" s="174"/>
    </row>
    <row r="73" spans="1:34" ht="15.9" customHeight="1">
      <c r="A73" s="1264" t="str">
        <f>Mineral!A26</f>
        <v>Sonstige</v>
      </c>
      <c r="B73" s="1268"/>
      <c r="C73" s="1842" t="str">
        <f>IF(OR(T$28=0,U$28=0,V$28=0),"",(Mineral!D26*H$29+Mineral!E26*H$30+Mineral!F26*H$31)*1000)</f>
        <v/>
      </c>
      <c r="D73" s="1271" t="str">
        <f t="shared" si="1"/>
        <v/>
      </c>
      <c r="E73" s="3140"/>
      <c r="F73" s="3141"/>
      <c r="W73" s="174"/>
      <c r="X73" s="174"/>
      <c r="Y73" s="174"/>
      <c r="Z73" s="174"/>
      <c r="AA73" s="174"/>
      <c r="AB73" s="174"/>
      <c r="AC73" s="174"/>
      <c r="AD73" s="174"/>
      <c r="AE73" s="174"/>
      <c r="AF73" s="174"/>
      <c r="AG73" s="174"/>
      <c r="AH73" s="174"/>
    </row>
    <row r="74" spans="1:34" ht="15.9" customHeight="1">
      <c r="A74" s="1264" t="str">
        <f>Mineral!A27</f>
        <v>Sonstige</v>
      </c>
      <c r="B74" s="1267"/>
      <c r="C74" s="1841" t="str">
        <f>IF(OR(T$28=0,U$28=0,V$28=0),"",(Mineral!D27*H$29+Mineral!E27*H$30+Mineral!F27*H$31)*1000)</f>
        <v/>
      </c>
      <c r="D74" s="1270" t="str">
        <f t="shared" si="1"/>
        <v/>
      </c>
      <c r="E74" s="3140"/>
      <c r="F74" s="3141"/>
      <c r="W74" s="174"/>
      <c r="X74" s="174"/>
      <c r="Y74" s="174"/>
      <c r="Z74" s="174"/>
      <c r="AA74" s="174"/>
      <c r="AB74" s="174"/>
      <c r="AC74" s="174"/>
      <c r="AD74" s="174"/>
      <c r="AE74" s="174"/>
      <c r="AF74" s="174"/>
      <c r="AG74" s="174"/>
      <c r="AH74" s="174"/>
    </row>
    <row r="75" spans="1:34">
      <c r="W75" s="174"/>
      <c r="X75" s="174"/>
      <c r="Y75" s="174"/>
      <c r="Z75" s="174"/>
      <c r="AA75" s="174"/>
      <c r="AB75" s="174"/>
      <c r="AC75" s="174"/>
      <c r="AD75" s="174"/>
      <c r="AE75" s="174"/>
      <c r="AF75" s="174"/>
      <c r="AG75" s="174"/>
      <c r="AH75" s="174"/>
    </row>
    <row r="76" spans="1:34">
      <c r="W76" s="174"/>
      <c r="X76" s="174"/>
      <c r="Y76" s="174"/>
      <c r="Z76" s="174"/>
      <c r="AA76" s="174"/>
      <c r="AB76" s="174"/>
      <c r="AC76" s="174"/>
      <c r="AD76" s="174"/>
      <c r="AE76" s="174"/>
      <c r="AF76" s="174"/>
      <c r="AG76" s="174"/>
      <c r="AH76" s="174"/>
    </row>
    <row r="77" spans="1:34">
      <c r="W77" s="174"/>
      <c r="X77" s="174"/>
      <c r="Y77" s="174"/>
      <c r="Z77" s="174"/>
      <c r="AA77" s="174"/>
      <c r="AB77" s="174"/>
      <c r="AC77" s="174"/>
      <c r="AD77" s="174"/>
      <c r="AE77" s="174"/>
      <c r="AF77" s="174"/>
      <c r="AG77" s="174"/>
      <c r="AH77" s="174"/>
    </row>
    <row r="78" spans="1:34">
      <c r="W78" s="174"/>
      <c r="X78" s="174"/>
      <c r="Y78" s="174"/>
      <c r="Z78" s="174"/>
      <c r="AA78" s="174"/>
      <c r="AB78" s="174"/>
      <c r="AC78" s="174"/>
      <c r="AD78" s="174"/>
      <c r="AE78" s="174"/>
      <c r="AF78" s="174"/>
      <c r="AG78" s="174"/>
      <c r="AH78" s="174"/>
    </row>
    <row r="79" spans="1:34">
      <c r="W79" s="174"/>
      <c r="X79" s="174"/>
      <c r="Y79" s="174"/>
      <c r="Z79" s="174"/>
      <c r="AA79" s="174"/>
      <c r="AB79" s="174"/>
      <c r="AC79" s="174"/>
      <c r="AD79" s="174"/>
      <c r="AE79" s="174"/>
      <c r="AF79" s="174"/>
      <c r="AG79" s="174"/>
      <c r="AH79" s="174"/>
    </row>
    <row r="80" spans="1:34">
      <c r="W80" s="174"/>
      <c r="X80" s="174"/>
      <c r="Y80" s="174"/>
      <c r="Z80" s="174"/>
      <c r="AA80" s="174"/>
      <c r="AB80" s="174"/>
      <c r="AC80" s="174"/>
      <c r="AD80" s="174"/>
      <c r="AE80" s="174"/>
      <c r="AF80" s="174"/>
      <c r="AG80" s="174"/>
      <c r="AH80" s="174"/>
    </row>
    <row r="81" spans="23:34">
      <c r="W81" s="174"/>
      <c r="X81" s="174"/>
      <c r="Y81" s="174"/>
      <c r="Z81" s="174"/>
      <c r="AA81" s="174"/>
      <c r="AB81" s="174"/>
      <c r="AC81" s="174"/>
      <c r="AD81" s="174"/>
      <c r="AE81" s="174"/>
      <c r="AF81" s="174"/>
      <c r="AG81" s="174"/>
      <c r="AH81" s="174"/>
    </row>
  </sheetData>
  <sheetProtection password="CAEF" sheet="1"/>
  <mergeCells count="54">
    <mergeCell ref="E62:F62"/>
    <mergeCell ref="A27:A28"/>
    <mergeCell ref="E64:F64"/>
    <mergeCell ref="E65:F74"/>
    <mergeCell ref="E29:F32"/>
    <mergeCell ref="D27:F28"/>
    <mergeCell ref="E57:F57"/>
    <mergeCell ref="E58:F58"/>
    <mergeCell ref="E60:F60"/>
    <mergeCell ref="E63:F63"/>
    <mergeCell ref="E59:F59"/>
    <mergeCell ref="E48:F48"/>
    <mergeCell ref="E51:F51"/>
    <mergeCell ref="E52:F52"/>
    <mergeCell ref="E53:F53"/>
    <mergeCell ref="E54:F54"/>
    <mergeCell ref="E61:F61"/>
    <mergeCell ref="J2:L2"/>
    <mergeCell ref="J29:K31"/>
    <mergeCell ref="E37:F37"/>
    <mergeCell ref="E33:F33"/>
    <mergeCell ref="E34:F34"/>
    <mergeCell ref="E35:F35"/>
    <mergeCell ref="E36:F36"/>
    <mergeCell ref="D2:E2"/>
    <mergeCell ref="B26:F26"/>
    <mergeCell ref="J3:K3"/>
    <mergeCell ref="H4:H10"/>
    <mergeCell ref="L6:L7"/>
    <mergeCell ref="J6:K7"/>
    <mergeCell ref="J4:K4"/>
    <mergeCell ref="J5:K5"/>
    <mergeCell ref="J8:L13"/>
    <mergeCell ref="T26:V26"/>
    <mergeCell ref="O26:S26"/>
    <mergeCell ref="Q27:S27"/>
    <mergeCell ref="G26:K26"/>
    <mergeCell ref="G27:K28"/>
    <mergeCell ref="G45:K56"/>
    <mergeCell ref="E38:F38"/>
    <mergeCell ref="G32:K43"/>
    <mergeCell ref="E41:F41"/>
    <mergeCell ref="E39:F39"/>
    <mergeCell ref="E56:F56"/>
    <mergeCell ref="E40:F40"/>
    <mergeCell ref="E46:F46"/>
    <mergeCell ref="E47:F47"/>
    <mergeCell ref="E50:F50"/>
    <mergeCell ref="E43:F43"/>
    <mergeCell ref="E42:F42"/>
    <mergeCell ref="E44:F44"/>
    <mergeCell ref="E49:F49"/>
    <mergeCell ref="E55:F55"/>
    <mergeCell ref="E45:F45"/>
  </mergeCells>
  <phoneticPr fontId="38" type="noConversion"/>
  <conditionalFormatting sqref="E4:E17 E19:E24 L3:L5">
    <cfRule type="cellIs" dxfId="3" priority="39" stopIfTrue="1" operator="greaterThan">
      <formula>1</formula>
    </cfRule>
  </conditionalFormatting>
  <conditionalFormatting sqref="L6">
    <cfRule type="cellIs" dxfId="2" priority="40" stopIfTrue="1" operator="lessThan">
      <formula>0</formula>
    </cfRule>
    <cfRule type="cellIs" dxfId="1" priority="41" stopIfTrue="1" operator="greaterThan">
      <formula>0</formula>
    </cfRule>
  </conditionalFormatting>
  <conditionalFormatting sqref="D4:D24">
    <cfRule type="cellIs" dxfId="0" priority="43" stopIfTrue="1" operator="greaterThan">
      <formula>1</formula>
    </cfRule>
  </conditionalFormatting>
  <dataValidations count="2">
    <dataValidation type="list" operator="equal" allowBlank="1" showInputMessage="1" showErrorMessage="1" sqref="H3">
      <formula1>Liste_ja</formula1>
    </dataValidation>
    <dataValidation operator="equal" allowBlank="1" showInputMessage="1" showErrorMessage="1" prompt="Der K-Bedarfswert kann hier auf die Boden, Ertrags- und Versorgungssituation angepasst, oder muss eingegeben werden, wenn kein Wert vorgegeben ist." sqref="D4">
      <formula1>0</formula1>
      <formula2>0</formula2>
    </dataValidation>
  </dataValidations>
  <hyperlinks>
    <hyperlink ref="W1" location="Pfl_Schutz!A1" display="◄"/>
    <hyperlink ref="X1" location="Tierzahlen!A1" display="  ►"/>
  </hyperlinks>
  <pageMargins left="0.43307086614173229" right="0.39370078740157483" top="0.41" bottom="0.3" header="0.31496062992125984" footer="0.23622047244094491"/>
  <pageSetup paperSize="9" scale="95" orientation="landscape" blackAndWhite="1" r:id="rId1"/>
  <rowBreaks count="1" manualBreakCount="1">
    <brk id="24" max="16383" man="1"/>
  </rowBreaks>
  <colBreaks count="1" manualBreakCount="1">
    <brk id="12" max="1048575" man="1"/>
  </colBreak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3"/>
  <dimension ref="A1:Q183"/>
  <sheetViews>
    <sheetView zoomScale="80" zoomScaleNormal="80" workbookViewId="0">
      <selection activeCell="F1" sqref="F1"/>
    </sheetView>
  </sheetViews>
  <sheetFormatPr baseColWidth="10" defaultColWidth="12" defaultRowHeight="13.2"/>
  <cols>
    <col min="1" max="1" width="48.44140625" customWidth="1"/>
    <col min="2" max="4" width="10.88671875" customWidth="1"/>
    <col min="5" max="5" width="11.109375" customWidth="1"/>
    <col min="6" max="6" width="20.33203125" customWidth="1"/>
    <col min="7" max="7" width="19.88671875" customWidth="1"/>
    <col min="8" max="11" width="8.88671875" customWidth="1"/>
    <col min="12" max="12" width="4.44140625" customWidth="1"/>
    <col min="13" max="16" width="9.44140625" customWidth="1"/>
    <col min="17" max="17" width="44.44140625" customWidth="1"/>
  </cols>
  <sheetData>
    <row r="1" spans="1:17" ht="39.75" customHeight="1" thickBot="1">
      <c r="A1" s="1345" t="s">
        <v>517</v>
      </c>
      <c r="B1" s="1326"/>
      <c r="C1" s="1327"/>
      <c r="D1" s="1327"/>
      <c r="E1" s="1327"/>
      <c r="F1" s="1000" t="s">
        <v>1383</v>
      </c>
      <c r="G1" s="532"/>
      <c r="H1" s="3151" t="s">
        <v>782</v>
      </c>
      <c r="I1" s="3152"/>
      <c r="J1" s="3152"/>
      <c r="K1" s="3152"/>
      <c r="M1" s="3152" t="s">
        <v>783</v>
      </c>
      <c r="N1" s="3152"/>
      <c r="O1" s="3152"/>
      <c r="P1" s="3152"/>
      <c r="Q1" s="3152"/>
    </row>
    <row r="2" spans="1:17" ht="30.75" customHeight="1" thickBot="1">
      <c r="A2" s="1845" t="s">
        <v>518</v>
      </c>
      <c r="B2" s="1846" t="s">
        <v>928</v>
      </c>
      <c r="C2" s="1846" t="s">
        <v>519</v>
      </c>
      <c r="D2" s="1846" t="s">
        <v>1140</v>
      </c>
      <c r="E2" s="1847" t="s">
        <v>520</v>
      </c>
      <c r="F2" s="3153" t="s">
        <v>1398</v>
      </c>
      <c r="G2" s="3153"/>
      <c r="H2" s="1846" t="s">
        <v>928</v>
      </c>
      <c r="I2" s="1846" t="s">
        <v>521</v>
      </c>
      <c r="J2" s="1846" t="s">
        <v>1140</v>
      </c>
      <c r="K2" s="1846" t="s">
        <v>522</v>
      </c>
      <c r="L2" s="1117"/>
      <c r="M2" s="1846" t="s">
        <v>523</v>
      </c>
      <c r="N2" s="1846" t="s">
        <v>524</v>
      </c>
      <c r="O2" s="1846" t="s">
        <v>525</v>
      </c>
      <c r="P2" s="1846" t="s">
        <v>526</v>
      </c>
      <c r="Q2" s="1858" t="s">
        <v>518</v>
      </c>
    </row>
    <row r="3" spans="1:17" ht="17.399999999999999">
      <c r="A3" s="1848" t="s">
        <v>907</v>
      </c>
      <c r="B3" s="1849"/>
      <c r="C3" s="1849"/>
      <c r="D3" s="1849"/>
      <c r="E3" s="1850"/>
      <c r="F3" s="332"/>
      <c r="G3" s="332"/>
      <c r="H3" s="1854"/>
      <c r="I3" s="1854"/>
      <c r="J3" s="1854"/>
      <c r="K3" s="1855"/>
      <c r="L3" s="1117"/>
      <c r="M3" s="1859"/>
      <c r="N3" s="1860"/>
      <c r="O3" s="1861"/>
      <c r="P3" s="1862"/>
      <c r="Q3" s="1863" t="s">
        <v>907</v>
      </c>
    </row>
    <row r="4" spans="1:17" ht="18" customHeight="1">
      <c r="A4" s="1851" t="s">
        <v>527</v>
      </c>
      <c r="B4" s="1852"/>
      <c r="C4" s="1852"/>
      <c r="D4" s="1852"/>
      <c r="E4" s="1853"/>
      <c r="F4" s="3154" t="s">
        <v>653</v>
      </c>
      <c r="G4" s="3154"/>
      <c r="H4" s="1856"/>
      <c r="I4" s="1856"/>
      <c r="J4" s="1856"/>
      <c r="K4" s="1857"/>
      <c r="M4" s="1864"/>
      <c r="N4" s="1865"/>
      <c r="O4" s="1866"/>
      <c r="P4" s="1867"/>
      <c r="Q4" s="1851" t="s">
        <v>527</v>
      </c>
    </row>
    <row r="5" spans="1:17" ht="15.6">
      <c r="A5" s="333" t="s">
        <v>528</v>
      </c>
      <c r="B5" s="334">
        <v>12.7</v>
      </c>
      <c r="C5" s="334">
        <v>5.2</v>
      </c>
      <c r="D5" s="334">
        <v>5.2</v>
      </c>
      <c r="E5" s="335">
        <v>10.4</v>
      </c>
      <c r="F5" s="3154"/>
      <c r="G5" s="3154"/>
      <c r="H5" s="336">
        <v>11.048999999999999</v>
      </c>
      <c r="I5" s="336">
        <v>4.7320000000000002</v>
      </c>
      <c r="J5" s="336">
        <v>4.524</v>
      </c>
      <c r="K5" s="337">
        <v>9.4640000000000004</v>
      </c>
      <c r="M5" s="338">
        <v>1.3</v>
      </c>
      <c r="N5" s="339">
        <v>0.65</v>
      </c>
      <c r="O5" s="340">
        <v>0.75</v>
      </c>
      <c r="P5" s="341">
        <v>1.7</v>
      </c>
      <c r="Q5" s="342" t="s">
        <v>529</v>
      </c>
    </row>
    <row r="6" spans="1:17" ht="15.6">
      <c r="A6" s="333" t="s">
        <v>530</v>
      </c>
      <c r="B6" s="334">
        <v>34.4</v>
      </c>
      <c r="C6" s="334">
        <v>14.2</v>
      </c>
      <c r="D6" s="334">
        <v>14.2</v>
      </c>
      <c r="E6" s="335">
        <v>28.4</v>
      </c>
      <c r="F6" s="343" t="s">
        <v>531</v>
      </c>
      <c r="G6" s="343"/>
      <c r="H6" s="336">
        <v>29.928000000000001</v>
      </c>
      <c r="I6" s="336">
        <v>12.922000000000001</v>
      </c>
      <c r="J6" s="336">
        <v>12.353999999999999</v>
      </c>
      <c r="K6" s="337">
        <v>25.844000000000001</v>
      </c>
      <c r="M6" s="338">
        <v>3.4</v>
      </c>
      <c r="N6" s="339">
        <v>1.7</v>
      </c>
      <c r="O6" s="340">
        <v>1.78</v>
      </c>
      <c r="P6" s="341">
        <v>3.9</v>
      </c>
      <c r="Q6" s="344" t="s">
        <v>530</v>
      </c>
    </row>
    <row r="7" spans="1:17" ht="12.75" customHeight="1">
      <c r="A7" s="333" t="s">
        <v>532</v>
      </c>
      <c r="B7" s="334">
        <v>45.6</v>
      </c>
      <c r="C7" s="334">
        <v>18.8</v>
      </c>
      <c r="D7" s="334">
        <v>18.7</v>
      </c>
      <c r="E7" s="335">
        <v>37.5</v>
      </c>
      <c r="F7" s="3150" t="s">
        <v>654</v>
      </c>
      <c r="G7" s="3150"/>
      <c r="H7" s="336">
        <v>39.671999999999997</v>
      </c>
      <c r="I7" s="336">
        <v>17.108000000000001</v>
      </c>
      <c r="J7" s="336">
        <v>16.268999999999998</v>
      </c>
      <c r="K7" s="337">
        <v>34.125</v>
      </c>
      <c r="M7" s="338">
        <v>5.8</v>
      </c>
      <c r="N7" s="339">
        <v>2.9</v>
      </c>
      <c r="O7" s="340">
        <v>2.95</v>
      </c>
      <c r="P7" s="341">
        <v>6.2</v>
      </c>
      <c r="Q7" s="344" t="s">
        <v>532</v>
      </c>
    </row>
    <row r="8" spans="1:17" ht="17.399999999999999">
      <c r="A8" s="1851" t="s">
        <v>533</v>
      </c>
      <c r="B8" s="1868"/>
      <c r="C8" s="1869"/>
      <c r="D8" s="1869"/>
      <c r="E8" s="1870"/>
      <c r="F8" s="3150"/>
      <c r="G8" s="3150"/>
      <c r="H8" s="1880"/>
      <c r="I8" s="1880"/>
      <c r="J8" s="1880"/>
      <c r="K8" s="1881"/>
      <c r="M8" s="1888"/>
      <c r="N8" s="1901"/>
      <c r="O8" s="1902"/>
      <c r="P8" s="1891"/>
      <c r="Q8" s="1903" t="s">
        <v>533</v>
      </c>
    </row>
    <row r="9" spans="1:17" ht="15.6">
      <c r="A9" s="333" t="s">
        <v>534</v>
      </c>
      <c r="B9" s="334">
        <v>54.7</v>
      </c>
      <c r="C9" s="334">
        <v>22.6</v>
      </c>
      <c r="D9" s="334">
        <v>22.5</v>
      </c>
      <c r="E9" s="335">
        <v>45.1</v>
      </c>
      <c r="F9" s="332"/>
      <c r="G9" s="332"/>
      <c r="H9" s="336">
        <v>47.588999999999999</v>
      </c>
      <c r="I9" s="336">
        <v>20.565999999999999</v>
      </c>
      <c r="J9" s="336">
        <v>19.574999999999999</v>
      </c>
      <c r="K9" s="337">
        <v>41.040999999999997</v>
      </c>
      <c r="M9" s="338">
        <v>7.1</v>
      </c>
      <c r="N9" s="339">
        <v>3.5</v>
      </c>
      <c r="O9" s="340">
        <v>3.54</v>
      </c>
      <c r="P9" s="341">
        <v>7.7</v>
      </c>
      <c r="Q9" s="344" t="s">
        <v>534</v>
      </c>
    </row>
    <row r="10" spans="1:17" ht="15.6">
      <c r="A10" s="333" t="s">
        <v>535</v>
      </c>
      <c r="B10" s="334">
        <v>58.9</v>
      </c>
      <c r="C10" s="334">
        <v>24.3</v>
      </c>
      <c r="D10" s="334">
        <v>24.2</v>
      </c>
      <c r="E10" s="335">
        <v>48.5</v>
      </c>
      <c r="F10" s="332"/>
      <c r="G10" s="332"/>
      <c r="H10" s="336">
        <v>51.243000000000002</v>
      </c>
      <c r="I10" s="336">
        <v>22.113</v>
      </c>
      <c r="J10" s="336">
        <v>21.053999999999998</v>
      </c>
      <c r="K10" s="337">
        <v>44.134999999999998</v>
      </c>
      <c r="M10" s="338">
        <v>7.7</v>
      </c>
      <c r="N10" s="339">
        <v>3.83</v>
      </c>
      <c r="O10" s="340">
        <v>3.8</v>
      </c>
      <c r="P10" s="341">
        <v>8.1999999999999993</v>
      </c>
      <c r="Q10" s="344" t="s">
        <v>535</v>
      </c>
    </row>
    <row r="11" spans="1:17" ht="17.399999999999999">
      <c r="A11" s="1851" t="s">
        <v>536</v>
      </c>
      <c r="B11" s="1868"/>
      <c r="C11" s="1869"/>
      <c r="D11" s="1869"/>
      <c r="E11" s="1870"/>
      <c r="F11" s="3155" t="s">
        <v>537</v>
      </c>
      <c r="G11" s="3155"/>
      <c r="H11" s="1880"/>
      <c r="I11" s="1880"/>
      <c r="J11" s="1880"/>
      <c r="K11" s="1881"/>
      <c r="M11" s="1888"/>
      <c r="N11" s="1889"/>
      <c r="O11" s="1890"/>
      <c r="P11" s="1891"/>
      <c r="Q11" s="1904" t="s">
        <v>536</v>
      </c>
    </row>
    <row r="12" spans="1:17" ht="15.6">
      <c r="A12" s="333" t="s">
        <v>538</v>
      </c>
      <c r="B12" s="334">
        <v>59.1</v>
      </c>
      <c r="C12" s="334">
        <v>32.5</v>
      </c>
      <c r="D12" s="334">
        <v>16.2</v>
      </c>
      <c r="E12" s="335">
        <v>48.7</v>
      </c>
      <c r="F12" s="3155"/>
      <c r="G12" s="3155"/>
      <c r="H12" s="336">
        <v>51.417000000000002</v>
      </c>
      <c r="I12" s="336">
        <v>29.484000000000002</v>
      </c>
      <c r="J12" s="336">
        <v>14.093999999999999</v>
      </c>
      <c r="K12" s="337">
        <v>44.317</v>
      </c>
      <c r="M12" s="338">
        <v>11.5</v>
      </c>
      <c r="N12" s="339">
        <v>3.8</v>
      </c>
      <c r="O12" s="340">
        <v>7.4</v>
      </c>
      <c r="P12" s="341">
        <v>11.9</v>
      </c>
      <c r="Q12" s="345" t="s">
        <v>539</v>
      </c>
    </row>
    <row r="13" spans="1:17" ht="15.6">
      <c r="A13" s="333" t="s">
        <v>540</v>
      </c>
      <c r="B13" s="334">
        <v>66.7</v>
      </c>
      <c r="C13" s="334">
        <v>36.6</v>
      </c>
      <c r="D13" s="334">
        <v>18.399999999999999</v>
      </c>
      <c r="E13" s="346">
        <v>55</v>
      </c>
      <c r="F13" s="347" t="s">
        <v>541</v>
      </c>
      <c r="G13" s="347"/>
      <c r="H13" s="336">
        <v>58.029000000000003</v>
      </c>
      <c r="I13" s="336">
        <v>33.305999999999997</v>
      </c>
      <c r="J13" s="336">
        <v>16.007999999999999</v>
      </c>
      <c r="K13" s="337">
        <v>50.05</v>
      </c>
      <c r="M13" s="338">
        <v>11.8</v>
      </c>
      <c r="N13" s="339">
        <v>3.9</v>
      </c>
      <c r="O13" s="340">
        <v>7.6</v>
      </c>
      <c r="P13" s="341">
        <v>12.1</v>
      </c>
      <c r="Q13" s="348" t="s">
        <v>542</v>
      </c>
    </row>
    <row r="14" spans="1:17" ht="15.6">
      <c r="A14" s="333" t="s">
        <v>539</v>
      </c>
      <c r="B14" s="334">
        <v>74.400000000000006</v>
      </c>
      <c r="C14" s="334">
        <v>40.9</v>
      </c>
      <c r="D14" s="334">
        <v>20.399999999999999</v>
      </c>
      <c r="E14" s="335">
        <v>61.3</v>
      </c>
      <c r="F14" s="347" t="s">
        <v>543</v>
      </c>
      <c r="G14" s="347"/>
      <c r="H14" s="336">
        <v>64.727999999999994</v>
      </c>
      <c r="I14" s="336">
        <v>37.128</v>
      </c>
      <c r="J14" s="336">
        <v>17.748000000000001</v>
      </c>
      <c r="K14" s="337">
        <v>55.783000000000001</v>
      </c>
      <c r="M14" s="338">
        <v>11.7</v>
      </c>
      <c r="N14" s="339">
        <v>3.9</v>
      </c>
      <c r="O14" s="340">
        <v>7.5</v>
      </c>
      <c r="P14" s="341">
        <v>12</v>
      </c>
      <c r="Q14" s="348" t="s">
        <v>544</v>
      </c>
    </row>
    <row r="15" spans="1:17" ht="15.6">
      <c r="A15" s="333" t="s">
        <v>542</v>
      </c>
      <c r="B15" s="349">
        <v>82</v>
      </c>
      <c r="C15" s="349">
        <v>45.1</v>
      </c>
      <c r="D15" s="334">
        <v>22.5</v>
      </c>
      <c r="E15" s="335">
        <v>67.599999999999994</v>
      </c>
      <c r="F15" s="347" t="s">
        <v>545</v>
      </c>
      <c r="G15" s="347"/>
      <c r="H15" s="336">
        <v>71.34</v>
      </c>
      <c r="I15" s="336">
        <v>40.950000000000003</v>
      </c>
      <c r="J15" s="336">
        <v>19.574999999999999</v>
      </c>
      <c r="K15" s="337">
        <v>61.515999999999998</v>
      </c>
      <c r="M15" s="338">
        <v>12</v>
      </c>
      <c r="N15" s="339">
        <v>4</v>
      </c>
      <c r="O15" s="340">
        <v>7.6</v>
      </c>
      <c r="P15" s="341">
        <v>12.3</v>
      </c>
      <c r="Q15" s="348" t="s">
        <v>546</v>
      </c>
    </row>
    <row r="16" spans="1:17" ht="15.6">
      <c r="A16" s="333" t="s">
        <v>544</v>
      </c>
      <c r="B16" s="334">
        <v>89.7</v>
      </c>
      <c r="C16" s="334">
        <v>49.3</v>
      </c>
      <c r="D16" s="334">
        <v>24.6</v>
      </c>
      <c r="E16" s="335">
        <v>73.900000000000006</v>
      </c>
      <c r="F16" s="347" t="s">
        <v>547</v>
      </c>
      <c r="G16" s="347"/>
      <c r="H16" s="336">
        <v>78.039000000000001</v>
      </c>
      <c r="I16" s="336">
        <v>44.771999999999998</v>
      </c>
      <c r="J16" s="336">
        <v>21.402000000000001</v>
      </c>
      <c r="K16" s="337">
        <v>67.248999999999995</v>
      </c>
      <c r="M16" s="338">
        <v>12.3</v>
      </c>
      <c r="N16" s="339">
        <v>4.0999999999999996</v>
      </c>
      <c r="O16" s="340">
        <v>7.9</v>
      </c>
      <c r="P16" s="341">
        <v>12.6</v>
      </c>
      <c r="Q16" s="348" t="s">
        <v>548</v>
      </c>
    </row>
    <row r="17" spans="1:17" ht="15.6">
      <c r="A17" s="333" t="s">
        <v>546</v>
      </c>
      <c r="B17" s="334">
        <v>97.3</v>
      </c>
      <c r="C17" s="334">
        <v>53.5</v>
      </c>
      <c r="D17" s="334">
        <v>26.7</v>
      </c>
      <c r="E17" s="335">
        <v>80.2</v>
      </c>
      <c r="F17" s="347" t="s">
        <v>549</v>
      </c>
      <c r="G17" s="347"/>
      <c r="H17" s="336">
        <v>84.650999999999996</v>
      </c>
      <c r="I17" s="336">
        <v>48.594000000000001</v>
      </c>
      <c r="J17" s="336">
        <v>23.228999999999999</v>
      </c>
      <c r="K17" s="337">
        <v>72.981999999999999</v>
      </c>
      <c r="M17" s="338">
        <v>12.7</v>
      </c>
      <c r="N17" s="339">
        <v>4.2</v>
      </c>
      <c r="O17" s="340">
        <v>8.1</v>
      </c>
      <c r="P17" s="341">
        <v>13</v>
      </c>
      <c r="Q17" s="348" t="s">
        <v>550</v>
      </c>
    </row>
    <row r="18" spans="1:17" ht="15.6">
      <c r="A18" s="333" t="s">
        <v>548</v>
      </c>
      <c r="B18" s="349">
        <v>105</v>
      </c>
      <c r="C18" s="334">
        <v>57.7</v>
      </c>
      <c r="D18" s="334">
        <v>28.8</v>
      </c>
      <c r="E18" s="335">
        <v>86.5</v>
      </c>
      <c r="F18" s="347" t="s">
        <v>551</v>
      </c>
      <c r="G18" s="347"/>
      <c r="H18" s="336">
        <v>91.35</v>
      </c>
      <c r="I18" s="336">
        <v>52.415999999999997</v>
      </c>
      <c r="J18" s="336">
        <v>25.056000000000001</v>
      </c>
      <c r="K18" s="337">
        <v>78.715000000000003</v>
      </c>
      <c r="L18" s="1542"/>
      <c r="M18" s="1905"/>
      <c r="N18" s="1906"/>
      <c r="O18" s="1907"/>
      <c r="P18" s="1908"/>
      <c r="Q18" s="348" t="s">
        <v>552</v>
      </c>
    </row>
    <row r="19" spans="1:17" ht="15.6">
      <c r="A19" s="333" t="s">
        <v>550</v>
      </c>
      <c r="B19" s="334">
        <v>112.6</v>
      </c>
      <c r="C19" s="334">
        <v>61.9</v>
      </c>
      <c r="D19" s="334">
        <v>30.9</v>
      </c>
      <c r="E19" s="335">
        <v>92.8</v>
      </c>
      <c r="F19" s="347" t="s">
        <v>553</v>
      </c>
      <c r="G19" s="347"/>
      <c r="H19" s="336">
        <v>97.962000000000003</v>
      </c>
      <c r="I19" s="336">
        <v>56.238</v>
      </c>
      <c r="J19" s="336">
        <v>26.882999999999999</v>
      </c>
      <c r="K19" s="337">
        <v>84.447999999999993</v>
      </c>
      <c r="L19" s="1542"/>
      <c r="M19" s="338">
        <v>11.25</v>
      </c>
      <c r="N19" s="339">
        <v>3.7</v>
      </c>
      <c r="O19" s="340">
        <v>7.2</v>
      </c>
      <c r="P19" s="341">
        <v>11.6</v>
      </c>
      <c r="Q19" s="350" t="s">
        <v>554</v>
      </c>
    </row>
    <row r="20" spans="1:17" ht="17.399999999999999">
      <c r="A20" s="1848" t="s">
        <v>1166</v>
      </c>
      <c r="B20" s="1871"/>
      <c r="C20" s="1871"/>
      <c r="D20" s="1871"/>
      <c r="E20" s="1872"/>
      <c r="F20" s="332"/>
      <c r="G20" s="332"/>
      <c r="H20" s="1878"/>
      <c r="I20" s="1878"/>
      <c r="J20" s="1878"/>
      <c r="K20" s="1879"/>
      <c r="L20" s="1542"/>
      <c r="M20" s="1884"/>
      <c r="N20" s="1885"/>
      <c r="O20" s="1886"/>
      <c r="P20" s="1887"/>
      <c r="Q20" s="1848" t="s">
        <v>1166</v>
      </c>
    </row>
    <row r="21" spans="1:17" ht="17.399999999999999">
      <c r="A21" s="1851" t="s">
        <v>555</v>
      </c>
      <c r="B21" s="1873"/>
      <c r="C21" s="1873"/>
      <c r="D21" s="1873"/>
      <c r="E21" s="1874"/>
      <c r="F21" s="351" t="s">
        <v>556</v>
      </c>
      <c r="G21" s="351"/>
      <c r="H21" s="1880"/>
      <c r="I21" s="1880"/>
      <c r="J21" s="1880"/>
      <c r="K21" s="1881"/>
      <c r="L21" s="1542"/>
      <c r="M21" s="1888"/>
      <c r="N21" s="1889"/>
      <c r="O21" s="1890"/>
      <c r="P21" s="1891"/>
      <c r="Q21" s="1892" t="s">
        <v>555</v>
      </c>
    </row>
    <row r="22" spans="1:17" ht="27">
      <c r="A22" s="333" t="s">
        <v>557</v>
      </c>
      <c r="B22" s="334">
        <v>2.5</v>
      </c>
      <c r="C22" s="334">
        <v>1.6</v>
      </c>
      <c r="D22" s="334">
        <v>0.8</v>
      </c>
      <c r="E22" s="335">
        <v>2.2999999999999998</v>
      </c>
      <c r="F22" s="352" t="s">
        <v>558</v>
      </c>
      <c r="G22" s="352"/>
      <c r="H22" s="336">
        <v>2.1749999999999998</v>
      </c>
      <c r="I22" s="336">
        <v>1.456</v>
      </c>
      <c r="J22" s="336">
        <v>0.69600000000000006</v>
      </c>
      <c r="K22" s="337">
        <v>2.093</v>
      </c>
      <c r="L22" s="1542"/>
      <c r="M22" s="353">
        <v>0.3</v>
      </c>
      <c r="N22" s="354">
        <v>4.9500000000000002E-2</v>
      </c>
      <c r="O22" s="355">
        <v>0.13</v>
      </c>
      <c r="P22" s="356">
        <v>0.33</v>
      </c>
      <c r="Q22" s="357" t="s">
        <v>557</v>
      </c>
    </row>
    <row r="23" spans="1:17" ht="27">
      <c r="A23" s="358" t="s">
        <v>559</v>
      </c>
      <c r="B23" s="334">
        <v>2.4</v>
      </c>
      <c r="C23" s="334">
        <v>1.5</v>
      </c>
      <c r="D23" s="334">
        <v>0.7</v>
      </c>
      <c r="E23" s="335">
        <v>2.2000000000000002</v>
      </c>
      <c r="F23" s="352" t="s">
        <v>560</v>
      </c>
      <c r="G23" s="352"/>
      <c r="H23" s="336">
        <v>2.0880000000000001</v>
      </c>
      <c r="I23" s="336">
        <v>1.365</v>
      </c>
      <c r="J23" s="336">
        <v>0.60899999999999999</v>
      </c>
      <c r="K23" s="337">
        <v>2.0019999999999998</v>
      </c>
      <c r="L23" s="1542"/>
      <c r="M23" s="353">
        <v>0.3</v>
      </c>
      <c r="N23" s="354">
        <v>4.9500000000000002E-2</v>
      </c>
      <c r="O23" s="355">
        <v>0.13</v>
      </c>
      <c r="P23" s="356">
        <v>0.33</v>
      </c>
      <c r="Q23" s="357" t="s">
        <v>559</v>
      </c>
    </row>
    <row r="24" spans="1:17" ht="17.399999999999999">
      <c r="A24" s="1851" t="s">
        <v>561</v>
      </c>
      <c r="B24" s="1851"/>
      <c r="C24" s="1851"/>
      <c r="D24" s="1851"/>
      <c r="E24" s="1851"/>
      <c r="F24" s="352" t="s">
        <v>562</v>
      </c>
      <c r="G24" s="352"/>
      <c r="H24" s="1882"/>
      <c r="I24" s="1882"/>
      <c r="J24" s="1882"/>
      <c r="K24" s="1883"/>
      <c r="L24" s="1542"/>
      <c r="M24" s="1893"/>
      <c r="N24" s="1894"/>
      <c r="O24" s="1895"/>
      <c r="P24" s="1896"/>
      <c r="Q24" s="1897" t="s">
        <v>563</v>
      </c>
    </row>
    <row r="25" spans="1:17" ht="15.6">
      <c r="A25" s="333" t="s">
        <v>564</v>
      </c>
      <c r="B25" s="334">
        <v>7.5</v>
      </c>
      <c r="C25" s="334">
        <v>4.5999999999999996</v>
      </c>
      <c r="D25" s="334">
        <v>2.2999999999999998</v>
      </c>
      <c r="E25" s="335">
        <v>7</v>
      </c>
      <c r="F25" s="332" t="s">
        <v>565</v>
      </c>
      <c r="G25" s="332"/>
      <c r="H25" s="336">
        <v>6.5250000000000004</v>
      </c>
      <c r="I25" s="336">
        <v>4.1859999999999999</v>
      </c>
      <c r="J25" s="336">
        <v>2.0009999999999999</v>
      </c>
      <c r="K25" s="337">
        <v>6.37</v>
      </c>
      <c r="L25" s="1542"/>
      <c r="M25" s="353">
        <v>0.7</v>
      </c>
      <c r="N25" s="354">
        <v>0.23100000000000001</v>
      </c>
      <c r="O25" s="355">
        <v>0.47557967032967002</v>
      </c>
      <c r="P25" s="359">
        <v>0.77</v>
      </c>
      <c r="Q25" s="357" t="s">
        <v>564</v>
      </c>
    </row>
    <row r="26" spans="1:17" ht="27">
      <c r="A26" s="358" t="s">
        <v>566</v>
      </c>
      <c r="B26" s="334">
        <v>6.9</v>
      </c>
      <c r="C26" s="334">
        <v>4.2</v>
      </c>
      <c r="D26" s="334">
        <v>2.1</v>
      </c>
      <c r="E26" s="335">
        <v>6.4</v>
      </c>
      <c r="F26" s="332" t="s">
        <v>565</v>
      </c>
      <c r="G26" s="332"/>
      <c r="H26" s="336">
        <v>6.0030000000000001</v>
      </c>
      <c r="I26" s="336">
        <v>3.8220000000000001</v>
      </c>
      <c r="J26" s="336">
        <v>1.827</v>
      </c>
      <c r="K26" s="337">
        <v>5.8239999999999998</v>
      </c>
      <c r="L26" s="1542"/>
      <c r="M26" s="353">
        <v>0.7</v>
      </c>
      <c r="N26" s="354">
        <v>0.23100000000000001</v>
      </c>
      <c r="O26" s="355">
        <v>0.47557967032967002</v>
      </c>
      <c r="P26" s="359">
        <v>0.77</v>
      </c>
      <c r="Q26" s="357" t="s">
        <v>566</v>
      </c>
    </row>
    <row r="27" spans="1:17" ht="27">
      <c r="A27" s="360" t="s">
        <v>567</v>
      </c>
      <c r="B27" s="334">
        <v>6.7</v>
      </c>
      <c r="C27" s="334">
        <v>4.0999999999999996</v>
      </c>
      <c r="D27" s="334">
        <v>2.1</v>
      </c>
      <c r="E27" s="335">
        <v>6.2</v>
      </c>
      <c r="F27" s="332" t="s">
        <v>565</v>
      </c>
      <c r="G27" s="332"/>
      <c r="H27" s="336">
        <v>5.8289999999999997</v>
      </c>
      <c r="I27" s="336">
        <v>3.7309999999999999</v>
      </c>
      <c r="J27" s="336">
        <v>1.827</v>
      </c>
      <c r="K27" s="337">
        <v>5.6420000000000003</v>
      </c>
      <c r="L27" s="1542"/>
      <c r="M27" s="353">
        <v>0.7</v>
      </c>
      <c r="N27" s="354">
        <v>0.23100000000000001</v>
      </c>
      <c r="O27" s="355">
        <v>0.47557967032967002</v>
      </c>
      <c r="P27" s="359">
        <v>0.77</v>
      </c>
      <c r="Q27" s="357" t="s">
        <v>567</v>
      </c>
    </row>
    <row r="28" spans="1:17" ht="16.5" customHeight="1">
      <c r="A28" s="1851" t="s">
        <v>568</v>
      </c>
      <c r="B28" s="1875"/>
      <c r="C28" s="1876"/>
      <c r="D28" s="1876"/>
      <c r="E28" s="1877"/>
      <c r="H28" s="1882"/>
      <c r="I28" s="1882"/>
      <c r="J28" s="1882"/>
      <c r="K28" s="1883"/>
      <c r="L28" s="1542"/>
      <c r="M28" s="1893"/>
      <c r="N28" s="1894"/>
      <c r="O28" s="1895"/>
      <c r="P28" s="1896"/>
      <c r="Q28" s="1898" t="s">
        <v>568</v>
      </c>
    </row>
    <row r="29" spans="1:17" ht="15.6">
      <c r="A29" s="333" t="s">
        <v>569</v>
      </c>
      <c r="B29" s="334">
        <v>14.4</v>
      </c>
      <c r="C29" s="334">
        <v>8.9</v>
      </c>
      <c r="D29" s="334">
        <v>4.5</v>
      </c>
      <c r="E29" s="335">
        <v>13.4</v>
      </c>
      <c r="H29" s="336">
        <v>12.528</v>
      </c>
      <c r="I29" s="336">
        <v>8.0990000000000002</v>
      </c>
      <c r="J29" s="336">
        <v>3.915</v>
      </c>
      <c r="K29" s="337">
        <v>12.194000000000001</v>
      </c>
      <c r="L29" s="1542"/>
      <c r="M29" s="361">
        <v>2.5499999999999998</v>
      </c>
      <c r="N29" s="354">
        <v>0.84150000000000003</v>
      </c>
      <c r="O29" s="355">
        <v>1.73222527472527</v>
      </c>
      <c r="P29" s="356">
        <v>2.72</v>
      </c>
      <c r="Q29" s="357" t="s">
        <v>569</v>
      </c>
    </row>
    <row r="30" spans="1:17" ht="15.6">
      <c r="A30" s="333" t="s">
        <v>570</v>
      </c>
      <c r="B30" s="334">
        <v>12.8</v>
      </c>
      <c r="C30" s="334">
        <v>7.9</v>
      </c>
      <c r="D30" s="334">
        <v>4</v>
      </c>
      <c r="E30" s="335">
        <v>11.9</v>
      </c>
      <c r="F30" s="362"/>
      <c r="G30" s="362"/>
      <c r="H30" s="336">
        <v>11.135999999999999</v>
      </c>
      <c r="I30" s="336">
        <v>7.1890000000000001</v>
      </c>
      <c r="J30" s="336">
        <v>3.48</v>
      </c>
      <c r="K30" s="337">
        <v>10.829000000000001</v>
      </c>
      <c r="L30" s="1542"/>
      <c r="M30" s="361">
        <v>2.5499999999999998</v>
      </c>
      <c r="N30" s="354">
        <v>0.84150000000000003</v>
      </c>
      <c r="O30" s="355">
        <v>1.73222527472527</v>
      </c>
      <c r="P30" s="356">
        <v>2.72</v>
      </c>
      <c r="Q30" s="357" t="s">
        <v>570</v>
      </c>
    </row>
    <row r="31" spans="1:17" ht="17.399999999999999">
      <c r="A31" s="1875" t="s">
        <v>571</v>
      </c>
      <c r="B31" s="1876"/>
      <c r="C31" s="1876"/>
      <c r="D31" s="1876"/>
      <c r="E31" s="1877"/>
      <c r="F31" s="363"/>
      <c r="G31" s="363"/>
      <c r="H31" s="1880"/>
      <c r="I31" s="1880"/>
      <c r="J31" s="1880"/>
      <c r="K31" s="1881"/>
      <c r="L31" s="1542"/>
      <c r="M31" s="1893"/>
      <c r="N31" s="1894"/>
      <c r="O31" s="1895"/>
      <c r="P31" s="1896"/>
      <c r="Q31" s="1897" t="s">
        <v>571</v>
      </c>
    </row>
    <row r="32" spans="1:17" ht="15.6">
      <c r="A32" s="333" t="s">
        <v>572</v>
      </c>
      <c r="B32" s="334">
        <v>17.7</v>
      </c>
      <c r="C32" s="334">
        <v>11</v>
      </c>
      <c r="D32" s="334">
        <v>5.5</v>
      </c>
      <c r="E32" s="335">
        <v>16.399999999999999</v>
      </c>
      <c r="F32" s="362"/>
      <c r="G32" s="362"/>
      <c r="H32" s="336">
        <v>15.399000000000001</v>
      </c>
      <c r="I32" s="336">
        <v>10.01</v>
      </c>
      <c r="J32" s="336">
        <v>4.7850000000000001</v>
      </c>
      <c r="K32" s="337">
        <v>14.923999999999999</v>
      </c>
      <c r="L32" s="1542"/>
      <c r="M32" s="361">
        <v>2.5499999999999998</v>
      </c>
      <c r="N32" s="354">
        <v>0.84150000000000003</v>
      </c>
      <c r="O32" s="355">
        <v>1.73222527472527</v>
      </c>
      <c r="P32" s="356">
        <v>2.72</v>
      </c>
      <c r="Q32" s="357" t="s">
        <v>572</v>
      </c>
    </row>
    <row r="33" spans="1:17" ht="15.6">
      <c r="A33" s="333" t="s">
        <v>573</v>
      </c>
      <c r="B33" s="334">
        <v>16.7</v>
      </c>
      <c r="C33" s="334">
        <v>10.4</v>
      </c>
      <c r="D33" s="334">
        <v>5.2</v>
      </c>
      <c r="E33" s="335">
        <v>15.5</v>
      </c>
      <c r="F33" s="332"/>
      <c r="G33" s="332"/>
      <c r="H33" s="336">
        <v>14.529</v>
      </c>
      <c r="I33" s="336">
        <v>9.4640000000000004</v>
      </c>
      <c r="J33" s="336">
        <v>4.524</v>
      </c>
      <c r="K33" s="337">
        <v>14.105</v>
      </c>
      <c r="L33" s="1542"/>
      <c r="M33" s="361">
        <v>2.5499999999999998</v>
      </c>
      <c r="N33" s="354">
        <v>0.84150000000000003</v>
      </c>
      <c r="O33" s="355">
        <v>1.73222527472527</v>
      </c>
      <c r="P33" s="356">
        <v>2.72</v>
      </c>
      <c r="Q33" s="357" t="s">
        <v>573</v>
      </c>
    </row>
    <row r="34" spans="1:17" ht="17.399999999999999">
      <c r="A34" s="1848" t="s">
        <v>1233</v>
      </c>
      <c r="B34" s="1871"/>
      <c r="C34" s="1871"/>
      <c r="D34" s="1871"/>
      <c r="E34" s="1872"/>
      <c r="F34" s="332"/>
      <c r="G34" s="332"/>
      <c r="H34" s="1878"/>
      <c r="I34" s="1878"/>
      <c r="J34" s="1878"/>
      <c r="K34" s="1879"/>
      <c r="L34" s="1542"/>
      <c r="M34" s="1899" t="s">
        <v>574</v>
      </c>
      <c r="N34" s="1885"/>
      <c r="O34" s="1886"/>
      <c r="P34" s="1900" t="s">
        <v>1681</v>
      </c>
      <c r="Q34" s="1848" t="s">
        <v>1233</v>
      </c>
    </row>
    <row r="35" spans="1:17" ht="15.6">
      <c r="A35" s="333" t="s">
        <v>875</v>
      </c>
      <c r="B35" s="334">
        <v>0.13</v>
      </c>
      <c r="C35" s="334"/>
      <c r="D35" s="334"/>
      <c r="E35" s="335">
        <v>0.11</v>
      </c>
      <c r="F35" s="332" t="s">
        <v>575</v>
      </c>
      <c r="G35" s="332"/>
      <c r="H35" s="449">
        <v>0.11310000000000001</v>
      </c>
      <c r="I35" s="449"/>
      <c r="J35" s="449"/>
      <c r="K35" s="370">
        <v>0.10010000000000001</v>
      </c>
      <c r="L35" s="1542"/>
      <c r="M35" s="364">
        <v>1.2E-2</v>
      </c>
      <c r="N35" s="365"/>
      <c r="O35" s="366"/>
      <c r="P35" s="367">
        <v>8.5000000000000006E-3</v>
      </c>
      <c r="Q35" s="357" t="s">
        <v>875</v>
      </c>
    </row>
    <row r="36" spans="1:17" ht="15.6">
      <c r="A36" s="333" t="s">
        <v>704</v>
      </c>
      <c r="B36" s="334"/>
      <c r="C36" s="334"/>
      <c r="D36" s="334"/>
      <c r="E36" s="335">
        <v>5.2999999999999999E-2</v>
      </c>
      <c r="F36" s="332" t="s">
        <v>705</v>
      </c>
      <c r="G36" s="332"/>
      <c r="H36" s="449"/>
      <c r="I36" s="449"/>
      <c r="J36" s="449"/>
      <c r="K36" s="370">
        <v>4.8000000000000001E-2</v>
      </c>
      <c r="L36" s="1542"/>
      <c r="M36" s="364"/>
      <c r="N36" s="365"/>
      <c r="O36" s="366"/>
      <c r="P36" s="367">
        <v>4.0000000000000001E-3</v>
      </c>
      <c r="Q36" s="357" t="s">
        <v>704</v>
      </c>
    </row>
    <row r="37" spans="1:17" ht="27.15" customHeight="1">
      <c r="A37" s="333" t="s">
        <v>576</v>
      </c>
      <c r="B37" s="334">
        <v>0.51</v>
      </c>
      <c r="C37" s="334"/>
      <c r="D37" s="334"/>
      <c r="E37" s="335">
        <v>0.43</v>
      </c>
      <c r="F37" s="3156" t="s">
        <v>655</v>
      </c>
      <c r="G37" s="3157"/>
      <c r="H37" s="449">
        <v>0.44370000000000004</v>
      </c>
      <c r="I37" s="449"/>
      <c r="J37" s="449"/>
      <c r="K37" s="370">
        <v>0.39130000000000004</v>
      </c>
      <c r="M37" s="364">
        <v>3.3000000000000002E-2</v>
      </c>
      <c r="N37" s="368"/>
      <c r="O37" s="369"/>
      <c r="P37" s="367">
        <v>1.6E-2</v>
      </c>
      <c r="Q37" s="357" t="s">
        <v>576</v>
      </c>
    </row>
    <row r="38" spans="1:17" ht="27">
      <c r="A38" s="333" t="s">
        <v>876</v>
      </c>
      <c r="B38" s="334"/>
      <c r="C38" s="334"/>
      <c r="D38" s="334"/>
      <c r="E38" s="335">
        <v>0.17</v>
      </c>
      <c r="F38" s="332" t="s">
        <v>577</v>
      </c>
      <c r="G38" s="332"/>
      <c r="H38" s="449"/>
      <c r="I38" s="449"/>
      <c r="J38" s="449"/>
      <c r="K38" s="370">
        <v>0.1547</v>
      </c>
      <c r="M38" s="371"/>
      <c r="N38" s="365"/>
      <c r="O38" s="366"/>
      <c r="P38" s="367">
        <v>6.0000000000000001E-3</v>
      </c>
      <c r="Q38" s="357" t="s">
        <v>643</v>
      </c>
    </row>
    <row r="39" spans="1:17" ht="15.6">
      <c r="A39" s="333" t="s">
        <v>1246</v>
      </c>
      <c r="B39" s="334"/>
      <c r="C39" s="334"/>
      <c r="D39" s="334"/>
      <c r="E39" s="372">
        <v>0.1</v>
      </c>
      <c r="F39" s="332"/>
      <c r="G39" s="332"/>
      <c r="H39" s="449"/>
      <c r="I39" s="449"/>
      <c r="J39" s="449"/>
      <c r="K39" s="370">
        <v>9.0999999999999998E-2</v>
      </c>
      <c r="M39" s="371"/>
      <c r="N39" s="365"/>
      <c r="O39" s="366"/>
      <c r="P39" s="367">
        <v>3.0000000000000001E-3</v>
      </c>
      <c r="Q39" s="357" t="s">
        <v>1246</v>
      </c>
    </row>
    <row r="40" spans="1:17" ht="15.6">
      <c r="A40" s="333" t="s">
        <v>1248</v>
      </c>
      <c r="B40" s="334"/>
      <c r="C40" s="334"/>
      <c r="D40" s="334"/>
      <c r="E40" s="335">
        <v>0.28999999999999998</v>
      </c>
      <c r="F40" s="332"/>
      <c r="G40" s="332"/>
      <c r="H40" s="449"/>
      <c r="I40" s="449"/>
      <c r="J40" s="449"/>
      <c r="K40" s="370">
        <v>0.26390000000000002</v>
      </c>
      <c r="M40" s="371"/>
      <c r="N40" s="365"/>
      <c r="O40" s="366"/>
      <c r="P40" s="373">
        <v>2.9000000000000001E-2</v>
      </c>
      <c r="Q40" s="357" t="s">
        <v>1248</v>
      </c>
    </row>
    <row r="41" spans="1:17" ht="15.6">
      <c r="A41" s="333" t="s">
        <v>1249</v>
      </c>
      <c r="B41" s="334"/>
      <c r="C41" s="334"/>
      <c r="D41" s="334"/>
      <c r="E41" s="335">
        <v>0.28999999999999998</v>
      </c>
      <c r="F41" s="332"/>
      <c r="G41" s="332"/>
      <c r="H41" s="449"/>
      <c r="I41" s="449"/>
      <c r="J41" s="449"/>
      <c r="K41" s="370">
        <v>0.26390000000000002</v>
      </c>
      <c r="M41" s="371"/>
      <c r="N41" s="365"/>
      <c r="O41" s="366"/>
      <c r="P41" s="373">
        <v>1.4E-2</v>
      </c>
      <c r="Q41" s="357" t="s">
        <v>1249</v>
      </c>
    </row>
    <row r="42" spans="1:17" ht="15.6">
      <c r="A42" s="333" t="s">
        <v>578</v>
      </c>
      <c r="B42" s="334"/>
      <c r="C42" s="334"/>
      <c r="D42" s="334"/>
      <c r="E42" s="335">
        <v>0.65</v>
      </c>
      <c r="F42" s="332" t="s">
        <v>579</v>
      </c>
      <c r="G42" s="332"/>
      <c r="H42" s="449"/>
      <c r="I42" s="449"/>
      <c r="J42" s="449"/>
      <c r="K42" s="370">
        <v>0.59150000000000003</v>
      </c>
      <c r="M42" s="371"/>
      <c r="N42" s="365"/>
      <c r="O42" s="366"/>
      <c r="P42" s="367">
        <v>0.03</v>
      </c>
      <c r="Q42" s="357" t="s">
        <v>578</v>
      </c>
    </row>
    <row r="43" spans="1:17" ht="17.399999999999999">
      <c r="A43" s="1848" t="s">
        <v>1673</v>
      </c>
      <c r="B43" s="1871"/>
      <c r="C43" s="1871"/>
      <c r="D43" s="1871"/>
      <c r="E43" s="1872"/>
      <c r="F43" s="332"/>
      <c r="G43" s="332"/>
      <c r="H43" s="1909"/>
      <c r="I43" s="1909"/>
      <c r="J43" s="1909"/>
      <c r="K43" s="1879"/>
      <c r="M43" s="1884"/>
      <c r="N43" s="1885"/>
      <c r="O43" s="1886"/>
      <c r="P43" s="1887"/>
      <c r="Q43" s="1848" t="s">
        <v>1673</v>
      </c>
    </row>
    <row r="44" spans="1:17" ht="18" customHeight="1">
      <c r="A44" s="1875" t="s">
        <v>580</v>
      </c>
      <c r="B44" s="1876"/>
      <c r="C44" s="1876"/>
      <c r="D44" s="1876"/>
      <c r="E44" s="1877"/>
      <c r="F44" s="332"/>
      <c r="G44" s="332"/>
      <c r="H44" s="1882"/>
      <c r="I44" s="1882"/>
      <c r="J44" s="1882"/>
      <c r="K44" s="1883"/>
      <c r="M44" s="1888"/>
      <c r="N44" s="1889"/>
      <c r="O44" s="1890"/>
      <c r="P44" s="1891"/>
      <c r="Q44" s="1913" t="s">
        <v>581</v>
      </c>
    </row>
    <row r="45" spans="1:17" ht="15.6">
      <c r="A45" s="333" t="s">
        <v>582</v>
      </c>
      <c r="B45" s="374"/>
      <c r="C45" s="374"/>
      <c r="D45" s="374"/>
      <c r="E45" s="335">
        <v>8.9</v>
      </c>
      <c r="F45" s="332"/>
      <c r="G45" s="332"/>
      <c r="H45" s="375"/>
      <c r="I45" s="375"/>
      <c r="J45" s="478"/>
      <c r="K45" s="337">
        <v>8.0990000000000002</v>
      </c>
      <c r="M45" s="371"/>
      <c r="N45" s="365"/>
      <c r="O45" s="366"/>
      <c r="P45" s="376">
        <v>2</v>
      </c>
      <c r="Q45" s="377" t="s">
        <v>582</v>
      </c>
    </row>
    <row r="46" spans="1:17" ht="15.6">
      <c r="A46" s="333" t="s">
        <v>583</v>
      </c>
      <c r="B46" s="374"/>
      <c r="C46" s="374"/>
      <c r="D46" s="374"/>
      <c r="E46" s="335">
        <v>10.5</v>
      </c>
      <c r="F46" s="332"/>
      <c r="G46" s="332"/>
      <c r="H46" s="375"/>
      <c r="I46" s="375"/>
      <c r="J46" s="478"/>
      <c r="K46" s="337">
        <v>9.5549999999999997</v>
      </c>
      <c r="M46" s="371"/>
      <c r="N46" s="365"/>
      <c r="O46" s="366"/>
      <c r="P46" s="376">
        <v>2.5</v>
      </c>
      <c r="Q46" s="377" t="s">
        <v>583</v>
      </c>
    </row>
    <row r="47" spans="1:17" ht="18" customHeight="1">
      <c r="A47" s="1128" t="s">
        <v>584</v>
      </c>
      <c r="B47" s="1876"/>
      <c r="C47" s="1876"/>
      <c r="D47" s="1876"/>
      <c r="E47" s="1877"/>
      <c r="F47" s="332"/>
      <c r="G47" s="332"/>
      <c r="H47" s="1882"/>
      <c r="I47" s="1882"/>
      <c r="J47" s="1910"/>
      <c r="K47" s="1883"/>
      <c r="M47" s="1888"/>
      <c r="N47" s="1889"/>
      <c r="O47" s="1890"/>
      <c r="P47" s="1912"/>
      <c r="Q47" s="1913" t="s">
        <v>585</v>
      </c>
    </row>
    <row r="48" spans="1:17" ht="15.6">
      <c r="A48" s="333" t="s">
        <v>582</v>
      </c>
      <c r="B48" s="374"/>
      <c r="C48" s="374"/>
      <c r="D48" s="374"/>
      <c r="E48" s="335">
        <v>17.399999999999999</v>
      </c>
      <c r="F48" s="332"/>
      <c r="G48" s="332"/>
      <c r="H48" s="375"/>
      <c r="I48" s="375"/>
      <c r="J48" s="478"/>
      <c r="K48" s="337">
        <v>15.834</v>
      </c>
      <c r="M48" s="371"/>
      <c r="N48" s="365"/>
      <c r="O48" s="366"/>
      <c r="P48" s="376">
        <v>3</v>
      </c>
      <c r="Q48" s="377" t="s">
        <v>582</v>
      </c>
    </row>
    <row r="49" spans="1:17" ht="15.6">
      <c r="A49" s="333" t="s">
        <v>583</v>
      </c>
      <c r="B49" s="374"/>
      <c r="C49" s="374"/>
      <c r="D49" s="374"/>
      <c r="E49" s="335">
        <v>20.5</v>
      </c>
      <c r="F49" s="332"/>
      <c r="G49" s="332"/>
      <c r="H49" s="375"/>
      <c r="I49" s="375"/>
      <c r="J49" s="478"/>
      <c r="K49" s="337">
        <v>18.655000000000001</v>
      </c>
      <c r="M49" s="371"/>
      <c r="N49" s="365"/>
      <c r="O49" s="366"/>
      <c r="P49" s="376">
        <v>3.77</v>
      </c>
      <c r="Q49" s="377" t="s">
        <v>583</v>
      </c>
    </row>
    <row r="50" spans="1:17" ht="17.399999999999999">
      <c r="A50" s="1875" t="s">
        <v>586</v>
      </c>
      <c r="B50" s="1876"/>
      <c r="C50" s="1876"/>
      <c r="D50" s="1876"/>
      <c r="E50" s="1877"/>
      <c r="F50" s="332"/>
      <c r="G50" s="332"/>
      <c r="H50" s="1882"/>
      <c r="I50" s="1882"/>
      <c r="J50" s="1910"/>
      <c r="K50" s="1883"/>
      <c r="M50" s="1888"/>
      <c r="N50" s="1889"/>
      <c r="O50" s="1890"/>
      <c r="P50" s="1912"/>
      <c r="Q50" s="1913" t="s">
        <v>587</v>
      </c>
    </row>
    <row r="51" spans="1:17" ht="15.6">
      <c r="A51" s="333" t="s">
        <v>582</v>
      </c>
      <c r="B51" s="374"/>
      <c r="C51" s="374"/>
      <c r="D51" s="374"/>
      <c r="E51" s="335">
        <v>31.2</v>
      </c>
      <c r="F51" s="332"/>
      <c r="G51" s="332"/>
      <c r="H51" s="375"/>
      <c r="I51" s="375"/>
      <c r="J51" s="478"/>
      <c r="K51" s="337">
        <v>28.391999999999999</v>
      </c>
      <c r="M51" s="371"/>
      <c r="N51" s="365"/>
      <c r="O51" s="366"/>
      <c r="P51" s="376">
        <v>6</v>
      </c>
      <c r="Q51" s="377" t="s">
        <v>582</v>
      </c>
    </row>
    <row r="52" spans="1:17" ht="15.6">
      <c r="A52" s="333" t="s">
        <v>583</v>
      </c>
      <c r="B52" s="374"/>
      <c r="C52" s="374"/>
      <c r="D52" s="374"/>
      <c r="E52" s="335">
        <v>36.799999999999997</v>
      </c>
      <c r="F52" s="332"/>
      <c r="G52" s="332"/>
      <c r="H52" s="375"/>
      <c r="I52" s="375"/>
      <c r="J52" s="478"/>
      <c r="K52" s="337">
        <v>33.488</v>
      </c>
      <c r="M52" s="371"/>
      <c r="N52" s="365"/>
      <c r="O52" s="366"/>
      <c r="P52" s="376">
        <v>6.7</v>
      </c>
      <c r="Q52" s="377" t="s">
        <v>583</v>
      </c>
    </row>
    <row r="53" spans="1:17" ht="16.5" customHeight="1">
      <c r="A53" s="1118" t="s">
        <v>588</v>
      </c>
      <c r="B53" s="1126"/>
      <c r="C53" s="1126"/>
      <c r="D53" s="1126"/>
      <c r="E53" s="1127"/>
      <c r="F53" s="3154" t="s">
        <v>589</v>
      </c>
      <c r="G53" s="3154"/>
      <c r="H53" s="1909"/>
      <c r="I53" s="1909"/>
      <c r="J53" s="1910"/>
      <c r="K53" s="1879"/>
      <c r="M53" s="1884"/>
      <c r="N53" s="1885"/>
      <c r="O53" s="1886"/>
      <c r="P53" s="1911"/>
      <c r="Q53" s="1848" t="s">
        <v>588</v>
      </c>
    </row>
    <row r="54" spans="1:17" ht="15.6">
      <c r="A54" s="333" t="s">
        <v>590</v>
      </c>
      <c r="B54" s="374"/>
      <c r="C54" s="374"/>
      <c r="D54" s="374"/>
      <c r="E54" s="335">
        <v>5.4</v>
      </c>
      <c r="F54" s="3154"/>
      <c r="G54" s="3154"/>
      <c r="H54" s="375"/>
      <c r="I54" s="375"/>
      <c r="J54" s="478"/>
      <c r="K54" s="337">
        <v>4.9139999999999997</v>
      </c>
      <c r="M54" s="371"/>
      <c r="N54" s="365"/>
      <c r="O54" s="366"/>
      <c r="P54" s="356">
        <v>0.22</v>
      </c>
      <c r="Q54" s="378" t="s">
        <v>590</v>
      </c>
    </row>
    <row r="55" spans="1:17" ht="15.6">
      <c r="A55" s="333" t="s">
        <v>591</v>
      </c>
      <c r="B55" s="374"/>
      <c r="C55" s="374"/>
      <c r="D55" s="374"/>
      <c r="E55" s="335">
        <v>7.3</v>
      </c>
      <c r="F55" s="332" t="s">
        <v>592</v>
      </c>
      <c r="G55" s="332"/>
      <c r="H55" s="375"/>
      <c r="I55" s="375"/>
      <c r="J55" s="478"/>
      <c r="K55" s="337">
        <v>6.6429999999999998</v>
      </c>
      <c r="M55" s="371"/>
      <c r="N55" s="365"/>
      <c r="O55" s="366"/>
      <c r="P55" s="356">
        <v>0.52</v>
      </c>
      <c r="Q55" s="378" t="s">
        <v>591</v>
      </c>
    </row>
    <row r="56" spans="1:17" ht="15.6">
      <c r="A56" s="333" t="s">
        <v>1263</v>
      </c>
      <c r="B56" s="374"/>
      <c r="C56" s="374"/>
      <c r="D56" s="374"/>
      <c r="E56" s="335">
        <v>7.7</v>
      </c>
      <c r="F56" s="332"/>
      <c r="G56" s="332"/>
      <c r="H56" s="375"/>
      <c r="I56" s="375"/>
      <c r="J56" s="478"/>
      <c r="K56" s="337">
        <v>7.0069999999999997</v>
      </c>
      <c r="M56" s="371"/>
      <c r="N56" s="365"/>
      <c r="O56" s="366"/>
      <c r="P56" s="356">
        <v>0.52</v>
      </c>
      <c r="Q56" s="378" t="s">
        <v>1263</v>
      </c>
    </row>
    <row r="57" spans="1:17" ht="17.399999999999999">
      <c r="A57" s="1848" t="s">
        <v>593</v>
      </c>
      <c r="B57" s="1871"/>
      <c r="C57" s="1871"/>
      <c r="D57" s="1871"/>
      <c r="E57" s="1872"/>
      <c r="F57" s="332"/>
      <c r="G57" s="332"/>
      <c r="H57" s="1909"/>
      <c r="I57" s="1909"/>
      <c r="J57" s="1909"/>
      <c r="K57" s="1879"/>
      <c r="M57" s="1884"/>
      <c r="N57" s="1885"/>
      <c r="O57" s="1886"/>
      <c r="P57" s="1887"/>
      <c r="Q57" s="1848" t="s">
        <v>593</v>
      </c>
    </row>
    <row r="58" spans="1:17" ht="15.6">
      <c r="A58" s="333" t="s">
        <v>594</v>
      </c>
      <c r="B58" s="374"/>
      <c r="C58" s="374"/>
      <c r="D58" s="374"/>
      <c r="E58" s="346">
        <v>5</v>
      </c>
      <c r="F58" s="332" t="s">
        <v>595</v>
      </c>
      <c r="G58" s="332"/>
      <c r="H58" s="375"/>
      <c r="I58" s="375"/>
      <c r="J58" s="478"/>
      <c r="K58" s="337">
        <v>4.55</v>
      </c>
      <c r="M58" s="371"/>
      <c r="N58" s="365"/>
      <c r="O58" s="366"/>
      <c r="P58" s="356">
        <v>0.16</v>
      </c>
      <c r="Q58" s="378" t="s">
        <v>594</v>
      </c>
    </row>
    <row r="59" spans="1:17" ht="15.6">
      <c r="A59" s="333" t="s">
        <v>591</v>
      </c>
      <c r="B59" s="374"/>
      <c r="C59" s="374"/>
      <c r="D59" s="374"/>
      <c r="E59" s="335">
        <v>6.6</v>
      </c>
      <c r="H59" s="375"/>
      <c r="I59" s="375"/>
      <c r="J59" s="478"/>
      <c r="K59" s="337">
        <v>6.0060000000000002</v>
      </c>
      <c r="M59" s="371"/>
      <c r="N59" s="365"/>
      <c r="O59" s="366"/>
      <c r="P59" s="356">
        <v>0.38</v>
      </c>
      <c r="Q59" s="378" t="s">
        <v>591</v>
      </c>
    </row>
    <row r="60" spans="1:17" ht="15.6">
      <c r="A60" s="357" t="s">
        <v>1266</v>
      </c>
      <c r="B60" s="379"/>
      <c r="C60" s="379"/>
      <c r="D60" s="379"/>
      <c r="E60" s="380">
        <v>7.2</v>
      </c>
      <c r="H60" s="375"/>
      <c r="I60" s="375"/>
      <c r="J60" s="478"/>
      <c r="K60" s="337">
        <v>6.5519999999999996</v>
      </c>
      <c r="M60" s="381"/>
      <c r="N60" s="382"/>
      <c r="O60" s="383"/>
      <c r="P60" s="384">
        <v>0.38</v>
      </c>
      <c r="Q60" s="385" t="s">
        <v>1266</v>
      </c>
    </row>
    <row r="61" spans="1:17">
      <c r="M61" s="386"/>
      <c r="N61" s="386"/>
      <c r="O61" s="386"/>
    </row>
    <row r="62" spans="1:17" ht="17.399999999999999">
      <c r="A62" s="1848" t="s">
        <v>596</v>
      </c>
      <c r="B62" s="1871"/>
      <c r="C62" s="1871"/>
      <c r="D62" s="1871"/>
      <c r="E62" s="1872"/>
      <c r="F62" s="332"/>
      <c r="G62" s="332"/>
      <c r="H62" s="1909"/>
      <c r="I62" s="1909"/>
      <c r="J62" s="1909"/>
      <c r="K62" s="1879"/>
      <c r="M62" s="1884"/>
      <c r="N62" s="1885"/>
      <c r="O62" s="1886"/>
      <c r="P62" s="1887"/>
      <c r="Q62" s="1848" t="s">
        <v>596</v>
      </c>
    </row>
    <row r="63" spans="1:17" ht="15.6">
      <c r="A63" s="333" t="s">
        <v>597</v>
      </c>
      <c r="B63" s="374"/>
      <c r="C63" s="374"/>
      <c r="D63" s="374"/>
      <c r="E63" s="346">
        <v>10.1</v>
      </c>
      <c r="H63" s="387"/>
      <c r="I63" s="387"/>
      <c r="J63" s="387"/>
      <c r="K63" s="346">
        <v>9.1910000000000007</v>
      </c>
      <c r="M63" s="364"/>
      <c r="N63" s="365"/>
      <c r="O63" s="366"/>
      <c r="P63" s="367"/>
      <c r="Q63" s="333" t="s">
        <v>597</v>
      </c>
    </row>
    <row r="64" spans="1:17" ht="15.6">
      <c r="A64" s="333" t="s">
        <v>598</v>
      </c>
      <c r="B64" s="374"/>
      <c r="C64" s="374"/>
      <c r="D64" s="374"/>
      <c r="E64" s="346">
        <v>7.1</v>
      </c>
      <c r="H64" s="375"/>
      <c r="I64" s="375"/>
      <c r="J64" s="375"/>
      <c r="K64" s="346">
        <v>6.4610000000000003</v>
      </c>
      <c r="M64" s="364"/>
      <c r="N64" s="368"/>
      <c r="O64" s="369"/>
      <c r="P64" s="367"/>
      <c r="Q64" s="333" t="s">
        <v>598</v>
      </c>
    </row>
    <row r="65" spans="1:17" ht="17.399999999999999">
      <c r="A65" s="1848" t="s">
        <v>599</v>
      </c>
      <c r="B65" s="1871"/>
      <c r="C65" s="1871"/>
      <c r="D65" s="1871"/>
      <c r="E65" s="1872"/>
      <c r="F65" s="332"/>
      <c r="G65" s="332"/>
      <c r="H65" s="1909"/>
      <c r="I65" s="1909"/>
      <c r="J65" s="1909"/>
      <c r="K65" s="1879"/>
      <c r="M65" s="1884"/>
      <c r="N65" s="1885"/>
      <c r="O65" s="1886"/>
      <c r="P65" s="1887"/>
      <c r="Q65" s="1848" t="s">
        <v>599</v>
      </c>
    </row>
    <row r="66" spans="1:17" ht="15.6">
      <c r="A66" s="333" t="s">
        <v>597</v>
      </c>
      <c r="B66" s="374"/>
      <c r="C66" s="374"/>
      <c r="D66" s="374"/>
      <c r="E66" s="346">
        <v>20.9</v>
      </c>
      <c r="H66" s="375"/>
      <c r="I66" s="375"/>
      <c r="J66" s="375"/>
      <c r="K66" s="346">
        <v>19.018999999999998</v>
      </c>
      <c r="M66" s="364"/>
      <c r="N66" s="365"/>
      <c r="O66" s="366"/>
      <c r="P66" s="367"/>
      <c r="Q66" s="333" t="s">
        <v>597</v>
      </c>
    </row>
    <row r="67" spans="1:17" ht="15.6">
      <c r="A67" s="333" t="s">
        <v>600</v>
      </c>
      <c r="B67" s="374"/>
      <c r="C67" s="374"/>
      <c r="D67" s="374"/>
      <c r="E67" s="346">
        <v>17</v>
      </c>
      <c r="H67" s="375"/>
      <c r="I67" s="375"/>
      <c r="J67" s="375"/>
      <c r="K67" s="346">
        <v>15.47</v>
      </c>
      <c r="M67" s="364"/>
      <c r="N67" s="368"/>
      <c r="O67" s="369"/>
      <c r="P67" s="367"/>
      <c r="Q67" s="333" t="s">
        <v>600</v>
      </c>
    </row>
    <row r="68" spans="1:17" ht="17.399999999999999">
      <c r="A68" s="1848" t="s">
        <v>601</v>
      </c>
      <c r="B68" s="1871"/>
      <c r="C68" s="1871"/>
      <c r="D68" s="1871"/>
      <c r="E68" s="1872"/>
      <c r="F68" s="332"/>
      <c r="G68" s="332"/>
      <c r="H68" s="1909"/>
      <c r="I68" s="1909"/>
      <c r="J68" s="1909"/>
      <c r="K68" s="1879"/>
      <c r="M68" s="1884"/>
      <c r="N68" s="1885"/>
      <c r="O68" s="1886"/>
      <c r="P68" s="1887"/>
      <c r="Q68" s="1848" t="s">
        <v>601</v>
      </c>
    </row>
    <row r="69" spans="1:17" ht="15.6">
      <c r="A69" s="333" t="s">
        <v>602</v>
      </c>
      <c r="B69" s="388">
        <v>0.72310000000000008</v>
      </c>
      <c r="C69" s="374"/>
      <c r="D69" s="374"/>
      <c r="E69" s="346">
        <v>0.61980000000000002</v>
      </c>
      <c r="F69" s="389" t="s">
        <v>603</v>
      </c>
      <c r="G69" s="389"/>
      <c r="H69" s="375"/>
      <c r="I69" s="375"/>
      <c r="J69" s="375"/>
      <c r="K69" s="346">
        <v>0.56401800000000002</v>
      </c>
      <c r="M69" s="364"/>
      <c r="N69" s="365"/>
      <c r="O69" s="366"/>
      <c r="P69" s="367"/>
      <c r="Q69" s="333" t="s">
        <v>602</v>
      </c>
    </row>
    <row r="70" spans="1:17" ht="15.6">
      <c r="A70" s="333" t="s">
        <v>604</v>
      </c>
      <c r="B70" s="388">
        <v>1.5672999999999999</v>
      </c>
      <c r="C70" s="374"/>
      <c r="D70" s="374"/>
      <c r="E70" s="346">
        <v>1.3433999999999999</v>
      </c>
      <c r="H70" s="375"/>
      <c r="I70" s="375"/>
      <c r="J70" s="375"/>
      <c r="K70" s="346">
        <v>1.222494</v>
      </c>
      <c r="M70" s="364"/>
      <c r="N70" s="368"/>
      <c r="O70" s="369"/>
      <c r="P70" s="367"/>
      <c r="Q70" s="333" t="s">
        <v>604</v>
      </c>
    </row>
    <row r="71" spans="1:17" ht="17.399999999999999">
      <c r="A71" s="1848" t="s">
        <v>605</v>
      </c>
      <c r="B71" s="1871"/>
      <c r="C71" s="1871"/>
      <c r="D71" s="1871"/>
      <c r="E71" s="1872"/>
      <c r="F71" s="332"/>
      <c r="G71" s="332"/>
      <c r="H71" s="1909"/>
      <c r="I71" s="1909"/>
      <c r="J71" s="1909"/>
      <c r="K71" s="1879"/>
      <c r="M71" s="1884"/>
      <c r="N71" s="1885"/>
      <c r="O71" s="1886"/>
      <c r="P71" s="1887"/>
      <c r="Q71" s="1848" t="s">
        <v>605</v>
      </c>
    </row>
    <row r="72" spans="1:17" ht="15.6">
      <c r="A72" s="333" t="s">
        <v>606</v>
      </c>
      <c r="B72" s="388">
        <v>1.2411000000000001</v>
      </c>
      <c r="C72" s="374"/>
      <c r="D72" s="374"/>
      <c r="E72" s="346">
        <v>1.0638000000000001</v>
      </c>
      <c r="H72" s="375"/>
      <c r="I72" s="375"/>
      <c r="J72" s="375"/>
      <c r="K72" s="346">
        <v>0.96805800000000009</v>
      </c>
      <c r="M72" s="364"/>
      <c r="N72" s="365"/>
      <c r="O72" s="366"/>
      <c r="P72" s="367"/>
      <c r="Q72" s="333" t="s">
        <v>606</v>
      </c>
    </row>
    <row r="73" spans="1:17" ht="15.6">
      <c r="A73" s="333" t="s">
        <v>607</v>
      </c>
      <c r="B73" s="388">
        <v>3.1863999999999999</v>
      </c>
      <c r="C73" s="374"/>
      <c r="D73" s="374"/>
      <c r="E73" s="346">
        <v>2.7312000000000003</v>
      </c>
      <c r="H73" s="375"/>
      <c r="I73" s="375"/>
      <c r="J73" s="375"/>
      <c r="K73" s="346">
        <v>2.4853920000000005</v>
      </c>
      <c r="M73" s="364"/>
      <c r="N73" s="368"/>
      <c r="O73" s="369"/>
      <c r="P73" s="367"/>
      <c r="Q73" s="333" t="s">
        <v>607</v>
      </c>
    </row>
    <row r="74" spans="1:17" ht="15.6">
      <c r="A74" s="333" t="s">
        <v>608</v>
      </c>
      <c r="B74" s="388">
        <v>4.1033999999999997</v>
      </c>
      <c r="C74" s="374"/>
      <c r="D74" s="374"/>
      <c r="E74" s="346">
        <v>3.5171999999999999</v>
      </c>
      <c r="H74" s="375"/>
      <c r="I74" s="375"/>
      <c r="J74" s="375"/>
      <c r="K74" s="346">
        <v>3.2006519999999998</v>
      </c>
      <c r="M74" s="364"/>
      <c r="N74" s="368"/>
      <c r="O74" s="369"/>
      <c r="P74" s="367"/>
      <c r="Q74" s="333" t="s">
        <v>608</v>
      </c>
    </row>
    <row r="75" spans="1:17" ht="15.6">
      <c r="A75" s="333" t="s">
        <v>609</v>
      </c>
      <c r="B75" s="388">
        <v>4.9013999999999998</v>
      </c>
      <c r="C75" s="374"/>
      <c r="D75" s="374"/>
      <c r="E75" s="346">
        <v>4.2012</v>
      </c>
      <c r="H75" s="375"/>
      <c r="I75" s="375"/>
      <c r="J75" s="375"/>
      <c r="K75" s="346">
        <v>3.8230920000000004</v>
      </c>
      <c r="M75" s="364"/>
      <c r="N75" s="368"/>
      <c r="O75" s="369"/>
      <c r="P75" s="367"/>
      <c r="Q75" s="333" t="s">
        <v>609</v>
      </c>
    </row>
    <row r="76" spans="1:17" ht="17.399999999999999">
      <c r="A76" s="1848" t="s">
        <v>610</v>
      </c>
      <c r="B76" s="1871"/>
      <c r="C76" s="1871"/>
      <c r="D76" s="1871"/>
      <c r="E76" s="1872"/>
      <c r="F76" s="332"/>
      <c r="G76" s="332"/>
      <c r="H76" s="1909"/>
      <c r="I76" s="1909"/>
      <c r="J76" s="1909"/>
      <c r="K76" s="1879"/>
      <c r="M76" s="1884"/>
      <c r="N76" s="1885"/>
      <c r="O76" s="1886"/>
      <c r="P76" s="1887"/>
      <c r="Q76" s="1848" t="s">
        <v>610</v>
      </c>
    </row>
    <row r="77" spans="1:17" ht="15">
      <c r="A77" s="502" t="s">
        <v>758</v>
      </c>
      <c r="B77" s="496">
        <v>6.35</v>
      </c>
      <c r="C77" s="495">
        <v>2.6</v>
      </c>
      <c r="D77" s="496">
        <v>2.6</v>
      </c>
      <c r="E77" s="497">
        <v>5.2</v>
      </c>
      <c r="F77" s="471"/>
      <c r="G77" s="471"/>
      <c r="H77" s="493">
        <f>B77*0.87</f>
        <v>5.5244999999999997</v>
      </c>
      <c r="I77" s="493">
        <f>C77*0.91</f>
        <v>2.3660000000000001</v>
      </c>
      <c r="J77" s="493">
        <f>D77*0.87</f>
        <v>2.262</v>
      </c>
      <c r="K77" s="492">
        <f>E77*0.91</f>
        <v>4.7320000000000002</v>
      </c>
      <c r="M77" s="390">
        <v>0.65</v>
      </c>
      <c r="N77" s="391">
        <v>0.32500000000000001</v>
      </c>
      <c r="O77" s="392">
        <v>0.375</v>
      </c>
      <c r="P77" s="393">
        <v>0.85</v>
      </c>
      <c r="Q77" s="333" t="s">
        <v>759</v>
      </c>
    </row>
    <row r="78" spans="1:17" ht="15">
      <c r="A78" s="333" t="s">
        <v>612</v>
      </c>
      <c r="B78" s="496">
        <v>17.2</v>
      </c>
      <c r="C78" s="495">
        <v>7.1</v>
      </c>
      <c r="D78" s="496">
        <v>7.1</v>
      </c>
      <c r="E78" s="497">
        <v>14.2</v>
      </c>
      <c r="F78" s="471"/>
      <c r="G78" s="471"/>
      <c r="H78" s="493">
        <f t="shared" ref="H78:H89" si="0">B78*0.87</f>
        <v>14.963999999999999</v>
      </c>
      <c r="I78" s="493">
        <f t="shared" ref="I78:I89" si="1">C78*0.91</f>
        <v>6.4610000000000003</v>
      </c>
      <c r="J78" s="493">
        <f t="shared" ref="J78:J89" si="2">D78*0.87</f>
        <v>6.1769999999999996</v>
      </c>
      <c r="K78" s="492">
        <f t="shared" ref="K78:K89" si="3">E78*0.91</f>
        <v>12.922000000000001</v>
      </c>
      <c r="M78" s="394">
        <v>1.7</v>
      </c>
      <c r="N78" s="395">
        <v>0.85</v>
      </c>
      <c r="O78" s="396">
        <v>0.89</v>
      </c>
      <c r="P78" s="393">
        <v>1.95</v>
      </c>
      <c r="Q78" s="333" t="s">
        <v>612</v>
      </c>
    </row>
    <row r="79" spans="1:17" ht="15">
      <c r="A79" s="333" t="s">
        <v>613</v>
      </c>
      <c r="B79" s="496">
        <v>22.8</v>
      </c>
      <c r="C79" s="495">
        <v>9.4</v>
      </c>
      <c r="D79" s="496">
        <v>9.35</v>
      </c>
      <c r="E79" s="497">
        <v>18.75</v>
      </c>
      <c r="F79" s="471"/>
      <c r="G79" s="471"/>
      <c r="H79" s="493">
        <f t="shared" si="0"/>
        <v>19.836000000000002</v>
      </c>
      <c r="I79" s="493">
        <f t="shared" si="1"/>
        <v>8.5540000000000003</v>
      </c>
      <c r="J79" s="493">
        <f t="shared" si="2"/>
        <v>8.1344999999999992</v>
      </c>
      <c r="K79" s="492">
        <f t="shared" si="3"/>
        <v>17.0625</v>
      </c>
      <c r="M79" s="394">
        <v>2.9</v>
      </c>
      <c r="N79" s="395">
        <v>1.45</v>
      </c>
      <c r="O79" s="392">
        <v>1.4750000000000001</v>
      </c>
      <c r="P79" s="397">
        <v>3.1</v>
      </c>
      <c r="Q79" s="333" t="s">
        <v>613</v>
      </c>
    </row>
    <row r="80" spans="1:17" ht="15">
      <c r="A80" s="333" t="s">
        <v>614</v>
      </c>
      <c r="B80" s="496">
        <v>27.35</v>
      </c>
      <c r="C80" s="495">
        <v>11.3</v>
      </c>
      <c r="D80" s="496">
        <v>11.25</v>
      </c>
      <c r="E80" s="497">
        <v>22.55</v>
      </c>
      <c r="F80" s="471"/>
      <c r="G80" s="471"/>
      <c r="H80" s="493">
        <f t="shared" si="0"/>
        <v>23.794500000000003</v>
      </c>
      <c r="I80" s="493">
        <f t="shared" si="1"/>
        <v>10.283000000000001</v>
      </c>
      <c r="J80" s="493">
        <f t="shared" si="2"/>
        <v>9.7874999999999996</v>
      </c>
      <c r="K80" s="492">
        <f t="shared" si="3"/>
        <v>20.520500000000002</v>
      </c>
      <c r="M80" s="390">
        <v>3.55</v>
      </c>
      <c r="N80" s="395">
        <v>1.75</v>
      </c>
      <c r="O80" s="396">
        <v>1.77</v>
      </c>
      <c r="P80" s="393">
        <v>3.85</v>
      </c>
      <c r="Q80" s="333" t="s">
        <v>614</v>
      </c>
    </row>
    <row r="81" spans="1:17" ht="15">
      <c r="A81" s="333" t="s">
        <v>615</v>
      </c>
      <c r="B81" s="496">
        <v>29.45</v>
      </c>
      <c r="C81" s="495">
        <v>12.15</v>
      </c>
      <c r="D81" s="496">
        <v>12.1</v>
      </c>
      <c r="E81" s="497">
        <v>24.25</v>
      </c>
      <c r="F81" s="471"/>
      <c r="G81" s="471"/>
      <c r="H81" s="493">
        <f t="shared" si="0"/>
        <v>25.621499999999997</v>
      </c>
      <c r="I81" s="493">
        <f t="shared" si="1"/>
        <v>11.056500000000002</v>
      </c>
      <c r="J81" s="493">
        <f t="shared" si="2"/>
        <v>10.526999999999999</v>
      </c>
      <c r="K81" s="492">
        <f t="shared" si="3"/>
        <v>22.067499999999999</v>
      </c>
      <c r="M81" s="390">
        <v>3.8250000000000002</v>
      </c>
      <c r="N81" s="391">
        <v>1.915</v>
      </c>
      <c r="O81" s="392">
        <v>1.895</v>
      </c>
      <c r="P81" s="397">
        <v>4.0999999999999996</v>
      </c>
      <c r="Q81" s="333" t="s">
        <v>615</v>
      </c>
    </row>
    <row r="82" spans="1:17" ht="15">
      <c r="A82" s="333" t="s">
        <v>616</v>
      </c>
      <c r="B82" s="496">
        <v>29.55</v>
      </c>
      <c r="C82" s="495">
        <v>16.25</v>
      </c>
      <c r="D82" s="496">
        <v>8.1</v>
      </c>
      <c r="E82" s="497">
        <v>24.35</v>
      </c>
      <c r="F82" s="471"/>
      <c r="G82" s="471"/>
      <c r="H82" s="493">
        <f t="shared" si="0"/>
        <v>25.708500000000001</v>
      </c>
      <c r="I82" s="493">
        <f t="shared" si="1"/>
        <v>14.7875</v>
      </c>
      <c r="J82" s="493">
        <f t="shared" si="2"/>
        <v>7.0469999999999997</v>
      </c>
      <c r="K82" s="492">
        <f t="shared" si="3"/>
        <v>22.158500000000004</v>
      </c>
      <c r="M82" s="390">
        <v>11.25</v>
      </c>
      <c r="N82" s="398">
        <v>3.7</v>
      </c>
      <c r="O82" s="399">
        <v>7.2</v>
      </c>
      <c r="P82" s="397">
        <v>11.6</v>
      </c>
      <c r="Q82" s="333" t="s">
        <v>617</v>
      </c>
    </row>
    <row r="83" spans="1:17" ht="15">
      <c r="A83" s="333" t="s">
        <v>618</v>
      </c>
      <c r="B83" s="496">
        <v>33.35</v>
      </c>
      <c r="C83" s="495">
        <v>18.3</v>
      </c>
      <c r="D83" s="496">
        <v>9.1999999999999993</v>
      </c>
      <c r="E83" s="497">
        <v>27.5</v>
      </c>
      <c r="F83" s="471"/>
      <c r="G83" s="471"/>
      <c r="H83" s="493">
        <f t="shared" si="0"/>
        <v>29.014500000000002</v>
      </c>
      <c r="I83" s="493">
        <f t="shared" si="1"/>
        <v>16.653000000000002</v>
      </c>
      <c r="J83" s="493">
        <f t="shared" si="2"/>
        <v>8.0039999999999996</v>
      </c>
      <c r="K83" s="492">
        <f t="shared" si="3"/>
        <v>25.025000000000002</v>
      </c>
      <c r="M83" s="394">
        <v>11.5</v>
      </c>
      <c r="N83" s="398">
        <v>3.8</v>
      </c>
      <c r="O83" s="399">
        <v>7.4</v>
      </c>
      <c r="P83" s="397">
        <v>11.9</v>
      </c>
      <c r="Q83" s="333" t="s">
        <v>619</v>
      </c>
    </row>
    <row r="84" spans="1:17" ht="15">
      <c r="A84" s="333" t="s">
        <v>619</v>
      </c>
      <c r="B84" s="496">
        <v>37.200000000000003</v>
      </c>
      <c r="C84" s="495">
        <v>20.45</v>
      </c>
      <c r="D84" s="496">
        <v>10.199999999999999</v>
      </c>
      <c r="E84" s="497">
        <v>30.65</v>
      </c>
      <c r="F84" s="471"/>
      <c r="G84" s="471"/>
      <c r="H84" s="493">
        <f t="shared" si="0"/>
        <v>32.364000000000004</v>
      </c>
      <c r="I84" s="493">
        <f t="shared" si="1"/>
        <v>18.609500000000001</v>
      </c>
      <c r="J84" s="493">
        <f t="shared" si="2"/>
        <v>8.8739999999999988</v>
      </c>
      <c r="K84" s="492">
        <f t="shared" si="3"/>
        <v>27.891500000000001</v>
      </c>
      <c r="M84" s="394">
        <v>11.8</v>
      </c>
      <c r="N84" s="398">
        <v>3.9</v>
      </c>
      <c r="O84" s="399">
        <v>7.6</v>
      </c>
      <c r="P84" s="397">
        <v>12.1</v>
      </c>
      <c r="Q84" s="333" t="s">
        <v>620</v>
      </c>
    </row>
    <row r="85" spans="1:17" ht="15">
      <c r="A85" s="333" t="s">
        <v>620</v>
      </c>
      <c r="B85" s="496">
        <v>41</v>
      </c>
      <c r="C85" s="495">
        <v>22.55</v>
      </c>
      <c r="D85" s="496">
        <v>11.25</v>
      </c>
      <c r="E85" s="497">
        <v>33.799999999999997</v>
      </c>
      <c r="F85" s="471"/>
      <c r="G85" s="471"/>
      <c r="H85" s="493">
        <f t="shared" si="0"/>
        <v>35.67</v>
      </c>
      <c r="I85" s="493">
        <f t="shared" si="1"/>
        <v>20.520500000000002</v>
      </c>
      <c r="J85" s="493">
        <f t="shared" si="2"/>
        <v>9.7874999999999996</v>
      </c>
      <c r="K85" s="492">
        <f t="shared" si="3"/>
        <v>30.757999999999999</v>
      </c>
      <c r="M85" s="390">
        <v>11.65</v>
      </c>
      <c r="N85" s="395">
        <v>3.85</v>
      </c>
      <c r="O85" s="399">
        <v>7.5</v>
      </c>
      <c r="P85" s="397">
        <v>12</v>
      </c>
      <c r="Q85" s="333" t="s">
        <v>621</v>
      </c>
    </row>
    <row r="86" spans="1:17" ht="15">
      <c r="A86" s="333" t="s">
        <v>621</v>
      </c>
      <c r="B86" s="496">
        <v>44.85</v>
      </c>
      <c r="C86" s="495">
        <v>24.65</v>
      </c>
      <c r="D86" s="496">
        <v>12.3</v>
      </c>
      <c r="E86" s="497">
        <v>36.950000000000003</v>
      </c>
      <c r="F86" s="471"/>
      <c r="G86" s="471"/>
      <c r="H86" s="493">
        <f t="shared" si="0"/>
        <v>39.019500000000001</v>
      </c>
      <c r="I86" s="493">
        <f t="shared" si="1"/>
        <v>22.4315</v>
      </c>
      <c r="J86" s="493">
        <f t="shared" si="2"/>
        <v>10.701000000000001</v>
      </c>
      <c r="K86" s="492">
        <f t="shared" si="3"/>
        <v>33.624500000000005</v>
      </c>
      <c r="M86" s="390">
        <v>11.95</v>
      </c>
      <c r="N86" s="395">
        <v>3.95</v>
      </c>
      <c r="O86" s="399">
        <v>7.6</v>
      </c>
      <c r="P86" s="397">
        <v>12.3</v>
      </c>
      <c r="Q86" s="333" t="s">
        <v>622</v>
      </c>
    </row>
    <row r="87" spans="1:17" ht="15">
      <c r="A87" s="333" t="s">
        <v>622</v>
      </c>
      <c r="B87" s="496">
        <v>48.65</v>
      </c>
      <c r="C87" s="495">
        <v>26.75</v>
      </c>
      <c r="D87" s="496">
        <v>13.35</v>
      </c>
      <c r="E87" s="497">
        <v>40.1</v>
      </c>
      <c r="F87" s="471"/>
      <c r="G87" s="471"/>
      <c r="H87" s="493">
        <f t="shared" si="0"/>
        <v>42.325499999999998</v>
      </c>
      <c r="I87" s="493">
        <f t="shared" si="1"/>
        <v>24.342500000000001</v>
      </c>
      <c r="J87" s="493">
        <f t="shared" si="2"/>
        <v>11.6145</v>
      </c>
      <c r="K87" s="492">
        <f t="shared" si="3"/>
        <v>36.491</v>
      </c>
      <c r="M87" s="394">
        <v>12.3</v>
      </c>
      <c r="N87" s="395">
        <v>4.05</v>
      </c>
      <c r="O87" s="399">
        <v>7.9</v>
      </c>
      <c r="P87" s="397">
        <v>12.6</v>
      </c>
      <c r="Q87" s="333" t="s">
        <v>623</v>
      </c>
    </row>
    <row r="88" spans="1:17" ht="12.75" customHeight="1">
      <c r="A88" s="333" t="s">
        <v>623</v>
      </c>
      <c r="B88" s="496">
        <v>52.5</v>
      </c>
      <c r="C88" s="495">
        <v>28.85</v>
      </c>
      <c r="D88" s="496">
        <v>14.4</v>
      </c>
      <c r="E88" s="497">
        <v>43.25</v>
      </c>
      <c r="F88" s="471"/>
      <c r="G88" s="471"/>
      <c r="H88" s="493">
        <f t="shared" si="0"/>
        <v>45.674999999999997</v>
      </c>
      <c r="I88" s="493">
        <f t="shared" si="1"/>
        <v>26.253500000000003</v>
      </c>
      <c r="J88" s="493">
        <f t="shared" si="2"/>
        <v>12.528</v>
      </c>
      <c r="K88" s="492">
        <f t="shared" si="3"/>
        <v>39.357500000000002</v>
      </c>
    </row>
    <row r="89" spans="1:17" ht="12.75" customHeight="1" thickBot="1">
      <c r="A89" s="400"/>
      <c r="B89" s="501">
        <v>56.3</v>
      </c>
      <c r="C89" s="498">
        <v>30.95</v>
      </c>
      <c r="D89" s="501">
        <v>15.45</v>
      </c>
      <c r="E89" s="494">
        <v>46.4</v>
      </c>
      <c r="F89" s="471"/>
      <c r="G89" s="471"/>
      <c r="H89" s="499">
        <f t="shared" si="0"/>
        <v>48.980999999999995</v>
      </c>
      <c r="I89" s="493">
        <f t="shared" si="1"/>
        <v>28.1645</v>
      </c>
      <c r="J89" s="499">
        <f t="shared" si="2"/>
        <v>13.4415</v>
      </c>
      <c r="K89" s="500">
        <f t="shared" si="3"/>
        <v>42.223999999999997</v>
      </c>
    </row>
    <row r="90" spans="1:17" ht="12.75" customHeight="1"/>
    <row r="91" spans="1:17" ht="15.9" customHeight="1">
      <c r="A91" s="3149" t="s">
        <v>784</v>
      </c>
      <c r="B91" s="3149"/>
      <c r="C91" s="3149"/>
      <c r="M91" s="3158" t="s">
        <v>624</v>
      </c>
      <c r="N91" s="3158"/>
      <c r="O91" s="3158"/>
      <c r="P91" s="3158"/>
      <c r="Q91" s="3158"/>
    </row>
    <row r="92" spans="1:17" ht="15.9" customHeight="1">
      <c r="A92" s="3149"/>
      <c r="B92" s="3149"/>
      <c r="C92" s="3149"/>
      <c r="M92" s="3158"/>
      <c r="N92" s="3158"/>
      <c r="O92" s="3158"/>
      <c r="P92" s="3158"/>
      <c r="Q92" s="3158"/>
    </row>
    <row r="93" spans="1:17" ht="16.5" customHeight="1">
      <c r="A93" s="401" t="s">
        <v>518</v>
      </c>
      <c r="B93" s="402" t="s">
        <v>949</v>
      </c>
      <c r="C93" s="403" t="s">
        <v>948</v>
      </c>
      <c r="M93" s="3145" t="s">
        <v>625</v>
      </c>
      <c r="N93" s="3145"/>
      <c r="O93" s="3145"/>
      <c r="P93" s="3145"/>
      <c r="Q93" s="3145"/>
    </row>
    <row r="94" spans="1:17" ht="16.5" customHeight="1">
      <c r="A94" s="1119" t="s">
        <v>907</v>
      </c>
      <c r="B94" s="1120"/>
      <c r="C94" s="1121"/>
      <c r="M94" s="3145"/>
      <c r="N94" s="3145"/>
      <c r="O94" s="3145"/>
      <c r="P94" s="3145"/>
      <c r="Q94" s="3145"/>
    </row>
    <row r="95" spans="1:17" ht="16.5" customHeight="1">
      <c r="A95" s="1129" t="s">
        <v>527</v>
      </c>
      <c r="B95" s="1130"/>
      <c r="C95" s="1131"/>
      <c r="M95" s="3144" t="s">
        <v>626</v>
      </c>
      <c r="N95" s="3144"/>
      <c r="O95" s="3144"/>
      <c r="P95" s="3144"/>
      <c r="Q95" s="3144"/>
    </row>
    <row r="96" spans="1:17" ht="14.4">
      <c r="A96" s="404" t="s">
        <v>528</v>
      </c>
      <c r="B96" s="405">
        <v>7.1</v>
      </c>
      <c r="C96" s="406">
        <v>10.9</v>
      </c>
      <c r="M96" s="3144"/>
      <c r="N96" s="3144"/>
      <c r="O96" s="3144"/>
      <c r="P96" s="3144"/>
      <c r="Q96" s="3144"/>
    </row>
    <row r="97" spans="1:17" ht="14.4">
      <c r="A97" s="404" t="s">
        <v>530</v>
      </c>
      <c r="B97" s="405">
        <v>13.5</v>
      </c>
      <c r="C97" s="406">
        <v>43.1</v>
      </c>
      <c r="M97" s="3143" t="s">
        <v>627</v>
      </c>
      <c r="N97" s="3143"/>
      <c r="O97" s="3143"/>
      <c r="P97" s="3143"/>
      <c r="Q97" s="3143"/>
    </row>
    <row r="98" spans="1:17" ht="16.5" customHeight="1">
      <c r="A98" s="404" t="s">
        <v>532</v>
      </c>
      <c r="B98" s="405">
        <v>19.600000000000001</v>
      </c>
      <c r="C98" s="406">
        <v>74.8</v>
      </c>
      <c r="M98" s="3148" t="s">
        <v>628</v>
      </c>
      <c r="N98" s="3148"/>
      <c r="O98" s="3148"/>
      <c r="P98" s="3148"/>
      <c r="Q98" s="3148"/>
    </row>
    <row r="99" spans="1:17" ht="16.5" customHeight="1">
      <c r="A99" s="1129" t="s">
        <v>533</v>
      </c>
      <c r="B99" s="1130"/>
      <c r="C99" s="1131"/>
      <c r="M99" s="3148"/>
      <c r="N99" s="3148"/>
      <c r="O99" s="3148"/>
      <c r="P99" s="3148"/>
      <c r="Q99" s="3148"/>
    </row>
    <row r="100" spans="1:17" ht="14.4">
      <c r="A100" s="404" t="s">
        <v>534</v>
      </c>
      <c r="B100" s="405">
        <v>24.8</v>
      </c>
      <c r="C100" s="406">
        <v>84.9</v>
      </c>
      <c r="M100" s="3148"/>
      <c r="N100" s="3148"/>
      <c r="O100" s="3148"/>
      <c r="P100" s="3148"/>
      <c r="Q100" s="3148"/>
    </row>
    <row r="101" spans="1:17" ht="14.4">
      <c r="A101" s="404" t="s">
        <v>535</v>
      </c>
      <c r="B101" s="405">
        <v>25.5</v>
      </c>
      <c r="C101" s="406">
        <v>104.2</v>
      </c>
      <c r="M101" s="3143" t="s">
        <v>629</v>
      </c>
      <c r="N101" s="3143"/>
      <c r="O101" s="3143"/>
      <c r="P101" s="3143"/>
      <c r="Q101" s="3143"/>
    </row>
    <row r="102" spans="1:17" ht="14.4">
      <c r="A102" s="1129" t="s">
        <v>536</v>
      </c>
      <c r="B102" s="1130"/>
      <c r="C102" s="1131"/>
      <c r="M102" s="3143" t="s">
        <v>630</v>
      </c>
      <c r="N102" s="3143"/>
      <c r="O102" s="3143"/>
      <c r="P102" s="3143"/>
      <c r="Q102" s="3143"/>
    </row>
    <row r="103" spans="1:17" ht="14.4">
      <c r="A103" s="404" t="s">
        <v>539</v>
      </c>
      <c r="B103" s="405">
        <v>28.2</v>
      </c>
      <c r="C103" s="406">
        <v>148.9</v>
      </c>
    </row>
    <row r="104" spans="1:17" ht="14.4">
      <c r="A104" s="404" t="s">
        <v>542</v>
      </c>
      <c r="B104" s="405">
        <v>32.799999999999997</v>
      </c>
      <c r="C104" s="406">
        <v>163.80000000000001</v>
      </c>
    </row>
    <row r="105" spans="1:17" ht="14.4">
      <c r="A105" s="404" t="s">
        <v>544</v>
      </c>
      <c r="B105" s="405">
        <v>37.4</v>
      </c>
      <c r="C105" s="406">
        <v>178.7</v>
      </c>
    </row>
    <row r="106" spans="1:17" ht="14.4">
      <c r="A106" s="404" t="s">
        <v>546</v>
      </c>
      <c r="B106" s="405">
        <v>41.9</v>
      </c>
      <c r="C106" s="406">
        <v>193.6</v>
      </c>
    </row>
    <row r="107" spans="1:17" ht="14.4">
      <c r="A107" s="404" t="s">
        <v>548</v>
      </c>
      <c r="B107" s="405">
        <v>46.5</v>
      </c>
      <c r="C107" s="406">
        <v>208.5</v>
      </c>
    </row>
    <row r="108" spans="1:17" ht="14.4">
      <c r="A108" s="404" t="s">
        <v>550</v>
      </c>
      <c r="B108" s="405">
        <v>51.1</v>
      </c>
      <c r="C108" s="406">
        <v>223.4</v>
      </c>
    </row>
    <row r="109" spans="1:17" ht="14.4">
      <c r="A109" s="1129" t="s">
        <v>552</v>
      </c>
      <c r="B109" s="1130"/>
      <c r="C109" s="1131"/>
    </row>
    <row r="110" spans="1:17" ht="14.4">
      <c r="A110" s="404" t="s">
        <v>631</v>
      </c>
      <c r="B110" s="405">
        <v>19</v>
      </c>
      <c r="C110" s="406">
        <v>119.1</v>
      </c>
    </row>
    <row r="111" spans="1:17" ht="14.4">
      <c r="A111" s="404" t="s">
        <v>632</v>
      </c>
      <c r="B111" s="405">
        <v>23.6</v>
      </c>
      <c r="C111" s="406">
        <v>134</v>
      </c>
    </row>
    <row r="112" spans="1:17" ht="14.4">
      <c r="A112" s="1119" t="s">
        <v>1166</v>
      </c>
      <c r="B112" s="1120"/>
      <c r="C112" s="1121"/>
    </row>
    <row r="113" spans="1:3" ht="14.4">
      <c r="A113" s="1129" t="s">
        <v>555</v>
      </c>
      <c r="B113" s="1130"/>
      <c r="C113" s="1131"/>
    </row>
    <row r="114" spans="1:3" ht="28.8">
      <c r="A114" s="407" t="s">
        <v>633</v>
      </c>
      <c r="B114" s="405">
        <v>2</v>
      </c>
      <c r="C114" s="406">
        <v>2.1</v>
      </c>
    </row>
    <row r="115" spans="1:3" ht="28.8">
      <c r="A115" s="407" t="s">
        <v>634</v>
      </c>
      <c r="B115" s="405">
        <v>1.4</v>
      </c>
      <c r="C115" s="406">
        <v>2.1</v>
      </c>
    </row>
    <row r="116" spans="1:3" ht="14.4">
      <c r="A116" s="1129" t="s">
        <v>635</v>
      </c>
      <c r="B116" s="1130"/>
      <c r="C116" s="1131"/>
    </row>
    <row r="117" spans="1:3" ht="28.8">
      <c r="A117" s="407" t="s">
        <v>636</v>
      </c>
      <c r="B117" s="405">
        <v>4.4000000000000004</v>
      </c>
      <c r="C117" s="406">
        <v>5</v>
      </c>
    </row>
    <row r="118" spans="1:3" ht="28.8">
      <c r="A118" s="407" t="s">
        <v>637</v>
      </c>
      <c r="B118" s="405">
        <v>3.6</v>
      </c>
      <c r="C118" s="406">
        <v>5</v>
      </c>
    </row>
    <row r="119" spans="1:3" ht="14.4">
      <c r="A119" s="1129" t="s">
        <v>568</v>
      </c>
      <c r="B119" s="1130"/>
      <c r="C119" s="1131"/>
    </row>
    <row r="120" spans="1:3" ht="14.4">
      <c r="A120" s="407" t="s">
        <v>638</v>
      </c>
      <c r="B120" s="405">
        <v>10.6</v>
      </c>
      <c r="C120" s="406">
        <v>6.8</v>
      </c>
    </row>
    <row r="121" spans="1:3" ht="14.4">
      <c r="A121" s="407" t="s">
        <v>639</v>
      </c>
      <c r="B121" s="405">
        <v>9</v>
      </c>
      <c r="C121" s="406">
        <v>6.8</v>
      </c>
    </row>
    <row r="122" spans="1:3" ht="14.4">
      <c r="A122" s="1129" t="s">
        <v>571</v>
      </c>
      <c r="B122" s="1130"/>
      <c r="C122" s="1131"/>
    </row>
    <row r="123" spans="1:3" ht="14.4">
      <c r="A123" s="407" t="s">
        <v>640</v>
      </c>
      <c r="B123" s="405">
        <v>12.3</v>
      </c>
      <c r="C123" s="406">
        <v>6.8</v>
      </c>
    </row>
    <row r="124" spans="1:3" ht="14.4">
      <c r="A124" s="407" t="s">
        <v>641</v>
      </c>
      <c r="B124" s="405">
        <v>10.7</v>
      </c>
      <c r="C124" s="406">
        <v>6.8</v>
      </c>
    </row>
    <row r="125" spans="1:3" ht="19.2">
      <c r="A125" s="1119" t="s">
        <v>1233</v>
      </c>
      <c r="B125" s="1122" t="s">
        <v>757</v>
      </c>
      <c r="C125" s="1121"/>
    </row>
    <row r="126" spans="1:3" ht="14.4">
      <c r="A126" s="505" t="s">
        <v>704</v>
      </c>
      <c r="B126" s="503">
        <v>3.4000000000000002E-2</v>
      </c>
      <c r="C126" s="504">
        <v>0.06</v>
      </c>
    </row>
    <row r="127" spans="1:3" ht="14.4">
      <c r="A127" s="407" t="s">
        <v>642</v>
      </c>
      <c r="B127" s="405">
        <v>0.17</v>
      </c>
      <c r="C127" s="406">
        <v>0.13</v>
      </c>
    </row>
    <row r="128" spans="1:3" ht="14.4">
      <c r="A128" s="407" t="s">
        <v>576</v>
      </c>
      <c r="B128" s="405">
        <v>0.45</v>
      </c>
      <c r="C128" s="406">
        <v>0.33</v>
      </c>
    </row>
    <row r="129" spans="1:3" ht="14.4">
      <c r="A129" s="407" t="s">
        <v>643</v>
      </c>
      <c r="B129" s="405">
        <v>0.12</v>
      </c>
      <c r="C129" s="408">
        <v>0.1</v>
      </c>
    </row>
    <row r="130" spans="1:3" ht="14.4">
      <c r="A130" s="407" t="s">
        <v>1246</v>
      </c>
      <c r="B130" s="405">
        <v>0.09</v>
      </c>
      <c r="C130" s="406">
        <v>7.0000000000000007E-2</v>
      </c>
    </row>
    <row r="131" spans="1:3" ht="14.4">
      <c r="A131" s="407" t="s">
        <v>1248</v>
      </c>
      <c r="B131" s="405">
        <v>0.25</v>
      </c>
      <c r="C131" s="408">
        <v>0.2</v>
      </c>
    </row>
    <row r="132" spans="1:3" ht="14.4">
      <c r="A132" s="407" t="s">
        <v>1249</v>
      </c>
      <c r="B132" s="405">
        <v>0.25</v>
      </c>
      <c r="C132" s="408">
        <v>0.2</v>
      </c>
    </row>
    <row r="133" spans="1:3" ht="14.4">
      <c r="A133" s="409" t="s">
        <v>578</v>
      </c>
      <c r="B133" s="410">
        <v>0.6</v>
      </c>
      <c r="C133" s="411">
        <v>0.48</v>
      </c>
    </row>
    <row r="134" spans="1:3" ht="32.25" customHeight="1">
      <c r="A134" s="3146" t="s">
        <v>756</v>
      </c>
      <c r="B134" s="3146"/>
      <c r="C134" s="3147"/>
    </row>
    <row r="135" spans="1:3" ht="19.5" customHeight="1">
      <c r="A135" s="1123" t="s">
        <v>1673</v>
      </c>
      <c r="B135" s="1124"/>
      <c r="C135" s="1125"/>
    </row>
    <row r="136" spans="1:3" ht="14.4">
      <c r="A136" s="1129" t="s">
        <v>644</v>
      </c>
      <c r="B136" s="1130"/>
      <c r="C136" s="1131"/>
    </row>
    <row r="137" spans="1:3" ht="14.4">
      <c r="A137" s="1129" t="s">
        <v>645</v>
      </c>
      <c r="B137" s="1130"/>
      <c r="C137" s="1131"/>
    </row>
    <row r="138" spans="1:3" ht="14.4">
      <c r="A138" s="407" t="s">
        <v>582</v>
      </c>
      <c r="B138" s="405">
        <v>4.5</v>
      </c>
      <c r="C138" s="406">
        <v>8.9</v>
      </c>
    </row>
    <row r="139" spans="1:3" ht="14.4">
      <c r="A139" s="407" t="s">
        <v>583</v>
      </c>
      <c r="B139" s="405">
        <v>5.3</v>
      </c>
      <c r="C139" s="406">
        <v>10.5</v>
      </c>
    </row>
    <row r="140" spans="1:3" ht="14.4">
      <c r="A140" s="1129" t="s">
        <v>646</v>
      </c>
      <c r="B140" s="1130"/>
      <c r="C140" s="1131"/>
    </row>
    <row r="141" spans="1:3" ht="14.4">
      <c r="A141" s="1129" t="s">
        <v>647</v>
      </c>
      <c r="B141" s="1130"/>
      <c r="C141" s="1131"/>
    </row>
    <row r="142" spans="1:3" ht="14.4">
      <c r="A142" s="407" t="s">
        <v>582</v>
      </c>
      <c r="B142" s="405">
        <v>8.6999999999999993</v>
      </c>
      <c r="C142" s="406">
        <v>17.399999999999999</v>
      </c>
    </row>
    <row r="143" spans="1:3" ht="14.4">
      <c r="A143" s="404" t="s">
        <v>583</v>
      </c>
      <c r="B143" s="405">
        <v>10.3</v>
      </c>
      <c r="C143" s="406">
        <v>20.5</v>
      </c>
    </row>
    <row r="144" spans="1:3" ht="14.4">
      <c r="A144" s="1129" t="s">
        <v>1673</v>
      </c>
      <c r="B144" s="1130"/>
      <c r="C144" s="1131"/>
    </row>
    <row r="145" spans="1:3" ht="14.4">
      <c r="A145" s="1129" t="s">
        <v>648</v>
      </c>
      <c r="B145" s="1130"/>
      <c r="C145" s="1131"/>
    </row>
    <row r="146" spans="1:3" ht="14.4">
      <c r="A146" s="404" t="s">
        <v>582</v>
      </c>
      <c r="B146" s="405">
        <v>15.6</v>
      </c>
      <c r="C146" s="406">
        <v>31.2</v>
      </c>
    </row>
    <row r="147" spans="1:3" ht="14.4">
      <c r="A147" s="404" t="s">
        <v>583</v>
      </c>
      <c r="B147" s="405">
        <v>18.399999999999999</v>
      </c>
      <c r="C147" s="406">
        <v>36.799999999999997</v>
      </c>
    </row>
    <row r="148" spans="1:3" ht="14.4">
      <c r="A148" s="1119" t="s">
        <v>588</v>
      </c>
      <c r="B148" s="1120"/>
      <c r="C148" s="1121"/>
    </row>
    <row r="149" spans="1:3" ht="14.4">
      <c r="A149" s="404" t="s">
        <v>590</v>
      </c>
      <c r="B149" s="405">
        <v>2</v>
      </c>
      <c r="C149" s="406">
        <v>4.4000000000000004</v>
      </c>
    </row>
    <row r="150" spans="1:3" ht="14.4">
      <c r="A150" s="404" t="s">
        <v>591</v>
      </c>
      <c r="B150" s="405">
        <v>3.6</v>
      </c>
      <c r="C150" s="406">
        <v>13.2</v>
      </c>
    </row>
    <row r="151" spans="1:3" ht="14.4">
      <c r="A151" s="404" t="s">
        <v>1263</v>
      </c>
      <c r="B151" s="405">
        <v>4</v>
      </c>
      <c r="C151" s="406">
        <v>13.4</v>
      </c>
    </row>
    <row r="152" spans="1:3" ht="14.4">
      <c r="A152" s="1119" t="s">
        <v>593</v>
      </c>
      <c r="B152" s="1120"/>
      <c r="C152" s="1121"/>
    </row>
    <row r="153" spans="1:3" ht="14.4">
      <c r="A153" s="404" t="s">
        <v>594</v>
      </c>
      <c r="B153" s="405">
        <v>2.2000000000000002</v>
      </c>
      <c r="C153" s="406">
        <v>4.5999999999999996</v>
      </c>
    </row>
    <row r="154" spans="1:3" ht="14.4">
      <c r="A154" s="404" t="s">
        <v>591</v>
      </c>
      <c r="B154" s="405">
        <v>3.7</v>
      </c>
      <c r="C154" s="406">
        <v>11.2</v>
      </c>
    </row>
    <row r="155" spans="1:3" ht="14.4">
      <c r="A155" s="404" t="s">
        <v>1266</v>
      </c>
      <c r="B155" s="405">
        <v>4.5999999999999996</v>
      </c>
      <c r="C155" s="406">
        <v>12.1</v>
      </c>
    </row>
    <row r="156" spans="1:3" ht="14.4">
      <c r="B156" s="412"/>
      <c r="C156" s="412"/>
    </row>
    <row r="157" spans="1:3" ht="14.4">
      <c r="A157" s="1119" t="s">
        <v>596</v>
      </c>
      <c r="B157" s="1120"/>
      <c r="C157" s="1121"/>
    </row>
    <row r="158" spans="1:3">
      <c r="A158" s="333" t="s">
        <v>597</v>
      </c>
      <c r="B158" s="413">
        <v>5.2</v>
      </c>
      <c r="C158" s="413">
        <v>23</v>
      </c>
    </row>
    <row r="159" spans="1:3">
      <c r="A159" s="333" t="s">
        <v>598</v>
      </c>
      <c r="B159" s="413">
        <v>3.7</v>
      </c>
      <c r="C159" s="413">
        <v>16.100000000000001</v>
      </c>
    </row>
    <row r="160" spans="1:3" ht="14.4">
      <c r="A160" s="1119" t="s">
        <v>599</v>
      </c>
      <c r="B160" s="1120"/>
      <c r="C160" s="1121"/>
    </row>
    <row r="161" spans="1:3">
      <c r="A161" s="333" t="s">
        <v>597</v>
      </c>
      <c r="B161" s="413">
        <v>10.9</v>
      </c>
      <c r="C161" s="413">
        <v>47.5</v>
      </c>
    </row>
    <row r="162" spans="1:3">
      <c r="A162" s="333" t="s">
        <v>600</v>
      </c>
      <c r="B162" s="413">
        <v>8.8000000000000007</v>
      </c>
      <c r="C162" s="413">
        <v>38.6</v>
      </c>
    </row>
    <row r="163" spans="1:3" ht="14.4">
      <c r="A163" s="1119" t="s">
        <v>601</v>
      </c>
      <c r="B163" s="1120"/>
      <c r="C163" s="1121"/>
    </row>
    <row r="164" spans="1:3">
      <c r="A164" s="333" t="s">
        <v>602</v>
      </c>
      <c r="B164" s="413">
        <v>1</v>
      </c>
      <c r="C164" s="413">
        <v>0.8</v>
      </c>
    </row>
    <row r="165" spans="1:3">
      <c r="A165" s="333" t="s">
        <v>604</v>
      </c>
      <c r="B165" s="413">
        <v>2.1</v>
      </c>
      <c r="C165" s="413">
        <v>1.6</v>
      </c>
    </row>
    <row r="166" spans="1:3" ht="14.4">
      <c r="A166" s="1119" t="s">
        <v>605</v>
      </c>
      <c r="B166" s="1120"/>
      <c r="C166" s="1121"/>
    </row>
    <row r="167" spans="1:3">
      <c r="A167" s="333" t="s">
        <v>606</v>
      </c>
      <c r="B167" s="414">
        <v>1.0638000000000001</v>
      </c>
      <c r="C167" s="414">
        <v>1.0638000000000001</v>
      </c>
    </row>
    <row r="168" spans="1:3">
      <c r="A168" s="333" t="s">
        <v>607</v>
      </c>
      <c r="B168" s="414">
        <v>2.7312000000000003</v>
      </c>
      <c r="C168" s="414">
        <v>2.7312000000000003</v>
      </c>
    </row>
    <row r="169" spans="1:3">
      <c r="A169" s="333" t="s">
        <v>608</v>
      </c>
      <c r="B169" s="414">
        <v>3.5171999999999999</v>
      </c>
      <c r="C169" s="414">
        <v>3.5171999999999999</v>
      </c>
    </row>
    <row r="170" spans="1:3">
      <c r="A170" s="333" t="s">
        <v>609</v>
      </c>
      <c r="B170" s="414">
        <v>4.2012</v>
      </c>
      <c r="C170" s="414">
        <v>4.2012</v>
      </c>
    </row>
    <row r="171" spans="1:3" ht="14.4">
      <c r="A171" s="1119" t="s">
        <v>610</v>
      </c>
      <c r="B171" s="1120"/>
      <c r="C171" s="1121"/>
    </row>
    <row r="172" spans="1:3">
      <c r="A172" s="333" t="s">
        <v>611</v>
      </c>
      <c r="B172" s="413">
        <v>3.55</v>
      </c>
      <c r="C172" s="413">
        <v>5.45</v>
      </c>
    </row>
    <row r="173" spans="1:3">
      <c r="A173" s="333" t="s">
        <v>612</v>
      </c>
      <c r="B173" s="413">
        <v>6.75</v>
      </c>
      <c r="C173" s="413">
        <v>21.55</v>
      </c>
    </row>
    <row r="174" spans="1:3">
      <c r="A174" s="333" t="s">
        <v>613</v>
      </c>
      <c r="B174" s="415">
        <v>9.8000000000000007</v>
      </c>
      <c r="C174" s="413">
        <v>37.4</v>
      </c>
    </row>
    <row r="175" spans="1:3">
      <c r="A175" s="333" t="s">
        <v>614</v>
      </c>
      <c r="B175" s="413">
        <v>12.4</v>
      </c>
      <c r="C175" s="413">
        <v>42.45</v>
      </c>
    </row>
    <row r="176" spans="1:3">
      <c r="A176" s="333" t="s">
        <v>615</v>
      </c>
      <c r="B176" s="413">
        <v>12.75</v>
      </c>
      <c r="C176" s="413">
        <v>52.1</v>
      </c>
    </row>
    <row r="177" spans="1:3">
      <c r="A177" s="333" t="s">
        <v>616</v>
      </c>
      <c r="B177" s="413">
        <v>9.5</v>
      </c>
      <c r="C177" s="413">
        <v>59.55</v>
      </c>
    </row>
    <row r="178" spans="1:3">
      <c r="A178" s="333" t="s">
        <v>618</v>
      </c>
      <c r="B178" s="413">
        <v>11.8</v>
      </c>
      <c r="C178" s="416">
        <v>67</v>
      </c>
    </row>
    <row r="179" spans="1:3">
      <c r="A179" s="333" t="s">
        <v>619</v>
      </c>
      <c r="B179" s="413">
        <v>14.1</v>
      </c>
      <c r="C179" s="413">
        <v>74.45</v>
      </c>
    </row>
    <row r="180" spans="1:3">
      <c r="A180" s="333" t="s">
        <v>620</v>
      </c>
      <c r="B180" s="413">
        <v>16.399999999999999</v>
      </c>
      <c r="C180" s="413">
        <v>81.900000000000006</v>
      </c>
    </row>
    <row r="181" spans="1:3">
      <c r="A181" s="333" t="s">
        <v>621</v>
      </c>
      <c r="B181" s="413">
        <v>18.7</v>
      </c>
      <c r="C181" s="413">
        <v>89.35</v>
      </c>
    </row>
    <row r="182" spans="1:3">
      <c r="A182" s="333" t="s">
        <v>622</v>
      </c>
      <c r="B182" s="413">
        <v>20.95</v>
      </c>
      <c r="C182" s="413">
        <v>96.8</v>
      </c>
    </row>
    <row r="183" spans="1:3">
      <c r="A183" s="333" t="s">
        <v>623</v>
      </c>
      <c r="B183" s="413">
        <v>23.25</v>
      </c>
      <c r="C183" s="413">
        <v>104.25</v>
      </c>
    </row>
  </sheetData>
  <sheetProtection password="CAEF" sheet="1" formatCells="0"/>
  <mergeCells count="17">
    <mergeCell ref="A91:C92"/>
    <mergeCell ref="F7:G8"/>
    <mergeCell ref="H1:K1"/>
    <mergeCell ref="M1:Q1"/>
    <mergeCell ref="F2:G2"/>
    <mergeCell ref="F4:G5"/>
    <mergeCell ref="F11:G12"/>
    <mergeCell ref="F37:G37"/>
    <mergeCell ref="F53:G54"/>
    <mergeCell ref="M91:Q92"/>
    <mergeCell ref="M102:Q102"/>
    <mergeCell ref="M95:Q96"/>
    <mergeCell ref="M93:Q94"/>
    <mergeCell ref="A134:C134"/>
    <mergeCell ref="M97:Q97"/>
    <mergeCell ref="M98:Q100"/>
    <mergeCell ref="M101:Q101"/>
  </mergeCells>
  <phoneticPr fontId="38" type="noConversion"/>
  <hyperlinks>
    <hyperlink ref="F1" location="Pfl_Schutz!A1" display="◄"/>
  </hyperlinks>
  <pageMargins left="0.39370078740157483" right="0.39370078740157483" top="0.47244094488188981" bottom="0.47244094488188981" header="0.15748031496062992" footer="0.31496062992125984"/>
  <pageSetup paperSize="9" scale="75" firstPageNumber="0" orientation="portrait" blackAndWhite="1" horizontalDpi="300" verticalDpi="300"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f:fields xmlns:f="http://schemas.fabasoft.com/folio/2007/fields">
  <f:record>
    <f:field ref="doc_FSCFOLIO_1_1001_FieldDocumentNumber" par="" text=""/>
    <f:field ref="doc_FSCFOLIO_1_1001_FieldSubject" par="" text="" edit="true"/>
    <f:field ref="FSCFOLIO_1_1001_SignaturesFldCtx_FSCFOLIO_1_1001_FieldLastSignature" par="" text=""/>
    <f:field ref="FSCFOLIO_1_1001_SignaturesFldCtx_FSCFOLIO_1_1001_FieldLastSignatureBy" par="" text=""/>
    <f:field ref="FSCFOLIO_1_1001_SignaturesFldCtx_FSCFOLIO_1_1001_FieldLastSignatureAt" par="" date="" text=""/>
    <f:field ref="FSCFOLIO_1_1001_SignaturesFldCtx_FSCFOLIO_1_1001_FieldLastSignatureRemark" par="" text=""/>
    <f:field ref="FSCFOLIO_1_1001_FieldCurrentUser" par="" text="Simon Kriegner-Schramml"/>
    <f:field ref="CCAPRECONFIG_15_1001_Objektname" par="" text="LK DR inkl. BIO Tabellenblatt_Suchfunktion in DropDowns und Drop Downs in Mineraldüngern" edit="true"/>
    <f:field ref="objname" par="" text="LK DR inkl. BIO Tabellenblatt_Suchfunktion in DropDowns und Drop Downs in Mineraldüngern" edit="true"/>
    <f:field ref="objsubject" par="" text="" edit="true"/>
    <f:field ref="objcreatedby" par="" text="Kriegner-Schramml, Simon"/>
    <f:field ref="objcreatedat" par="" date="2021-10-14T13:32:38" text="14.10.2021 13:32:38"/>
    <f:field ref="objchangedby" par="" text="Kriegner-Schramml, Simon"/>
    <f:field ref="objmodifiedat" par="" date="2021-10-15T15:53:21" text="15.10.2021 15:53:21"/>
  </f:record>
  <f:display par="" text="Serienbrief">
    <f:field ref="doc_FSCFOLIO_1_1001_FieldDocumentNumber" text="Dokument Nummer"/>
    <f:field ref="doc_FSCFOLIO_1_1001_FieldSubject" text="Betreff"/>
  </f:display>
  <f:display par="" text="Unterschriften">
    <f:field ref="FSCFOLIO_1_1001_SignaturesFldCtx_FSCFOLIO_1_1001_FieldLastSignature" text="Letzte Unterschrift"/>
    <f:field ref="FSCFOLIO_1_1001_SignaturesFldCtx_FSCFOLIO_1_1001_FieldLastSignatureBy" text="Letzte Unterschrift von"/>
    <f:field ref="FSCFOLIO_1_1001_SignaturesFldCtx_FSCFOLIO_1_1001_FieldLastSignatureAt" text="Letzte Unterschrift am/um"/>
    <f:field ref="FSCFOLIO_1_1001_SignaturesFldCtx_FSCFOLIO_1_1001_FieldLastSignatureRemark" text="Bemerkung der letzten Unterschrift"/>
  </f:display>
  <f:display par="" text="Allgemein">
    <f:field ref="FSCFOLIO_1_1001_FieldCurrentUser" text="Aktueller Benutzer"/>
    <f:field ref="CCAPRECONFIG_15_1001_Objektname" text="Objektname"/>
    <f:field ref="objname" text="Name"/>
    <f:field ref="objsubject" text="Betreff (einzeilig)"/>
    <f:field ref="objcreatedby" text="Erzeugt von"/>
    <f:field ref="objcreatedat" text="Erzeugt am/um"/>
    <f:field ref="objchangedby" text="Letzte Änderung von"/>
    <f:field ref="objmodifiedat" text="Letzte Änderung am/um"/>
  </f:display>
</f:fields>
</file>

<file path=customXml/itemProps1.xml><?xml version="1.0" encoding="utf-8"?>
<ds:datastoreItem xmlns:ds="http://schemas.openxmlformats.org/officeDocument/2006/customXml" ds:itemID="{4E8A9591-F074-446B-902F-511FF79C122F}">
  <ds:schemaRefs>
    <ds:schemaRef ds:uri="http://schemas.fabasoft.com/folio/2007/fields"/>
  </ds:schemaRefs>
</ds:datastoreItem>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4" baseType="variant">
      <vt:variant>
        <vt:lpstr>Arbeitsblätter</vt:lpstr>
      </vt:variant>
      <vt:variant>
        <vt:i4>21</vt:i4>
      </vt:variant>
      <vt:variant>
        <vt:lpstr>Benannte Bereiche</vt:lpstr>
      </vt:variant>
      <vt:variant>
        <vt:i4>50</vt:i4>
      </vt:variant>
    </vt:vector>
  </HeadingPairs>
  <TitlesOfParts>
    <vt:vector size="71" baseType="lpstr">
      <vt:lpstr>Info</vt:lpstr>
      <vt:lpstr>Betrieb</vt:lpstr>
      <vt:lpstr>N_Bedarf</vt:lpstr>
      <vt:lpstr>Tiere</vt:lpstr>
      <vt:lpstr>Hofdung</vt:lpstr>
      <vt:lpstr>Tabelle1</vt:lpstr>
      <vt:lpstr>Organ__Dü</vt:lpstr>
      <vt:lpstr>Mineral</vt:lpstr>
      <vt:lpstr>Ergebnis</vt:lpstr>
      <vt:lpstr>Ertragsermittlung</vt:lpstr>
      <vt:lpstr>WD-Vertrag</vt:lpstr>
      <vt:lpstr>System I</vt:lpstr>
      <vt:lpstr>Weideblatt</vt:lpstr>
      <vt:lpstr>Bodennah</vt:lpstr>
      <vt:lpstr>N_Berechnung</vt:lpstr>
      <vt:lpstr>Düngeplanung</vt:lpstr>
      <vt:lpstr>Schw_Geflügel</vt:lpstr>
      <vt:lpstr>Pfl_Schutz</vt:lpstr>
      <vt:lpstr>PSM_Bestände</vt:lpstr>
      <vt:lpstr>Kali u Kosten</vt:lpstr>
      <vt:lpstr>Tierzahlen</vt:lpstr>
      <vt:lpstr>Betrieb!__xlnm.Print_Area</vt:lpstr>
      <vt:lpstr>Ergebnis!__xlnm.Print_Area</vt:lpstr>
      <vt:lpstr>Hofdung!__xlnm.Print_Area</vt:lpstr>
      <vt:lpstr>Info!__xlnm.Print_Area</vt:lpstr>
      <vt:lpstr>Mineral!__xlnm.Print_Area</vt:lpstr>
      <vt:lpstr>N_Bedarf!__xlnm.Print_Area</vt:lpstr>
      <vt:lpstr>Organ__Dü!__xlnm.Print_Area</vt:lpstr>
      <vt:lpstr>Pfl_Schutz!__xlnm.Print_Area</vt:lpstr>
      <vt:lpstr>Schw_Geflügel!__xlnm.Print_Area</vt:lpstr>
      <vt:lpstr>'System I'!__xlnm.Print_Area</vt:lpstr>
      <vt:lpstr>Tiere!__xlnm.Print_Area</vt:lpstr>
      <vt:lpstr>__xlnm.Print_Area</vt:lpstr>
      <vt:lpstr>__xlnm.Print_Area_3</vt:lpstr>
      <vt:lpstr>__xlnm.Print_Area_5</vt:lpstr>
      <vt:lpstr>__xlnm.Print_Area_6</vt:lpstr>
      <vt:lpstr>__xlnm.Print_Area_8</vt:lpstr>
      <vt:lpstr>__xlnm.Print_Area_9</vt:lpstr>
      <vt:lpstr>Auswahl_Kulturen</vt:lpstr>
      <vt:lpstr>Betriebskulturen</vt:lpstr>
      <vt:lpstr>Betrieb!Druckbereich</vt:lpstr>
      <vt:lpstr>Bodennah!Druckbereich</vt:lpstr>
      <vt:lpstr>Düngeplanung!Druckbereich</vt:lpstr>
      <vt:lpstr>Ergebnis!Druckbereich</vt:lpstr>
      <vt:lpstr>Ertragsermittlung!Druckbereich</vt:lpstr>
      <vt:lpstr>Hofdung!Druckbereich</vt:lpstr>
      <vt:lpstr>Info!Druckbereich</vt:lpstr>
      <vt:lpstr>Mineral!Druckbereich</vt:lpstr>
      <vt:lpstr>N_Bedarf!Druckbereich</vt:lpstr>
      <vt:lpstr>Organ__Dü!Druckbereich</vt:lpstr>
      <vt:lpstr>Pfl_Schutz!Druckbereich</vt:lpstr>
      <vt:lpstr>PSM_Bestände!Druckbereich</vt:lpstr>
      <vt:lpstr>Schw_Geflügel!Druckbereich</vt:lpstr>
      <vt:lpstr>'System I'!Druckbereich</vt:lpstr>
      <vt:lpstr>Tiere!Druckbereich</vt:lpstr>
      <vt:lpstr>Tierzahlen!Druckbereich</vt:lpstr>
      <vt:lpstr>'WD-Vertrag'!Druckbereich</vt:lpstr>
      <vt:lpstr>Weideblatt!Druckbereich</vt:lpstr>
      <vt:lpstr>Liste_Ertrag</vt:lpstr>
      <vt:lpstr>Liste_GL_Kulturen</vt:lpstr>
      <vt:lpstr>Liste_Grünland</vt:lpstr>
      <vt:lpstr>Liste_ja</vt:lpstr>
      <vt:lpstr>Liste_K_Bedarf</vt:lpstr>
      <vt:lpstr>Liste_Kulturen</vt:lpstr>
      <vt:lpstr>Liste_MD</vt:lpstr>
      <vt:lpstr>Liste_N_Bedarf</vt:lpstr>
      <vt:lpstr>Liste_N_GL</vt:lpstr>
      <vt:lpstr>Liste_OD</vt:lpstr>
      <vt:lpstr>Liste_P_Bedarf</vt:lpstr>
      <vt:lpstr>Liste_WD</vt:lpstr>
      <vt:lpstr>Tierliste_neu</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Kriegner-Schramml Simon</dc:creator>
  <cp:lastModifiedBy>Lechner Eva</cp:lastModifiedBy>
  <cp:revision>3</cp:revision>
  <cp:lastPrinted>2022-04-26T07:31:55Z</cp:lastPrinted>
  <dcterms:created xsi:type="dcterms:W3CDTF">2013-06-14T08:12:25Z</dcterms:created>
  <dcterms:modified xsi:type="dcterms:W3CDTF">2022-12-06T08:35:28Z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14.0300</vt:lpwstr>
  </property>
  <property fmtid="{D5CDD505-2E9C-101B-9397-08002B2CF9AE}" pid="3" name="DocSecurity">
    <vt:r8>0</vt:r8>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y fmtid="{D5CDD505-2E9C-101B-9397-08002B2CF9AE}" pid="8" name="FSC#LKOOEDOK@1000.3800:EigentuemerDienststelle">
    <vt:lpwstr>Boden.Wasser.Schutz.Beratung</vt:lpwstr>
  </property>
  <property fmtid="{D5CDD505-2E9C-101B-9397-08002B2CF9AE}" pid="9" name="FSC#LKOOEDOK@1000.3800:EigentuemerKostenstelleNr">
    <vt:lpwstr>131</vt:lpwstr>
  </property>
  <property fmtid="{D5CDD505-2E9C-101B-9397-08002B2CF9AE}" pid="10" name="FSC#LKOOEDOK@1000.3800:EigentuemerAnschrift">
    <vt:lpwstr/>
  </property>
  <property fmtid="{D5CDD505-2E9C-101B-9397-08002B2CF9AE}" pid="11" name="FSC#LKOOEDOK@1000.3800:EigentuemerPostort">
    <vt:lpwstr/>
  </property>
  <property fmtid="{D5CDD505-2E9C-101B-9397-08002B2CF9AE}" pid="12" name="FSC#LKOOEDOK@1000.3800:Objektname">
    <vt:lpwstr>LK DR inkl. BIO Tabellenblatt_Suchfunktion in DropDowns und Drop Downs in Mineraldüngern</vt:lpwstr>
  </property>
  <property fmtid="{D5CDD505-2E9C-101B-9397-08002B2CF9AE}" pid="13" name="FSC#LKOOEDOK@1000.3800:Betreff">
    <vt:lpwstr/>
  </property>
  <property fmtid="{D5CDD505-2E9C-101B-9397-08002B2CF9AE}" pid="14" name="FSC#LKOOEDOK@1000.3800:Gruppe">
    <vt:lpwstr>A-PFL (Abt Pflanzenbau)</vt:lpwstr>
  </property>
  <property fmtid="{D5CDD505-2E9C-101B-9397-08002B2CF9AE}" pid="15" name="FSC#LKOOEDOK@1000.3800:EigentuemerTelefon">
    <vt:lpwstr/>
  </property>
  <property fmtid="{D5CDD505-2E9C-101B-9397-08002B2CF9AE}" pid="16" name="FSC#LKOOEDOK@1000.3800:Versionsnummer">
    <vt:lpwstr>1</vt:lpwstr>
  </property>
  <property fmtid="{D5CDD505-2E9C-101B-9397-08002B2CF9AE}" pid="17" name="FSC#LKOOEDOK@1000.3800:EigentuemerName">
    <vt:lpwstr>Simon Kriegner-Schramml</vt:lpwstr>
  </property>
  <property fmtid="{D5CDD505-2E9C-101B-9397-08002B2CF9AE}" pid="18" name="FSC#LKOOEDOK@1000.3800:EigentuemerMaNr">
    <vt:lpwstr>2405</vt:lpwstr>
  </property>
  <property fmtid="{D5CDD505-2E9C-101B-9397-08002B2CF9AE}" pid="19" name="FSC#LKOOEDOK@1000.3800:EigentuemerEMail">
    <vt:lpwstr>simon.kriegner-schramml@lk-ooe.at</vt:lpwstr>
  </property>
  <property fmtid="{D5CDD505-2E9C-101B-9397-08002B2CF9AE}" pid="20" name="FSC#LKOOEDOK@1000.3800:EigentuemerPersonEMail">
    <vt:lpwstr>simon.kriegner-schramml@lk-ooe.at</vt:lpwstr>
  </property>
  <property fmtid="{D5CDD505-2E9C-101B-9397-08002B2CF9AE}" pid="21" name="FSC#LKOOEDOK@1000.3800:DstTelefon">
    <vt:lpwstr>+43 (50) 6902-1414</vt:lpwstr>
  </property>
  <property fmtid="{D5CDD505-2E9C-101B-9397-08002B2CF9AE}" pid="22" name="FSC#LKOOEDOK@1000.3800:DstPostort">
    <vt:lpwstr>4021 Linz</vt:lpwstr>
  </property>
  <property fmtid="{D5CDD505-2E9C-101B-9397-08002B2CF9AE}" pid="23" name="FSC#LKOOEDOK@1000.3800:DstOrt">
    <vt:lpwstr>Linz</vt:lpwstr>
  </property>
  <property fmtid="{D5CDD505-2E9C-101B-9397-08002B2CF9AE}" pid="24" name="FSC#LKOOEDOK@1000.3800:DstOrtKurz">
    <vt:lpwstr>Linz</vt:lpwstr>
  </property>
  <property fmtid="{D5CDD505-2E9C-101B-9397-08002B2CF9AE}" pid="25" name="FSC#LKOOEDOK@1000.3800:DstName">
    <vt:lpwstr>Pflanzenbau</vt:lpwstr>
  </property>
  <property fmtid="{D5CDD505-2E9C-101B-9397-08002B2CF9AE}" pid="26" name="FSC#LKOOEDOK@1000.3800:DstFax">
    <vt:lpwstr>+43 (50) 6902-91414</vt:lpwstr>
  </property>
  <property fmtid="{D5CDD505-2E9C-101B-9397-08002B2CF9AE}" pid="27" name="FSC#LKOOEDOK@1000.3800:DstEMail">
    <vt:lpwstr>pflanzenbau@lk-ooe.at</vt:lpwstr>
  </property>
  <property fmtid="{D5CDD505-2E9C-101B-9397-08002B2CF9AE}" pid="28" name="FSC#LKOOEDOK@1000.3800:DstAnschrift">
    <vt:lpwstr>Auf der Gugl 3</vt:lpwstr>
  </property>
  <property fmtid="{D5CDD505-2E9C-101B-9397-08002B2CF9AE}" pid="29" name="FSC#LKOOEDOK@1000.3800:AenderungsID">
    <vt:lpwstr>lk-ooe\kriesim</vt:lpwstr>
  </property>
  <property fmtid="{D5CDD505-2E9C-101B-9397-08002B2CF9AE}" pid="30" name="FSC#LKOOEDOK@1000.3800:EigentuemerID">
    <vt:lpwstr>lk-ooe\kriesim</vt:lpwstr>
  </property>
  <property fmtid="{D5CDD505-2E9C-101B-9397-08002B2CF9AE}" pid="31" name="FSC#LKOOEDOK@1000.3800:KundeName">
    <vt:lpwstr/>
  </property>
  <property fmtid="{D5CDD505-2E9C-101B-9397-08002B2CF9AE}" pid="32" name="FSC#LKOOEDOK@1000.3800:KundeStrasse">
    <vt:lpwstr/>
  </property>
  <property fmtid="{D5CDD505-2E9C-101B-9397-08002B2CF9AE}" pid="33" name="FSC#LKOOEDOK@1000.3800:KundeOrt">
    <vt:lpwstr/>
  </property>
  <property fmtid="{D5CDD505-2E9C-101B-9397-08002B2CF9AE}" pid="34" name="FSC#LKOOEDOK@1000.3800:AenderungsDatum">
    <vt:lpwstr>15.10.2021</vt:lpwstr>
  </property>
  <property fmtid="{D5CDD505-2E9C-101B-9397-08002B2CF9AE}" pid="35" name="FSC#LKOOEDOK@1000.3800:Adresse">
    <vt:lpwstr>COO.1000.3800.7.8177493</vt:lpwstr>
  </property>
  <property fmtid="{D5CDD505-2E9C-101B-9397-08002B2CF9AE}" pid="36" name="FSC#LKOOEDOK@1000.3800:KundeGrussformel">
    <vt:lpwstr>Sehr geehrte Damen und Herren</vt:lpwstr>
  </property>
  <property fmtid="{D5CDD505-2E9C-101B-9397-08002B2CF9AE}" pid="37" name="FSC#LKOOEDOK@1000.3800:KundeAnschrift">
    <vt:lpwstr/>
  </property>
  <property fmtid="{D5CDD505-2E9C-101B-9397-08002B2CF9AE}" pid="38" name="FSC#LKOOEDOK@1000.3800:KundeTelefon">
    <vt:lpwstr/>
  </property>
  <property fmtid="{D5CDD505-2E9C-101B-9397-08002B2CF9AE}" pid="39" name="FSC#LKOOEDOK@1000.3800:KundeEmail">
    <vt:lpwstr/>
  </property>
  <property fmtid="{D5CDD505-2E9C-101B-9397-08002B2CF9AE}" pid="40" name="FSC#LKOOEDOK@1000.3800:CurrDateTime">
    <vt:lpwstr>15.10.2021 15:54:10</vt:lpwstr>
  </property>
  <property fmtid="{D5CDD505-2E9C-101B-9397-08002B2CF9AE}" pid="41" name="FSC#LKOOEDOK@1000.3800:AuftragNummer">
    <vt:lpwstr/>
  </property>
  <property fmtid="{D5CDD505-2E9C-101B-9397-08002B2CF9AE}" pid="42" name="FSC#LKOOEDOK@1000.3800:Kategorie">
    <vt:lpwstr/>
  </property>
  <property fmtid="{D5CDD505-2E9C-101B-9397-08002B2CF9AE}" pid="43" name="FSC#LKOOEDOK@1000.3800:Titel">
    <vt:lpwstr/>
  </property>
  <property fmtid="{D5CDD505-2E9C-101B-9397-08002B2CF9AE}" pid="44" name="FSC#LKOOEDOK@1000.3800:Thema">
    <vt:lpwstr/>
  </property>
  <property fmtid="{D5CDD505-2E9C-101B-9397-08002B2CF9AE}" pid="45" name="FSC#LKOOEDOK@1000.3800:DatumVorlage">
    <vt:lpwstr/>
  </property>
  <property fmtid="{D5CDD505-2E9C-101B-9397-08002B2CF9AE}" pid="46" name="FSC#LKOOEDOK@1000.3800:Bereich">
    <vt:lpwstr/>
  </property>
  <property fmtid="{D5CDD505-2E9C-101B-9397-08002B2CF9AE}" pid="47" name="FSC#LKOOEDOK@1000.3800:Stichworte">
    <vt:lpwstr/>
  </property>
  <property fmtid="{D5CDD505-2E9C-101B-9397-08002B2CF9AE}" pid="48" name="FSC#LKOOEDOK@1000.3800:Kommentar">
    <vt:lpwstr/>
  </property>
  <property fmtid="{D5CDD505-2E9C-101B-9397-08002B2CF9AE}" pid="49" name="FSC#LKOOEDOK@1000.3800:ProduktEbene4">
    <vt:lpwstr/>
  </property>
  <property fmtid="{D5CDD505-2E9C-101B-9397-08002B2CF9AE}" pid="50" name="FSC#LKOOEDOK@1000.3800:Geburtsdatum">
    <vt:lpwstr/>
  </property>
  <property fmtid="{D5CDD505-2E9C-101B-9397-08002B2CF9AE}" pid="51" name="FSC#LKOOEDOK@1000.3800:KundeMobil">
    <vt:lpwstr/>
  </property>
  <property fmtid="{D5CDD505-2E9C-101B-9397-08002B2CF9AE}" pid="52" name="FSC#LKOOEDOK@1000.3800:KundeBNR">
    <vt:lpwstr/>
  </property>
  <property fmtid="{D5CDD505-2E9C-101B-9397-08002B2CF9AE}" pid="53" name="FSC#LKOOEDOK@1000.3800:KundeHomepage">
    <vt:lpwstr/>
  </property>
  <property fmtid="{D5CDD505-2E9C-101B-9397-08002B2CF9AE}" pid="54" name="FSC#COOELAK@1.1001:Subject">
    <vt:lpwstr/>
  </property>
  <property fmtid="{D5CDD505-2E9C-101B-9397-08002B2CF9AE}" pid="55" name="FSC#COOELAK@1.1001:Owner">
    <vt:lpwstr>Kriegner-Schramml Simon, BSc</vt:lpwstr>
  </property>
  <property fmtid="{D5CDD505-2E9C-101B-9397-08002B2CF9AE}" pid="56" name="FSC#COOELAK@1.1001:CreatedAt">
    <vt:lpwstr>14.10.2021</vt:lpwstr>
  </property>
  <property fmtid="{D5CDD505-2E9C-101B-9397-08002B2CF9AE}" pid="57" name="FSC#COOSYSTEM@1.1:Container">
    <vt:lpwstr>COO.1000.3800.7.8177493</vt:lpwstr>
  </property>
  <property fmtid="{D5CDD505-2E9C-101B-9397-08002B2CF9AE}" pid="58" name="FSC#FSCFOLIO@1.1001:docpropproject">
    <vt:lpwstr/>
  </property>
</Properties>
</file>